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sanepPE0D8S4Y\DCL2\LICITAÇÕES\2026\DISPENSAS ELETRÔNICAS\DE 03 - COLETA RESÍDUOS\REPUBLICAÇÃO\"/>
    </mc:Choice>
  </mc:AlternateContent>
  <xr:revisionPtr revIDLastSave="0" documentId="13_ncr:1_{79D709F0-9CBC-4F73-BDBE-3FD4D8AA41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 - RESUMO" sheetId="1" r:id="rId1"/>
    <sheet name="OK 2 - ADM LOCAL - RSD" sheetId="2" r:id="rId2"/>
    <sheet name="OK 2.1 - COLETA RSD" sheetId="3" r:id="rId3"/>
    <sheet name="OK 3 - ADM LOCAL - CONTEIN." sheetId="4" r:id="rId4"/>
    <sheet name="OK 3.1 - COLETA CONTEIN." sheetId="5" r:id="rId5"/>
    <sheet name="OK 4 - ADM LOCAL - SELETIVA" sheetId="6" r:id="rId6"/>
    <sheet name="OK 4.1 - COLETA SELETIVA" sheetId="7" r:id="rId7"/>
    <sheet name="OK 5 - ADM LOCAL - ÓLEOS" sheetId="8" r:id="rId8"/>
    <sheet name="OK 5.1 - COLETA ÓLEOS" sheetId="9" r:id="rId9"/>
    <sheet name="6 - DADOS CC MO" sheetId="10" r:id="rId10"/>
    <sheet name="7 - ENCARGOS SOCIAIS" sheetId="11" r:id="rId11"/>
    <sheet name="8 - CAGED" sheetId="12" r:id="rId12"/>
    <sheet name="9 - BDI" sheetId="13" r:id="rId13"/>
    <sheet name="10 - CUSTOS UN" sheetId="14" r:id="rId14"/>
    <sheet name="IPCA" sheetId="15" state="hidden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9" roundtripDataChecksum="5AjjB/XVvNlpIBpJOfT03lPduh6q5W46j1fJcEo5r0I="/>
    </ext>
  </extLst>
</workbook>
</file>

<file path=xl/calcChain.xml><?xml version="1.0" encoding="utf-8"?>
<calcChain xmlns="http://schemas.openxmlformats.org/spreadsheetml/2006/main">
  <c r="D30" i="15" l="1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3" i="15"/>
  <c r="D2" i="15"/>
  <c r="J265" i="14"/>
  <c r="J262" i="14"/>
  <c r="J258" i="14"/>
  <c r="J255" i="14"/>
  <c r="J252" i="14"/>
  <c r="J249" i="14"/>
  <c r="J246" i="14"/>
  <c r="I430" i="3" s="1"/>
  <c r="K430" i="3" s="1"/>
  <c r="J243" i="14"/>
  <c r="I429" i="3" s="1"/>
  <c r="K429" i="3" s="1"/>
  <c r="J240" i="14"/>
  <c r="J236" i="14"/>
  <c r="J233" i="14"/>
  <c r="J228" i="14"/>
  <c r="J225" i="14"/>
  <c r="J222" i="14"/>
  <c r="J219" i="14"/>
  <c r="J216" i="14"/>
  <c r="J213" i="14"/>
  <c r="J210" i="14"/>
  <c r="J207" i="14"/>
  <c r="J204" i="14"/>
  <c r="J201" i="14"/>
  <c r="J198" i="14"/>
  <c r="J195" i="14"/>
  <c r="J191" i="14"/>
  <c r="J186" i="14"/>
  <c r="J183" i="14"/>
  <c r="J180" i="14"/>
  <c r="J175" i="14"/>
  <c r="J172" i="14"/>
  <c r="J169" i="14"/>
  <c r="J166" i="14"/>
  <c r="J163" i="14"/>
  <c r="J160" i="14"/>
  <c r="J157" i="14"/>
  <c r="J154" i="14"/>
  <c r="J151" i="14"/>
  <c r="J150" i="14"/>
  <c r="J148" i="14"/>
  <c r="J146" i="14"/>
  <c r="J145" i="14"/>
  <c r="J143" i="14"/>
  <c r="J139" i="14"/>
  <c r="J136" i="14"/>
  <c r="J134" i="14"/>
  <c r="J131" i="14"/>
  <c r="J123" i="14"/>
  <c r="J120" i="14"/>
  <c r="J117" i="14"/>
  <c r="I428" i="3" s="1"/>
  <c r="K428" i="3" s="1"/>
  <c r="J114" i="14"/>
  <c r="J111" i="14"/>
  <c r="J108" i="14"/>
  <c r="J105" i="14"/>
  <c r="J102" i="14"/>
  <c r="J99" i="14"/>
  <c r="J96" i="14"/>
  <c r="J93" i="14"/>
  <c r="J90" i="14"/>
  <c r="J87" i="14"/>
  <c r="J84" i="14"/>
  <c r="J81" i="14"/>
  <c r="J78" i="14"/>
  <c r="J75" i="14"/>
  <c r="J72" i="14"/>
  <c r="J69" i="14"/>
  <c r="J66" i="14"/>
  <c r="J63" i="14"/>
  <c r="J60" i="14"/>
  <c r="J57" i="14"/>
  <c r="J54" i="14"/>
  <c r="J51" i="14"/>
  <c r="N48" i="14"/>
  <c r="J48" i="14"/>
  <c r="J45" i="14"/>
  <c r="J42" i="14"/>
  <c r="J39" i="14"/>
  <c r="H131" i="5" s="1"/>
  <c r="I131" i="5" s="1"/>
  <c r="K131" i="5" s="1"/>
  <c r="J36" i="14"/>
  <c r="J33" i="14"/>
  <c r="J30" i="14"/>
  <c r="J27" i="14"/>
  <c r="J24" i="14"/>
  <c r="J21" i="14"/>
  <c r="J18" i="14"/>
  <c r="J15" i="14"/>
  <c r="J12" i="14"/>
  <c r="J9" i="14"/>
  <c r="J6" i="14"/>
  <c r="D11" i="13"/>
  <c r="D8" i="13"/>
  <c r="D15" i="13" s="1"/>
  <c r="C12" i="12"/>
  <c r="C14" i="12" s="1"/>
  <c r="C11" i="12"/>
  <c r="C7" i="12"/>
  <c r="C13" i="12" s="1"/>
  <c r="D27" i="11" s="1"/>
  <c r="D20" i="11"/>
  <c r="D19" i="11"/>
  <c r="D18" i="11"/>
  <c r="D17" i="11"/>
  <c r="D16" i="11"/>
  <c r="D13" i="11"/>
  <c r="I222" i="9"/>
  <c r="K222" i="9" s="1"/>
  <c r="I221" i="9"/>
  <c r="K221" i="9" s="1"/>
  <c r="I220" i="9"/>
  <c r="K220" i="9" s="1"/>
  <c r="I219" i="9"/>
  <c r="K219" i="9" s="1"/>
  <c r="I218" i="9"/>
  <c r="K218" i="9" s="1"/>
  <c r="I217" i="9"/>
  <c r="K217" i="9" s="1"/>
  <c r="I216" i="9"/>
  <c r="K216" i="9" s="1"/>
  <c r="I215" i="9"/>
  <c r="K215" i="9" s="1"/>
  <c r="I214" i="9"/>
  <c r="K214" i="9" s="1"/>
  <c r="I213" i="9"/>
  <c r="K213" i="9" s="1"/>
  <c r="I212" i="9"/>
  <c r="K212" i="9" s="1"/>
  <c r="I211" i="9"/>
  <c r="K211" i="9" s="1"/>
  <c r="K223" i="9" s="1"/>
  <c r="G195" i="9"/>
  <c r="K195" i="9" s="1"/>
  <c r="I196" i="9" s="1"/>
  <c r="G190" i="9"/>
  <c r="G188" i="9"/>
  <c r="G189" i="9" s="1"/>
  <c r="I186" i="9"/>
  <c r="K186" i="9" s="1"/>
  <c r="G186" i="9"/>
  <c r="I184" i="9"/>
  <c r="K184" i="9" s="1"/>
  <c r="G179" i="9"/>
  <c r="I178" i="9"/>
  <c r="K178" i="9" s="1"/>
  <c r="I179" i="9" s="1"/>
  <c r="K179" i="9" s="1"/>
  <c r="G177" i="9"/>
  <c r="I176" i="9"/>
  <c r="K176" i="9" s="1"/>
  <c r="I177" i="9" s="1"/>
  <c r="K177" i="9" s="1"/>
  <c r="G175" i="9"/>
  <c r="I174" i="9"/>
  <c r="K174" i="9" s="1"/>
  <c r="I175" i="9" s="1"/>
  <c r="K175" i="9" s="1"/>
  <c r="I180" i="9" s="1"/>
  <c r="I168" i="9"/>
  <c r="K168" i="9" s="1"/>
  <c r="I169" i="9" s="1"/>
  <c r="G168" i="9"/>
  <c r="I160" i="9"/>
  <c r="I159" i="9"/>
  <c r="K159" i="9" s="1"/>
  <c r="K158" i="9"/>
  <c r="K157" i="9"/>
  <c r="I156" i="9"/>
  <c r="K156" i="9" s="1"/>
  <c r="I161" i="9" s="1"/>
  <c r="I145" i="9"/>
  <c r="I143" i="9"/>
  <c r="K143" i="9" s="1"/>
  <c r="G143" i="9"/>
  <c r="I141" i="9"/>
  <c r="I142" i="9" s="1"/>
  <c r="K142" i="9" s="1"/>
  <c r="I140" i="9"/>
  <c r="I138" i="9"/>
  <c r="K138" i="9" s="1"/>
  <c r="G132" i="9"/>
  <c r="I131" i="9"/>
  <c r="K131" i="9" s="1"/>
  <c r="I132" i="9" s="1"/>
  <c r="K132" i="9" s="1"/>
  <c r="G128" i="9"/>
  <c r="K128" i="9" s="1"/>
  <c r="I126" i="9"/>
  <c r="K126" i="9" s="1"/>
  <c r="I127" i="9" s="1"/>
  <c r="K127" i="9" s="1"/>
  <c r="K133" i="9" s="1"/>
  <c r="I134" i="9" s="1"/>
  <c r="K123" i="9"/>
  <c r="H97" i="9"/>
  <c r="I97" i="9" s="1"/>
  <c r="K97" i="9" s="1"/>
  <c r="H96" i="9"/>
  <c r="I96" i="9" s="1"/>
  <c r="K96" i="9" s="1"/>
  <c r="H95" i="9"/>
  <c r="I95" i="9" s="1"/>
  <c r="K95" i="9" s="1"/>
  <c r="H94" i="9"/>
  <c r="I94" i="9" s="1"/>
  <c r="K94" i="9" s="1"/>
  <c r="H93" i="9"/>
  <c r="I93" i="9" s="1"/>
  <c r="K93" i="9" s="1"/>
  <c r="H92" i="9"/>
  <c r="I92" i="9" s="1"/>
  <c r="K92" i="9" s="1"/>
  <c r="H91" i="9"/>
  <c r="I91" i="9" s="1"/>
  <c r="K91" i="9" s="1"/>
  <c r="H90" i="9"/>
  <c r="I90" i="9" s="1"/>
  <c r="K90" i="9" s="1"/>
  <c r="K98" i="9" s="1"/>
  <c r="H84" i="9"/>
  <c r="I84" i="9" s="1"/>
  <c r="K84" i="9" s="1"/>
  <c r="H83" i="9"/>
  <c r="I83" i="9" s="1"/>
  <c r="K83" i="9" s="1"/>
  <c r="H82" i="9"/>
  <c r="I82" i="9" s="1"/>
  <c r="K82" i="9" s="1"/>
  <c r="H81" i="9"/>
  <c r="I81" i="9" s="1"/>
  <c r="K81" i="9" s="1"/>
  <c r="H80" i="9"/>
  <c r="I80" i="9" s="1"/>
  <c r="K80" i="9" s="1"/>
  <c r="H79" i="9"/>
  <c r="I79" i="9" s="1"/>
  <c r="K79" i="9" s="1"/>
  <c r="H78" i="9"/>
  <c r="I78" i="9" s="1"/>
  <c r="K78" i="9" s="1"/>
  <c r="I77" i="9"/>
  <c r="K77" i="9" s="1"/>
  <c r="H77" i="9"/>
  <c r="H76" i="9"/>
  <c r="I76" i="9" s="1"/>
  <c r="K76" i="9" s="1"/>
  <c r="H75" i="9"/>
  <c r="I75" i="9" s="1"/>
  <c r="K75" i="9" s="1"/>
  <c r="H74" i="9"/>
  <c r="I74" i="9" s="1"/>
  <c r="K74" i="9" s="1"/>
  <c r="H73" i="9"/>
  <c r="I73" i="9" s="1"/>
  <c r="K73" i="9" s="1"/>
  <c r="K85" i="9" s="1"/>
  <c r="K61" i="9"/>
  <c r="H60" i="9"/>
  <c r="K60" i="9" s="1"/>
  <c r="K59" i="9"/>
  <c r="K62" i="9" s="1"/>
  <c r="J53" i="9"/>
  <c r="H48" i="9"/>
  <c r="K47" i="9"/>
  <c r="J47" i="9"/>
  <c r="J48" i="9" s="1"/>
  <c r="K40" i="9"/>
  <c r="K39" i="9"/>
  <c r="H38" i="9"/>
  <c r="K38" i="9" s="1"/>
  <c r="K37" i="9"/>
  <c r="J31" i="9"/>
  <c r="H26" i="9"/>
  <c r="K25" i="9"/>
  <c r="J25" i="9"/>
  <c r="J26" i="9" s="1"/>
  <c r="H12" i="9"/>
  <c r="H9" i="9"/>
  <c r="H6" i="9"/>
  <c r="K57" i="8"/>
  <c r="H44" i="8"/>
  <c r="I44" i="8" s="1"/>
  <c r="K44" i="8" s="1"/>
  <c r="H43" i="8"/>
  <c r="I43" i="8" s="1"/>
  <c r="K43" i="8" s="1"/>
  <c r="K45" i="8" s="1"/>
  <c r="K29" i="8"/>
  <c r="H28" i="8"/>
  <c r="K28" i="8" s="1"/>
  <c r="K27" i="8"/>
  <c r="K30" i="8" s="1"/>
  <c r="J21" i="8"/>
  <c r="K18" i="8"/>
  <c r="K19" i="8" s="1"/>
  <c r="K10" i="8"/>
  <c r="H9" i="8"/>
  <c r="H8" i="8"/>
  <c r="H6" i="8"/>
  <c r="I313" i="7"/>
  <c r="K313" i="7" s="1"/>
  <c r="I312" i="7"/>
  <c r="K312" i="7" s="1"/>
  <c r="I311" i="7"/>
  <c r="K311" i="7" s="1"/>
  <c r="I310" i="7"/>
  <c r="K310" i="7" s="1"/>
  <c r="I309" i="7"/>
  <c r="K309" i="7" s="1"/>
  <c r="I308" i="7"/>
  <c r="K308" i="7" s="1"/>
  <c r="I307" i="7"/>
  <c r="K307" i="7" s="1"/>
  <c r="I306" i="7"/>
  <c r="K306" i="7" s="1"/>
  <c r="I305" i="7"/>
  <c r="K305" i="7" s="1"/>
  <c r="I304" i="7"/>
  <c r="K304" i="7" s="1"/>
  <c r="K314" i="7" s="1"/>
  <c r="G291" i="7"/>
  <c r="K291" i="7" s="1"/>
  <c r="I292" i="7" s="1"/>
  <c r="G286" i="7"/>
  <c r="G284" i="7"/>
  <c r="G285" i="7" s="1"/>
  <c r="I282" i="7"/>
  <c r="K282" i="7" s="1"/>
  <c r="G282" i="7"/>
  <c r="I280" i="7"/>
  <c r="K280" i="7" s="1"/>
  <c r="G275" i="7"/>
  <c r="I274" i="7"/>
  <c r="K274" i="7" s="1"/>
  <c r="I275" i="7" s="1"/>
  <c r="K275" i="7" s="1"/>
  <c r="G273" i="7"/>
  <c r="I272" i="7"/>
  <c r="K272" i="7" s="1"/>
  <c r="I273" i="7" s="1"/>
  <c r="K273" i="7" s="1"/>
  <c r="G271" i="7"/>
  <c r="I270" i="7"/>
  <c r="K270" i="7" s="1"/>
  <c r="I271" i="7" s="1"/>
  <c r="K271" i="7" s="1"/>
  <c r="G269" i="7"/>
  <c r="I268" i="7"/>
  <c r="K268" i="7" s="1"/>
  <c r="I269" i="7" s="1"/>
  <c r="K269" i="7" s="1"/>
  <c r="I262" i="7"/>
  <c r="K262" i="7" s="1"/>
  <c r="I263" i="7" s="1"/>
  <c r="G262" i="7"/>
  <c r="I254" i="7"/>
  <c r="K254" i="7" s="1"/>
  <c r="I253" i="7"/>
  <c r="K253" i="7" s="1"/>
  <c r="K252" i="7"/>
  <c r="K251" i="7"/>
  <c r="I250" i="7"/>
  <c r="K250" i="7" s="1"/>
  <c r="I255" i="7" s="1"/>
  <c r="I242" i="7"/>
  <c r="I240" i="7"/>
  <c r="K240" i="7" s="1"/>
  <c r="G240" i="7"/>
  <c r="I237" i="7"/>
  <c r="I235" i="7"/>
  <c r="K235" i="7" s="1"/>
  <c r="G229" i="7"/>
  <c r="I228" i="7"/>
  <c r="K228" i="7" s="1"/>
  <c r="I229" i="7" s="1"/>
  <c r="K229" i="7" s="1"/>
  <c r="G225" i="7"/>
  <c r="K225" i="7" s="1"/>
  <c r="G224" i="7"/>
  <c r="I220" i="7"/>
  <c r="G201" i="7"/>
  <c r="I198" i="7"/>
  <c r="K198" i="7" s="1"/>
  <c r="I201" i="7" s="1"/>
  <c r="K201" i="7" s="1"/>
  <c r="I202" i="7" s="1"/>
  <c r="G198" i="7"/>
  <c r="I196" i="7"/>
  <c r="K196" i="7" s="1"/>
  <c r="I190" i="7"/>
  <c r="K190" i="7" s="1"/>
  <c r="I191" i="7" s="1"/>
  <c r="I188" i="7"/>
  <c r="I186" i="7"/>
  <c r="K186" i="7" s="1"/>
  <c r="I187" i="7" s="1"/>
  <c r="I184" i="7"/>
  <c r="K184" i="7" s="1"/>
  <c r="I185" i="7" s="1"/>
  <c r="I178" i="7"/>
  <c r="G175" i="7"/>
  <c r="I170" i="7"/>
  <c r="I169" i="7"/>
  <c r="I166" i="7"/>
  <c r="I150" i="7"/>
  <c r="I148" i="7"/>
  <c r="G142" i="7"/>
  <c r="I138" i="7"/>
  <c r="G137" i="7"/>
  <c r="I136" i="7"/>
  <c r="K136" i="7" s="1"/>
  <c r="I137" i="7" s="1"/>
  <c r="K137" i="7" s="1"/>
  <c r="G133" i="7"/>
  <c r="H99" i="7"/>
  <c r="I99" i="7" s="1"/>
  <c r="K99" i="7" s="1"/>
  <c r="H98" i="7"/>
  <c r="I98" i="7" s="1"/>
  <c r="K98" i="7" s="1"/>
  <c r="H97" i="7"/>
  <c r="I97" i="7" s="1"/>
  <c r="K97" i="7" s="1"/>
  <c r="H96" i="7"/>
  <c r="I96" i="7" s="1"/>
  <c r="K96" i="7" s="1"/>
  <c r="H95" i="7"/>
  <c r="I95" i="7" s="1"/>
  <c r="K95" i="7" s="1"/>
  <c r="H94" i="7"/>
  <c r="I94" i="7" s="1"/>
  <c r="K94" i="7" s="1"/>
  <c r="H93" i="7"/>
  <c r="I93" i="7" s="1"/>
  <c r="K93" i="7" s="1"/>
  <c r="H92" i="7"/>
  <c r="I92" i="7" s="1"/>
  <c r="K92" i="7" s="1"/>
  <c r="K100" i="7" s="1"/>
  <c r="H86" i="7"/>
  <c r="I86" i="7" s="1"/>
  <c r="K86" i="7" s="1"/>
  <c r="H85" i="7"/>
  <c r="I85" i="7" s="1"/>
  <c r="K85" i="7" s="1"/>
  <c r="H84" i="7"/>
  <c r="I84" i="7" s="1"/>
  <c r="K84" i="7" s="1"/>
  <c r="H83" i="7"/>
  <c r="I83" i="7" s="1"/>
  <c r="K83" i="7" s="1"/>
  <c r="H82" i="7"/>
  <c r="I82" i="7" s="1"/>
  <c r="K82" i="7" s="1"/>
  <c r="H81" i="7"/>
  <c r="I81" i="7" s="1"/>
  <c r="K81" i="7" s="1"/>
  <c r="H80" i="7"/>
  <c r="I80" i="7" s="1"/>
  <c r="K80" i="7" s="1"/>
  <c r="H79" i="7"/>
  <c r="I79" i="7" s="1"/>
  <c r="K79" i="7" s="1"/>
  <c r="H78" i="7"/>
  <c r="I78" i="7" s="1"/>
  <c r="K78" i="7" s="1"/>
  <c r="H77" i="7"/>
  <c r="I77" i="7" s="1"/>
  <c r="K77" i="7" s="1"/>
  <c r="H76" i="7"/>
  <c r="I76" i="7" s="1"/>
  <c r="K76" i="7" s="1"/>
  <c r="H75" i="7"/>
  <c r="I75" i="7" s="1"/>
  <c r="K75" i="7" s="1"/>
  <c r="I66" i="7"/>
  <c r="G101" i="7" s="1"/>
  <c r="H11" i="7" s="1"/>
  <c r="K63" i="7"/>
  <c r="H62" i="7"/>
  <c r="K62" i="7" s="1"/>
  <c r="K61" i="7"/>
  <c r="J55" i="7"/>
  <c r="H50" i="7"/>
  <c r="K49" i="7"/>
  <c r="I45" i="7"/>
  <c r="G88" i="7" s="1"/>
  <c r="H10" i="7" s="1"/>
  <c r="H9" i="7" s="1"/>
  <c r="K42" i="7"/>
  <c r="K41" i="7"/>
  <c r="H40" i="7"/>
  <c r="K40" i="7" s="1"/>
  <c r="K39" i="7"/>
  <c r="J33" i="7"/>
  <c r="H28" i="7"/>
  <c r="K27" i="7"/>
  <c r="J27" i="7"/>
  <c r="J28" i="7" s="1"/>
  <c r="H12" i="7"/>
  <c r="H6" i="7"/>
  <c r="K365" i="6"/>
  <c r="I352" i="6"/>
  <c r="G352" i="6"/>
  <c r="K352" i="6" s="1"/>
  <c r="K353" i="6" s="1"/>
  <c r="I354" i="6" s="1"/>
  <c r="K354" i="6" s="1"/>
  <c r="G349" i="6"/>
  <c r="K349" i="6" s="1"/>
  <c r="G338" i="6"/>
  <c r="G341" i="6" s="1"/>
  <c r="I335" i="6"/>
  <c r="K335" i="6" s="1"/>
  <c r="G329" i="6"/>
  <c r="K329" i="6" s="1"/>
  <c r="G328" i="6"/>
  <c r="K328" i="6" s="1"/>
  <c r="I327" i="6"/>
  <c r="G324" i="6"/>
  <c r="I314" i="6"/>
  <c r="K314" i="6" s="1"/>
  <c r="I313" i="6"/>
  <c r="K313" i="6" s="1"/>
  <c r="K312" i="6"/>
  <c r="K311" i="6"/>
  <c r="I310" i="6"/>
  <c r="K310" i="6" s="1"/>
  <c r="K315" i="6" s="1"/>
  <c r="I316" i="6" s="1"/>
  <c r="K316" i="6" s="1"/>
  <c r="I301" i="6"/>
  <c r="I303" i="6" s="1"/>
  <c r="K304" i="6" s="1"/>
  <c r="I305" i="6" s="1"/>
  <c r="K305" i="6" s="1"/>
  <c r="I295" i="6"/>
  <c r="K295" i="6" s="1"/>
  <c r="I296" i="6" s="1"/>
  <c r="K296" i="6" s="1"/>
  <c r="I294" i="6"/>
  <c r="K292" i="6"/>
  <c r="H279" i="6"/>
  <c r="I279" i="6" s="1"/>
  <c r="K279" i="6" s="1"/>
  <c r="H278" i="6"/>
  <c r="I278" i="6" s="1"/>
  <c r="K278" i="6" s="1"/>
  <c r="H277" i="6"/>
  <c r="I277" i="6" s="1"/>
  <c r="K277" i="6" s="1"/>
  <c r="H276" i="6"/>
  <c r="I276" i="6" s="1"/>
  <c r="K276" i="6" s="1"/>
  <c r="H275" i="6"/>
  <c r="I275" i="6" s="1"/>
  <c r="K275" i="6" s="1"/>
  <c r="K280" i="6" s="1"/>
  <c r="H269" i="6"/>
  <c r="I269" i="6" s="1"/>
  <c r="K269" i="6" s="1"/>
  <c r="H268" i="6"/>
  <c r="I268" i="6" s="1"/>
  <c r="K268" i="6" s="1"/>
  <c r="H267" i="6"/>
  <c r="I267" i="6" s="1"/>
  <c r="K267" i="6" s="1"/>
  <c r="H266" i="6"/>
  <c r="I266" i="6" s="1"/>
  <c r="K266" i="6" s="1"/>
  <c r="H265" i="6"/>
  <c r="I265" i="6" s="1"/>
  <c r="K265" i="6" s="1"/>
  <c r="H264" i="6"/>
  <c r="I264" i="6" s="1"/>
  <c r="K264" i="6" s="1"/>
  <c r="H263" i="6"/>
  <c r="I263" i="6" s="1"/>
  <c r="K263" i="6" s="1"/>
  <c r="H262" i="6"/>
  <c r="I262" i="6" s="1"/>
  <c r="K262" i="6" s="1"/>
  <c r="K270" i="6" s="1"/>
  <c r="H256" i="6"/>
  <c r="I256" i="6" s="1"/>
  <c r="K256" i="6" s="1"/>
  <c r="H255" i="6"/>
  <c r="I255" i="6" s="1"/>
  <c r="K255" i="6" s="1"/>
  <c r="H254" i="6"/>
  <c r="I254" i="6" s="1"/>
  <c r="K254" i="6" s="1"/>
  <c r="H253" i="6"/>
  <c r="I253" i="6" s="1"/>
  <c r="K253" i="6" s="1"/>
  <c r="H252" i="6"/>
  <c r="I252" i="6" s="1"/>
  <c r="K252" i="6" s="1"/>
  <c r="H251" i="6"/>
  <c r="I251" i="6" s="1"/>
  <c r="K251" i="6" s="1"/>
  <c r="H250" i="6"/>
  <c r="I250" i="6" s="1"/>
  <c r="K250" i="6" s="1"/>
  <c r="H249" i="6"/>
  <c r="I249" i="6" s="1"/>
  <c r="K249" i="6" s="1"/>
  <c r="H248" i="6"/>
  <c r="I248" i="6" s="1"/>
  <c r="K248" i="6" s="1"/>
  <c r="K257" i="6" s="1"/>
  <c r="H242" i="6"/>
  <c r="I242" i="6" s="1"/>
  <c r="K242" i="6" s="1"/>
  <c r="H241" i="6"/>
  <c r="I241" i="6" s="1"/>
  <c r="K241" i="6" s="1"/>
  <c r="H240" i="6"/>
  <c r="I240" i="6" s="1"/>
  <c r="K240" i="6" s="1"/>
  <c r="H239" i="6"/>
  <c r="I239" i="6" s="1"/>
  <c r="K239" i="6" s="1"/>
  <c r="H238" i="6"/>
  <c r="I238" i="6" s="1"/>
  <c r="K238" i="6" s="1"/>
  <c r="H237" i="6"/>
  <c r="I237" i="6" s="1"/>
  <c r="K237" i="6" s="1"/>
  <c r="H236" i="6"/>
  <c r="I236" i="6" s="1"/>
  <c r="K236" i="6" s="1"/>
  <c r="K243" i="6" s="1"/>
  <c r="H230" i="6"/>
  <c r="I230" i="6" s="1"/>
  <c r="K230" i="6" s="1"/>
  <c r="H229" i="6"/>
  <c r="I229" i="6" s="1"/>
  <c r="K229" i="6" s="1"/>
  <c r="K231" i="6" s="1"/>
  <c r="K217" i="6"/>
  <c r="I216" i="6"/>
  <c r="K216" i="6" s="1"/>
  <c r="H215" i="6"/>
  <c r="K215" i="6" s="1"/>
  <c r="K214" i="6"/>
  <c r="J208" i="6"/>
  <c r="H202" i="6"/>
  <c r="H203" i="6" s="1"/>
  <c r="H201" i="6"/>
  <c r="H199" i="6"/>
  <c r="H200" i="6" s="1"/>
  <c r="K198" i="6"/>
  <c r="K191" i="6"/>
  <c r="I190" i="6"/>
  <c r="K190" i="6" s="1"/>
  <c r="H189" i="6"/>
  <c r="K189" i="6" s="1"/>
  <c r="K188" i="6"/>
  <c r="J182" i="6"/>
  <c r="H177" i="6"/>
  <c r="K176" i="6"/>
  <c r="K169" i="6"/>
  <c r="I168" i="6"/>
  <c r="K168" i="6" s="1"/>
  <c r="H167" i="6"/>
  <c r="K167" i="6" s="1"/>
  <c r="K166" i="6"/>
  <c r="K170" i="6" s="1"/>
  <c r="J160" i="6"/>
  <c r="K154" i="6"/>
  <c r="K147" i="6"/>
  <c r="I146" i="6"/>
  <c r="K146" i="6" s="1"/>
  <c r="H145" i="6"/>
  <c r="K145" i="6" s="1"/>
  <c r="K144" i="6"/>
  <c r="J138" i="6"/>
  <c r="K132" i="6"/>
  <c r="K135" i="6" s="1"/>
  <c r="J132" i="6"/>
  <c r="J133" i="6" s="1"/>
  <c r="K133" i="6" s="1"/>
  <c r="I125" i="6"/>
  <c r="K125" i="6" s="1"/>
  <c r="H124" i="6"/>
  <c r="K124" i="6" s="1"/>
  <c r="K123" i="6"/>
  <c r="K126" i="6" s="1"/>
  <c r="K111" i="6"/>
  <c r="J111" i="6"/>
  <c r="J112" i="6" s="1"/>
  <c r="K112" i="6" s="1"/>
  <c r="J113" i="6" s="1"/>
  <c r="K113" i="6" s="1"/>
  <c r="I104" i="6"/>
  <c r="K104" i="6" s="1"/>
  <c r="H103" i="6"/>
  <c r="K103" i="6" s="1"/>
  <c r="K102" i="6"/>
  <c r="K105" i="6" s="1"/>
  <c r="K90" i="6"/>
  <c r="J90" i="6"/>
  <c r="J91" i="6" s="1"/>
  <c r="K91" i="6" s="1"/>
  <c r="J92" i="6" s="1"/>
  <c r="K92" i="6" s="1"/>
  <c r="K83" i="6"/>
  <c r="I82" i="6"/>
  <c r="K82" i="6" s="1"/>
  <c r="H81" i="6"/>
  <c r="K81" i="6" s="1"/>
  <c r="K80" i="6"/>
  <c r="K84" i="6" s="1"/>
  <c r="K71" i="6"/>
  <c r="K72" i="6" s="1"/>
  <c r="K64" i="6"/>
  <c r="H63" i="6"/>
  <c r="K63" i="6" s="1"/>
  <c r="K62" i="6"/>
  <c r="K65" i="6" s="1"/>
  <c r="K50" i="6"/>
  <c r="J50" i="6"/>
  <c r="J51" i="6" s="1"/>
  <c r="K51" i="6" s="1"/>
  <c r="J52" i="6" s="1"/>
  <c r="K52" i="6" s="1"/>
  <c r="K43" i="6"/>
  <c r="H42" i="6"/>
  <c r="K42" i="6" s="1"/>
  <c r="K41" i="6"/>
  <c r="K44" i="6" s="1"/>
  <c r="K32" i="6"/>
  <c r="K33" i="6" s="1"/>
  <c r="H22" i="6"/>
  <c r="H20" i="6"/>
  <c r="H18" i="6"/>
  <c r="H17" i="6"/>
  <c r="H16" i="6"/>
  <c r="H6" i="6"/>
  <c r="I462" i="5"/>
  <c r="K462" i="5" s="1"/>
  <c r="I461" i="5"/>
  <c r="K461" i="5" s="1"/>
  <c r="I460" i="5"/>
  <c r="K460" i="5" s="1"/>
  <c r="I459" i="5"/>
  <c r="K459" i="5" s="1"/>
  <c r="I458" i="5"/>
  <c r="K458" i="5" s="1"/>
  <c r="I438" i="5"/>
  <c r="I436" i="5"/>
  <c r="K436" i="5" s="1"/>
  <c r="G436" i="5"/>
  <c r="G441" i="5" s="1"/>
  <c r="G432" i="5"/>
  <c r="G431" i="5"/>
  <c r="I430" i="5"/>
  <c r="K430" i="5" s="1"/>
  <c r="I431" i="5" s="1"/>
  <c r="K431" i="5" s="1"/>
  <c r="I432" i="5" s="1"/>
  <c r="K427" i="5"/>
  <c r="I445" i="5" s="1"/>
  <c r="K445" i="5" s="1"/>
  <c r="I446" i="5" s="1"/>
  <c r="K446" i="5" s="1"/>
  <c r="G417" i="5"/>
  <c r="K417" i="5" s="1"/>
  <c r="I418" i="5" s="1"/>
  <c r="G412" i="5"/>
  <c r="G411" i="5"/>
  <c r="I409" i="5"/>
  <c r="K409" i="5" s="1"/>
  <c r="I411" i="5" s="1"/>
  <c r="K411" i="5" s="1"/>
  <c r="I412" i="5" s="1"/>
  <c r="K412" i="5" s="1"/>
  <c r="I413" i="5" s="1"/>
  <c r="G404" i="5"/>
  <c r="I403" i="5"/>
  <c r="K403" i="5" s="1"/>
  <c r="I404" i="5" s="1"/>
  <c r="K404" i="5" s="1"/>
  <c r="G402" i="5"/>
  <c r="I401" i="5"/>
  <c r="K401" i="5" s="1"/>
  <c r="I402" i="5" s="1"/>
  <c r="K402" i="5" s="1"/>
  <c r="G400" i="5"/>
  <c r="I399" i="5"/>
  <c r="K399" i="5" s="1"/>
  <c r="I400" i="5" s="1"/>
  <c r="K400" i="5" s="1"/>
  <c r="I405" i="5" s="1"/>
  <c r="I394" i="5"/>
  <c r="K394" i="5" s="1"/>
  <c r="I395" i="5" s="1"/>
  <c r="G394" i="5"/>
  <c r="I386" i="5"/>
  <c r="K386" i="5" s="1"/>
  <c r="I385" i="5"/>
  <c r="K385" i="5" s="1"/>
  <c r="K384" i="5"/>
  <c r="I383" i="5"/>
  <c r="K383" i="5" s="1"/>
  <c r="I387" i="5" s="1"/>
  <c r="I376" i="5"/>
  <c r="I374" i="5"/>
  <c r="K374" i="5" s="1"/>
  <c r="G369" i="5"/>
  <c r="I368" i="5"/>
  <c r="K368" i="5" s="1"/>
  <c r="I369" i="5" s="1"/>
  <c r="K369" i="5" s="1"/>
  <c r="I370" i="5" s="1"/>
  <c r="K365" i="5"/>
  <c r="G355" i="5"/>
  <c r="K355" i="5" s="1"/>
  <c r="I356" i="5" s="1"/>
  <c r="G350" i="5"/>
  <c r="G348" i="5"/>
  <c r="G349" i="5" s="1"/>
  <c r="I346" i="5"/>
  <c r="K346" i="5" s="1"/>
  <c r="G346" i="5"/>
  <c r="I344" i="5"/>
  <c r="K344" i="5" s="1"/>
  <c r="G339" i="5"/>
  <c r="I338" i="5"/>
  <c r="K338" i="5" s="1"/>
  <c r="I339" i="5" s="1"/>
  <c r="K339" i="5" s="1"/>
  <c r="G337" i="5"/>
  <c r="I336" i="5"/>
  <c r="G335" i="5"/>
  <c r="I334" i="5"/>
  <c r="K334" i="5" s="1"/>
  <c r="I335" i="5" s="1"/>
  <c r="K335" i="5" s="1"/>
  <c r="G333" i="5"/>
  <c r="I332" i="5"/>
  <c r="K332" i="5" s="1"/>
  <c r="I333" i="5" s="1"/>
  <c r="K333" i="5" s="1"/>
  <c r="I327" i="5"/>
  <c r="K327" i="5" s="1"/>
  <c r="I328" i="5" s="1"/>
  <c r="G327" i="5"/>
  <c r="I319" i="5"/>
  <c r="K319" i="5" s="1"/>
  <c r="I318" i="5"/>
  <c r="K318" i="5" s="1"/>
  <c r="K317" i="5"/>
  <c r="G295" i="5"/>
  <c r="G290" i="5"/>
  <c r="I286" i="5"/>
  <c r="G272" i="5"/>
  <c r="K272" i="5" s="1"/>
  <c r="G267" i="5"/>
  <c r="G265" i="5"/>
  <c r="G266" i="5" s="1"/>
  <c r="I263" i="5"/>
  <c r="K263" i="5" s="1"/>
  <c r="G263" i="5"/>
  <c r="I261" i="5"/>
  <c r="K261" i="5" s="1"/>
  <c r="G256" i="5"/>
  <c r="I255" i="5"/>
  <c r="K255" i="5" s="1"/>
  <c r="I256" i="5" s="1"/>
  <c r="K256" i="5" s="1"/>
  <c r="G254" i="5"/>
  <c r="I253" i="5"/>
  <c r="G252" i="5"/>
  <c r="I251" i="5"/>
  <c r="K251" i="5" s="1"/>
  <c r="I252" i="5" s="1"/>
  <c r="K252" i="5" s="1"/>
  <c r="G250" i="5"/>
  <c r="I249" i="5"/>
  <c r="K249" i="5" s="1"/>
  <c r="I250" i="5" s="1"/>
  <c r="K250" i="5" s="1"/>
  <c r="I243" i="5"/>
  <c r="K243" i="5" s="1"/>
  <c r="I244" i="5" s="1"/>
  <c r="G243" i="5"/>
  <c r="I235" i="5"/>
  <c r="I234" i="5"/>
  <c r="I232" i="5"/>
  <c r="I222" i="5"/>
  <c r="I220" i="5"/>
  <c r="I217" i="5"/>
  <c r="I215" i="5"/>
  <c r="K215" i="5" s="1"/>
  <c r="G215" i="5"/>
  <c r="G226" i="5" s="1"/>
  <c r="G232" i="5" s="1"/>
  <c r="G233" i="5" s="1"/>
  <c r="G211" i="5"/>
  <c r="G209" i="5"/>
  <c r="I208" i="5"/>
  <c r="K208" i="5" s="1"/>
  <c r="I209" i="5" s="1"/>
  <c r="K209" i="5" s="1"/>
  <c r="G205" i="5"/>
  <c r="G204" i="5"/>
  <c r="I203" i="5"/>
  <c r="K203" i="5" s="1"/>
  <c r="I204" i="5" s="1"/>
  <c r="K204" i="5" s="1"/>
  <c r="K210" i="5" s="1"/>
  <c r="I211" i="5" s="1"/>
  <c r="K200" i="5"/>
  <c r="H155" i="5"/>
  <c r="I155" i="5" s="1"/>
  <c r="K155" i="5" s="1"/>
  <c r="H154" i="5"/>
  <c r="I154" i="5" s="1"/>
  <c r="K154" i="5" s="1"/>
  <c r="H153" i="5"/>
  <c r="I153" i="5" s="1"/>
  <c r="K153" i="5" s="1"/>
  <c r="H152" i="5"/>
  <c r="I152" i="5" s="1"/>
  <c r="K152" i="5" s="1"/>
  <c r="H151" i="5"/>
  <c r="I151" i="5" s="1"/>
  <c r="K151" i="5" s="1"/>
  <c r="H150" i="5"/>
  <c r="I150" i="5" s="1"/>
  <c r="K150" i="5" s="1"/>
  <c r="H149" i="5"/>
  <c r="I149" i="5" s="1"/>
  <c r="K149" i="5" s="1"/>
  <c r="H148" i="5"/>
  <c r="I148" i="5" s="1"/>
  <c r="K148" i="5" s="1"/>
  <c r="K156" i="5" s="1"/>
  <c r="G144" i="5"/>
  <c r="H142" i="5"/>
  <c r="I142" i="5" s="1"/>
  <c r="K142" i="5" s="1"/>
  <c r="H141" i="5"/>
  <c r="I141" i="5" s="1"/>
  <c r="K141" i="5" s="1"/>
  <c r="H140" i="5"/>
  <c r="I140" i="5" s="1"/>
  <c r="K140" i="5" s="1"/>
  <c r="H139" i="5"/>
  <c r="I139" i="5" s="1"/>
  <c r="K139" i="5" s="1"/>
  <c r="H138" i="5"/>
  <c r="I138" i="5" s="1"/>
  <c r="K138" i="5" s="1"/>
  <c r="H137" i="5"/>
  <c r="I137" i="5" s="1"/>
  <c r="K137" i="5" s="1"/>
  <c r="H136" i="5"/>
  <c r="I136" i="5" s="1"/>
  <c r="K136" i="5" s="1"/>
  <c r="H135" i="5"/>
  <c r="I135" i="5" s="1"/>
  <c r="K135" i="5" s="1"/>
  <c r="H134" i="5"/>
  <c r="I134" i="5" s="1"/>
  <c r="K134" i="5" s="1"/>
  <c r="H133" i="5"/>
  <c r="I133" i="5" s="1"/>
  <c r="K133" i="5" s="1"/>
  <c r="H132" i="5"/>
  <c r="I132" i="5" s="1"/>
  <c r="K132" i="5" s="1"/>
  <c r="I122" i="5"/>
  <c r="H118" i="5"/>
  <c r="K118" i="5" s="1"/>
  <c r="K117" i="5"/>
  <c r="H106" i="5"/>
  <c r="H103" i="5"/>
  <c r="K101" i="5"/>
  <c r="J101" i="5"/>
  <c r="I97" i="5"/>
  <c r="K94" i="5"/>
  <c r="H93" i="5"/>
  <c r="K93" i="5" s="1"/>
  <c r="K92" i="5"/>
  <c r="H81" i="5"/>
  <c r="K80" i="5"/>
  <c r="J80" i="5"/>
  <c r="J81" i="5" s="1"/>
  <c r="I76" i="5"/>
  <c r="K73" i="5"/>
  <c r="K72" i="5"/>
  <c r="H71" i="5"/>
  <c r="K71" i="5" s="1"/>
  <c r="K70" i="5"/>
  <c r="H59" i="5"/>
  <c r="H56" i="5"/>
  <c r="K54" i="5"/>
  <c r="J54" i="5"/>
  <c r="I50" i="5"/>
  <c r="K47" i="5"/>
  <c r="K46" i="5"/>
  <c r="H45" i="5"/>
  <c r="K45" i="5" s="1"/>
  <c r="K44" i="5"/>
  <c r="H33" i="5"/>
  <c r="K32" i="5"/>
  <c r="J32" i="5"/>
  <c r="J33" i="5" s="1"/>
  <c r="H14" i="5"/>
  <c r="H13" i="5"/>
  <c r="H12" i="5"/>
  <c r="H11" i="5"/>
  <c r="H6" i="5"/>
  <c r="K443" i="4"/>
  <c r="I430" i="4"/>
  <c r="G423" i="4"/>
  <c r="G415" i="4"/>
  <c r="G416" i="4" s="1"/>
  <c r="G419" i="4" s="1"/>
  <c r="I413" i="4"/>
  <c r="K413" i="4" s="1"/>
  <c r="G407" i="4"/>
  <c r="K407" i="4" s="1"/>
  <c r="G406" i="4"/>
  <c r="K406" i="4" s="1"/>
  <c r="I405" i="4"/>
  <c r="G402" i="4"/>
  <c r="I392" i="4"/>
  <c r="K392" i="4" s="1"/>
  <c r="I391" i="4"/>
  <c r="K391" i="4" s="1"/>
  <c r="K390" i="4"/>
  <c r="K389" i="4"/>
  <c r="I388" i="4"/>
  <c r="K388" i="4" s="1"/>
  <c r="K393" i="4" s="1"/>
  <c r="I394" i="4" s="1"/>
  <c r="K394" i="4" s="1"/>
  <c r="I379" i="4"/>
  <c r="I381" i="4" s="1"/>
  <c r="K382" i="4" s="1"/>
  <c r="I383" i="4" s="1"/>
  <c r="K383" i="4" s="1"/>
  <c r="I373" i="4"/>
  <c r="K373" i="4" s="1"/>
  <c r="I374" i="4" s="1"/>
  <c r="K374" i="4" s="1"/>
  <c r="I372" i="4"/>
  <c r="K370" i="4"/>
  <c r="H357" i="4"/>
  <c r="I357" i="4" s="1"/>
  <c r="K357" i="4" s="1"/>
  <c r="H356" i="4"/>
  <c r="I356" i="4" s="1"/>
  <c r="K356" i="4" s="1"/>
  <c r="H355" i="4"/>
  <c r="I355" i="4" s="1"/>
  <c r="K355" i="4" s="1"/>
  <c r="H354" i="4"/>
  <c r="I354" i="4" s="1"/>
  <c r="K354" i="4" s="1"/>
  <c r="H353" i="4"/>
  <c r="I353" i="4" s="1"/>
  <c r="K353" i="4" s="1"/>
  <c r="K358" i="4" s="1"/>
  <c r="H347" i="4"/>
  <c r="I347" i="4" s="1"/>
  <c r="K347" i="4" s="1"/>
  <c r="H346" i="4"/>
  <c r="I346" i="4" s="1"/>
  <c r="K346" i="4" s="1"/>
  <c r="H345" i="4"/>
  <c r="I345" i="4" s="1"/>
  <c r="K345" i="4" s="1"/>
  <c r="H344" i="4"/>
  <c r="I344" i="4" s="1"/>
  <c r="K344" i="4" s="1"/>
  <c r="H343" i="4"/>
  <c r="I343" i="4" s="1"/>
  <c r="K343" i="4" s="1"/>
  <c r="H342" i="4"/>
  <c r="I342" i="4" s="1"/>
  <c r="K342" i="4" s="1"/>
  <c r="H341" i="4"/>
  <c r="I341" i="4" s="1"/>
  <c r="K341" i="4" s="1"/>
  <c r="H340" i="4"/>
  <c r="I340" i="4" s="1"/>
  <c r="K340" i="4" s="1"/>
  <c r="K348" i="4" s="1"/>
  <c r="H334" i="4"/>
  <c r="I334" i="4" s="1"/>
  <c r="K334" i="4" s="1"/>
  <c r="H333" i="4"/>
  <c r="I333" i="4" s="1"/>
  <c r="K333" i="4" s="1"/>
  <c r="H332" i="4"/>
  <c r="I332" i="4" s="1"/>
  <c r="K332" i="4" s="1"/>
  <c r="H331" i="4"/>
  <c r="I331" i="4" s="1"/>
  <c r="K331" i="4" s="1"/>
  <c r="H330" i="4"/>
  <c r="I330" i="4" s="1"/>
  <c r="K330" i="4" s="1"/>
  <c r="H329" i="4"/>
  <c r="I329" i="4" s="1"/>
  <c r="K329" i="4" s="1"/>
  <c r="H328" i="4"/>
  <c r="I328" i="4" s="1"/>
  <c r="K328" i="4" s="1"/>
  <c r="H327" i="4"/>
  <c r="I327" i="4" s="1"/>
  <c r="K327" i="4" s="1"/>
  <c r="H326" i="4"/>
  <c r="I326" i="4" s="1"/>
  <c r="K326" i="4" s="1"/>
  <c r="K335" i="4" s="1"/>
  <c r="H320" i="4"/>
  <c r="I320" i="4" s="1"/>
  <c r="K320" i="4" s="1"/>
  <c r="H319" i="4"/>
  <c r="I319" i="4" s="1"/>
  <c r="K319" i="4" s="1"/>
  <c r="H318" i="4"/>
  <c r="I318" i="4" s="1"/>
  <c r="K318" i="4" s="1"/>
  <c r="H317" i="4"/>
  <c r="I317" i="4" s="1"/>
  <c r="K317" i="4" s="1"/>
  <c r="H316" i="4"/>
  <c r="I316" i="4" s="1"/>
  <c r="K316" i="4" s="1"/>
  <c r="H315" i="4"/>
  <c r="I315" i="4" s="1"/>
  <c r="K315" i="4" s="1"/>
  <c r="H314" i="4"/>
  <c r="I314" i="4" s="1"/>
  <c r="K314" i="4" s="1"/>
  <c r="K321" i="4" s="1"/>
  <c r="H308" i="4"/>
  <c r="I308" i="4" s="1"/>
  <c r="K308" i="4" s="1"/>
  <c r="H307" i="4"/>
  <c r="I307" i="4" s="1"/>
  <c r="K307" i="4" s="1"/>
  <c r="K309" i="4" s="1"/>
  <c r="K295" i="4"/>
  <c r="I294" i="4"/>
  <c r="K294" i="4" s="1"/>
  <c r="H293" i="4"/>
  <c r="K293" i="4" s="1"/>
  <c r="K292" i="4"/>
  <c r="K296" i="4" s="1"/>
  <c r="J286" i="4"/>
  <c r="H280" i="4"/>
  <c r="H281" i="4" s="1"/>
  <c r="H279" i="4"/>
  <c r="H277" i="4"/>
  <c r="H278" i="4" s="1"/>
  <c r="K276" i="4"/>
  <c r="J276" i="4"/>
  <c r="K269" i="4"/>
  <c r="I268" i="4"/>
  <c r="K268" i="4" s="1"/>
  <c r="H267" i="4"/>
  <c r="K267" i="4" s="1"/>
  <c r="K266" i="4"/>
  <c r="J260" i="4"/>
  <c r="H255" i="4"/>
  <c r="K254" i="4"/>
  <c r="J254" i="4"/>
  <c r="J255" i="4" s="1"/>
  <c r="K255" i="4" s="1"/>
  <c r="J256" i="4" s="1"/>
  <c r="K256" i="4" s="1"/>
  <c r="K247" i="4"/>
  <c r="I246" i="4"/>
  <c r="K246" i="4" s="1"/>
  <c r="H245" i="4"/>
  <c r="K245" i="4" s="1"/>
  <c r="K244" i="4"/>
  <c r="J238" i="4"/>
  <c r="K232" i="4"/>
  <c r="J232" i="4"/>
  <c r="J233" i="4" s="1"/>
  <c r="K233" i="4" s="1"/>
  <c r="J234" i="4" s="1"/>
  <c r="K234" i="4" s="1"/>
  <c r="K225" i="4"/>
  <c r="I224" i="4"/>
  <c r="K224" i="4" s="1"/>
  <c r="H223" i="4"/>
  <c r="K223" i="4" s="1"/>
  <c r="K222" i="4"/>
  <c r="J216" i="4"/>
  <c r="K210" i="4"/>
  <c r="J210" i="4"/>
  <c r="J211" i="4" s="1"/>
  <c r="K211" i="4" s="1"/>
  <c r="J212" i="4" s="1"/>
  <c r="K212" i="4" s="1"/>
  <c r="I203" i="4"/>
  <c r="K203" i="4" s="1"/>
  <c r="H202" i="4"/>
  <c r="K202" i="4" s="1"/>
  <c r="K201" i="4"/>
  <c r="K204" i="4" s="1"/>
  <c r="J195" i="4"/>
  <c r="H189" i="4"/>
  <c r="H190" i="4" s="1"/>
  <c r="K185" i="4"/>
  <c r="J185" i="4"/>
  <c r="I178" i="4"/>
  <c r="K178" i="4" s="1"/>
  <c r="H177" i="4"/>
  <c r="K177" i="4" s="1"/>
  <c r="K176" i="4"/>
  <c r="J170" i="4"/>
  <c r="K164" i="4"/>
  <c r="J164" i="4"/>
  <c r="J165" i="4" s="1"/>
  <c r="K165" i="4" s="1"/>
  <c r="J166" i="4" s="1"/>
  <c r="K166" i="4" s="1"/>
  <c r="I157" i="4"/>
  <c r="K157" i="4" s="1"/>
  <c r="H156" i="4"/>
  <c r="K156" i="4" s="1"/>
  <c r="K155" i="4"/>
  <c r="J149" i="4"/>
  <c r="H143" i="4"/>
  <c r="H144" i="4" s="1"/>
  <c r="H142" i="4"/>
  <c r="K139" i="4"/>
  <c r="J139" i="4"/>
  <c r="I132" i="4"/>
  <c r="K132" i="4" s="1"/>
  <c r="H131" i="4"/>
  <c r="K131" i="4" s="1"/>
  <c r="K130" i="4"/>
  <c r="J124" i="4"/>
  <c r="K118" i="4"/>
  <c r="J118" i="4"/>
  <c r="J119" i="4" s="1"/>
  <c r="K119" i="4" s="1"/>
  <c r="J120" i="4" s="1"/>
  <c r="K120" i="4" s="1"/>
  <c r="K111" i="4"/>
  <c r="I110" i="4"/>
  <c r="K110" i="4" s="1"/>
  <c r="H109" i="4"/>
  <c r="K109" i="4" s="1"/>
  <c r="K108" i="4"/>
  <c r="J102" i="4"/>
  <c r="K99" i="4"/>
  <c r="K100" i="4" s="1"/>
  <c r="K92" i="4"/>
  <c r="H91" i="4"/>
  <c r="K91" i="4" s="1"/>
  <c r="K90" i="4"/>
  <c r="K93" i="4" s="1"/>
  <c r="H78" i="4"/>
  <c r="H79" i="4" s="1"/>
  <c r="H77" i="4"/>
  <c r="H75" i="4"/>
  <c r="H76" i="4" s="1"/>
  <c r="K74" i="4"/>
  <c r="J74" i="4"/>
  <c r="K67" i="4"/>
  <c r="H66" i="4"/>
  <c r="K66" i="4" s="1"/>
  <c r="K65" i="4"/>
  <c r="K68" i="4" s="1"/>
  <c r="K53" i="4"/>
  <c r="J53" i="4"/>
  <c r="J54" i="4" s="1"/>
  <c r="K54" i="4" s="1"/>
  <c r="J55" i="4" s="1"/>
  <c r="K55" i="4" s="1"/>
  <c r="K46" i="4"/>
  <c r="H45" i="4"/>
  <c r="K45" i="4" s="1"/>
  <c r="K44" i="4"/>
  <c r="K35" i="4"/>
  <c r="K36" i="4" s="1"/>
  <c r="H23" i="4"/>
  <c r="H21" i="4"/>
  <c r="H20" i="4"/>
  <c r="H19" i="4"/>
  <c r="H6" i="4"/>
  <c r="G416" i="3"/>
  <c r="K416" i="3" s="1"/>
  <c r="I417" i="3" s="1"/>
  <c r="G411" i="3"/>
  <c r="G410" i="3"/>
  <c r="I408" i="3"/>
  <c r="K408" i="3" s="1"/>
  <c r="I410" i="3" s="1"/>
  <c r="K410" i="3" s="1"/>
  <c r="I411" i="3" s="1"/>
  <c r="K411" i="3" s="1"/>
  <c r="I412" i="3" s="1"/>
  <c r="G403" i="3"/>
  <c r="K402" i="3"/>
  <c r="I403" i="3" s="1"/>
  <c r="K403" i="3" s="1"/>
  <c r="G401" i="3"/>
  <c r="K400" i="3"/>
  <c r="I401" i="3" s="1"/>
  <c r="K401" i="3" s="1"/>
  <c r="G399" i="3"/>
  <c r="K398" i="3"/>
  <c r="I399" i="3" s="1"/>
  <c r="K399" i="3" s="1"/>
  <c r="I404" i="3" s="1"/>
  <c r="I393" i="3"/>
  <c r="K393" i="3" s="1"/>
  <c r="I394" i="3" s="1"/>
  <c r="G393" i="3"/>
  <c r="I385" i="3"/>
  <c r="K385" i="3" s="1"/>
  <c r="I384" i="3"/>
  <c r="K384" i="3" s="1"/>
  <c r="K383" i="3"/>
  <c r="I382" i="3"/>
  <c r="K382" i="3" s="1"/>
  <c r="I386" i="3" s="1"/>
  <c r="I375" i="3"/>
  <c r="I373" i="3"/>
  <c r="K373" i="3" s="1"/>
  <c r="G368" i="3"/>
  <c r="I367" i="3"/>
  <c r="K367" i="3" s="1"/>
  <c r="I368" i="3" s="1"/>
  <c r="K368" i="3" s="1"/>
  <c r="I369" i="3" s="1"/>
  <c r="K364" i="3"/>
  <c r="G353" i="3"/>
  <c r="K353" i="3" s="1"/>
  <c r="G348" i="3"/>
  <c r="G347" i="3"/>
  <c r="I344" i="3"/>
  <c r="K344" i="3" s="1"/>
  <c r="I347" i="3" s="1"/>
  <c r="K347" i="3" s="1"/>
  <c r="I348" i="3" s="1"/>
  <c r="K348" i="3" s="1"/>
  <c r="I349" i="3" s="1"/>
  <c r="G344" i="3"/>
  <c r="I342" i="3"/>
  <c r="K342" i="3" s="1"/>
  <c r="G338" i="3"/>
  <c r="G349" i="3" s="1"/>
  <c r="G354" i="3" s="1"/>
  <c r="G337" i="3"/>
  <c r="I336" i="3"/>
  <c r="K336" i="3" s="1"/>
  <c r="I337" i="3" s="1"/>
  <c r="K337" i="3" s="1"/>
  <c r="G335" i="3"/>
  <c r="I334" i="3"/>
  <c r="G333" i="3"/>
  <c r="I332" i="3"/>
  <c r="K332" i="3" s="1"/>
  <c r="I333" i="3" s="1"/>
  <c r="K333" i="3" s="1"/>
  <c r="G331" i="3"/>
  <c r="I330" i="3"/>
  <c r="K330" i="3" s="1"/>
  <c r="I331" i="3" s="1"/>
  <c r="K331" i="3" s="1"/>
  <c r="I325" i="3"/>
  <c r="K325" i="3" s="1"/>
  <c r="I326" i="3" s="1"/>
  <c r="G325" i="3"/>
  <c r="I317" i="3"/>
  <c r="I316" i="3"/>
  <c r="G293" i="3"/>
  <c r="G288" i="3"/>
  <c r="I284" i="3"/>
  <c r="G284" i="3"/>
  <c r="G270" i="3"/>
  <c r="K270" i="3" s="1"/>
  <c r="G265" i="3"/>
  <c r="G264" i="3"/>
  <c r="I261" i="3"/>
  <c r="K261" i="3" s="1"/>
  <c r="G261" i="3"/>
  <c r="I259" i="3"/>
  <c r="K259" i="3" s="1"/>
  <c r="G254" i="3"/>
  <c r="I253" i="3"/>
  <c r="K253" i="3" s="1"/>
  <c r="I254" i="3" s="1"/>
  <c r="K254" i="3" s="1"/>
  <c r="G252" i="3"/>
  <c r="I251" i="3"/>
  <c r="G250" i="3"/>
  <c r="I249" i="3"/>
  <c r="K249" i="3" s="1"/>
  <c r="I250" i="3" s="1"/>
  <c r="K250" i="3" s="1"/>
  <c r="G248" i="3"/>
  <c r="I247" i="3"/>
  <c r="K247" i="3" s="1"/>
  <c r="I248" i="3" s="1"/>
  <c r="K248" i="3" s="1"/>
  <c r="I241" i="3"/>
  <c r="K241" i="3" s="1"/>
  <c r="I242" i="3" s="1"/>
  <c r="G241" i="3"/>
  <c r="I233" i="3"/>
  <c r="K233" i="3" s="1"/>
  <c r="K232" i="3"/>
  <c r="K231" i="3"/>
  <c r="G206" i="3"/>
  <c r="G201" i="3"/>
  <c r="I197" i="3"/>
  <c r="H155" i="3"/>
  <c r="I155" i="3" s="1"/>
  <c r="K155" i="3" s="1"/>
  <c r="H154" i="3"/>
  <c r="I154" i="3" s="1"/>
  <c r="K154" i="3" s="1"/>
  <c r="H153" i="3"/>
  <c r="I153" i="3" s="1"/>
  <c r="K153" i="3" s="1"/>
  <c r="H152" i="3"/>
  <c r="I152" i="3" s="1"/>
  <c r="K152" i="3" s="1"/>
  <c r="H151" i="3"/>
  <c r="I151" i="3" s="1"/>
  <c r="K151" i="3" s="1"/>
  <c r="H150" i="3"/>
  <c r="I150" i="3" s="1"/>
  <c r="K150" i="3" s="1"/>
  <c r="H149" i="3"/>
  <c r="I149" i="3" s="1"/>
  <c r="K149" i="3" s="1"/>
  <c r="H148" i="3"/>
  <c r="I148" i="3" s="1"/>
  <c r="K148" i="3" s="1"/>
  <c r="K156" i="3" s="1"/>
  <c r="G144" i="3"/>
  <c r="H142" i="3"/>
  <c r="I142" i="3" s="1"/>
  <c r="K142" i="3" s="1"/>
  <c r="H141" i="3"/>
  <c r="I141" i="3" s="1"/>
  <c r="K141" i="3" s="1"/>
  <c r="H140" i="3"/>
  <c r="I140" i="3" s="1"/>
  <c r="K140" i="3" s="1"/>
  <c r="H139" i="3"/>
  <c r="I139" i="3" s="1"/>
  <c r="K139" i="3" s="1"/>
  <c r="H138" i="3"/>
  <c r="I138" i="3" s="1"/>
  <c r="K138" i="3" s="1"/>
  <c r="H137" i="3"/>
  <c r="I137" i="3" s="1"/>
  <c r="K137" i="3" s="1"/>
  <c r="H136" i="3"/>
  <c r="I136" i="3" s="1"/>
  <c r="K136" i="3" s="1"/>
  <c r="H135" i="3"/>
  <c r="I135" i="3" s="1"/>
  <c r="K135" i="3" s="1"/>
  <c r="H134" i="3"/>
  <c r="I134" i="3" s="1"/>
  <c r="K134" i="3" s="1"/>
  <c r="H133" i="3"/>
  <c r="I133" i="3" s="1"/>
  <c r="K133" i="3" s="1"/>
  <c r="H132" i="3"/>
  <c r="I132" i="3" s="1"/>
  <c r="K132" i="3" s="1"/>
  <c r="H131" i="3"/>
  <c r="I131" i="3" s="1"/>
  <c r="K131" i="3" s="1"/>
  <c r="K143" i="3" s="1"/>
  <c r="K118" i="3"/>
  <c r="H117" i="3"/>
  <c r="K117" i="3" s="1"/>
  <c r="K116" i="3"/>
  <c r="K119" i="3" s="1"/>
  <c r="J110" i="3"/>
  <c r="H104" i="3"/>
  <c r="H105" i="3" s="1"/>
  <c r="H103" i="3"/>
  <c r="H102" i="3"/>
  <c r="K100" i="3"/>
  <c r="J100" i="3"/>
  <c r="I96" i="3"/>
  <c r="K93" i="3"/>
  <c r="H92" i="3"/>
  <c r="K92" i="3" s="1"/>
  <c r="K91" i="3"/>
  <c r="K94" i="3" s="1"/>
  <c r="J85" i="3"/>
  <c r="H80" i="3"/>
  <c r="K79" i="3"/>
  <c r="I75" i="3"/>
  <c r="K72" i="3"/>
  <c r="K71" i="3"/>
  <c r="H70" i="3"/>
  <c r="K70" i="3" s="1"/>
  <c r="K73" i="3" s="1"/>
  <c r="K69" i="3"/>
  <c r="K60" i="3"/>
  <c r="H57" i="3"/>
  <c r="H58" i="3" s="1"/>
  <c r="H56" i="3"/>
  <c r="H54" i="3"/>
  <c r="H55" i="3" s="1"/>
  <c r="J53" i="3"/>
  <c r="I49" i="3"/>
  <c r="K46" i="3"/>
  <c r="K45" i="3"/>
  <c r="H44" i="3"/>
  <c r="K44" i="3" s="1"/>
  <c r="K43" i="3"/>
  <c r="K47" i="3" s="1"/>
  <c r="H32" i="3"/>
  <c r="K31" i="3"/>
  <c r="J31" i="3"/>
  <c r="J32" i="3" s="1"/>
  <c r="H14" i="3"/>
  <c r="H11" i="3"/>
  <c r="H6" i="3"/>
  <c r="K463" i="2"/>
  <c r="K27" i="2" s="1"/>
  <c r="I445" i="2"/>
  <c r="G445" i="2"/>
  <c r="K445" i="2" s="1"/>
  <c r="G442" i="2"/>
  <c r="K442" i="2" s="1"/>
  <c r="G432" i="2"/>
  <c r="I430" i="2"/>
  <c r="K430" i="2" s="1"/>
  <c r="I432" i="2" s="1"/>
  <c r="K432" i="2" s="1"/>
  <c r="I433" i="2" s="1"/>
  <c r="K433" i="2" s="1"/>
  <c r="I434" i="2" s="1"/>
  <c r="G422" i="2"/>
  <c r="K422" i="2" s="1"/>
  <c r="G421" i="2"/>
  <c r="K421" i="2" s="1"/>
  <c r="G417" i="2"/>
  <c r="K407" i="2"/>
  <c r="I406" i="2"/>
  <c r="K406" i="2" s="1"/>
  <c r="K405" i="2"/>
  <c r="K404" i="2"/>
  <c r="I403" i="2"/>
  <c r="K403" i="2" s="1"/>
  <c r="K408" i="2" s="1"/>
  <c r="I409" i="2" s="1"/>
  <c r="I394" i="2"/>
  <c r="I395" i="2" s="1"/>
  <c r="K395" i="2" s="1"/>
  <c r="I396" i="2" s="1"/>
  <c r="I393" i="2"/>
  <c r="I391" i="2"/>
  <c r="K391" i="2" s="1"/>
  <c r="I385" i="2"/>
  <c r="K385" i="2" s="1"/>
  <c r="I386" i="2" s="1"/>
  <c r="K386" i="2" s="1"/>
  <c r="K382" i="2"/>
  <c r="H357" i="2"/>
  <c r="I357" i="2" s="1"/>
  <c r="K357" i="2" s="1"/>
  <c r="H356" i="2"/>
  <c r="I356" i="2" s="1"/>
  <c r="K356" i="2" s="1"/>
  <c r="H355" i="2"/>
  <c r="I355" i="2" s="1"/>
  <c r="K355" i="2" s="1"/>
  <c r="H354" i="2"/>
  <c r="I354" i="2" s="1"/>
  <c r="K354" i="2" s="1"/>
  <c r="H353" i="2"/>
  <c r="I353" i="2" s="1"/>
  <c r="K353" i="2" s="1"/>
  <c r="K358" i="2" s="1"/>
  <c r="G349" i="2"/>
  <c r="H347" i="2"/>
  <c r="I347" i="2" s="1"/>
  <c r="K347" i="2" s="1"/>
  <c r="H346" i="2"/>
  <c r="I346" i="2" s="1"/>
  <c r="K346" i="2" s="1"/>
  <c r="H345" i="2"/>
  <c r="I345" i="2" s="1"/>
  <c r="K345" i="2" s="1"/>
  <c r="H344" i="2"/>
  <c r="I344" i="2" s="1"/>
  <c r="K344" i="2" s="1"/>
  <c r="H343" i="2"/>
  <c r="I343" i="2" s="1"/>
  <c r="K343" i="2" s="1"/>
  <c r="H342" i="2"/>
  <c r="I342" i="2" s="1"/>
  <c r="K342" i="2" s="1"/>
  <c r="H341" i="2"/>
  <c r="I341" i="2" s="1"/>
  <c r="K341" i="2" s="1"/>
  <c r="H340" i="2"/>
  <c r="I340" i="2" s="1"/>
  <c r="K340" i="2" s="1"/>
  <c r="K348" i="2" s="1"/>
  <c r="H334" i="2"/>
  <c r="I334" i="2" s="1"/>
  <c r="K334" i="2" s="1"/>
  <c r="H333" i="2"/>
  <c r="I333" i="2" s="1"/>
  <c r="K333" i="2" s="1"/>
  <c r="H332" i="2"/>
  <c r="I332" i="2" s="1"/>
  <c r="K332" i="2" s="1"/>
  <c r="H331" i="2"/>
  <c r="I331" i="2" s="1"/>
  <c r="K331" i="2" s="1"/>
  <c r="H330" i="2"/>
  <c r="I330" i="2" s="1"/>
  <c r="K330" i="2" s="1"/>
  <c r="H329" i="2"/>
  <c r="I329" i="2" s="1"/>
  <c r="K329" i="2" s="1"/>
  <c r="H328" i="2"/>
  <c r="I328" i="2" s="1"/>
  <c r="K328" i="2" s="1"/>
  <c r="H327" i="2"/>
  <c r="I327" i="2" s="1"/>
  <c r="K327" i="2" s="1"/>
  <c r="H326" i="2"/>
  <c r="I326" i="2" s="1"/>
  <c r="K326" i="2" s="1"/>
  <c r="K335" i="2" s="1"/>
  <c r="H320" i="2"/>
  <c r="I320" i="2" s="1"/>
  <c r="K320" i="2" s="1"/>
  <c r="H319" i="2"/>
  <c r="I319" i="2" s="1"/>
  <c r="K319" i="2" s="1"/>
  <c r="H318" i="2"/>
  <c r="I318" i="2" s="1"/>
  <c r="K318" i="2" s="1"/>
  <c r="H317" i="2"/>
  <c r="I317" i="2" s="1"/>
  <c r="K317" i="2" s="1"/>
  <c r="H316" i="2"/>
  <c r="I316" i="2" s="1"/>
  <c r="K316" i="2" s="1"/>
  <c r="H315" i="2"/>
  <c r="I315" i="2" s="1"/>
  <c r="K315" i="2" s="1"/>
  <c r="H314" i="2"/>
  <c r="I314" i="2" s="1"/>
  <c r="K314" i="2" s="1"/>
  <c r="K321" i="2" s="1"/>
  <c r="G310" i="2"/>
  <c r="H308" i="2"/>
  <c r="I308" i="2" s="1"/>
  <c r="K308" i="2" s="1"/>
  <c r="H307" i="2"/>
  <c r="I307" i="2" s="1"/>
  <c r="K307" i="2" s="1"/>
  <c r="K309" i="2" s="1"/>
  <c r="K295" i="2"/>
  <c r="K294" i="2"/>
  <c r="H293" i="2"/>
  <c r="K293" i="2" s="1"/>
  <c r="K292" i="2"/>
  <c r="K296" i="2" s="1"/>
  <c r="J286" i="2"/>
  <c r="H280" i="2"/>
  <c r="H281" i="2" s="1"/>
  <c r="H279" i="2"/>
  <c r="H278" i="2"/>
  <c r="K276" i="2"/>
  <c r="J276" i="2"/>
  <c r="K269" i="2"/>
  <c r="K268" i="2"/>
  <c r="H267" i="2"/>
  <c r="K267" i="2" s="1"/>
  <c r="K266" i="2"/>
  <c r="K270" i="2" s="1"/>
  <c r="J260" i="2"/>
  <c r="H255" i="2"/>
  <c r="K254" i="2"/>
  <c r="K247" i="2"/>
  <c r="K246" i="2"/>
  <c r="H245" i="2"/>
  <c r="K245" i="2" s="1"/>
  <c r="K244" i="2"/>
  <c r="K248" i="2" s="1"/>
  <c r="J238" i="2"/>
  <c r="H233" i="2"/>
  <c r="K232" i="2"/>
  <c r="J232" i="2"/>
  <c r="J233" i="2" s="1"/>
  <c r="I228" i="2"/>
  <c r="K225" i="2"/>
  <c r="K224" i="2"/>
  <c r="H223" i="2"/>
  <c r="K223" i="2" s="1"/>
  <c r="K222" i="2"/>
  <c r="K226" i="2" s="1"/>
  <c r="J216" i="2"/>
  <c r="K213" i="2"/>
  <c r="H211" i="2"/>
  <c r="J210" i="2"/>
  <c r="J211" i="2" s="1"/>
  <c r="K203" i="2"/>
  <c r="H202" i="2"/>
  <c r="K202" i="2" s="1"/>
  <c r="K201" i="2"/>
  <c r="J195" i="2"/>
  <c r="H189" i="2"/>
  <c r="H190" i="2" s="1"/>
  <c r="K185" i="2"/>
  <c r="K178" i="2"/>
  <c r="H177" i="2"/>
  <c r="K177" i="2" s="1"/>
  <c r="K176" i="2"/>
  <c r="K179" i="2" s="1"/>
  <c r="J170" i="2"/>
  <c r="K167" i="2"/>
  <c r="H165" i="2"/>
  <c r="J164" i="2"/>
  <c r="J165" i="2" s="1"/>
  <c r="K157" i="2"/>
  <c r="H156" i="2"/>
  <c r="K156" i="2" s="1"/>
  <c r="K155" i="2"/>
  <c r="K158" i="2" s="1"/>
  <c r="J149" i="2"/>
  <c r="K146" i="2"/>
  <c r="H143" i="2"/>
  <c r="H144" i="2" s="1"/>
  <c r="H142" i="2"/>
  <c r="J139" i="2"/>
  <c r="K132" i="2"/>
  <c r="H131" i="2"/>
  <c r="K131" i="2" s="1"/>
  <c r="K130" i="2"/>
  <c r="K133" i="2" s="1"/>
  <c r="J124" i="2"/>
  <c r="H119" i="2"/>
  <c r="K118" i="2"/>
  <c r="I114" i="2"/>
  <c r="K111" i="2"/>
  <c r="K110" i="2"/>
  <c r="H109" i="2"/>
  <c r="K109" i="2" s="1"/>
  <c r="K108" i="2"/>
  <c r="K112" i="2" s="1"/>
  <c r="J102" i="2"/>
  <c r="K99" i="2"/>
  <c r="K100" i="2" s="1"/>
  <c r="K92" i="2"/>
  <c r="H91" i="2"/>
  <c r="K91" i="2" s="1"/>
  <c r="K90" i="2"/>
  <c r="K93" i="2" s="1"/>
  <c r="J84" i="2"/>
  <c r="H78" i="2"/>
  <c r="H79" i="2" s="1"/>
  <c r="H77" i="2"/>
  <c r="H75" i="2"/>
  <c r="H76" i="2" s="1"/>
  <c r="K74" i="2"/>
  <c r="K67" i="2"/>
  <c r="H66" i="2"/>
  <c r="K66" i="2" s="1"/>
  <c r="K65" i="2"/>
  <c r="K68" i="2" s="1"/>
  <c r="J59" i="2"/>
  <c r="K56" i="2"/>
  <c r="H54" i="2"/>
  <c r="K53" i="2"/>
  <c r="J53" i="2"/>
  <c r="J54" i="2" s="1"/>
  <c r="K54" i="2" s="1"/>
  <c r="K46" i="2"/>
  <c r="H45" i="2"/>
  <c r="K45" i="2" s="1"/>
  <c r="K44" i="2"/>
  <c r="K47" i="2" s="1"/>
  <c r="K35" i="2"/>
  <c r="K36" i="2" s="1"/>
  <c r="H25" i="2"/>
  <c r="H20" i="2"/>
  <c r="H19" i="2"/>
  <c r="H6" i="2"/>
  <c r="I433" i="3" l="1"/>
  <c r="K433" i="3" s="1"/>
  <c r="I465" i="5"/>
  <c r="K465" i="5" s="1"/>
  <c r="I434" i="3"/>
  <c r="K434" i="3" s="1"/>
  <c r="I466" i="5"/>
  <c r="K466" i="5" s="1"/>
  <c r="I464" i="5"/>
  <c r="K464" i="5" s="1"/>
  <c r="I432" i="3"/>
  <c r="K432" i="3" s="1"/>
  <c r="I431" i="3"/>
  <c r="K431" i="3" s="1"/>
  <c r="I463" i="5"/>
  <c r="K463" i="5" s="1"/>
  <c r="I467" i="5"/>
  <c r="K467" i="5" s="1"/>
  <c r="I435" i="3"/>
  <c r="K435" i="3" s="1"/>
  <c r="H373" i="6"/>
  <c r="H324" i="7"/>
  <c r="H64" i="8"/>
  <c r="G472" i="2"/>
  <c r="H446" i="3"/>
  <c r="H451" i="4"/>
  <c r="H478" i="5"/>
  <c r="H233" i="9"/>
  <c r="C15" i="12"/>
  <c r="C20" i="12"/>
  <c r="D23" i="11" s="1"/>
  <c r="D26" i="11"/>
  <c r="J37" i="3"/>
  <c r="J111" i="5"/>
  <c r="J86" i="5"/>
  <c r="J38" i="4"/>
  <c r="J38" i="5"/>
  <c r="J56" i="6"/>
  <c r="J84" i="4"/>
  <c r="J35" i="6"/>
  <c r="J64" i="5"/>
  <c r="J74" i="6"/>
  <c r="J63" i="3"/>
  <c r="J96" i="6"/>
  <c r="J38" i="2"/>
  <c r="J117" i="6"/>
  <c r="J59" i="4"/>
  <c r="K14" i="9"/>
  <c r="K196" i="9"/>
  <c r="I115" i="9"/>
  <c r="K180" i="9"/>
  <c r="K113" i="9" s="1"/>
  <c r="I113" i="9"/>
  <c r="K169" i="9"/>
  <c r="K112" i="9" s="1"/>
  <c r="I112" i="9"/>
  <c r="K161" i="9"/>
  <c r="K111" i="9" s="1"/>
  <c r="I111" i="9"/>
  <c r="K134" i="9"/>
  <c r="K109" i="9" s="1"/>
  <c r="I109" i="9"/>
  <c r="I99" i="9"/>
  <c r="K99" i="9" s="1"/>
  <c r="K101" i="9" s="1"/>
  <c r="I11" i="9"/>
  <c r="K11" i="9" s="1"/>
  <c r="I86" i="9"/>
  <c r="K86" i="9"/>
  <c r="I10" i="9"/>
  <c r="K10" i="9" s="1"/>
  <c r="K9" i="9" s="1"/>
  <c r="K50" i="9"/>
  <c r="K28" i="9"/>
  <c r="I46" i="8"/>
  <c r="K46" i="8"/>
  <c r="K48" i="8" s="1"/>
  <c r="I9" i="8"/>
  <c r="K9" i="8" s="1"/>
  <c r="K8" i="8" s="1"/>
  <c r="K21" i="8"/>
  <c r="K15" i="7"/>
  <c r="K292" i="7"/>
  <c r="I125" i="7"/>
  <c r="K263" i="7"/>
  <c r="K122" i="7" s="1"/>
  <c r="I122" i="7"/>
  <c r="K255" i="7"/>
  <c r="K121" i="7" s="1"/>
  <c r="I121" i="7"/>
  <c r="K220" i="7"/>
  <c r="I223" i="7"/>
  <c r="K223" i="7" s="1"/>
  <c r="K189" i="7"/>
  <c r="G187" i="7"/>
  <c r="K187" i="7" s="1"/>
  <c r="G202" i="7"/>
  <c r="K202" i="7" s="1"/>
  <c r="I203" i="7" s="1"/>
  <c r="G207" i="7"/>
  <c r="K207" i="7" s="1"/>
  <c r="I208" i="7" s="1"/>
  <c r="G178" i="7"/>
  <c r="K178" i="7" s="1"/>
  <c r="I179" i="7" s="1"/>
  <c r="G185" i="7"/>
  <c r="K185" i="7" s="1"/>
  <c r="I192" i="7" s="1"/>
  <c r="G189" i="7"/>
  <c r="G191" i="7"/>
  <c r="K191" i="7" s="1"/>
  <c r="I141" i="7"/>
  <c r="K141" i="7" s="1"/>
  <c r="I142" i="7" s="1"/>
  <c r="K142" i="7" s="1"/>
  <c r="K143" i="7" s="1"/>
  <c r="I144" i="7" s="1"/>
  <c r="I153" i="7"/>
  <c r="I155" i="7"/>
  <c r="I156" i="7" s="1"/>
  <c r="I157" i="7" s="1"/>
  <c r="K157" i="7" s="1"/>
  <c r="G144" i="7"/>
  <c r="G138" i="7"/>
  <c r="K138" i="7" s="1"/>
  <c r="K133" i="7"/>
  <c r="G148" i="7"/>
  <c r="I101" i="7"/>
  <c r="K101" i="7" s="1"/>
  <c r="I11" i="7"/>
  <c r="K11" i="7" s="1"/>
  <c r="K52" i="7"/>
  <c r="J49" i="7"/>
  <c r="J50" i="7" s="1"/>
  <c r="K50" i="7" s="1"/>
  <c r="K31" i="7"/>
  <c r="K33" i="7" s="1"/>
  <c r="K30" i="7"/>
  <c r="K24" i="6"/>
  <c r="K340" i="6"/>
  <c r="I341" i="6"/>
  <c r="K341" i="6" s="1"/>
  <c r="G325" i="6"/>
  <c r="K325" i="6" s="1"/>
  <c r="K324" i="6"/>
  <c r="I330" i="6" s="1"/>
  <c r="I297" i="6"/>
  <c r="K297" i="6" s="1"/>
  <c r="K356" i="6" s="1"/>
  <c r="K281" i="6"/>
  <c r="I281" i="6"/>
  <c r="I21" i="6"/>
  <c r="K21" i="6" s="1"/>
  <c r="K271" i="6"/>
  <c r="I271" i="6"/>
  <c r="I20" i="6"/>
  <c r="K20" i="6" s="1"/>
  <c r="K258" i="6"/>
  <c r="I258" i="6"/>
  <c r="I19" i="6"/>
  <c r="K19" i="6" s="1"/>
  <c r="I18" i="6"/>
  <c r="K18" i="6" s="1"/>
  <c r="I244" i="6"/>
  <c r="K244" i="6"/>
  <c r="K232" i="6"/>
  <c r="K283" i="6" s="1"/>
  <c r="I232" i="6"/>
  <c r="I17" i="6"/>
  <c r="K17" i="6" s="1"/>
  <c r="K16" i="6" s="1"/>
  <c r="K205" i="6"/>
  <c r="J198" i="6"/>
  <c r="K179" i="6"/>
  <c r="J176" i="6"/>
  <c r="J177" i="6" s="1"/>
  <c r="K177" i="6" s="1"/>
  <c r="K157" i="6"/>
  <c r="J154" i="6"/>
  <c r="J155" i="6" s="1"/>
  <c r="K155" i="6" s="1"/>
  <c r="J134" i="6"/>
  <c r="K134" i="6" s="1"/>
  <c r="K136" i="6"/>
  <c r="K138" i="6" s="1"/>
  <c r="K114" i="6"/>
  <c r="K115" i="6" s="1"/>
  <c r="K93" i="6"/>
  <c r="K94" i="6" s="1"/>
  <c r="K53" i="6"/>
  <c r="K54" i="6"/>
  <c r="K432" i="5"/>
  <c r="I191" i="5"/>
  <c r="K418" i="5"/>
  <c r="I189" i="5"/>
  <c r="K413" i="5"/>
  <c r="K188" i="5" s="1"/>
  <c r="I188" i="5"/>
  <c r="K405" i="5"/>
  <c r="K187" i="5" s="1"/>
  <c r="I187" i="5"/>
  <c r="K395" i="5"/>
  <c r="K186" i="5" s="1"/>
  <c r="I186" i="5"/>
  <c r="K387" i="5"/>
  <c r="K185" i="5" s="1"/>
  <c r="I185" i="5"/>
  <c r="K370" i="5"/>
  <c r="K183" i="5" s="1"/>
  <c r="I183" i="5"/>
  <c r="K356" i="5"/>
  <c r="I181" i="5"/>
  <c r="K337" i="5"/>
  <c r="K328" i="5"/>
  <c r="K178" i="5" s="1"/>
  <c r="I178" i="5"/>
  <c r="I316" i="5"/>
  <c r="K316" i="5" s="1"/>
  <c r="I320" i="5" s="1"/>
  <c r="I303" i="5"/>
  <c r="I301" i="5"/>
  <c r="K301" i="5" s="1"/>
  <c r="I291" i="5"/>
  <c r="I289" i="5"/>
  <c r="K289" i="5" s="1"/>
  <c r="I290" i="5" s="1"/>
  <c r="K290" i="5" s="1"/>
  <c r="K286" i="5"/>
  <c r="I273" i="5"/>
  <c r="K254" i="5"/>
  <c r="K244" i="5"/>
  <c r="K170" i="5" s="1"/>
  <c r="I170" i="5"/>
  <c r="K233" i="5"/>
  <c r="G234" i="5"/>
  <c r="K205" i="5"/>
  <c r="G220" i="5"/>
  <c r="K220" i="5" s="1"/>
  <c r="I167" i="5"/>
  <c r="K211" i="5"/>
  <c r="K167" i="5" s="1"/>
  <c r="I157" i="5"/>
  <c r="K157" i="5" s="1"/>
  <c r="I13" i="5"/>
  <c r="K13" i="5" s="1"/>
  <c r="K108" i="5"/>
  <c r="J103" i="5"/>
  <c r="K103" i="5" s="1"/>
  <c r="J104" i="5"/>
  <c r="K104" i="5" s="1"/>
  <c r="K119" i="5" s="1"/>
  <c r="K120" i="5" s="1"/>
  <c r="J106" i="5"/>
  <c r="K106" i="5" s="1"/>
  <c r="K83" i="5"/>
  <c r="K61" i="5"/>
  <c r="J56" i="5"/>
  <c r="K56" i="5" s="1"/>
  <c r="J59" i="5"/>
  <c r="K59" i="5" s="1"/>
  <c r="J57" i="5"/>
  <c r="K57" i="5" s="1"/>
  <c r="K35" i="5"/>
  <c r="K36" i="5"/>
  <c r="K27" i="4"/>
  <c r="G427" i="4"/>
  <c r="K427" i="4" s="1"/>
  <c r="G430" i="4"/>
  <c r="K430" i="4" s="1"/>
  <c r="K418" i="4"/>
  <c r="I419" i="4"/>
  <c r="K419" i="4" s="1"/>
  <c r="G403" i="4"/>
  <c r="K403" i="4" s="1"/>
  <c r="K402" i="4"/>
  <c r="I408" i="4" s="1"/>
  <c r="K408" i="4" s="1"/>
  <c r="I375" i="4"/>
  <c r="K375" i="4" s="1"/>
  <c r="I359" i="4"/>
  <c r="K359" i="4"/>
  <c r="I24" i="4"/>
  <c r="K24" i="4" s="1"/>
  <c r="I349" i="4"/>
  <c r="K349" i="4"/>
  <c r="I23" i="4"/>
  <c r="K23" i="4" s="1"/>
  <c r="I336" i="4"/>
  <c r="K336" i="4"/>
  <c r="I22" i="4"/>
  <c r="K22" i="4" s="1"/>
  <c r="I322" i="4"/>
  <c r="K322" i="4"/>
  <c r="I21" i="4"/>
  <c r="K21" i="4" s="1"/>
  <c r="I310" i="4"/>
  <c r="K310" i="4"/>
  <c r="I20" i="4"/>
  <c r="K20" i="4" s="1"/>
  <c r="K19" i="4" s="1"/>
  <c r="K283" i="4"/>
  <c r="J278" i="4"/>
  <c r="K278" i="4" s="1"/>
  <c r="J279" i="4"/>
  <c r="K279" i="4" s="1"/>
  <c r="J281" i="4"/>
  <c r="K281" i="4" s="1"/>
  <c r="K257" i="4"/>
  <c r="K258" i="4"/>
  <c r="K260" i="4" s="1"/>
  <c r="K235" i="4"/>
  <c r="K236" i="4"/>
  <c r="K238" i="4" s="1"/>
  <c r="K214" i="4"/>
  <c r="K216" i="4" s="1"/>
  <c r="K213" i="4"/>
  <c r="K192" i="4"/>
  <c r="J188" i="4"/>
  <c r="K188" i="4" s="1"/>
  <c r="J187" i="4"/>
  <c r="K187" i="4" s="1"/>
  <c r="J190" i="4"/>
  <c r="K190" i="4" s="1"/>
  <c r="K167" i="4"/>
  <c r="K168" i="4"/>
  <c r="K170" i="4" s="1"/>
  <c r="K146" i="4"/>
  <c r="J144" i="4"/>
  <c r="K144" i="4" s="1"/>
  <c r="J141" i="4"/>
  <c r="K141" i="4" s="1"/>
  <c r="J142" i="4"/>
  <c r="K142" i="4" s="1"/>
  <c r="K122" i="4"/>
  <c r="K124" i="4" s="1"/>
  <c r="K121" i="4"/>
  <c r="K102" i="4"/>
  <c r="K81" i="4"/>
  <c r="J77" i="4"/>
  <c r="K77" i="4" s="1"/>
  <c r="J76" i="4"/>
  <c r="K76" i="4" s="1"/>
  <c r="J79" i="4"/>
  <c r="K79" i="4" s="1"/>
  <c r="K56" i="4"/>
  <c r="K57" i="4"/>
  <c r="K417" i="3"/>
  <c r="I189" i="3"/>
  <c r="K189" i="3" s="1"/>
  <c r="K412" i="3"/>
  <c r="I188" i="3"/>
  <c r="K188" i="3" s="1"/>
  <c r="K404" i="3"/>
  <c r="I187" i="3"/>
  <c r="K187" i="3" s="1"/>
  <c r="I186" i="3"/>
  <c r="K186" i="3" s="1"/>
  <c r="K394" i="3"/>
  <c r="I185" i="3"/>
  <c r="K185" i="3" s="1"/>
  <c r="K386" i="3"/>
  <c r="K369" i="3"/>
  <c r="I183" i="3"/>
  <c r="K183" i="3" s="1"/>
  <c r="I354" i="3"/>
  <c r="K349" i="3"/>
  <c r="I180" i="3"/>
  <c r="K180" i="3" s="1"/>
  <c r="K335" i="3"/>
  <c r="K326" i="3"/>
  <c r="I178" i="3"/>
  <c r="K178" i="3" s="1"/>
  <c r="I289" i="3"/>
  <c r="I287" i="3"/>
  <c r="K287" i="3" s="1"/>
  <c r="I288" i="3" s="1"/>
  <c r="K288" i="3" s="1"/>
  <c r="I314" i="3"/>
  <c r="I301" i="3"/>
  <c r="I302" i="3" s="1"/>
  <c r="I303" i="3" s="1"/>
  <c r="K303" i="3" s="1"/>
  <c r="I299" i="3"/>
  <c r="K284" i="3"/>
  <c r="G289" i="3"/>
  <c r="G299" i="3"/>
  <c r="I271" i="3"/>
  <c r="K252" i="3"/>
  <c r="I170" i="3"/>
  <c r="K170" i="3" s="1"/>
  <c r="K242" i="3"/>
  <c r="I200" i="3"/>
  <c r="K200" i="3" s="1"/>
  <c r="I201" i="3" s="1"/>
  <c r="K201" i="3" s="1"/>
  <c r="I230" i="3"/>
  <c r="K230" i="3" s="1"/>
  <c r="I234" i="3" s="1"/>
  <c r="I214" i="3"/>
  <c r="I215" i="3" s="1"/>
  <c r="I216" i="3" s="1"/>
  <c r="K216" i="3" s="1"/>
  <c r="I212" i="3"/>
  <c r="K212" i="3" s="1"/>
  <c r="I202" i="3"/>
  <c r="K197" i="3"/>
  <c r="I157" i="3"/>
  <c r="K157" i="3" s="1"/>
  <c r="I13" i="3"/>
  <c r="K13" i="3" s="1"/>
  <c r="I144" i="3"/>
  <c r="K144" i="3"/>
  <c r="I12" i="3"/>
  <c r="K12" i="3" s="1"/>
  <c r="K11" i="3" s="1"/>
  <c r="K107" i="3"/>
  <c r="J105" i="3"/>
  <c r="K105" i="3" s="1"/>
  <c r="J103" i="3"/>
  <c r="K103" i="3" s="1"/>
  <c r="J102" i="3"/>
  <c r="K102" i="3" s="1"/>
  <c r="K82" i="3"/>
  <c r="J79" i="3"/>
  <c r="J80" i="3" s="1"/>
  <c r="K80" i="3" s="1"/>
  <c r="J58" i="3"/>
  <c r="K58" i="3" s="1"/>
  <c r="J56" i="3"/>
  <c r="K56" i="3" s="1"/>
  <c r="J55" i="3"/>
  <c r="K55" i="3" s="1"/>
  <c r="K34" i="3"/>
  <c r="K35" i="3" s="1"/>
  <c r="K434" i="2"/>
  <c r="K373" i="2" s="1"/>
  <c r="I373" i="2"/>
  <c r="G418" i="2"/>
  <c r="K418" i="2" s="1"/>
  <c r="K417" i="2"/>
  <c r="I423" i="2" s="1"/>
  <c r="K409" i="2"/>
  <c r="K371" i="2" s="1"/>
  <c r="I371" i="2"/>
  <c r="K396" i="2"/>
  <c r="K370" i="2" s="1"/>
  <c r="I370" i="2"/>
  <c r="I387" i="2"/>
  <c r="I26" i="2"/>
  <c r="K26" i="2" s="1"/>
  <c r="K359" i="2"/>
  <c r="I24" i="2"/>
  <c r="K24" i="2" s="1"/>
  <c r="I359" i="2"/>
  <c r="I349" i="2"/>
  <c r="K349" i="2" s="1"/>
  <c r="I23" i="2"/>
  <c r="K23" i="2" s="1"/>
  <c r="K336" i="2"/>
  <c r="I22" i="2"/>
  <c r="K22" i="2" s="1"/>
  <c r="I336" i="2"/>
  <c r="I21" i="2"/>
  <c r="K21" i="2" s="1"/>
  <c r="I322" i="2"/>
  <c r="K322" i="2" s="1"/>
  <c r="I20" i="2"/>
  <c r="K20" i="2" s="1"/>
  <c r="K19" i="2" s="1"/>
  <c r="I310" i="2"/>
  <c r="K310" i="2" s="1"/>
  <c r="K283" i="2"/>
  <c r="J279" i="2"/>
  <c r="K279" i="2" s="1"/>
  <c r="J278" i="2"/>
  <c r="K278" i="2" s="1"/>
  <c r="J281" i="2"/>
  <c r="K281" i="2" s="1"/>
  <c r="K257" i="2"/>
  <c r="J254" i="2"/>
  <c r="J255" i="2" s="1"/>
  <c r="K255" i="2" s="1"/>
  <c r="K235" i="2"/>
  <c r="K236" i="2"/>
  <c r="K238" i="2" s="1"/>
  <c r="J185" i="2"/>
  <c r="K192" i="2"/>
  <c r="J141" i="2"/>
  <c r="K141" i="2" s="1"/>
  <c r="J144" i="2"/>
  <c r="K144" i="2" s="1"/>
  <c r="J142" i="2"/>
  <c r="K142" i="2" s="1"/>
  <c r="J118" i="2"/>
  <c r="J119" i="2" s="1"/>
  <c r="K119" i="2" s="1"/>
  <c r="K121" i="2"/>
  <c r="K102" i="2"/>
  <c r="J74" i="2"/>
  <c r="K81" i="2"/>
  <c r="J55" i="2"/>
  <c r="K55" i="2" s="1"/>
  <c r="K57" i="2" s="1"/>
  <c r="K59" i="2" s="1"/>
  <c r="I276" i="7"/>
  <c r="I243" i="7"/>
  <c r="I244" i="7" s="1"/>
  <c r="K244" i="7" s="1"/>
  <c r="I151" i="7"/>
  <c r="I152" i="7" s="1"/>
  <c r="K152" i="7" s="1"/>
  <c r="K64" i="7"/>
  <c r="K28" i="7"/>
  <c r="J29" i="7" s="1"/>
  <c r="K29" i="7" s="1"/>
  <c r="K218" i="6"/>
  <c r="K74" i="5"/>
  <c r="K33" i="5"/>
  <c r="J34" i="5" s="1"/>
  <c r="K34" i="5" s="1"/>
  <c r="K226" i="4"/>
  <c r="I439" i="5"/>
  <c r="I440" i="5" s="1"/>
  <c r="K440" i="5" s="1"/>
  <c r="I441" i="5" s="1"/>
  <c r="K448" i="5" s="1"/>
  <c r="I190" i="5" s="1"/>
  <c r="I18" i="5" s="1"/>
  <c r="I377" i="5"/>
  <c r="I378" i="5" s="1"/>
  <c r="K378" i="5" s="1"/>
  <c r="I379" i="5" s="1"/>
  <c r="K420" i="5" s="1"/>
  <c r="I182" i="5" s="1"/>
  <c r="I17" i="5" s="1"/>
  <c r="I349" i="5"/>
  <c r="K349" i="5" s="1"/>
  <c r="I350" i="5" s="1"/>
  <c r="K350" i="5" s="1"/>
  <c r="I351" i="5" s="1"/>
  <c r="I266" i="5"/>
  <c r="K266" i="5" s="1"/>
  <c r="I267" i="5" s="1"/>
  <c r="K267" i="5" s="1"/>
  <c r="I268" i="5" s="1"/>
  <c r="I223" i="5"/>
  <c r="I224" i="5" s="1"/>
  <c r="K224" i="5" s="1"/>
  <c r="K248" i="4"/>
  <c r="K112" i="4"/>
  <c r="K47" i="4"/>
  <c r="K133" i="4"/>
  <c r="I264" i="3"/>
  <c r="K264" i="3" s="1"/>
  <c r="I265" i="3" s="1"/>
  <c r="K265" i="3" s="1"/>
  <c r="K32" i="3"/>
  <c r="J33" i="3" s="1"/>
  <c r="K33" i="3" s="1"/>
  <c r="K446" i="2"/>
  <c r="I447" i="2" s="1"/>
  <c r="K233" i="2"/>
  <c r="J234" i="2" s="1"/>
  <c r="K234" i="2" s="1"/>
  <c r="K211" i="2"/>
  <c r="K95" i="5"/>
  <c r="K204" i="2"/>
  <c r="K165" i="2"/>
  <c r="I146" i="9"/>
  <c r="I147" i="9" s="1"/>
  <c r="K147" i="9" s="1"/>
  <c r="K148" i="9" s="1"/>
  <c r="I149" i="9" s="1"/>
  <c r="K43" i="7"/>
  <c r="K148" i="6"/>
  <c r="K232" i="5"/>
  <c r="I218" i="5"/>
  <c r="I219" i="5" s="1"/>
  <c r="K219" i="5" s="1"/>
  <c r="K225" i="5" s="1"/>
  <c r="I226" i="5" s="1"/>
  <c r="K270" i="4"/>
  <c r="K179" i="4"/>
  <c r="I376" i="3"/>
  <c r="I377" i="3" s="1"/>
  <c r="K377" i="3" s="1"/>
  <c r="I378" i="3" s="1"/>
  <c r="K420" i="3" s="1"/>
  <c r="I182" i="3" s="1"/>
  <c r="I17" i="3" s="1"/>
  <c r="I189" i="9"/>
  <c r="K189" i="9" s="1"/>
  <c r="I190" i="9" s="1"/>
  <c r="K190" i="9" s="1"/>
  <c r="I191" i="9" s="1"/>
  <c r="K202" i="9" s="1"/>
  <c r="K48" i="9"/>
  <c r="K41" i="9"/>
  <c r="K81" i="5"/>
  <c r="K48" i="5"/>
  <c r="K143" i="5"/>
  <c r="K26" i="9"/>
  <c r="I285" i="7"/>
  <c r="K285" i="7" s="1"/>
  <c r="I286" i="7" s="1"/>
  <c r="K286" i="7" s="1"/>
  <c r="I287" i="7" s="1"/>
  <c r="K87" i="7"/>
  <c r="K192" i="6"/>
  <c r="K158" i="4"/>
  <c r="D24" i="11" l="1"/>
  <c r="D28" i="11"/>
  <c r="D31" i="11"/>
  <c r="K37" i="3"/>
  <c r="K38" i="4"/>
  <c r="K38" i="5"/>
  <c r="K56" i="6"/>
  <c r="K35" i="6"/>
  <c r="K74" i="6"/>
  <c r="K96" i="6"/>
  <c r="K38" i="2"/>
  <c r="K117" i="6"/>
  <c r="K59" i="4"/>
  <c r="K115" i="9"/>
  <c r="I13" i="9"/>
  <c r="I108" i="9"/>
  <c r="K125" i="7"/>
  <c r="I238" i="7"/>
  <c r="I239" i="7" s="1"/>
  <c r="K239" i="7" s="1"/>
  <c r="K245" i="7" s="1"/>
  <c r="I246" i="7" s="1"/>
  <c r="I224" i="7"/>
  <c r="K224" i="7" s="1"/>
  <c r="K230" i="7" s="1"/>
  <c r="I231" i="7" s="1"/>
  <c r="I116" i="7"/>
  <c r="I117" i="7"/>
  <c r="I114" i="7"/>
  <c r="I115" i="7"/>
  <c r="K148" i="7"/>
  <c r="G153" i="7"/>
  <c r="K153" i="7" s="1"/>
  <c r="G159" i="7"/>
  <c r="G166" i="7" s="1"/>
  <c r="J200" i="6"/>
  <c r="K200" i="6" s="1"/>
  <c r="J201" i="6"/>
  <c r="K201" i="6" s="1"/>
  <c r="J203" i="6"/>
  <c r="K203" i="6" s="1"/>
  <c r="K449" i="5"/>
  <c r="K190" i="5" s="1"/>
  <c r="K18" i="5" s="1"/>
  <c r="K191" i="5"/>
  <c r="K421" i="5"/>
  <c r="K182" i="5" s="1"/>
  <c r="K17" i="5" s="1"/>
  <c r="K189" i="5"/>
  <c r="K181" i="5"/>
  <c r="I340" i="5"/>
  <c r="I337" i="5"/>
  <c r="G336" i="5" s="1"/>
  <c r="K336" i="5" s="1"/>
  <c r="K320" i="5"/>
  <c r="K177" i="5" s="1"/>
  <c r="I177" i="5"/>
  <c r="K291" i="5"/>
  <c r="I294" i="5"/>
  <c r="K294" i="5" s="1"/>
  <c r="I295" i="5" s="1"/>
  <c r="K295" i="5" s="1"/>
  <c r="K296" i="5" s="1"/>
  <c r="I297" i="5" s="1"/>
  <c r="I306" i="5"/>
  <c r="K306" i="5" s="1"/>
  <c r="I308" i="5"/>
  <c r="I309" i="5" s="1"/>
  <c r="I310" i="5" s="1"/>
  <c r="K310" i="5" s="1"/>
  <c r="K297" i="5"/>
  <c r="K175" i="5" s="1"/>
  <c r="I175" i="5"/>
  <c r="K273" i="5"/>
  <c r="I173" i="5"/>
  <c r="I257" i="5"/>
  <c r="I254" i="5"/>
  <c r="G253" i="5" s="1"/>
  <c r="K253" i="5" s="1"/>
  <c r="K234" i="5"/>
  <c r="G235" i="5"/>
  <c r="K354" i="3"/>
  <c r="I181" i="3"/>
  <c r="K181" i="3" s="1"/>
  <c r="I338" i="3"/>
  <c r="I335" i="3"/>
  <c r="G334" i="3" s="1"/>
  <c r="K334" i="3" s="1"/>
  <c r="K289" i="3"/>
  <c r="I292" i="3"/>
  <c r="K292" i="3" s="1"/>
  <c r="I293" i="3" s="1"/>
  <c r="K293" i="3" s="1"/>
  <c r="K294" i="3" s="1"/>
  <c r="I295" i="3" s="1"/>
  <c r="I304" i="3"/>
  <c r="I306" i="3"/>
  <c r="I307" i="3" s="1"/>
  <c r="I308" i="3" s="1"/>
  <c r="K308" i="3" s="1"/>
  <c r="K309" i="3" s="1"/>
  <c r="I310" i="3" s="1"/>
  <c r="G295" i="3"/>
  <c r="G310" i="3" s="1"/>
  <c r="G314" i="3" s="1"/>
  <c r="G304" i="3"/>
  <c r="K271" i="3"/>
  <c r="I173" i="3"/>
  <c r="K173" i="3" s="1"/>
  <c r="I255" i="3"/>
  <c r="I252" i="3"/>
  <c r="G251" i="3" s="1"/>
  <c r="K251" i="3" s="1"/>
  <c r="K234" i="3"/>
  <c r="I169" i="3"/>
  <c r="K169" i="3" s="1"/>
  <c r="I205" i="3"/>
  <c r="K205" i="3" s="1"/>
  <c r="I206" i="3" s="1"/>
  <c r="K206" i="3" s="1"/>
  <c r="K207" i="3" s="1"/>
  <c r="I208" i="3" s="1"/>
  <c r="I217" i="3"/>
  <c r="K217" i="3" s="1"/>
  <c r="I219" i="3"/>
  <c r="I220" i="3" s="1"/>
  <c r="I221" i="3" s="1"/>
  <c r="K221" i="3" s="1"/>
  <c r="K222" i="3" s="1"/>
  <c r="I223" i="3" s="1"/>
  <c r="K202" i="3"/>
  <c r="J59" i="3"/>
  <c r="K59" i="3" s="1"/>
  <c r="K61" i="3" s="1"/>
  <c r="K63" i="3" s="1"/>
  <c r="I372" i="2"/>
  <c r="K423" i="2"/>
  <c r="K372" i="2" s="1"/>
  <c r="K387" i="2"/>
  <c r="K369" i="2" s="1"/>
  <c r="I369" i="2"/>
  <c r="J187" i="2"/>
  <c r="K187" i="2" s="1"/>
  <c r="J188" i="2"/>
  <c r="K188" i="2" s="1"/>
  <c r="J190" i="2"/>
  <c r="K190" i="2" s="1"/>
  <c r="J145" i="2"/>
  <c r="K145" i="2" s="1"/>
  <c r="K147" i="2"/>
  <c r="K149" i="2" s="1"/>
  <c r="J79" i="2"/>
  <c r="K79" i="2" s="1"/>
  <c r="J76" i="2"/>
  <c r="K76" i="2" s="1"/>
  <c r="J77" i="2"/>
  <c r="K77" i="2" s="1"/>
  <c r="I123" i="7"/>
  <c r="K276" i="7"/>
  <c r="K123" i="7" s="1"/>
  <c r="I192" i="5"/>
  <c r="K441" i="5"/>
  <c r="K192" i="5" s="1"/>
  <c r="I184" i="5"/>
  <c r="K379" i="5"/>
  <c r="K184" i="5" s="1"/>
  <c r="I180" i="5"/>
  <c r="K351" i="5"/>
  <c r="I172" i="5"/>
  <c r="K268" i="5"/>
  <c r="K172" i="5" s="1"/>
  <c r="I374" i="2"/>
  <c r="K449" i="2"/>
  <c r="I368" i="2" s="1"/>
  <c r="K447" i="2"/>
  <c r="J212" i="2"/>
  <c r="K212" i="2" s="1"/>
  <c r="K214" i="2"/>
  <c r="K216" i="2" s="1"/>
  <c r="J166" i="2"/>
  <c r="K166" i="2" s="1"/>
  <c r="K168" i="2"/>
  <c r="K170" i="2" s="1"/>
  <c r="I110" i="9"/>
  <c r="K149" i="9"/>
  <c r="K110" i="9" s="1"/>
  <c r="I168" i="5"/>
  <c r="K226" i="5"/>
  <c r="K168" i="5" s="1"/>
  <c r="I184" i="3"/>
  <c r="K184" i="3" s="1"/>
  <c r="K182" i="3" s="1"/>
  <c r="K17" i="3" s="1"/>
  <c r="K378" i="3"/>
  <c r="I114" i="9"/>
  <c r="K191" i="9"/>
  <c r="I12" i="5"/>
  <c r="K12" i="5" s="1"/>
  <c r="K11" i="5" s="1"/>
  <c r="I144" i="5"/>
  <c r="K144" i="5"/>
  <c r="K159" i="5" s="1"/>
  <c r="I124" i="7"/>
  <c r="K287" i="7"/>
  <c r="K88" i="7"/>
  <c r="K103" i="7" s="1"/>
  <c r="I10" i="7"/>
  <c r="K10" i="7" s="1"/>
  <c r="K9" i="7" s="1"/>
  <c r="I88" i="7"/>
  <c r="I304" i="5"/>
  <c r="I305" i="5" s="1"/>
  <c r="K305" i="5" s="1"/>
  <c r="K311" i="5" s="1"/>
  <c r="I312" i="5" s="1"/>
  <c r="J107" i="5"/>
  <c r="K107" i="5" s="1"/>
  <c r="K109" i="5" s="1"/>
  <c r="J60" i="5"/>
  <c r="K60" i="5" s="1"/>
  <c r="K62" i="5" s="1"/>
  <c r="K64" i="5" s="1"/>
  <c r="K421" i="3"/>
  <c r="K299" i="3"/>
  <c r="K159" i="3"/>
  <c r="K361" i="2"/>
  <c r="J282" i="2"/>
  <c r="K282" i="2" s="1"/>
  <c r="K284" i="2" s="1"/>
  <c r="K158" i="7"/>
  <c r="I159" i="7" s="1"/>
  <c r="K468" i="5"/>
  <c r="K436" i="3"/>
  <c r="K431" i="4"/>
  <c r="I189" i="7"/>
  <c r="G188" i="7" s="1"/>
  <c r="K188" i="7" s="1"/>
  <c r="K361" i="4"/>
  <c r="K144" i="7"/>
  <c r="K111" i="7" s="1"/>
  <c r="I111" i="7"/>
  <c r="J51" i="7"/>
  <c r="K51" i="7" s="1"/>
  <c r="K53" i="7"/>
  <c r="K55" i="7" s="1"/>
  <c r="K330" i="6"/>
  <c r="I23" i="6"/>
  <c r="K23" i="6" s="1"/>
  <c r="K22" i="6"/>
  <c r="J178" i="6"/>
  <c r="K178" i="6" s="1"/>
  <c r="K180" i="6"/>
  <c r="K182" i="6" s="1"/>
  <c r="J156" i="6"/>
  <c r="K156" i="6" s="1"/>
  <c r="K158" i="6"/>
  <c r="K160" i="6" s="1"/>
  <c r="J282" i="4"/>
  <c r="K282" i="4" s="1"/>
  <c r="K284" i="4"/>
  <c r="K286" i="4" s="1"/>
  <c r="J191" i="4"/>
  <c r="K191" i="4" s="1"/>
  <c r="K193" i="4"/>
  <c r="K195" i="4" s="1"/>
  <c r="J145" i="4"/>
  <c r="K145" i="4" s="1"/>
  <c r="K147" i="4"/>
  <c r="K149" i="4" s="1"/>
  <c r="J80" i="4"/>
  <c r="K80" i="4" s="1"/>
  <c r="K82" i="4"/>
  <c r="K84" i="4" s="1"/>
  <c r="J106" i="3"/>
  <c r="K106" i="3" s="1"/>
  <c r="K108" i="3"/>
  <c r="K110" i="3" s="1"/>
  <c r="J81" i="3"/>
  <c r="K81" i="3" s="1"/>
  <c r="K83" i="3"/>
  <c r="K85" i="3" s="1"/>
  <c r="J256" i="2"/>
  <c r="K256" i="2" s="1"/>
  <c r="K258" i="2"/>
  <c r="K260" i="2" s="1"/>
  <c r="J120" i="2"/>
  <c r="K120" i="2" s="1"/>
  <c r="K122" i="2"/>
  <c r="K124" i="2" s="1"/>
  <c r="I266" i="3"/>
  <c r="K277" i="3"/>
  <c r="I166" i="3" s="1"/>
  <c r="I15" i="3" s="1"/>
  <c r="J49" i="9"/>
  <c r="K49" i="9" s="1"/>
  <c r="K51" i="9"/>
  <c r="K53" i="9" s="1"/>
  <c r="J82" i="5"/>
  <c r="K82" i="5" s="1"/>
  <c r="K84" i="5"/>
  <c r="K86" i="5" s="1"/>
  <c r="J27" i="9"/>
  <c r="K27" i="9" s="1"/>
  <c r="K29" i="9"/>
  <c r="K31" i="9" s="1"/>
  <c r="J86" i="2" l="1"/>
  <c r="J104" i="2"/>
  <c r="K104" i="2" s="1"/>
  <c r="J23" i="8"/>
  <c r="K23" i="8" s="1"/>
  <c r="J33" i="9"/>
  <c r="K33" i="9" s="1"/>
  <c r="J55" i="9"/>
  <c r="K55" i="9" s="1"/>
  <c r="J40" i="2"/>
  <c r="K40" i="2" s="1"/>
  <c r="J39" i="3"/>
  <c r="K39" i="3" s="1"/>
  <c r="J65" i="3"/>
  <c r="K65" i="3" s="1"/>
  <c r="J197" i="2"/>
  <c r="J240" i="2"/>
  <c r="K240" i="2" s="1"/>
  <c r="J87" i="3"/>
  <c r="K87" i="3" s="1"/>
  <c r="J40" i="4"/>
  <c r="K40" i="4" s="1"/>
  <c r="J61" i="4"/>
  <c r="K61" i="4" s="1"/>
  <c r="J86" i="4"/>
  <c r="K86" i="4" s="1"/>
  <c r="J218" i="2"/>
  <c r="K218" i="2" s="1"/>
  <c r="J262" i="2"/>
  <c r="K262" i="2" s="1"/>
  <c r="J288" i="2"/>
  <c r="J112" i="3"/>
  <c r="K112" i="3" s="1"/>
  <c r="J104" i="4"/>
  <c r="K104" i="4" s="1"/>
  <c r="J126" i="4"/>
  <c r="K126" i="4" s="1"/>
  <c r="J151" i="4"/>
  <c r="K151" i="4" s="1"/>
  <c r="J172" i="4"/>
  <c r="K172" i="4" s="1"/>
  <c r="J197" i="4"/>
  <c r="K197" i="4" s="1"/>
  <c r="J218" i="4"/>
  <c r="K218" i="4" s="1"/>
  <c r="J240" i="4"/>
  <c r="K240" i="4" s="1"/>
  <c r="J262" i="4"/>
  <c r="K262" i="4" s="1"/>
  <c r="J288" i="4"/>
  <c r="K288" i="4" s="1"/>
  <c r="J40" i="5"/>
  <c r="K40" i="5" s="1"/>
  <c r="J66" i="5"/>
  <c r="K66" i="5" s="1"/>
  <c r="J88" i="5"/>
  <c r="K88" i="5" s="1"/>
  <c r="J113" i="5"/>
  <c r="J151" i="2"/>
  <c r="K151" i="2" s="1"/>
  <c r="J37" i="6"/>
  <c r="K37" i="6" s="1"/>
  <c r="J58" i="6"/>
  <c r="K58" i="6" s="1"/>
  <c r="J76" i="6"/>
  <c r="K76" i="6" s="1"/>
  <c r="J98" i="6"/>
  <c r="K98" i="6" s="1"/>
  <c r="J119" i="6"/>
  <c r="K119" i="6" s="1"/>
  <c r="J61" i="2"/>
  <c r="K61" i="2" s="1"/>
  <c r="J172" i="2"/>
  <c r="K172" i="2" s="1"/>
  <c r="J140" i="6"/>
  <c r="K140" i="6" s="1"/>
  <c r="J210" i="6"/>
  <c r="J35" i="7"/>
  <c r="K35" i="7" s="1"/>
  <c r="J57" i="7"/>
  <c r="K57" i="7" s="1"/>
  <c r="J126" i="2"/>
  <c r="K126" i="2" s="1"/>
  <c r="J162" i="6"/>
  <c r="K162" i="6" s="1"/>
  <c r="J184" i="6"/>
  <c r="K184" i="6" s="1"/>
  <c r="K294" i="7"/>
  <c r="I118" i="7" s="1"/>
  <c r="I14" i="7" s="1"/>
  <c r="I120" i="7"/>
  <c r="K246" i="7"/>
  <c r="K120" i="7" s="1"/>
  <c r="I119" i="7"/>
  <c r="K231" i="7"/>
  <c r="K119" i="7" s="1"/>
  <c r="K166" i="7"/>
  <c r="G167" i="7"/>
  <c r="K206" i="6"/>
  <c r="K208" i="6" s="1"/>
  <c r="J204" i="6"/>
  <c r="K204" i="6" s="1"/>
  <c r="K358" i="5"/>
  <c r="I174" i="5" s="1"/>
  <c r="I16" i="5" s="1"/>
  <c r="I179" i="5"/>
  <c r="K340" i="5"/>
  <c r="K179" i="5" s="1"/>
  <c r="K173" i="5"/>
  <c r="I171" i="5"/>
  <c r="K257" i="5"/>
  <c r="K235" i="5"/>
  <c r="G236" i="5"/>
  <c r="I236" i="5" s="1"/>
  <c r="K279" i="5" s="1"/>
  <c r="I166" i="5" s="1"/>
  <c r="I15" i="5" s="1"/>
  <c r="I179" i="3"/>
  <c r="K179" i="3" s="1"/>
  <c r="K338" i="3"/>
  <c r="K314" i="3"/>
  <c r="G315" i="3"/>
  <c r="I171" i="3"/>
  <c r="K171" i="3" s="1"/>
  <c r="K255" i="3"/>
  <c r="I167" i="3"/>
  <c r="K167" i="3" s="1"/>
  <c r="K208" i="3"/>
  <c r="K223" i="3"/>
  <c r="I168" i="3"/>
  <c r="K168" i="3" s="1"/>
  <c r="J191" i="2"/>
  <c r="K191" i="2" s="1"/>
  <c r="K193" i="2" s="1"/>
  <c r="J80" i="2"/>
  <c r="K80" i="2" s="1"/>
  <c r="K82" i="2" s="1"/>
  <c r="K84" i="2" s="1"/>
  <c r="K450" i="2"/>
  <c r="K374" i="2"/>
  <c r="K375" i="2" s="1"/>
  <c r="I176" i="5"/>
  <c r="K312" i="5"/>
  <c r="K176" i="5" s="1"/>
  <c r="K113" i="5"/>
  <c r="K111" i="5"/>
  <c r="K286" i="2"/>
  <c r="K288" i="2"/>
  <c r="K159" i="7"/>
  <c r="K112" i="7" s="1"/>
  <c r="I112" i="7"/>
  <c r="K19" i="5"/>
  <c r="K18" i="3"/>
  <c r="I26" i="4"/>
  <c r="K26" i="4" s="1"/>
  <c r="I432" i="4"/>
  <c r="K432" i="4" s="1"/>
  <c r="K434" i="4" s="1"/>
  <c r="K266" i="3"/>
  <c r="K278" i="3" s="1"/>
  <c r="I172" i="3"/>
  <c r="K172" i="3" s="1"/>
  <c r="K304" i="3"/>
  <c r="D25" i="11"/>
  <c r="D15" i="11"/>
  <c r="D21" i="11" s="1"/>
  <c r="K295" i="3"/>
  <c r="I175" i="3"/>
  <c r="K175" i="3" s="1"/>
  <c r="K310" i="3"/>
  <c r="I176" i="3"/>
  <c r="K176" i="3" s="1"/>
  <c r="K180" i="5"/>
  <c r="K359" i="5"/>
  <c r="K174" i="5" s="1"/>
  <c r="K16" i="5" s="1"/>
  <c r="K114" i="9"/>
  <c r="K116" i="9" s="1"/>
  <c r="K203" i="9"/>
  <c r="K124" i="7"/>
  <c r="K295" i="7"/>
  <c r="K118" i="7" s="1"/>
  <c r="K167" i="7" l="1"/>
  <c r="G168" i="7"/>
  <c r="K236" i="5"/>
  <c r="K169" i="5" s="1"/>
  <c r="I169" i="5"/>
  <c r="K315" i="3"/>
  <c r="G316" i="3"/>
  <c r="K452" i="2"/>
  <c r="K368" i="2"/>
  <c r="K25" i="4"/>
  <c r="J209" i="6"/>
  <c r="J139" i="6"/>
  <c r="J125" i="2"/>
  <c r="J103" i="2"/>
  <c r="J60" i="2"/>
  <c r="J56" i="7"/>
  <c r="J34" i="7"/>
  <c r="J161" i="6"/>
  <c r="J85" i="2"/>
  <c r="J118" i="6"/>
  <c r="J97" i="6"/>
  <c r="J75" i="6"/>
  <c r="J57" i="6"/>
  <c r="J36" i="6"/>
  <c r="J112" i="5"/>
  <c r="J87" i="5"/>
  <c r="J65" i="5"/>
  <c r="J39" i="5"/>
  <c r="J287" i="4"/>
  <c r="J261" i="4"/>
  <c r="J239" i="4"/>
  <c r="J217" i="4"/>
  <c r="J196" i="4"/>
  <c r="J171" i="4"/>
  <c r="J150" i="4"/>
  <c r="J125" i="4"/>
  <c r="J103" i="4"/>
  <c r="J111" i="3"/>
  <c r="J217" i="2"/>
  <c r="J196" i="2"/>
  <c r="J150" i="2"/>
  <c r="J85" i="4"/>
  <c r="J60" i="4"/>
  <c r="J39" i="4"/>
  <c r="J86" i="3"/>
  <c r="J287" i="2"/>
  <c r="J261" i="2"/>
  <c r="J239" i="2"/>
  <c r="J64" i="3"/>
  <c r="J38" i="3"/>
  <c r="J39" i="2"/>
  <c r="J54" i="9"/>
  <c r="J32" i="9"/>
  <c r="J22" i="8"/>
  <c r="J183" i="6"/>
  <c r="J171" i="2"/>
  <c r="D30" i="11"/>
  <c r="D32" i="11" s="1"/>
  <c r="D33" i="11" s="1"/>
  <c r="K108" i="9"/>
  <c r="K13" i="9"/>
  <c r="K205" i="9"/>
  <c r="K14" i="7"/>
  <c r="K210" i="6"/>
  <c r="K166" i="3"/>
  <c r="K86" i="2"/>
  <c r="K171" i="5"/>
  <c r="K280" i="5"/>
  <c r="K197" i="2"/>
  <c r="K195" i="2"/>
  <c r="K168" i="7" l="1"/>
  <c r="G169" i="7"/>
  <c r="K316" i="3"/>
  <c r="G317" i="3"/>
  <c r="K25" i="2"/>
  <c r="K209" i="6"/>
  <c r="K139" i="6"/>
  <c r="K125" i="2"/>
  <c r="K103" i="2"/>
  <c r="K60" i="2"/>
  <c r="K56" i="7"/>
  <c r="K34" i="7"/>
  <c r="K161" i="6"/>
  <c r="K85" i="2"/>
  <c r="K118" i="6"/>
  <c r="K97" i="6"/>
  <c r="K75" i="6"/>
  <c r="K57" i="6"/>
  <c r="K36" i="6"/>
  <c r="K112" i="5"/>
  <c r="K87" i="5"/>
  <c r="K65" i="5"/>
  <c r="K39" i="5"/>
  <c r="K287" i="4"/>
  <c r="K261" i="4"/>
  <c r="K239" i="4"/>
  <c r="K217" i="4"/>
  <c r="K196" i="4"/>
  <c r="J174" i="4"/>
  <c r="K171" i="4"/>
  <c r="K174" i="4" s="1"/>
  <c r="K180" i="4" s="1"/>
  <c r="J153" i="4"/>
  <c r="K150" i="4"/>
  <c r="K153" i="4" s="1"/>
  <c r="K159" i="4" s="1"/>
  <c r="K160" i="4" s="1"/>
  <c r="I12" i="4" s="1"/>
  <c r="K12" i="4" s="1"/>
  <c r="J128" i="4"/>
  <c r="K125" i="4"/>
  <c r="K128" i="4" s="1"/>
  <c r="K134" i="4" s="1"/>
  <c r="J106" i="4"/>
  <c r="K103" i="4"/>
  <c r="K106" i="4" s="1"/>
  <c r="K113" i="4" s="1"/>
  <c r="K111" i="3"/>
  <c r="K217" i="2"/>
  <c r="K196" i="2"/>
  <c r="K150" i="2"/>
  <c r="K85" i="4"/>
  <c r="K60" i="4"/>
  <c r="K39" i="4"/>
  <c r="K86" i="3"/>
  <c r="K287" i="2"/>
  <c r="K261" i="2"/>
  <c r="K239" i="2"/>
  <c r="K64" i="3"/>
  <c r="K38" i="3"/>
  <c r="K39" i="2"/>
  <c r="K54" i="9"/>
  <c r="K32" i="9"/>
  <c r="K22" i="8"/>
  <c r="K183" i="6"/>
  <c r="K171" i="2"/>
  <c r="J198" i="2"/>
  <c r="J105" i="2"/>
  <c r="J87" i="2"/>
  <c r="J185" i="6"/>
  <c r="J173" i="2"/>
  <c r="J58" i="7"/>
  <c r="J36" i="7"/>
  <c r="J211" i="6"/>
  <c r="J163" i="6"/>
  <c r="J127" i="2"/>
  <c r="J120" i="6"/>
  <c r="J99" i="6"/>
  <c r="J77" i="6"/>
  <c r="J59" i="6"/>
  <c r="J38" i="6"/>
  <c r="J114" i="5"/>
  <c r="J89" i="5"/>
  <c r="J67" i="5"/>
  <c r="J41" i="5"/>
  <c r="J289" i="4"/>
  <c r="J263" i="4"/>
  <c r="J241" i="4"/>
  <c r="J219" i="4"/>
  <c r="J198" i="4"/>
  <c r="J173" i="4"/>
  <c r="K173" i="4" s="1"/>
  <c r="J152" i="4"/>
  <c r="K152" i="4" s="1"/>
  <c r="J127" i="4"/>
  <c r="K127" i="4" s="1"/>
  <c r="J105" i="4"/>
  <c r="K105" i="4" s="1"/>
  <c r="J263" i="2"/>
  <c r="J241" i="2"/>
  <c r="J219" i="2"/>
  <c r="J152" i="2"/>
  <c r="J62" i="2"/>
  <c r="J87" i="4"/>
  <c r="J62" i="4"/>
  <c r="J41" i="4"/>
  <c r="J113" i="3"/>
  <c r="J88" i="3"/>
  <c r="J289" i="2"/>
  <c r="J66" i="3"/>
  <c r="J40" i="3"/>
  <c r="J41" i="2"/>
  <c r="J56" i="9"/>
  <c r="J34" i="9"/>
  <c r="J24" i="8"/>
  <c r="J141" i="6"/>
  <c r="K12" i="9"/>
  <c r="K15" i="3"/>
  <c r="K166" i="5"/>
  <c r="K452" i="5"/>
  <c r="K169" i="7" l="1"/>
  <c r="G170" i="7"/>
  <c r="K317" i="3"/>
  <c r="G318" i="3"/>
  <c r="I318" i="3" s="1"/>
  <c r="K181" i="4"/>
  <c r="I13" i="4"/>
  <c r="K13" i="4" s="1"/>
  <c r="K135" i="4"/>
  <c r="I11" i="4"/>
  <c r="K11" i="4" s="1"/>
  <c r="K114" i="4"/>
  <c r="I10" i="4"/>
  <c r="K10" i="4" s="1"/>
  <c r="K15" i="5"/>
  <c r="K14" i="5" s="1"/>
  <c r="K193" i="5"/>
  <c r="K198" i="2"/>
  <c r="K199" i="2" s="1"/>
  <c r="K205" i="2" s="1"/>
  <c r="J199" i="2"/>
  <c r="K105" i="2"/>
  <c r="K106" i="2" s="1"/>
  <c r="K113" i="2" s="1"/>
  <c r="J106" i="2"/>
  <c r="K87" i="2"/>
  <c r="K88" i="2" s="1"/>
  <c r="K94" i="2" s="1"/>
  <c r="J88" i="2"/>
  <c r="K185" i="6"/>
  <c r="K186" i="6" s="1"/>
  <c r="K193" i="6" s="1"/>
  <c r="J186" i="6"/>
  <c r="K173" i="2"/>
  <c r="K174" i="2" s="1"/>
  <c r="K180" i="2" s="1"/>
  <c r="J174" i="2"/>
  <c r="K58" i="7"/>
  <c r="K59" i="7" s="1"/>
  <c r="K65" i="7" s="1"/>
  <c r="J59" i="7"/>
  <c r="K36" i="7"/>
  <c r="K37" i="7" s="1"/>
  <c r="K44" i="7" s="1"/>
  <c r="J37" i="7"/>
  <c r="K211" i="6"/>
  <c r="K212" i="6" s="1"/>
  <c r="K219" i="6" s="1"/>
  <c r="J212" i="6"/>
  <c r="K163" i="6"/>
  <c r="K164" i="6" s="1"/>
  <c r="K171" i="6" s="1"/>
  <c r="J164" i="6"/>
  <c r="K127" i="2"/>
  <c r="K128" i="2" s="1"/>
  <c r="K134" i="2" s="1"/>
  <c r="J128" i="2"/>
  <c r="K120" i="6"/>
  <c r="K121" i="6" s="1"/>
  <c r="K127" i="6" s="1"/>
  <c r="J121" i="6"/>
  <c r="K99" i="6"/>
  <c r="K100" i="6" s="1"/>
  <c r="K106" i="6" s="1"/>
  <c r="J100" i="6"/>
  <c r="K77" i="6"/>
  <c r="K78" i="6" s="1"/>
  <c r="K85" i="6" s="1"/>
  <c r="J78" i="6"/>
  <c r="K59" i="6"/>
  <c r="K60" i="6" s="1"/>
  <c r="K66" i="6" s="1"/>
  <c r="J60" i="6"/>
  <c r="K38" i="6"/>
  <c r="K39" i="6" s="1"/>
  <c r="K45" i="6" s="1"/>
  <c r="J39" i="6"/>
  <c r="K114" i="5"/>
  <c r="K115" i="5" s="1"/>
  <c r="K121" i="5" s="1"/>
  <c r="J115" i="5"/>
  <c r="K89" i="5"/>
  <c r="K90" i="5" s="1"/>
  <c r="K96" i="5" s="1"/>
  <c r="J90" i="5"/>
  <c r="K67" i="5"/>
  <c r="K68" i="5" s="1"/>
  <c r="K75" i="5" s="1"/>
  <c r="J68" i="5"/>
  <c r="K41" i="5"/>
  <c r="K42" i="5" s="1"/>
  <c r="K49" i="5" s="1"/>
  <c r="J42" i="5"/>
  <c r="K289" i="4"/>
  <c r="K290" i="4" s="1"/>
  <c r="K297" i="4" s="1"/>
  <c r="J290" i="4"/>
  <c r="K263" i="4"/>
  <c r="K264" i="4" s="1"/>
  <c r="K271" i="4" s="1"/>
  <c r="J264" i="4"/>
  <c r="K241" i="4"/>
  <c r="K242" i="4" s="1"/>
  <c r="K249" i="4" s="1"/>
  <c r="J242" i="4"/>
  <c r="K219" i="4"/>
  <c r="K220" i="4" s="1"/>
  <c r="K227" i="4" s="1"/>
  <c r="J220" i="4"/>
  <c r="K198" i="4"/>
  <c r="K199" i="4" s="1"/>
  <c r="K205" i="4" s="1"/>
  <c r="J199" i="4"/>
  <c r="K263" i="2"/>
  <c r="K264" i="2" s="1"/>
  <c r="K271" i="2" s="1"/>
  <c r="J264" i="2"/>
  <c r="K241" i="2"/>
  <c r="K242" i="2" s="1"/>
  <c r="K249" i="2" s="1"/>
  <c r="J242" i="2"/>
  <c r="K219" i="2"/>
  <c r="K220" i="2" s="1"/>
  <c r="K227" i="2" s="1"/>
  <c r="J220" i="2"/>
  <c r="K152" i="2"/>
  <c r="K153" i="2" s="1"/>
  <c r="K159" i="2" s="1"/>
  <c r="J153" i="2"/>
  <c r="K62" i="2"/>
  <c r="K63" i="2" s="1"/>
  <c r="K69" i="2" s="1"/>
  <c r="J63" i="2"/>
  <c r="K87" i="4"/>
  <c r="K88" i="4" s="1"/>
  <c r="K94" i="4" s="1"/>
  <c r="J88" i="4"/>
  <c r="K62" i="4"/>
  <c r="K63" i="4" s="1"/>
  <c r="K69" i="4" s="1"/>
  <c r="J63" i="4"/>
  <c r="K41" i="4"/>
  <c r="K42" i="4" s="1"/>
  <c r="K48" i="4" s="1"/>
  <c r="J42" i="4"/>
  <c r="K113" i="3"/>
  <c r="K114" i="3" s="1"/>
  <c r="K120" i="3" s="1"/>
  <c r="J114" i="3"/>
  <c r="K88" i="3"/>
  <c r="K89" i="3" s="1"/>
  <c r="K95" i="3" s="1"/>
  <c r="J89" i="3"/>
  <c r="K289" i="2"/>
  <c r="K290" i="2" s="1"/>
  <c r="K297" i="2" s="1"/>
  <c r="J290" i="2"/>
  <c r="K66" i="3"/>
  <c r="K67" i="3" s="1"/>
  <c r="K74" i="3" s="1"/>
  <c r="J67" i="3"/>
  <c r="K40" i="3"/>
  <c r="K41" i="3" s="1"/>
  <c r="K48" i="3" s="1"/>
  <c r="J41" i="3"/>
  <c r="K41" i="2"/>
  <c r="K42" i="2" s="1"/>
  <c r="K48" i="2" s="1"/>
  <c r="J42" i="2"/>
  <c r="K56" i="9"/>
  <c r="K57" i="9" s="1"/>
  <c r="K63" i="9" s="1"/>
  <c r="J57" i="9"/>
  <c r="K34" i="9"/>
  <c r="K35" i="9" s="1"/>
  <c r="K42" i="9" s="1"/>
  <c r="J35" i="9"/>
  <c r="K24" i="8"/>
  <c r="K25" i="8" s="1"/>
  <c r="K31" i="8" s="1"/>
  <c r="J25" i="8"/>
  <c r="K141" i="6"/>
  <c r="K142" i="6" s="1"/>
  <c r="K149" i="6" s="1"/>
  <c r="J142" i="6"/>
  <c r="K170" i="7" l="1"/>
  <c r="G171" i="7"/>
  <c r="K357" i="3"/>
  <c r="I174" i="3" s="1"/>
  <c r="I16" i="3" s="1"/>
  <c r="K318" i="3"/>
  <c r="K358" i="3" s="1"/>
  <c r="K423" i="3" s="1"/>
  <c r="I177" i="3"/>
  <c r="K177" i="3" s="1"/>
  <c r="K174" i="3" s="1"/>
  <c r="I14" i="2"/>
  <c r="K14" i="2" s="1"/>
  <c r="K206" i="2"/>
  <c r="K114" i="2"/>
  <c r="I10" i="2"/>
  <c r="K10" i="2" s="1"/>
  <c r="I9" i="2"/>
  <c r="K9" i="2" s="1"/>
  <c r="K95" i="2"/>
  <c r="K194" i="6"/>
  <c r="I14" i="6"/>
  <c r="K14" i="6" s="1"/>
  <c r="K181" i="2"/>
  <c r="I13" i="2"/>
  <c r="K13" i="2" s="1"/>
  <c r="K66" i="7"/>
  <c r="K68" i="7" s="1"/>
  <c r="I8" i="7"/>
  <c r="K8" i="7" s="1"/>
  <c r="I7" i="7"/>
  <c r="K7" i="7" s="1"/>
  <c r="K6" i="7" s="1"/>
  <c r="K45" i="7"/>
  <c r="I15" i="6"/>
  <c r="K15" i="6" s="1"/>
  <c r="K220" i="6"/>
  <c r="I13" i="6"/>
  <c r="K13" i="6" s="1"/>
  <c r="K172" i="6"/>
  <c r="I11" i="2"/>
  <c r="K11" i="2" s="1"/>
  <c r="K135" i="2"/>
  <c r="I11" i="6"/>
  <c r="K11" i="6" s="1"/>
  <c r="K128" i="6"/>
  <c r="I10" i="6"/>
  <c r="K10" i="6" s="1"/>
  <c r="K107" i="6"/>
  <c r="I9" i="6"/>
  <c r="K9" i="6" s="1"/>
  <c r="K86" i="6"/>
  <c r="K67" i="6"/>
  <c r="I8" i="6"/>
  <c r="K8" i="6" s="1"/>
  <c r="I7" i="6"/>
  <c r="K7" i="6" s="1"/>
  <c r="K46" i="6"/>
  <c r="K122" i="5"/>
  <c r="I10" i="5"/>
  <c r="K10" i="5" s="1"/>
  <c r="K97" i="5"/>
  <c r="I9" i="5"/>
  <c r="K9" i="5" s="1"/>
  <c r="K76" i="5"/>
  <c r="I8" i="5"/>
  <c r="K8" i="5" s="1"/>
  <c r="I7" i="5"/>
  <c r="K7" i="5" s="1"/>
  <c r="K6" i="5" s="1"/>
  <c r="K50" i="5"/>
  <c r="K124" i="5" s="1"/>
  <c r="K471" i="5" s="1"/>
  <c r="I478" i="5" s="1"/>
  <c r="K478" i="5" s="1"/>
  <c r="I22" i="5" s="1"/>
  <c r="K22" i="5" s="1"/>
  <c r="K298" i="4"/>
  <c r="I18" i="4"/>
  <c r="K18" i="4" s="1"/>
  <c r="I17" i="4"/>
  <c r="K17" i="4" s="1"/>
  <c r="K272" i="4"/>
  <c r="I16" i="4"/>
  <c r="K16" i="4" s="1"/>
  <c r="K250" i="4"/>
  <c r="I15" i="4"/>
  <c r="K15" i="4" s="1"/>
  <c r="K228" i="4"/>
  <c r="K206" i="4"/>
  <c r="I14" i="4"/>
  <c r="K14" i="4" s="1"/>
  <c r="K272" i="2"/>
  <c r="I17" i="2"/>
  <c r="K17" i="2" s="1"/>
  <c r="I16" i="2"/>
  <c r="K16" i="2" s="1"/>
  <c r="K250" i="2"/>
  <c r="I15" i="2"/>
  <c r="K15" i="2" s="1"/>
  <c r="K228" i="2"/>
  <c r="I12" i="2"/>
  <c r="K12" i="2" s="1"/>
  <c r="K160" i="2"/>
  <c r="K70" i="2"/>
  <c r="I8" i="2"/>
  <c r="K8" i="2" s="1"/>
  <c r="I9" i="4"/>
  <c r="K9" i="4" s="1"/>
  <c r="K95" i="4"/>
  <c r="I8" i="4"/>
  <c r="K8" i="4" s="1"/>
  <c r="K70" i="4"/>
  <c r="I7" i="4"/>
  <c r="K7" i="4" s="1"/>
  <c r="K49" i="4"/>
  <c r="I10" i="3"/>
  <c r="K10" i="3" s="1"/>
  <c r="K121" i="3"/>
  <c r="K96" i="3"/>
  <c r="I9" i="3"/>
  <c r="K9" i="3" s="1"/>
  <c r="I18" i="2"/>
  <c r="K18" i="2" s="1"/>
  <c r="K298" i="2"/>
  <c r="I8" i="3"/>
  <c r="K8" i="3" s="1"/>
  <c r="K75" i="3"/>
  <c r="I7" i="3"/>
  <c r="K7" i="3" s="1"/>
  <c r="K49" i="3"/>
  <c r="I7" i="2"/>
  <c r="K7" i="2" s="1"/>
  <c r="K49" i="2"/>
  <c r="K300" i="2" s="1"/>
  <c r="K454" i="2" s="1"/>
  <c r="K466" i="2" s="1"/>
  <c r="K64" i="9"/>
  <c r="I8" i="9"/>
  <c r="K43" i="9"/>
  <c r="K7" i="9" s="1"/>
  <c r="I7" i="9"/>
  <c r="I7" i="8"/>
  <c r="K7" i="8" s="1"/>
  <c r="K6" i="8" s="1"/>
  <c r="K32" i="8"/>
  <c r="K36" i="8" s="1"/>
  <c r="K60" i="8" s="1"/>
  <c r="I12" i="6"/>
  <c r="K12" i="6" s="1"/>
  <c r="K150" i="6"/>
  <c r="I171" i="7" l="1"/>
  <c r="G179" i="7"/>
  <c r="K190" i="3"/>
  <c r="K16" i="3"/>
  <c r="K14" i="3" s="1"/>
  <c r="K476" i="2"/>
  <c r="I445" i="3" s="1"/>
  <c r="K445" i="3" s="1"/>
  <c r="I472" i="2"/>
  <c r="K472" i="2" s="1"/>
  <c r="K473" i="2" s="1"/>
  <c r="K28" i="2" s="1"/>
  <c r="K66" i="9"/>
  <c r="K226" i="9" s="1"/>
  <c r="K8" i="9"/>
  <c r="K6" i="9" s="1"/>
  <c r="I64" i="8"/>
  <c r="K64" i="8" s="1"/>
  <c r="K65" i="8" s="1"/>
  <c r="K222" i="6"/>
  <c r="K368" i="6" s="1"/>
  <c r="K6" i="6"/>
  <c r="K300" i="4"/>
  <c r="K446" i="4" s="1"/>
  <c r="K6" i="4"/>
  <c r="K6" i="3"/>
  <c r="K124" i="3"/>
  <c r="K439" i="3" s="1"/>
  <c r="K6" i="2"/>
  <c r="K29" i="2" s="1"/>
  <c r="K213" i="7" l="1"/>
  <c r="I110" i="7" s="1"/>
  <c r="I13" i="7" s="1"/>
  <c r="K171" i="7"/>
  <c r="K113" i="7" s="1"/>
  <c r="I113" i="7"/>
  <c r="K179" i="7"/>
  <c r="K114" i="7" s="1"/>
  <c r="G192" i="7"/>
  <c r="I20" i="3"/>
  <c r="K20" i="3" s="1"/>
  <c r="I233" i="9"/>
  <c r="K233" i="9" s="1"/>
  <c r="I17" i="9" s="1"/>
  <c r="K17" i="9" s="1"/>
  <c r="I373" i="6"/>
  <c r="K373" i="6" s="1"/>
  <c r="K374" i="6" s="1"/>
  <c r="K25" i="6" s="1"/>
  <c r="K26" i="6" s="1"/>
  <c r="K377" i="6"/>
  <c r="I323" i="7" s="1"/>
  <c r="K323" i="7" s="1"/>
  <c r="I451" i="4"/>
  <c r="K451" i="4" s="1"/>
  <c r="K452" i="4" s="1"/>
  <c r="I446" i="3"/>
  <c r="K446" i="3" s="1"/>
  <c r="K11" i="8"/>
  <c r="K12" i="8" s="1"/>
  <c r="K68" i="8"/>
  <c r="I232" i="9" s="1"/>
  <c r="K232" i="9" s="1"/>
  <c r="K192" i="7" l="1"/>
  <c r="K115" i="7" s="1"/>
  <c r="G203" i="7"/>
  <c r="I17" i="7"/>
  <c r="K17" i="7" s="1"/>
  <c r="I16" i="9"/>
  <c r="K16" i="9" s="1"/>
  <c r="K234" i="9"/>
  <c r="K28" i="4"/>
  <c r="K29" i="4" s="1"/>
  <c r="K455" i="4"/>
  <c r="I477" i="5" s="1"/>
  <c r="K477" i="5" s="1"/>
  <c r="I21" i="3"/>
  <c r="K21" i="3" s="1"/>
  <c r="K19" i="3" s="1"/>
  <c r="K22" i="3" s="1"/>
  <c r="K447" i="3"/>
  <c r="K450" i="3" s="1"/>
  <c r="K203" i="7" l="1"/>
  <c r="K116" i="7" s="1"/>
  <c r="G208" i="7"/>
  <c r="K208" i="7" s="1"/>
  <c r="K237" i="9"/>
  <c r="K15" i="9"/>
  <c r="K18" i="9" s="1"/>
  <c r="I21" i="5"/>
  <c r="K21" i="5" s="1"/>
  <c r="K20" i="5" s="1"/>
  <c r="K23" i="5" s="1"/>
  <c r="K479" i="5"/>
  <c r="K482" i="5" s="1"/>
  <c r="H16" i="1"/>
  <c r="K24" i="3"/>
  <c r="K23" i="3"/>
  <c r="K117" i="7" l="1"/>
  <c r="K214" i="7"/>
  <c r="K19" i="9"/>
  <c r="H19" i="1"/>
  <c r="K24" i="5"/>
  <c r="K25" i="5"/>
  <c r="H17" i="1"/>
  <c r="I16" i="1"/>
  <c r="G16" i="1"/>
  <c r="K110" i="7" l="1"/>
  <c r="K298" i="7"/>
  <c r="K317" i="7" s="1"/>
  <c r="I19" i="1"/>
  <c r="G19" i="1"/>
  <c r="I17" i="1"/>
  <c r="G17" i="1"/>
  <c r="K126" i="7" l="1"/>
  <c r="K13" i="7"/>
  <c r="K12" i="7" s="1"/>
  <c r="I324" i="7"/>
  <c r="K324" i="7" s="1"/>
  <c r="K325" i="7" l="1"/>
  <c r="K328" i="7" s="1"/>
  <c r="I18" i="7"/>
  <c r="K18" i="7" s="1"/>
  <c r="K16" i="7" s="1"/>
  <c r="K19" i="7" s="1"/>
  <c r="H18" i="1" l="1"/>
  <c r="K21" i="7"/>
  <c r="K20" i="7"/>
  <c r="H20" i="1" l="1"/>
  <c r="I18" i="1"/>
  <c r="I20" i="1" s="1"/>
  <c r="H12" i="1" s="1"/>
  <c r="G18" i="1"/>
</calcChain>
</file>

<file path=xl/sharedStrings.xml><?xml version="1.0" encoding="utf-8"?>
<sst xmlns="http://schemas.openxmlformats.org/spreadsheetml/2006/main" count="6547" uniqueCount="1705">
  <si>
    <t>1. RESUMO</t>
  </si>
  <si>
    <t>OBJETO</t>
  </si>
  <si>
    <r>
      <rPr>
        <sz val="11"/>
        <color theme="1"/>
        <rFont val="Arial"/>
      </rPr>
      <t>Contratação</t>
    </r>
    <r>
      <rPr>
        <sz val="11"/>
        <color rgb="FFFF0000"/>
        <rFont val="Arial"/>
      </rPr>
      <t xml:space="preserve"> </t>
    </r>
    <r>
      <rPr>
        <sz val="11"/>
        <color theme="1"/>
        <rFont val="Arial"/>
      </rPr>
      <t>emergencial</t>
    </r>
    <r>
      <rPr>
        <sz val="11"/>
        <color theme="1"/>
        <rFont val="Arial"/>
      </rPr>
      <t xml:space="preserve"> de empresa para a prestação de serviços de coleta domiciliar, urbana e rural, coleta conteinerizada, coleta seletiva de resíduos recicláveis, coleta de óleo saturado de cozinha e respectivos transportes até o destino final</t>
    </r>
  </si>
  <si>
    <t>DISPENSA DE LICITAÇÃO Nº 03/2026</t>
  </si>
  <si>
    <t>DATA: _____/10/2026</t>
  </si>
  <si>
    <t>Discriminação dos Serviços (dados referentes à contratação)</t>
  </si>
  <si>
    <t>A</t>
  </si>
  <si>
    <t>Contratante</t>
  </si>
  <si>
    <t>SANEP</t>
  </si>
  <si>
    <t>B</t>
  </si>
  <si>
    <t>Município/UF</t>
  </si>
  <si>
    <t>Pelotas/RS</t>
  </si>
  <si>
    <t>C</t>
  </si>
  <si>
    <t>Tipo de Serviço</t>
  </si>
  <si>
    <t>Serviço de Engenharia</t>
  </si>
  <si>
    <t>D</t>
  </si>
  <si>
    <t>Número de meses de execução contratual</t>
  </si>
  <si>
    <t>E</t>
  </si>
  <si>
    <t>Estimativa total de contratação para o período</t>
  </si>
  <si>
    <t xml:space="preserve">3. COMPOSIÇÃO DE CUSTOS COM COLETA DE RESÍDUOS SÓLIDOS DOMÉSTICOS </t>
  </si>
  <si>
    <t>ITEM</t>
  </si>
  <si>
    <t>SERVIÇO</t>
  </si>
  <si>
    <t>QUANTIDADE MENSAL</t>
  </si>
  <si>
    <t>UNIDADE</t>
  </si>
  <si>
    <t>VALOR UNITÁRIO</t>
  </si>
  <si>
    <t>VALOR MENSAL ESTIMADO</t>
  </si>
  <si>
    <t>VALOR TOTAL ESTIMADO POR 
6 MESES</t>
  </si>
  <si>
    <t>2. COMPOSIÇÃO DE CUSTOS COM ADMINISTRAÇÃO LOCAL – COLETA CONTEINERIZADA</t>
  </si>
  <si>
    <t>Serviços de coleta e transporte de Resíduos Sólidos Domésticos da zona urbana e rural</t>
  </si>
  <si>
    <t>ORÇAMENTO SINTÉTICO</t>
  </si>
  <si>
    <t>Tonelada</t>
  </si>
  <si>
    <t>DESCRIÇÃO DO ITEM</t>
  </si>
  <si>
    <t>QUANT.</t>
  </si>
  <si>
    <t>CUSTO UNITÁRIO MENSAL</t>
  </si>
  <si>
    <t>CUSTO TOTAL MENSAL</t>
  </si>
  <si>
    <t xml:space="preserve">3.1. </t>
  </si>
  <si>
    <t>MÃO DE OBRA DIRETA</t>
  </si>
  <si>
    <t>Serviços de coleta conteinerizada, e de transporte de resíduos sólidos domésticos</t>
  </si>
  <si>
    <t>Contêiner</t>
  </si>
  <si>
    <t xml:space="preserve">2.1. </t>
  </si>
  <si>
    <t>MÃO DE OBRA INDIRETA</t>
  </si>
  <si>
    <t>3.1.1.</t>
  </si>
  <si>
    <t>2. COMPOSIÇÃO DE CUSTOS COM ADMINISTRAÇÃO LOCAL</t>
  </si>
  <si>
    <t>Coletor (diurno)</t>
  </si>
  <si>
    <t xml:space="preserve">Serviços de coleta seletiva e transporte de resíduos recicláveis </t>
  </si>
  <si>
    <t>Equipe</t>
  </si>
  <si>
    <t>Serviços de coleta e transporte de óleo saturado de cozinha.</t>
  </si>
  <si>
    <t>3.1.2.</t>
  </si>
  <si>
    <t>Serviço</t>
  </si>
  <si>
    <t>Coletor (noturno)</t>
  </si>
  <si>
    <t>TOTAL</t>
  </si>
  <si>
    <t>3.1.3.</t>
  </si>
  <si>
    <t>Motorista (diurno)</t>
  </si>
  <si>
    <t>2.1.1.</t>
  </si>
  <si>
    <t>Gerente Geral</t>
  </si>
  <si>
    <t>3.1.4.</t>
  </si>
  <si>
    <t>Motorista (noturno)</t>
  </si>
  <si>
    <t>3.2.</t>
  </si>
  <si>
    <t>UNIFORMES E EPIs</t>
  </si>
  <si>
    <t>2.1.2.</t>
  </si>
  <si>
    <t>Encarregado (diurno)</t>
  </si>
  <si>
    <t>3.2.1.</t>
  </si>
  <si>
    <t>Uniformes e EPIs para coletores</t>
  </si>
  <si>
    <t>2.1.3.</t>
  </si>
  <si>
    <t>Encarregado (noturno)</t>
  </si>
  <si>
    <t>3.2.2.</t>
  </si>
  <si>
    <t>Uniformes e EPIs para motoristas</t>
  </si>
  <si>
    <t>2.1.4.</t>
  </si>
  <si>
    <t>Auxiliar Administrativo</t>
  </si>
  <si>
    <t>3.3.</t>
  </si>
  <si>
    <t>VEÍCULOS E EQUIPAMENTOS</t>
  </si>
  <si>
    <t>2.1.5.</t>
  </si>
  <si>
    <t>Mecânico</t>
  </si>
  <si>
    <t>3.3.1.</t>
  </si>
  <si>
    <t>Veículo coletor compactador 18 m³</t>
  </si>
  <si>
    <t>2.1.6.</t>
  </si>
  <si>
    <t>Mecânico (Noturno)</t>
  </si>
  <si>
    <t>Mecânico (diurno)</t>
  </si>
  <si>
    <t>3.3.2.</t>
  </si>
  <si>
    <t>Veículo coletor compactador 15 m³</t>
  </si>
  <si>
    <t>Mecânico (noturno)</t>
  </si>
  <si>
    <t>2.1.7.</t>
  </si>
  <si>
    <t>Auxiliar de Mecânico</t>
  </si>
  <si>
    <t>3.3.3.</t>
  </si>
  <si>
    <t>Veículo tipo caminhonete cabine simples</t>
  </si>
  <si>
    <t>Auxiliar de Mecânico (diurno)</t>
  </si>
  <si>
    <t>2.1.8.</t>
  </si>
  <si>
    <t>Auxiliar de Mecânico (Noturno)</t>
  </si>
  <si>
    <t>2.1.9.</t>
  </si>
  <si>
    <t>Auxiliar de Mecânico (noturno)</t>
  </si>
  <si>
    <t>Auxiliar de Serviços Gerais</t>
  </si>
  <si>
    <t>3.4.</t>
  </si>
  <si>
    <t>FERRAMENTAS E MATERIAIS DE CONSUMO</t>
  </si>
  <si>
    <t>2.1.10.</t>
  </si>
  <si>
    <t>Lavador de Veículos</t>
  </si>
  <si>
    <t>3.5.</t>
  </si>
  <si>
    <t>DESPESAS ADMINISTRATIVAS</t>
  </si>
  <si>
    <t>2.1.11.</t>
  </si>
  <si>
    <t>3.5.1</t>
  </si>
  <si>
    <t>Despesas com administração local</t>
  </si>
  <si>
    <t>Vigia (diurno)</t>
  </si>
  <si>
    <t>3.5.2</t>
  </si>
  <si>
    <t>BDI</t>
  </si>
  <si>
    <t>2.1.12.</t>
  </si>
  <si>
    <t>Vigia (noturno)</t>
  </si>
  <si>
    <t>TOTAL ESTIMADO MENSAL</t>
  </si>
  <si>
    <t>2.2.</t>
  </si>
  <si>
    <t>TOTAL ESTIMADO (6 meses)</t>
  </si>
  <si>
    <t>TOTAL ESTIMADO MENSAL POR TONELADA</t>
  </si>
  <si>
    <t>2.2.1.</t>
  </si>
  <si>
    <t>TONELADA</t>
  </si>
  <si>
    <t>Uniformes e EPIs para Gerente e Auxiliar Administrativo</t>
  </si>
  <si>
    <t>3.1. DETALHAMENTO MÃO DE OBRA DIRETA</t>
  </si>
  <si>
    <t>3.1.1. Coletor (diurno)</t>
  </si>
  <si>
    <t>2.2.2.</t>
  </si>
  <si>
    <t>Uniformes e EPIs para Encarregado</t>
  </si>
  <si>
    <t>I</t>
  </si>
  <si>
    <t>Grupo I - Composição da Remuneração</t>
  </si>
  <si>
    <t>Quantidade</t>
  </si>
  <si>
    <t>Unidade</t>
  </si>
  <si>
    <t>Custo un.</t>
  </si>
  <si>
    <t>Valor mensal/Posto</t>
  </si>
  <si>
    <t>I.A</t>
  </si>
  <si>
    <t>Salário-base mensal</t>
  </si>
  <si>
    <t>2.2.3.</t>
  </si>
  <si>
    <t>Uniformes e EPIs para Mecânico e Auxiliar de Mecânico</t>
  </si>
  <si>
    <t>h</t>
  </si>
  <si>
    <t>2.2.4.</t>
  </si>
  <si>
    <t xml:space="preserve">Uniformes e EPIs para Auxiliar de Serviços Gerais e Lavador de Veículos </t>
  </si>
  <si>
    <t>I.B</t>
  </si>
  <si>
    <t>Hora extra 100% (feriados)</t>
  </si>
  <si>
    <t>2.2.5.</t>
  </si>
  <si>
    <t>Uniformes e EPIs para Vigia</t>
  </si>
  <si>
    <t>2.3.</t>
  </si>
  <si>
    <t>I.C</t>
  </si>
  <si>
    <t>Descanso Semanal Remunerado (DSR) - hora extra</t>
  </si>
  <si>
    <t>2.3.1.</t>
  </si>
  <si>
    <t>Veículo tipo popular</t>
  </si>
  <si>
    <t>I.D</t>
  </si>
  <si>
    <t>Adicional de Insalubridade</t>
  </si>
  <si>
    <t>2.4.</t>
  </si>
  <si>
    <t>%</t>
  </si>
  <si>
    <t>TOTAL GRUPO I</t>
  </si>
  <si>
    <t>2.5.</t>
  </si>
  <si>
    <t>DESPESAS MENSAIS TOTAIS COM ADMINISTRAÇÃO LOCAL</t>
  </si>
  <si>
    <t>II</t>
  </si>
  <si>
    <t>Grupo II - Encargos Sociais</t>
  </si>
  <si>
    <t>II.A</t>
  </si>
  <si>
    <t>Obrigações Sociais</t>
  </si>
  <si>
    <t>2.1. DETALHAMENTO MÃO DE OBRA INDIRETA</t>
  </si>
  <si>
    <t>II.B</t>
  </si>
  <si>
    <t>Tempo não trabalhado (reposição de profissional ausente)</t>
  </si>
  <si>
    <t>II.C</t>
  </si>
  <si>
    <t>Provisão para rescisão</t>
  </si>
  <si>
    <t>2.1.1. Gerente Geral</t>
  </si>
  <si>
    <t>II.D</t>
  </si>
  <si>
    <t>Reincidências</t>
  </si>
  <si>
    <t>TOTAL GRUPO II</t>
  </si>
  <si>
    <t>III</t>
  </si>
  <si>
    <t>Grupo III - Demais Custos Relativos à Norma Coletiva ou Disposições Legais</t>
  </si>
  <si>
    <t>Média/Mês</t>
  </si>
  <si>
    <t>Desc. (%)</t>
  </si>
  <si>
    <t>III.A</t>
  </si>
  <si>
    <t>Auxílio-alimentação (Desconto: cláusula 19ª CCT SEEAC-Pel)</t>
  </si>
  <si>
    <t>III.B</t>
  </si>
  <si>
    <t>Vale Transporte (4 Passagens/dia; Desc: cláusula 21ª CCT)</t>
  </si>
  <si>
    <t>III.C</t>
  </si>
  <si>
    <t>Plano de Benefício Familiar</t>
  </si>
  <si>
    <t>III.D</t>
  </si>
  <si>
    <t>Assiduidade</t>
  </si>
  <si>
    <t>TOTAL GRUPO III</t>
  </si>
  <si>
    <t>TOTAL MENSAL POR COLETOR DIURNO (GRUPO I+II+III)</t>
  </si>
  <si>
    <t>TOTAL MENSAL DO EFETIVO</t>
  </si>
  <si>
    <t>posto</t>
  </si>
  <si>
    <t>Auxílio-alimentação</t>
  </si>
  <si>
    <t>3.1.2. Coletor (noturno)</t>
  </si>
  <si>
    <t>Vale Transporte (4 Passagens/dia; Desconto: Lei 7.418/1985)</t>
  </si>
  <si>
    <t>Vale Transporte (4 passagens diárias)</t>
  </si>
  <si>
    <t>Adicional Noturno</t>
  </si>
  <si>
    <t>4. COMPOSIÇÃO DE CUSTOS COM COLETA CONTEINERIZADA</t>
  </si>
  <si>
    <t>h. trab.</t>
  </si>
  <si>
    <t>h. contab.</t>
  </si>
  <si>
    <t>TOTAL MENSAL POR GERENTE GERAL (GRUPO I+II+III)</t>
  </si>
  <si>
    <t>I.B.1</t>
  </si>
  <si>
    <t xml:space="preserve">4.1. </t>
  </si>
  <si>
    <t>I.B.2</t>
  </si>
  <si>
    <t>Hora extra noturna 100% (feriado)</t>
  </si>
  <si>
    <t>TOTAL MENSAL DO EFETIVO (1 POSTO)</t>
  </si>
  <si>
    <t>I.B.3</t>
  </si>
  <si>
    <t>Hora extra noturna 100% contabilizada</t>
  </si>
  <si>
    <t>2.1.2. Encarregado (diurno)</t>
  </si>
  <si>
    <t>4.1.1.</t>
  </si>
  <si>
    <t>I.B.4</t>
  </si>
  <si>
    <t>2.1.2. Encarregado (Diurno)</t>
  </si>
  <si>
    <t>4.1.2.</t>
  </si>
  <si>
    <t>I.A.1</t>
  </si>
  <si>
    <t>4.1.3.</t>
  </si>
  <si>
    <t>4.1.4.</t>
  </si>
  <si>
    <t>I.A.2</t>
  </si>
  <si>
    <t>4.2.</t>
  </si>
  <si>
    <t xml:space="preserve">Descanso Semanal Remunerado (DSR) </t>
  </si>
  <si>
    <t>4.2.1</t>
  </si>
  <si>
    <t>4.2.2</t>
  </si>
  <si>
    <t>4.3.</t>
  </si>
  <si>
    <t>4.3.1.</t>
  </si>
  <si>
    <t>4.3.2.</t>
  </si>
  <si>
    <t>Veículo tipo lava contêiner</t>
  </si>
  <si>
    <t>Assiduidade (cláusula 19ª CCT SEEAC-PEL)</t>
  </si>
  <si>
    <t>4.3.3.</t>
  </si>
  <si>
    <t>TOTAL MENSAL POR COLETOR NOTURNO (GRUPO I+II+III)</t>
  </si>
  <si>
    <t>4.3.4.</t>
  </si>
  <si>
    <t>Equipamento tipo contêiner PEAD</t>
  </si>
  <si>
    <t>4.4.</t>
  </si>
  <si>
    <t>3.1.3. Motorista (diurno)</t>
  </si>
  <si>
    <t>4.5.</t>
  </si>
  <si>
    <t>DESPESAS ADMINISTRATIVAS E BDI</t>
  </si>
  <si>
    <t>4.5.1.</t>
  </si>
  <si>
    <t>Despesas com Administração Local</t>
  </si>
  <si>
    <t>TOTAL MENSAL POR ENCARREGADO - DIURNO (GRUPO I+II+III)</t>
  </si>
  <si>
    <t>4.5.2.</t>
  </si>
  <si>
    <t>2.1.3. Encarregado (noturno)</t>
  </si>
  <si>
    <t>TOTAL ESTIMADO MENSAL POR CONTAINER</t>
  </si>
  <si>
    <t>2.1.3. Encarregado (Noturno)</t>
  </si>
  <si>
    <t>4.1. DETALHAMENTO MÃO DE OBRA DIRETA</t>
  </si>
  <si>
    <t>4.1.1. Coletor (diurno)</t>
  </si>
  <si>
    <t>Abono</t>
  </si>
  <si>
    <t>TOTAL MENSAL POR MOTORISTA DIURNO (GRUPO I+II+III)</t>
  </si>
  <si>
    <t>TOTAL MENSAL POR ENCARREGADO - NOTURNO (GRUPO I+II+III)</t>
  </si>
  <si>
    <t>3.1.4. Motorista (noturno)</t>
  </si>
  <si>
    <t>2.1.4. Auxiliar Administrativo</t>
  </si>
  <si>
    <t>4.1.2. Coletor (noturno)</t>
  </si>
  <si>
    <t>Hora extra noturna 100% (feriados)</t>
  </si>
  <si>
    <t>TOTAL MENSAL POR AUXILIAR ADMINISTRATIVO (GRUPO I+II+III)</t>
  </si>
  <si>
    <t>2.1.5. Mecânico</t>
  </si>
  <si>
    <t>2.1.5. Mecânico (diurno)</t>
  </si>
  <si>
    <t>TOTAL MENSAL POR MOTORISTA NOTURNO (GRUPO I+II+III)</t>
  </si>
  <si>
    <t>CUSTO MENSAL COM MÃO DE OBRA</t>
  </si>
  <si>
    <t>3.2. DETALHAMENTO UNIFORMES E EQUIPAMENTOS DE PROTEÇÃO INDIVIDUAL - MÃO DE OBRA DIRETA</t>
  </si>
  <si>
    <t>3.2.1. Uniformes e EPIs para Coletor</t>
  </si>
  <si>
    <t>Descrição</t>
  </si>
  <si>
    <t>Quant. semestral</t>
  </si>
  <si>
    <t>Preço médio un.</t>
  </si>
  <si>
    <t>Valor mensal unitário</t>
  </si>
  <si>
    <t>Valor mensal total</t>
  </si>
  <si>
    <t>Camiseta manga curta com refletivo</t>
  </si>
  <si>
    <t>Camiseta manga longa com refletivo</t>
  </si>
  <si>
    <t>Calça com refletivo</t>
  </si>
  <si>
    <t>Bermuda com refletivo</t>
  </si>
  <si>
    <t>Meia de algodão com cano alto (jogador de futebol)</t>
  </si>
  <si>
    <t>Boné tipo árabe</t>
  </si>
  <si>
    <t>Jaqueta com refletivo</t>
  </si>
  <si>
    <t>4.1.3. Motorista (diurno)</t>
  </si>
  <si>
    <t>Tênis de segurança</t>
  </si>
  <si>
    <t>TOTAL MENSAL POR MECÂNICO (GRUPO I+II+III)</t>
  </si>
  <si>
    <t>Óculos de proteção solar</t>
  </si>
  <si>
    <t>2.1.6. Mecânico (noturno)</t>
  </si>
  <si>
    <t>Conjunto impermeável (calça + jaqueta) c/ refletivo</t>
  </si>
  <si>
    <t>2.1.6. Mecânico (Noturno)</t>
  </si>
  <si>
    <t xml:space="preserve">Luva de segurança </t>
  </si>
  <si>
    <t>Protetor solar com repelente, FPS 30 (frasco 120 ml)</t>
  </si>
  <si>
    <t>CUSTO MENSAL TOTAL POR POSTO</t>
  </si>
  <si>
    <t>CUSTO MENSAL TOTAL</t>
  </si>
  <si>
    <t>3.2.2. Uniformes e EPIs para Motorista</t>
  </si>
  <si>
    <t>Camiseta manga curta</t>
  </si>
  <si>
    <t>Calça</t>
  </si>
  <si>
    <t>Botina de segurança</t>
  </si>
  <si>
    <t>Capa de chuva</t>
  </si>
  <si>
    <t>Colete refletivo</t>
  </si>
  <si>
    <t>4.1.4. Motorista (noturno)</t>
  </si>
  <si>
    <t>CUSTO MENSAL TOTAL DO EFETIVO</t>
  </si>
  <si>
    <t>CUSTO MENSAL COM UNIFORMES E EPIs</t>
  </si>
  <si>
    <t>3.3. VEÍCULOS E EQUIPAMENTOS</t>
  </si>
  <si>
    <t>Resumo Custos com Veículos e Equipamentos</t>
  </si>
  <si>
    <t>Item</t>
  </si>
  <si>
    <t>Custo mensal unitário</t>
  </si>
  <si>
    <t>Custo mensal total</t>
  </si>
  <si>
    <t>Veículo Coletor compactador 18m³</t>
  </si>
  <si>
    <t>3.3.1.1.</t>
  </si>
  <si>
    <t>Depreciação</t>
  </si>
  <si>
    <t>2.1.7. Auxiliar de Mecânico</t>
  </si>
  <si>
    <t>3.3.1.2.</t>
  </si>
  <si>
    <t>Remuneração do Capital</t>
  </si>
  <si>
    <t>3.3.1.3.</t>
  </si>
  <si>
    <t>Impostos, Seguros e Outros</t>
  </si>
  <si>
    <t>2.1.7. Auxiliar de Mecânico (diurno)</t>
  </si>
  <si>
    <t>3.3.1.4.</t>
  </si>
  <si>
    <t>Consumo de Combustível</t>
  </si>
  <si>
    <t>3.3.1.5.</t>
  </si>
  <si>
    <t>Óleos e Lubrificantes</t>
  </si>
  <si>
    <t>3.3.1.6.</t>
  </si>
  <si>
    <t>Pneus</t>
  </si>
  <si>
    <t>3.3.1.7.</t>
  </si>
  <si>
    <t>Manutenção</t>
  </si>
  <si>
    <t>Veículo Coletor Compactador 15 m³</t>
  </si>
  <si>
    <t>3.3.2.1.</t>
  </si>
  <si>
    <t>3.3.2.2.</t>
  </si>
  <si>
    <t>3.3.2.3.</t>
  </si>
  <si>
    <t>3.3.2.4.</t>
  </si>
  <si>
    <t>3.3.2.5.</t>
  </si>
  <si>
    <t>3.3.2.6.</t>
  </si>
  <si>
    <t>3.3.2.7.</t>
  </si>
  <si>
    <t>Veículo Tipo Caminhonete Cabine Simples</t>
  </si>
  <si>
    <t>3.3.3.1.</t>
  </si>
  <si>
    <t>3.3.3.2.</t>
  </si>
  <si>
    <t>TOTAL MENSAL POR AUXILIAR DE MECÂNICO (GRUPO I+II+III)</t>
  </si>
  <si>
    <t>3.3.3.3.</t>
  </si>
  <si>
    <t>3.3.3.4.</t>
  </si>
  <si>
    <t>3.3.3.5.</t>
  </si>
  <si>
    <t>2.1.8. Auxiliar de Mecânico (Noturno)</t>
  </si>
  <si>
    <t>3.3.3.6.</t>
  </si>
  <si>
    <t>3.3.3.7.</t>
  </si>
  <si>
    <t>CUSTO MENSAL  COM MÃO DE OBRA</t>
  </si>
  <si>
    <t>CUSTO MENSAL ESTIMADO</t>
  </si>
  <si>
    <t>2.1.8. Auxiliar de Mecânico (noturno)</t>
  </si>
  <si>
    <t>4.2. DETALHAMENTO UNIFORMES E EQUIPAMENTOS DE PROTEÇÃO INDIVIDUAL - MÃO DE OBRA DIRETA</t>
  </si>
  <si>
    <t>3.3.1. Veículo Coletor Compactador 18 m³</t>
  </si>
  <si>
    <t>4.2.1. Uniformes e EPIs para Coletor</t>
  </si>
  <si>
    <t>3.3.1.1. Depreciação</t>
  </si>
  <si>
    <t>Quant.
semestral</t>
  </si>
  <si>
    <t>Custo unitário</t>
  </si>
  <si>
    <t>Custo total</t>
  </si>
  <si>
    <t>Custo de aquisição do chassis (Truck 6x2 - PBT 24 T)</t>
  </si>
  <si>
    <t>Vida útil do chassis</t>
  </si>
  <si>
    <t>anos</t>
  </si>
  <si>
    <t>Idade do veículo</t>
  </si>
  <si>
    <t>Depreciação do chassis</t>
  </si>
  <si>
    <t>Depreciação mensal veículos coletores</t>
  </si>
  <si>
    <t>mês</t>
  </si>
  <si>
    <t>Custo de aquisição do compactador (18 m³)</t>
  </si>
  <si>
    <t>Vida útil do compactador</t>
  </si>
  <si>
    <t>Idade do compactador</t>
  </si>
  <si>
    <t>Depreciação do compactador</t>
  </si>
  <si>
    <t>Depreciação mensal do compactador</t>
  </si>
  <si>
    <t>Total depreciação mensal por veículo</t>
  </si>
  <si>
    <t>Total depreciação mensal da frota</t>
  </si>
  <si>
    <t>unidade</t>
  </si>
  <si>
    <t>3.3.1.2. Remuneração do Capital</t>
  </si>
  <si>
    <t>Custo do chassis (Truck 6x2 - PBT 24 T)</t>
  </si>
  <si>
    <t>Taxa de juros anual nominal (Selic)</t>
  </si>
  <si>
    <t>2.1.9. Auxiliar de Serviços Gerais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</si>
  <si>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</si>
  <si>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Investimento médio total do chassis</t>
  </si>
  <si>
    <t>4.2.2. Uniformes e EPIs para Motorista</t>
  </si>
  <si>
    <t>Remuneração mensal de capital do chassis</t>
  </si>
  <si>
    <t>Custo do compactador (18 m³)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</si>
  <si>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</si>
  <si>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Investimento médio total do compactador</t>
  </si>
  <si>
    <t>Remuneração mensal de capital do compactador</t>
  </si>
  <si>
    <t>Total remuneração de capital mensal por veículo</t>
  </si>
  <si>
    <t>Total remuneração de capital mensal da frota</t>
  </si>
  <si>
    <r>
      <rPr>
        <sz val="10"/>
        <color theme="1"/>
        <rFont val="Calibri"/>
      </rPr>
      <t>Base de cálculo do Investimento Médio por veículo:  Investimento Médio = (Valor inicial (V</t>
    </r>
    <r>
      <rPr>
        <vertAlign val="subscript"/>
        <sz val="10"/>
        <color theme="1"/>
        <rFont val="Calibri"/>
      </rPr>
      <t>0</t>
    </r>
    <r>
      <rPr>
        <sz val="10"/>
        <color theme="1"/>
        <rFont val="Calibri"/>
      </rPr>
      <t>) - Valor Residual) x [(vida útil do veículo + 1)/(2xVida útil do veículo)] + Valor Residual
Base de cálculo da Remuneração de Capital mensal por veículo:  Remuneração de Capital Mensal =  (Investimento Médio x Taxa de Juros)/12</t>
    </r>
  </si>
  <si>
    <t>TOTAL MENSAL POR AUXILIAR DE SERVIÇOS GERAIS (GRUPO I+II+III)</t>
  </si>
  <si>
    <t>3.3.1.3. Impostos, Seguros e Outros</t>
  </si>
  <si>
    <t>2.1.10. Lavador de Veículos</t>
  </si>
  <si>
    <t>Custo total mensal</t>
  </si>
  <si>
    <t>IPVA (anual)</t>
  </si>
  <si>
    <t>Licenciamento (anual)</t>
  </si>
  <si>
    <t>4.3. VEÍCULOS E EQUIPAMENTOS</t>
  </si>
  <si>
    <t>Seguro contra terceiros (anual)</t>
  </si>
  <si>
    <t>Rastreamento e monitoramento veicular (mensal)</t>
  </si>
  <si>
    <t>Impostos e seguros mensais totais da frota</t>
  </si>
  <si>
    <t>3.3.1.4. Consumo de combustível</t>
  </si>
  <si>
    <t>4.3.1.1.</t>
  </si>
  <si>
    <t>Quilometragem mensal estimada/veículo</t>
  </si>
  <si>
    <t>km/mês</t>
  </si>
  <si>
    <t>Estimativa de consumo de óleo diesel</t>
  </si>
  <si>
    <t>4.3.1.2.</t>
  </si>
  <si>
    <t>km/litro</t>
  </si>
  <si>
    <t>Preço do combustível - óleo diesel</t>
  </si>
  <si>
    <t>litro</t>
  </si>
  <si>
    <t>4.3.1.3.</t>
  </si>
  <si>
    <t>Custo mensal com combustível/veículo</t>
  </si>
  <si>
    <t>litro/mês</t>
  </si>
  <si>
    <t>4.3.1.4.</t>
  </si>
  <si>
    <t>Custo mensal total com combustível da frota</t>
  </si>
  <si>
    <t>4.3.1.5.</t>
  </si>
  <si>
    <t>Preço do combustível baseado no Preço Médio de Revenda no município de Pelotas, outubro/2026, conforme Tabela da ANP.</t>
  </si>
  <si>
    <t>4.3.1.6.</t>
  </si>
  <si>
    <t>3.3.1.5. Óleos e Lubrificantes</t>
  </si>
  <si>
    <t>4.3.1.7.</t>
  </si>
  <si>
    <t>Veículo Tipo Lava Contêiner</t>
  </si>
  <si>
    <t>Custo de óleo do motor/1.000 km rodados</t>
  </si>
  <si>
    <t>l/1.000km</t>
  </si>
  <si>
    <t>4.3.2.1.</t>
  </si>
  <si>
    <t>Custo mensal com óleo de motor</t>
  </si>
  <si>
    <t>TOTAL MENSAL POR LAVADOR DE VEÍCULOS (GRUPO I+II+III)</t>
  </si>
  <si>
    <t>4.3.2.2.</t>
  </si>
  <si>
    <t>Custo de óleo da transmissão/1.000 km rodados</t>
  </si>
  <si>
    <t>4.3.2.3.</t>
  </si>
  <si>
    <t>2.1.11. Vigia (diurno) - Escala 12 x 36</t>
  </si>
  <si>
    <t>Custo mensal com óleo de transmissão</t>
  </si>
  <si>
    <t>4.3.2.4.</t>
  </si>
  <si>
    <t>Custo de óleo hidráulico/1.000 km rodados</t>
  </si>
  <si>
    <t>4.3.2.5.</t>
  </si>
  <si>
    <t>4.3.2.6.</t>
  </si>
  <si>
    <t>Custo mensal com óleo hidráulico</t>
  </si>
  <si>
    <t>4.3.2.7.</t>
  </si>
  <si>
    <t>Custo de graxa/1.000 km rodados</t>
  </si>
  <si>
    <t>kg/1.000km</t>
  </si>
  <si>
    <t>Custo mensal com graxa</t>
  </si>
  <si>
    <t>4.3.3.1.</t>
  </si>
  <si>
    <t>Custo mensal total com óleos e lubrificantes da frota</t>
  </si>
  <si>
    <t>4.3.3.2.</t>
  </si>
  <si>
    <t>3.3.1.6. Pneus</t>
  </si>
  <si>
    <t>4.3.3.3.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</si>
  <si>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275/80 R22.5</t>
    </r>
  </si>
  <si>
    <t>4.3.3.4.</t>
  </si>
  <si>
    <t>Número de Recapagens por pneu</t>
  </si>
  <si>
    <t>Custo de recapagem</t>
  </si>
  <si>
    <t>Auxílio-alimentação (cláusula 20ª CCT SEEAC-PEL)</t>
  </si>
  <si>
    <t>4.3.3.5.</t>
  </si>
  <si>
    <t>Durabilidade média pneu novo</t>
  </si>
  <si>
    <t>4.3.3.6.</t>
  </si>
  <si>
    <t>km</t>
  </si>
  <si>
    <t>Durabilidade média por recapagem</t>
  </si>
  <si>
    <t>Custo jg. compl. + 2 recap./ km rodado</t>
  </si>
  <si>
    <t>4.3.3.7.</t>
  </si>
  <si>
    <t>km/jogo</t>
  </si>
  <si>
    <t>Custo mensal com pneus por veículo</t>
  </si>
  <si>
    <t>Equipamento tipo contêiner PEAD - 1.000 Litros</t>
  </si>
  <si>
    <t>Custo mensal total com pneus da frota</t>
  </si>
  <si>
    <t>4.3.4.1.</t>
  </si>
  <si>
    <t>3.3.1.7. Manutenção</t>
  </si>
  <si>
    <t>4.3.4.2.</t>
  </si>
  <si>
    <t>TOTAL MENSAL POR VIGIA (GRUPO I+II+III)</t>
  </si>
  <si>
    <t>Custo de manutenção mensal por veículo</t>
  </si>
  <si>
    <t>TOTAL MENSAL DO EFETIVO (2 POSTOS)</t>
  </si>
  <si>
    <t>Custo de manutenção mensal da frota</t>
  </si>
  <si>
    <t>2.1.12. Vigia (noturno) - Escala 12 x 36</t>
  </si>
  <si>
    <t xml:space="preserve">Custo unitário de manutenção baseado no custo de manutenção por km rodado em contratos de coleta de resíduos sólidos urbanos informados no Licitacon em 2016 (R$ 0,74/km), conforme apresentado na Orientação Técnica de Serviços de Coleta de Resíduos Sólidos Domiciliares – Projeto, Contratação e Fiscalização – TCE/RS – 2ª Edição, 2019. 
O valor foi corrigido pelo IPCA (inflação acumulada de 59,98% de jan/2017 a ago/2026). </t>
  </si>
  <si>
    <t>4.3.2. Veículo Coletor Compactador 15 m³</t>
  </si>
  <si>
    <t xml:space="preserve">Custo Mensal por Veículo Coletor Compactador 18 m³ </t>
  </si>
  <si>
    <t>4.3.2.1. Depreciação</t>
  </si>
  <si>
    <t>Custo Mensal Total da Frota</t>
  </si>
  <si>
    <t>Custo de aquisição do chassis (Toco 4x2 - PBT 17 T)</t>
  </si>
  <si>
    <t>3.3.2. Veículo Coletor Compactador 15 m³</t>
  </si>
  <si>
    <t>3.3.2.1. Depreciação</t>
  </si>
  <si>
    <t>Custo de aquisição do compactador (15 m³)</t>
  </si>
  <si>
    <t>4.3.2.2. Remuneração do Capital</t>
  </si>
  <si>
    <t>3.3.2.2. Remuneração do Capital</t>
  </si>
  <si>
    <t>Custo do chassis (Toco 4x2 - PBT 17 T)</t>
  </si>
  <si>
    <t>CUSTO MENSAL TOTAL COM MÃO DE OBRA INDIRETA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</si>
  <si>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</si>
  <si>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</si>
  <si>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2.2. DETALHAMENTO UNIFORMES E EQUIPAMENTOS DE PROTEÇÃO INDIVIDUAL - MÃO DE OBRA INDIRETA</t>
  </si>
  <si>
    <t>2.2.1. Uniformes e EPIs para Gerente e Auxiliar Administrativo</t>
  </si>
  <si>
    <t>Custo do compactador (15 m³)</t>
  </si>
  <si>
    <t>Jaqueta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</si>
  <si>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</si>
  <si>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CUSTO MENSAL  COM MÃO DE OBRA INDIRETA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</si>
  <si>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</si>
  <si>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CUSTO MENSAL TOTAL (2 postos)</t>
  </si>
  <si>
    <t xml:space="preserve">2.2.2. Uniformes e EPIs para Encarregado </t>
  </si>
  <si>
    <t>3.3.2.3. Impostos, Seguros e Outros</t>
  </si>
  <si>
    <t>CUSTO MENSAL TOTAL/POSTO</t>
  </si>
  <si>
    <t>2.2.2. Uniformes e EPIs para Encarregado</t>
  </si>
  <si>
    <r>
      <rPr>
        <sz val="10"/>
        <color theme="1"/>
        <rFont val="Calibri"/>
      </rPr>
      <t>Base de cálculo do Investimento Médio por veículo:  Investimento Médio = (Valor inicial (V</t>
    </r>
    <r>
      <rPr>
        <vertAlign val="subscript"/>
        <sz val="10"/>
        <color theme="1"/>
        <rFont val="Calibri"/>
      </rPr>
      <t>0</t>
    </r>
    <r>
      <rPr>
        <sz val="10"/>
        <color theme="1"/>
        <rFont val="Calibri"/>
      </rPr>
      <t>) - Valor Residual) x [(vida útil do veículo + 1)/(2xVida útil do veículo)] + Valor Residual
Base de cálculo da Remuneração de Capital mensal por veículo:  Remuneração de Capital Mensal =  (Investimento Médio x Taxa de Juros)/12</t>
    </r>
  </si>
  <si>
    <t xml:space="preserve">Colete refletivo </t>
  </si>
  <si>
    <t>4.3.2.3. Impostos, Seguros e Outros</t>
  </si>
  <si>
    <t>3.3.2.4. Consumo de combustível</t>
  </si>
  <si>
    <t>2.2.3. Uniformes e EPIs para Mecânico e Auxiliar de Mecânico</t>
  </si>
  <si>
    <t>Macacão manga curta</t>
  </si>
  <si>
    <t>Macacão manga longa</t>
  </si>
  <si>
    <t>Creme de proteção para as mãos</t>
  </si>
  <si>
    <t>3.3.2.5. Óleos e Lubrificantes</t>
  </si>
  <si>
    <t>4.3.2.4. Consumo de combustível</t>
  </si>
  <si>
    <t>Óculos de segurança com proteção lateral</t>
  </si>
  <si>
    <t>Luva multitato</t>
  </si>
  <si>
    <r>
      <rPr>
        <sz val="11"/>
        <color theme="1"/>
        <rFont val="Calibri"/>
      </rPr>
      <t xml:space="preserve">Preço do combustível - óleo diesel </t>
    </r>
    <r>
      <rPr>
        <vertAlign val="superscript"/>
        <sz val="11"/>
        <color theme="1"/>
        <rFont val="Calibri"/>
      </rPr>
      <t>1</t>
    </r>
  </si>
  <si>
    <t>CUSTO MENSAL TOTAL (4 postos)</t>
  </si>
  <si>
    <t>2.2.4. Uniformes e EPIs para Auxiliar de Serviços Gerais e Lavador de Veículos</t>
  </si>
  <si>
    <t>4.3.2.5. Óleos e Lubrificantes</t>
  </si>
  <si>
    <t>3.3.2.6. Pneus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</si>
  <si>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275/80 R22.5</t>
    </r>
  </si>
  <si>
    <t>Luva de látex</t>
  </si>
  <si>
    <t>Avental impermeável</t>
  </si>
  <si>
    <t>2.2.5. Uniformes e EPIs para Vigia</t>
  </si>
  <si>
    <t>3.3.2.7. Manutenção</t>
  </si>
  <si>
    <t>Botina ou coturno de segurança</t>
  </si>
  <si>
    <t>Colete Refletivo</t>
  </si>
  <si>
    <t>4.3.2.6. Pneus</t>
  </si>
  <si>
    <t xml:space="preserve">Custo Mensal por Veículo Coletor Compactador 15 m³ </t>
  </si>
  <si>
    <t>CUSTO MENSAL TOTAL COM UNIFORMES E EPIs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</si>
  <si>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275/80 R22.5</t>
    </r>
  </si>
  <si>
    <t>3.3.3. Caminhonete Cabine Simples (Apoio/Manutenção)</t>
  </si>
  <si>
    <t>2.3. VEÍCULOS E EQUIPAMENTOS</t>
  </si>
  <si>
    <t>3.3.3.1. Depreciação</t>
  </si>
  <si>
    <t>2.3.1. Veículo Tipo Popular</t>
  </si>
  <si>
    <t>Custo de aquisição do veículo</t>
  </si>
  <si>
    <t>2.3.1.1. Depreciação</t>
  </si>
  <si>
    <t>Vida útil do veículo</t>
  </si>
  <si>
    <t>Depreciação do veículo</t>
  </si>
  <si>
    <t>Depreciação mensal do veículo</t>
  </si>
  <si>
    <t>Valor Residual</t>
  </si>
  <si>
    <t>Depreciação para veículo tipo popular</t>
  </si>
  <si>
    <t>CUSTO MENSAL TOTAL/VIGIA</t>
  </si>
  <si>
    <t>Depreciação mensal por veículo</t>
  </si>
  <si>
    <t>3.3.3.2. Remuneração do Capital</t>
  </si>
  <si>
    <t>Custo do veículo</t>
  </si>
  <si>
    <t>Depreciação mensal total da frota</t>
  </si>
  <si>
    <t>CUSTO MENSAL  COM UNIFORMES E EPIs</t>
  </si>
  <si>
    <t>4.3.2.7. Manutenção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</si>
  <si>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</si>
  <si>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2.3.1.2. Remuneração do Capital</t>
  </si>
  <si>
    <t>Investimento médio total do veículo</t>
  </si>
  <si>
    <r>
      <rPr>
        <sz val="11"/>
        <color rgb="FF000000"/>
        <rFont val="Calibri"/>
      </rPr>
      <t>Valor do veículo proposto (V</t>
    </r>
    <r>
      <rPr>
        <vertAlign val="subscript"/>
        <sz val="11"/>
        <color rgb="FF000000"/>
        <rFont val="Calibri"/>
      </rPr>
      <t>0</t>
    </r>
    <r>
      <rPr>
        <sz val="11"/>
        <color rgb="FF000000"/>
        <rFont val="Calibri"/>
      </rPr>
      <t>)</t>
    </r>
  </si>
  <si>
    <t>Remuneração mensal de capital do veículo</t>
  </si>
  <si>
    <t>Veículo Tipo Carro Popular</t>
  </si>
  <si>
    <r>
      <rPr>
        <sz val="11"/>
        <color rgb="FF000000"/>
        <rFont val="Calibri"/>
      </rPr>
      <t>Investimento médio por veículo</t>
    </r>
    <r>
      <rPr>
        <b/>
        <vertAlign val="superscript"/>
        <sz val="11"/>
        <color rgb="FF000000"/>
        <rFont val="Calibri"/>
      </rPr>
      <t>(¹)</t>
    </r>
  </si>
  <si>
    <r>
      <rPr>
        <b/>
        <sz val="11"/>
        <color rgb="FF000000"/>
        <rFont val="Calibri"/>
      </rPr>
      <t>Remuneração de capital mensal por veículo</t>
    </r>
    <r>
      <rPr>
        <b/>
        <vertAlign val="superscript"/>
        <sz val="11"/>
        <color rgb="FF000000"/>
        <rFont val="Calibri"/>
      </rPr>
      <t>(²)</t>
    </r>
  </si>
  <si>
    <t>2.3.1.1.</t>
  </si>
  <si>
    <t>Remuneração de capital mensal total da frota</t>
  </si>
  <si>
    <t>3.3.3.3. Impostos, Seguros e Outros</t>
  </si>
  <si>
    <t>2.3.1.2.</t>
  </si>
  <si>
    <t>(¹) Base de cálculo do Investimento Médio por veículo: 
Investimento Médio = (Valor inicial (V0) - Valor Residual) x [(vida útil do veículo + 1)/(2xVida útil do veículo)] + Valor Residual
(²) Base de cálculo da Remuneração de Capital mensal por veículo: 
Remuneração de Capital Mensal =  (Investimento Médio x Taxa de Juros)/12</t>
  </si>
  <si>
    <t>2.3.1.3.</t>
  </si>
  <si>
    <t>2.3.1.3. Impostos, Seguros e Outros</t>
  </si>
  <si>
    <t>4.3.3. Veículo Tipo Lava Contêiner</t>
  </si>
  <si>
    <t>2.3.1.4.</t>
  </si>
  <si>
    <t>Consumos</t>
  </si>
  <si>
    <t>4.3.3.1. Depreciação</t>
  </si>
  <si>
    <t>2.3.1.5.</t>
  </si>
  <si>
    <t>Custo de aquisição do chassis (Toco 4x2 - PBT 13 T)</t>
  </si>
  <si>
    <t>2.3.1.6.</t>
  </si>
  <si>
    <t>Vistoria (1º Emplacamento)</t>
  </si>
  <si>
    <t>2.3.1. Veículo Tipo Carro Popular</t>
  </si>
  <si>
    <t>3.3.3.4. Consumo de combustível</t>
  </si>
  <si>
    <t>Impostos e seguros mensais por veículo</t>
  </si>
  <si>
    <t>Estimativa de consumo de gasolina</t>
  </si>
  <si>
    <t>Custo de aquisição do lava contêiner</t>
  </si>
  <si>
    <t>Preço do combustível (gasolina)</t>
  </si>
  <si>
    <t>Vida útil do lava contêiner</t>
  </si>
  <si>
    <t>2.3.1.4. Consumos</t>
  </si>
  <si>
    <t>Idade do lava contêiner</t>
  </si>
  <si>
    <t>Custo Total</t>
  </si>
  <si>
    <t>Depreciação do lava contêiner</t>
  </si>
  <si>
    <t>Total de Veículos</t>
  </si>
  <si>
    <t>3.3.3.5. Óleos e Lubrificantes</t>
  </si>
  <si>
    <t>Depreciação mensal do lava contêiner</t>
  </si>
  <si>
    <r>
      <rPr>
        <sz val="11"/>
        <color rgb="FF000000"/>
        <rFont val="Calibri"/>
      </rPr>
      <t>Estimativa de consumo (gasolina)</t>
    </r>
    <r>
      <rPr>
        <b/>
        <sz val="11"/>
        <color rgb="FF000000"/>
        <rFont val="Calibri"/>
      </rPr>
      <t>(³)</t>
    </r>
  </si>
  <si>
    <t>km/l</t>
  </si>
  <si>
    <r>
      <rPr>
        <sz val="11"/>
        <color rgb="FF000000"/>
        <rFont val="Calibri"/>
      </rPr>
      <t>Valor do combustível (gasolina)</t>
    </r>
    <r>
      <rPr>
        <b/>
        <vertAlign val="superscript"/>
        <sz val="11"/>
        <color rgb="FF000000"/>
        <rFont val="Calibri"/>
      </rPr>
      <t>(4)</t>
    </r>
  </si>
  <si>
    <t>Total Depreciação mensal da frota</t>
  </si>
  <si>
    <t>Custo mensal com combustível por veículo</t>
  </si>
  <si>
    <t xml:space="preserve">Custo mensal total com combustível </t>
  </si>
  <si>
    <t>Consumo mensal com óleo de motor por veículo</t>
  </si>
  <si>
    <t>l/1.000 km</t>
  </si>
  <si>
    <t>4.3.3.2. Remuneração do Capital</t>
  </si>
  <si>
    <t>Valor do óleo de motor</t>
  </si>
  <si>
    <t>Custo do chassis (Toco 4x2 - PBT 13 T)</t>
  </si>
  <si>
    <t>Custo mensal com óleo de motor por veículo</t>
  </si>
  <si>
    <t>l/mês</t>
  </si>
  <si>
    <t>Custo mensal total com óleo de motor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</si>
  <si>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</si>
  <si>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3.3.3.6. Pneus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</si>
  <si>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</si>
  <si>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205/60 R15</t>
    </r>
  </si>
  <si>
    <t>Custo mensal total com consumos da frota</t>
  </si>
  <si>
    <t>(³) Referente à média de km/litro de veículos leves com motor 1.0 da categoria médio apresentada na Tabela ano 2025 (17º Ciclo) do Programa Brasileiro de Etiquetagem Veicular - PBEV do INMETRO.
(4) Valor baseado no Preço Médio de Revenda da gasolina comum no município de Pelotas, outubro/2026, conforme Tabela da ANP.</t>
  </si>
  <si>
    <t>Custo jogo completo</t>
  </si>
  <si>
    <t>2.3.1.5. Pneus</t>
  </si>
  <si>
    <t>Custo do jogo de pneus 185/65R15</t>
  </si>
  <si>
    <t>Custo do lava contêiner</t>
  </si>
  <si>
    <t>Estimativa de reposição de jogo</t>
  </si>
  <si>
    <t>3.3.3.7. Manutenção</t>
  </si>
  <si>
    <t>Base de cálculo do Investimento Médio por veículo: 
Investimento Médio = (Valor inicial (V0) - Valor Residual) x [(vida útil do veículo + 1)/(2xVida útil do veículo)] + Valor Residual
Base de cálculo da Remuneração de Capital mensal por veículo: 
Remuneração de Capital Mensal =  (Investimento Médio x Taxa de Juros)/12</t>
  </si>
  <si>
    <t>Necessidade de jogo por mês/veículo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</si>
  <si>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</si>
  <si>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Total de veículos</t>
  </si>
  <si>
    <t>Investimento médio total do lava contêiner</t>
  </si>
  <si>
    <t>Custo Mensal por Veículo tipo Caminhonete</t>
  </si>
  <si>
    <t>Remuneração mensal de capital do lava contêiner</t>
  </si>
  <si>
    <t>2.3.1.6. Manutenção e Reparos</t>
  </si>
  <si>
    <t>CUSTO MENSAL COM VEÍCULOS E EQUIPAMENTOS</t>
  </si>
  <si>
    <t>Rastreamento e monitoramento veicular (mensaL)</t>
  </si>
  <si>
    <t>3.4. FERRAMENTAS E MATERIAIS DE CONSUMO</t>
  </si>
  <si>
    <t>Estimativa de revisão periódica</t>
  </si>
  <si>
    <t>Custo estimado revisão periódica</t>
  </si>
  <si>
    <t>Durabilidade (meses)</t>
  </si>
  <si>
    <t>serviço</t>
  </si>
  <si>
    <t>4.3.3.3. Impostos, Seguros e Outros</t>
  </si>
  <si>
    <t>3.4.1.</t>
  </si>
  <si>
    <t>Squeeze térmico em inox (1 L)</t>
  </si>
  <si>
    <t>Custo mensal de revisão periódica/veículo</t>
  </si>
  <si>
    <t>Estimativa de geometria e balanceamento</t>
  </si>
  <si>
    <t>3.4.2.</t>
  </si>
  <si>
    <t>Publicidade (adesivagem caminhões)</t>
  </si>
  <si>
    <t>Custo estimado de geometria e balanceamento</t>
  </si>
  <si>
    <t>Custo mensal de geometria e balanceamento/veículo</t>
  </si>
  <si>
    <t>3.4.3.</t>
  </si>
  <si>
    <t>Publicidade (adesivagem caminhonete)</t>
  </si>
  <si>
    <t>3.4.4.</t>
  </si>
  <si>
    <t>Bombona com torneira (10 L)</t>
  </si>
  <si>
    <t>Custo mensal total com manutenção por veículo</t>
  </si>
  <si>
    <t>Custo mensal total com manutenção da frota</t>
  </si>
  <si>
    <t>3.4.5.</t>
  </si>
  <si>
    <t>Frasco com válvula pump (500 ml)</t>
  </si>
  <si>
    <t>Estimativa de consumo (gasolina)</t>
  </si>
  <si>
    <t>3.4.6.</t>
  </si>
  <si>
    <t>Sabonete líquido bactericida (5 litros)</t>
  </si>
  <si>
    <t>CUSTO MENSAL TOTAL COM VEÍCULOS E EQUIPAMENTOS</t>
  </si>
  <si>
    <t>Valor do combustível (gasolina)</t>
  </si>
  <si>
    <t>3.4.7.</t>
  </si>
  <si>
    <t>Papel toalha (pacote 1000 folhas)</t>
  </si>
  <si>
    <t>3.4.8.</t>
  </si>
  <si>
    <t>Álcool gel 70% (5 litros)</t>
  </si>
  <si>
    <t>2.4. DESPESAS ADMINISTRATIVAS</t>
  </si>
  <si>
    <t>4.3.3.4. Consumo de combustível</t>
  </si>
  <si>
    <t>CUSTO MENSAL COM FERRAMENTAS E MATERIAIS DE CONSUMO</t>
  </si>
  <si>
    <t>Custo Total mensal</t>
  </si>
  <si>
    <t>Aluguel de instalações físicas e pontos de apoio</t>
  </si>
  <si>
    <t>CUSTO TOTAL MENSAL COM DESPESAS OPERACIONAIS</t>
  </si>
  <si>
    <t>Água, energia elétrica, internet e telefonia</t>
  </si>
  <si>
    <t>3.5. DESPESAS ADMINISTRATIVAS</t>
  </si>
  <si>
    <t>Materiais de escritório, softwares e licenças</t>
  </si>
  <si>
    <t>Custo</t>
  </si>
  <si>
    <t>Total</t>
  </si>
  <si>
    <t>3.5.1.</t>
  </si>
  <si>
    <t>CUSTO MENSAL TOTAL COM DESPESAS ADMINISTRATIVAS</t>
  </si>
  <si>
    <t>Custos Administração local</t>
  </si>
  <si>
    <t>3.5.2.</t>
  </si>
  <si>
    <t>CUSTO MENSAL TOTAL COM ADMINISTRAÇÃO LOCAL ANTES DO BDI (1+2+3+4)</t>
  </si>
  <si>
    <t>CUSTO TOTAL MENSAL  COM DESPESAS ADMINISTRATIVAS</t>
  </si>
  <si>
    <t>2.5. BDI</t>
  </si>
  <si>
    <t>4.3.3.5. Óleos e Lubrificantes</t>
  </si>
  <si>
    <t>CUSTO TOTAL MENSAL COM COLETA RSD</t>
  </si>
  <si>
    <t>Estimativa de consumo de combustível baseado na média de km/litro de veículos leves com motor 1.0 da categoria médio apresentada na Tabela ano 2025 (17º Ciclo) do Programa Brasileiro de Etiquetagem Veicular - PBEV do INMETRO.
Valor baseado no Preço Médio de Revenda da gasolina comum no município de Pelotas, outubro/2026, conforme Tabela da ANP.</t>
  </si>
  <si>
    <t>CUSTO MENSAL TOTAL COM BDI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</si>
  <si>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185/65R15</t>
    </r>
  </si>
  <si>
    <t>CUSTO MENSAL TOTAL COM ADMINISTRAÇÃO LOCAL DEPOIS DO BDI</t>
  </si>
  <si>
    <t xml:space="preserve">Custo jogo completo </t>
  </si>
  <si>
    <t>4.3.6.6. Pneus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</si>
  <si>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275/80 R22.5</t>
    </r>
  </si>
  <si>
    <t>Custo Mensal por Veículo Tipo Carro Popular</t>
  </si>
  <si>
    <t>4.3.3.7. Manutenção</t>
  </si>
  <si>
    <t>Custo Mensal por Veículo Tipo Lava Contêiner</t>
  </si>
  <si>
    <t>CUSTO MENSAL COM DESPESAS ADMINISTRATIVAS</t>
  </si>
  <si>
    <t>4.3.4. Caminhonete Cabine Simples (Lava Calçadas/Rescaldo)</t>
  </si>
  <si>
    <t>CUSTO TOTAL MENSAL COM DESPESAS OPERACIONAIS E ADMINISTRATIVAS</t>
  </si>
  <si>
    <t>4.3.4.1. Depreciação</t>
  </si>
  <si>
    <t>Custo Unitário</t>
  </si>
  <si>
    <t>CUSTO MENSAL COM BDI</t>
  </si>
  <si>
    <t>CUSTO TOTAL MENSAL COM ADMINISTRAÇÃO LOCAL</t>
  </si>
  <si>
    <t>4.3.4.2. Remuneração do Capital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</si>
  <si>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</si>
  <si>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4.3.4.3. Impostos, Seguros e Outros</t>
  </si>
  <si>
    <t>2. COMPOSIÇÃO DE CUSTOS COM ADMINISTRAÇÃO LOCAL – COLETA SELETIVA</t>
  </si>
  <si>
    <t>4.3.4.4. Consumo de combustível</t>
  </si>
  <si>
    <t>Preço do combustível - (gasolina)</t>
  </si>
  <si>
    <t>4.3.4.5. Óleos e Lubrificantes</t>
  </si>
  <si>
    <t>5. COMPOSIÇÃO DE CUSTOS COM COLETA SELETIVA DE RESÍDUOS RECICLÁVEIS</t>
  </si>
  <si>
    <t xml:space="preserve">5.1. </t>
  </si>
  <si>
    <t>5.1.1.</t>
  </si>
  <si>
    <t>5.1.2.</t>
  </si>
  <si>
    <t>4.3.4.6. Pneus</t>
  </si>
  <si>
    <t>5.2.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</si>
  <si>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205/60 R15</t>
    </r>
  </si>
  <si>
    <t>5.2.1</t>
  </si>
  <si>
    <t>5.2.2</t>
  </si>
  <si>
    <t>5.3.</t>
  </si>
  <si>
    <t>5.3.1.</t>
  </si>
  <si>
    <t>Veículo coletor compactador 8 m³</t>
  </si>
  <si>
    <t>5.3.2.</t>
  </si>
  <si>
    <t>Veículo tipo caminhão baú</t>
  </si>
  <si>
    <t>4.3.4.7. Manutenção</t>
  </si>
  <si>
    <t>5.4.</t>
  </si>
  <si>
    <t>5.5.</t>
  </si>
  <si>
    <t>5.5.1.</t>
  </si>
  <si>
    <t>5.5.2.</t>
  </si>
  <si>
    <t>TOTAL ESTIMADO ANUAL (6 meses)</t>
  </si>
  <si>
    <t>VALOR ESTIMADO MENSAL  POR EQUIPE</t>
  </si>
  <si>
    <t>EQUIPE</t>
  </si>
  <si>
    <t>5.1. DETALHAMENTO MÃO DE OBRA DIRETA</t>
  </si>
  <si>
    <t>4.3.5. Equipamento Tipo Contêiner PEAD - 1.000 litros</t>
  </si>
  <si>
    <t>4.3.5.1. Depreciação</t>
  </si>
  <si>
    <t>5.1.1. Coletor (diurno)</t>
  </si>
  <si>
    <t>Custo de aquisição do contêiner</t>
  </si>
  <si>
    <t>Vida útil do equipamento</t>
  </si>
  <si>
    <t>Idade do equipamento</t>
  </si>
  <si>
    <t>Depreciação do equipamento</t>
  </si>
  <si>
    <t>Depreciação mensal do equipamento</t>
  </si>
  <si>
    <t>Total depreciação mensal equipamento</t>
  </si>
  <si>
    <t>4.3.5.2. Remuneração do Capital</t>
  </si>
  <si>
    <t>Custo do contêiner</t>
  </si>
  <si>
    <r>
      <rPr>
        <sz val="11"/>
        <color theme="1"/>
        <rFont val="Calibri"/>
      </rPr>
      <t>Valor do contêiner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</si>
  <si>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Investimento médio total do equipamento</t>
  </si>
  <si>
    <t>Remuneração mensal de capital/equipamento</t>
  </si>
  <si>
    <t>Total remuneração de capital mensal equipamento</t>
  </si>
  <si>
    <t>4.3.5.3. Manutenção e Substituição</t>
  </si>
  <si>
    <t>2. COMPOSIÇÃO DE CUSTOS COM ADMINISTRAÇÃO LOCAL – COLETA DE ÓLEO</t>
  </si>
  <si>
    <t>5.1.2. Motorista (diurno)</t>
  </si>
  <si>
    <t>Custo Mensal por Equipamento Tipo Contêiner</t>
  </si>
  <si>
    <t>Custo Mensal Total para equipamentos</t>
  </si>
  <si>
    <t>Uniformes e EPIs para Gerente</t>
  </si>
  <si>
    <t>4.4. FERRAMENTAS E MATERIAIS DE CONSUMO</t>
  </si>
  <si>
    <t>2.1.3. Auxiliar Administrativo</t>
  </si>
  <si>
    <t>4.4.1.</t>
  </si>
  <si>
    <t>4.4.2.</t>
  </si>
  <si>
    <t>4.4.3.</t>
  </si>
  <si>
    <t>4.4.4.</t>
  </si>
  <si>
    <t>Publicidade (adesivagem lava contêiner)</t>
  </si>
  <si>
    <t>4.4.5.</t>
  </si>
  <si>
    <t>Publicidade (adesivagem contêineres)</t>
  </si>
  <si>
    <t>4.4.6.</t>
  </si>
  <si>
    <t>4.4.7.</t>
  </si>
  <si>
    <t>4.4.8.</t>
  </si>
  <si>
    <t>4.4.9.</t>
  </si>
  <si>
    <t>5.2. DETALHAMENTO UNIFORMES E EQUIPAMENTOS DE PROTEÇÃO INDIVIDUAL - MÃO DE OBRA DIRETA</t>
  </si>
  <si>
    <t>4.4.10.</t>
  </si>
  <si>
    <t>5.2.1. Uniformes e EPIs para Coletor</t>
  </si>
  <si>
    <t>2.1.4. Mecânico</t>
  </si>
  <si>
    <t>CUSTO MENSAL COM DESPESAS OPERACIONAIS</t>
  </si>
  <si>
    <t>4.5. DESPESAS ADMINISTRATIVAS</t>
  </si>
  <si>
    <t>CUSTO TOTAL MENSAL COM COLETA CONTEINERIZADA</t>
  </si>
  <si>
    <t>2.2.1. Uniformes e EPIs para Gerente</t>
  </si>
  <si>
    <t>5.2.2. Uniformes e EPIs para Motorista</t>
  </si>
  <si>
    <t>CUSTO MENSAL TOTAL (1 posto)</t>
  </si>
  <si>
    <t>Quant.
anual</t>
  </si>
  <si>
    <t>2.1.5. Auxiliar de Mecânico</t>
  </si>
  <si>
    <t>5.3. VEÍCULOS E EQUIPAMENTOS</t>
  </si>
  <si>
    <t>Veículo Coletor Compactador 8 m³</t>
  </si>
  <si>
    <t>5.3.1.1.</t>
  </si>
  <si>
    <t>5.3.1.2.</t>
  </si>
  <si>
    <t>5.3.1.3.</t>
  </si>
  <si>
    <t>5.3.1.4.</t>
  </si>
  <si>
    <t>5.3.1.5.</t>
  </si>
  <si>
    <t>5.3.1.6.</t>
  </si>
  <si>
    <t>2.1.6. Auxiliar de Serviços Gerais</t>
  </si>
  <si>
    <t>5.3.1.7.</t>
  </si>
  <si>
    <t>Veículo Tipo Caminhão Baú</t>
  </si>
  <si>
    <t>5.3.2.1.</t>
  </si>
  <si>
    <t>5.3.2.2.</t>
  </si>
  <si>
    <t>5.3.2.3.</t>
  </si>
  <si>
    <t>5.3.2.4.</t>
  </si>
  <si>
    <t>5.3.2.5.</t>
  </si>
  <si>
    <t>5.3.2.6.</t>
  </si>
  <si>
    <t>5.3.2.7.</t>
  </si>
  <si>
    <t>5.3.1. Veículo Coletor Compactador 8 m³</t>
  </si>
  <si>
    <t>5.3.1.1. Depreciação</t>
  </si>
  <si>
    <t>2.1.7. Lavador de Veículos</t>
  </si>
  <si>
    <t>Custo de aquisição do compactador (8 m³)</t>
  </si>
  <si>
    <t>5.3.1.2. Remuneração do Capital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</si>
  <si>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</si>
  <si>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6. COMPOSIÇÃO DE CUSTOS COM COLETA SELETIVA DE ÓLEO</t>
  </si>
  <si>
    <r>
      <rPr>
        <sz val="11"/>
        <color theme="1"/>
        <rFont val="Calibri"/>
      </rPr>
      <t>Investimento médio total do chassis</t>
    </r>
    <r>
      <rPr>
        <b/>
        <vertAlign val="superscript"/>
        <sz val="11"/>
        <color theme="1"/>
        <rFont val="Calibri"/>
      </rPr>
      <t>(¹)</t>
    </r>
  </si>
  <si>
    <t xml:space="preserve">6.1. </t>
  </si>
  <si>
    <t>2.1.8. Vigia (diurno) - Escala 12 x 36</t>
  </si>
  <si>
    <r>
      <rPr>
        <b/>
        <sz val="11"/>
        <color theme="1"/>
        <rFont val="Calibri"/>
      </rPr>
      <t>Remuneração mensal de capital do chassis</t>
    </r>
    <r>
      <rPr>
        <b/>
        <vertAlign val="superscript"/>
        <sz val="11"/>
        <color theme="1"/>
        <rFont val="Calibri"/>
      </rPr>
      <t>(²)</t>
    </r>
  </si>
  <si>
    <t>6.1.1.</t>
  </si>
  <si>
    <t>Custo do compactador (8 m³)</t>
  </si>
  <si>
    <t>6.1.2.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</si>
  <si>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</si>
  <si>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6.2.</t>
  </si>
  <si>
    <t>6.2.1.</t>
  </si>
  <si>
    <r>
      <rPr>
        <sz val="11"/>
        <color theme="1"/>
        <rFont val="Calibri"/>
      </rPr>
      <t>Investimento médio total do compactador</t>
    </r>
    <r>
      <rPr>
        <b/>
        <vertAlign val="superscript"/>
        <sz val="11"/>
        <color theme="1"/>
        <rFont val="Calibri"/>
      </rPr>
      <t>(¹)</t>
    </r>
  </si>
  <si>
    <t>6.2.2.</t>
  </si>
  <si>
    <r>
      <rPr>
        <b/>
        <sz val="11"/>
        <color theme="1"/>
        <rFont val="Calibri"/>
      </rPr>
      <t>Remuneração mensal de capital do compactador</t>
    </r>
    <r>
      <rPr>
        <b/>
        <vertAlign val="superscript"/>
        <sz val="11"/>
        <color theme="1"/>
        <rFont val="Calibri"/>
      </rPr>
      <t>(²)</t>
    </r>
  </si>
  <si>
    <t>6.3.</t>
  </si>
  <si>
    <t>6.3.1.</t>
  </si>
  <si>
    <t>Veículo tipo caminhão com carroceria aberta</t>
  </si>
  <si>
    <t>6.4.</t>
  </si>
  <si>
    <t>6.5.</t>
  </si>
  <si>
    <r>
      <rPr>
        <sz val="10"/>
        <color theme="1"/>
        <rFont val="Calibri"/>
      </rPr>
      <t>Base de cálculo do Investimento Médio por veículo:  Investimento Médio = (Valor inicial (V</t>
    </r>
    <r>
      <rPr>
        <vertAlign val="subscript"/>
        <sz val="10"/>
        <color theme="1"/>
        <rFont val="Calibri"/>
      </rPr>
      <t>0</t>
    </r>
    <r>
      <rPr>
        <sz val="10"/>
        <color theme="1"/>
        <rFont val="Calibri"/>
      </rPr>
      <t>) - Valor Residual) x [(vida útil do veículo + 1)/(2xVida útil do veículo)] + Valor Residual
Base de cálculo da Remuneração de Capital mensal por veículo:  Remuneração de Capital Mensal =  (Investimento Médio x Taxa de Juros)/12</t>
    </r>
  </si>
  <si>
    <t>6.5.1.</t>
  </si>
  <si>
    <t>5.3.1.3. Impostos, Seguros e Outros</t>
  </si>
  <si>
    <t>6.5.2.</t>
  </si>
  <si>
    <t>6.1. DETALHAMENTO MÃO DE OBRA DIRETA</t>
  </si>
  <si>
    <t>6.1.1. Coletor (diurno)</t>
  </si>
  <si>
    <t>2.1.9. Vigia (noturno) - Escala 12 x 36</t>
  </si>
  <si>
    <t>5.3.1.4. Consumo de combustível</t>
  </si>
  <si>
    <r>
      <rPr>
        <sz val="11"/>
        <color theme="1"/>
        <rFont val="Calibri"/>
      </rPr>
      <t xml:space="preserve">Preço do combustível - óleo diesel </t>
    </r>
    <r>
      <rPr>
        <vertAlign val="superscript"/>
        <sz val="11"/>
        <color theme="1"/>
        <rFont val="Calibri"/>
      </rPr>
      <t>1</t>
    </r>
  </si>
  <si>
    <t>5.3.1.5. Óleos e Lubrificantes</t>
  </si>
  <si>
    <t>6.1.2. Motorista (diurno)</t>
  </si>
  <si>
    <t>5.3.1.6. Pneus</t>
  </si>
  <si>
    <t>7. DADOS COMPLEMENTARES PARA COMPOSIÇÃO DOS CUSTOS REFERENTE À MÃO DE OBRA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</si>
  <si>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275/80 R22.5</t>
    </r>
  </si>
  <si>
    <t>COLETOR DE LIXO DOMICILIAR</t>
  </si>
  <si>
    <t>Classificação Brasileira de Ocupações (CBO)</t>
  </si>
  <si>
    <t>5142-05</t>
  </si>
  <si>
    <t>Sindicato representativo da categoria profissional</t>
  </si>
  <si>
    <t>SEEAC-PEL</t>
  </si>
  <si>
    <t>Ano/Mês do Acordo, Convenção ou Sentença Normativa em Dissídio Coletivo</t>
  </si>
  <si>
    <t>Número de Registro no MTE</t>
  </si>
  <si>
    <t xml:space="preserve">RS000061/2026 </t>
  </si>
  <si>
    <t>Data-base da Categoria</t>
  </si>
  <si>
    <t>Salário normativo vigente da categoria profissional (44h/semana)</t>
  </si>
  <si>
    <t xml:space="preserve">Incidência de Insalubridade </t>
  </si>
  <si>
    <t>Valor mínimo para Vale-Alimentação/dia de efetivo trabalho</t>
  </si>
  <si>
    <t>MOTORISTA DE CAMINHÃO COLETOR</t>
  </si>
  <si>
    <t>7825-10</t>
  </si>
  <si>
    <t>STTRP</t>
  </si>
  <si>
    <t>RS003048/2026</t>
  </si>
  <si>
    <t>Incidência de Insalubridade (Conforme NR 15, Anexo 14, Portaria 3214 - M.T.E)</t>
  </si>
  <si>
    <t>Adicional Noturno (cláusula 12ª CCT STTRP)</t>
  </si>
  <si>
    <t>6.2. DETALHAMENTO UNIFORMES E EQUIPAMENTOS DE PROTEÇÃO INDIVIDUAL - MÃO DE OBRA DIRETA</t>
  </si>
  <si>
    <r>
      <rPr>
        <sz val="11"/>
        <color rgb="FF000000"/>
        <rFont val="Calibri"/>
      </rPr>
      <t>Valor mínimo para Vale-Alimentação/dia de efetivo trabalho (CCT SEEAC-PEL)</t>
    </r>
    <r>
      <rPr>
        <vertAlign val="superscript"/>
        <sz val="11"/>
        <color rgb="FF000000"/>
        <rFont val="Calibri"/>
      </rPr>
      <t>(1)</t>
    </r>
  </si>
  <si>
    <t>Abono (Cláusula 5ª da CCT)</t>
  </si>
  <si>
    <t>6.2.1. Uniformes e EPIs para Coletor</t>
  </si>
  <si>
    <t>MECÂNICO</t>
  </si>
  <si>
    <t>9144-05</t>
  </si>
  <si>
    <t>STIMMMEP</t>
  </si>
  <si>
    <t>RS003202/2025</t>
  </si>
  <si>
    <t>Salário normativo vigente da categoria profissional (44h/semana)(2)</t>
  </si>
  <si>
    <t>Incidência de Insalubridade (Conforme NR 15, Anexo 14, Portaria 1214 - M.T.E)</t>
  </si>
  <si>
    <r>
      <rPr>
        <sz val="11"/>
        <color rgb="FF000000"/>
        <rFont val="Calibri"/>
      </rPr>
      <t>Valor mínimo para Vale-Alimentação/dia de efetivo trabalho (CCT SEEAC-PEL)</t>
    </r>
    <r>
      <rPr>
        <vertAlign val="superscript"/>
        <sz val="11"/>
        <color rgb="FF000000"/>
        <rFont val="Calibri"/>
      </rPr>
      <t>(1)</t>
    </r>
  </si>
  <si>
    <t>AUXILIAR DE MECÂNICO</t>
  </si>
  <si>
    <r>
      <rPr>
        <sz val="11"/>
        <color rgb="FF000000"/>
        <rFont val="Calibri"/>
      </rPr>
      <t>Valor mínimo para Vale-Alimentação/dia de efetivo trabalho (CCT SEEAC-PEL)</t>
    </r>
    <r>
      <rPr>
        <vertAlign val="superscript"/>
        <sz val="11"/>
        <color rgb="FF000000"/>
        <rFont val="Calibri"/>
      </rPr>
      <t>(1)</t>
    </r>
  </si>
  <si>
    <t>AUXILIAR ADMINISTRATIVO</t>
  </si>
  <si>
    <t>5.3.1.7. Manutenção</t>
  </si>
  <si>
    <t>4110-05</t>
  </si>
  <si>
    <t xml:space="preserve">Valor mínimo para Vale-Alimentação/dia de efetivo trabalho </t>
  </si>
  <si>
    <t xml:space="preserve">Custo de manutenção mensal </t>
  </si>
  <si>
    <t>F</t>
  </si>
  <si>
    <t>AUXILIAR DE SERVIÇOS GERAIS</t>
  </si>
  <si>
    <t>G</t>
  </si>
  <si>
    <t>LAVADOR DE VEÍCULOS</t>
  </si>
  <si>
    <t>5199-35</t>
  </si>
  <si>
    <t>Incidência de Insalubridade</t>
  </si>
  <si>
    <t xml:space="preserve">Plano de Benefício Familiar </t>
  </si>
  <si>
    <t>H</t>
  </si>
  <si>
    <t>VIGIA</t>
  </si>
  <si>
    <t>5174-20</t>
  </si>
  <si>
    <t xml:space="preserve">Custo Mensal por Veículo Coletor Compactador 8 m³ </t>
  </si>
  <si>
    <t>ENCARREGADO</t>
  </si>
  <si>
    <t>-</t>
  </si>
  <si>
    <t>5.3.2. Veículo Tipo Caminhão Baú</t>
  </si>
  <si>
    <t>5.3.2.1. Depreciação</t>
  </si>
  <si>
    <t>Salário normativo vigente da categoria profissional (44h/semana)(3)</t>
  </si>
  <si>
    <r>
      <rPr>
        <sz val="11"/>
        <color rgb="FF000000"/>
        <rFont val="Calibri"/>
      </rPr>
      <t>Valor mínimo para Vale-Alimentação/dia de efetivo trabalho (CCT SEEAC-PEL)</t>
    </r>
    <r>
      <rPr>
        <vertAlign val="superscript"/>
        <sz val="11"/>
        <color rgb="FF000000"/>
        <rFont val="Calibri"/>
      </rPr>
      <t>(1)</t>
    </r>
  </si>
  <si>
    <t>6.2.2. Uniformes e EPIs para Motorista</t>
  </si>
  <si>
    <t>J</t>
  </si>
  <si>
    <t>GERENTE GERAL</t>
  </si>
  <si>
    <t>Salário normativo vigente da categoria profissional (44h/semana)(4)</t>
  </si>
  <si>
    <r>
      <rPr>
        <sz val="11"/>
        <color rgb="FF000000"/>
        <rFont val="Calibri"/>
      </rPr>
      <t>Valor mínimo para Vale-Alimentação/dia de efetivo trabalho (CCT SEEAC-PEL)</t>
    </r>
    <r>
      <rPr>
        <vertAlign val="superscript"/>
        <sz val="11"/>
        <color rgb="FF000000"/>
        <rFont val="Calibri"/>
      </rPr>
      <t>(1)</t>
    </r>
  </si>
  <si>
    <t>Notas Explicativas</t>
  </si>
  <si>
    <t>(1) Para os cargos de motorista, mecânico, auxiliar de mecânico, encarregado e gerente geral, para os quais a convenção coletiva do sindicato representativo da categoria é omisso quanto ao valor para vale-alimentação ou cuja categoria não possui sindicato, adotou-se como referência o valor acordado na CCT do SEEAC-PEL. Essa escolha visa unificar todas as funções sob um mesmo modelo de regras convencionais, utilizando o sindicato mais alinhado à atividade principal da contratação (coleta de resíduos sólidos). Assim, busca-se promover a homogeneização da coletividade e fortalecer o vínculo de solidariedade entre os trabalhadores. O mesmo critério foi utilizado para o Plano de Benefício Familiar. Disponível em: &lt;https://convencoes.bond.com.br/cct/seeac-pel-rs-cct-2026&gt;. Acesso em: 14 jul. 2026.</t>
  </si>
  <si>
    <t>Depreciação mensal caminhão basculante</t>
  </si>
  <si>
    <t>(2) Convenção Coletiva de Trabalho 2025/2027. Optou-se por essa CCT, pois embora não abranja, especificamente, Pelotas/RS, engloba muitas outras cidades do Rio Grande do Sul. "Fica estabelecido, com as ressalvas abaixo, para todos os trabalhadores abrangidos pelo presente acordo o salário normativo a partir de 01.05.2025, no valor de R$ 2.127,20 (dois mil, cento e vinte e sete reais e vinte centavos) mensais. A título de incentivo ao ingresso de trabalhadores na área de reparação de veículos, fica instituído um salário normativo de ingresso de R$1.896,36 (hum mil, oitocentos e noventa e seis reais e trinta e seis centavos) mensais ou R$ 8,61 (oito reais e sessenta e um centavos) por hora de trabalho. Este piso é aplicável somente ao trabalhador que, mesmo na soma de períodos descontínuos de trabalho em empresas e atividades ligadas à reparação de veículos, não comprove experiência de período superior a 06 (seis) meses, sendo esta comprovação feita exclusivamente mediante anotação da CTPS. Completados os 06 (seis) meses, passa, o trabalhador, a receber o piso previsto no “caput” desta cláusula. Conforme exposto, escolheu-se essa CCT para determinar os salários de Mecânico e Auxiliar de Mecânico. Disponível em: &lt;https://www.ftmrs.org.br/convencoes/reparacao-de-veiculos&gt;. Acesso em: 14 jul. 2026.</t>
  </si>
  <si>
    <t>(3) Para determinar o salário-base do cargo de encarregado, tomou-se como referência a remuneração atualmente praticada para profissionais que desempenham as mesmas funções. Descrição oficial, funções, competências, salários e mercado de trabalho para Supervisor de transportes (CBO 510105) em 2026 — Dados da Tabela CBO/MTE e CAGED. Disponível em: &lt;https://www.salario.com.br/ocupacao/cargos/cbo-510105-cargos/&gt;. Acesso em: 28 set. 2026.</t>
  </si>
  <si>
    <t>(4) Para determinar o salário do Gerente Geral, considerou-se a remuneração média apresentada para a ocupação de Gerente Administrativo (142105), no Estado do Rio Grande do Sul, disponível no Painel "As ocupações e o Mercado de Trabalho Assalariado Formal" do Ministério do Trabalho e Emprego - MTE. Disponível em: &lt;app.powerbi.com/view?r=eyJrIjoiY2QxYWM4YWEtYTllOS00NDA4LTgzZGItMWM5MWY2MGI2OTZkIiwidCI6IjNlYzkyOTY5LTVhNTEtNGYxOC04YWM5LWVmOThmYmFmYTk3OCJ9&gt;. Acesso em: 28 set. 2026.</t>
  </si>
  <si>
    <t>Custo de aquisição do baú</t>
  </si>
  <si>
    <t>Vida útil do baú</t>
  </si>
  <si>
    <t>Idade do baú</t>
  </si>
  <si>
    <t>Depreciação do baú</t>
  </si>
  <si>
    <t>Depreciação mensal do baú</t>
  </si>
  <si>
    <t>5.3.2.2. Remuneração do Capital</t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</si>
  <si>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</si>
  <si>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6.3. VEÍCULOS E EQUIPAMENTOS</t>
  </si>
  <si>
    <t>Veículo Tipo Caminhão com Carroceria Aberta</t>
  </si>
  <si>
    <t>Custo do bau</t>
  </si>
  <si>
    <t>6.3.1.1.</t>
  </si>
  <si>
    <t>6.3.1.2.</t>
  </si>
  <si>
    <t>6.3.1.3.</t>
  </si>
  <si>
    <t>6.3.1.4.</t>
  </si>
  <si>
    <r>
      <rPr>
        <sz val="11"/>
        <color theme="1"/>
        <rFont val="Calibri"/>
      </rPr>
      <t>Valor do baú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</si>
  <si>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 xml:space="preserve">2.3.1. Veículo Tipo Popular </t>
  </si>
  <si>
    <t>6.3.1.5.</t>
  </si>
  <si>
    <r>
      <rPr>
        <sz val="11"/>
        <color theme="1"/>
        <rFont val="Calibri"/>
      </rPr>
      <t>Investimento médio total do baú</t>
    </r>
    <r>
      <rPr>
        <b/>
        <vertAlign val="superscript"/>
        <sz val="11"/>
        <color theme="1"/>
        <rFont val="Calibri"/>
      </rPr>
      <t>(¹)</t>
    </r>
  </si>
  <si>
    <t>6.3.1.6.</t>
  </si>
  <si>
    <r>
      <rPr>
        <b/>
        <sz val="11"/>
        <color theme="1"/>
        <rFont val="Calibri"/>
      </rPr>
      <t>Remuneração mensal de capital do baú</t>
    </r>
    <r>
      <rPr>
        <b/>
        <vertAlign val="superscript"/>
        <sz val="11"/>
        <color theme="1"/>
        <rFont val="Calibri"/>
      </rPr>
      <t>(²)</t>
    </r>
  </si>
  <si>
    <t>6.3.1.7.</t>
  </si>
  <si>
    <t>5.3.2.3. Impostos, Seguros e Outros</t>
  </si>
  <si>
    <t>6.3.2. Veículo Tipo Caminhão com Carroceria Aberta</t>
  </si>
  <si>
    <t>6.3.2.1. Depreciação</t>
  </si>
  <si>
    <r>
      <rPr>
        <sz val="11"/>
        <color rgb="FF000000"/>
        <rFont val="Calibri"/>
      </rPr>
      <t>Valor do veículo proposto (V</t>
    </r>
    <r>
      <rPr>
        <vertAlign val="subscript"/>
        <sz val="11"/>
        <color rgb="FF000000"/>
        <rFont val="Calibri"/>
      </rPr>
      <t>0</t>
    </r>
    <r>
      <rPr>
        <sz val="11"/>
        <color rgb="FF000000"/>
        <rFont val="Calibri"/>
      </rPr>
      <t>)</t>
    </r>
  </si>
  <si>
    <r>
      <rPr>
        <sz val="11"/>
        <color rgb="FF000000"/>
        <rFont val="Calibri"/>
      </rPr>
      <t>Investimento médio por veículo</t>
    </r>
    <r>
      <rPr>
        <b/>
        <vertAlign val="superscript"/>
        <sz val="11"/>
        <color rgb="FF000000"/>
        <rFont val="Calibri"/>
      </rPr>
      <t>(¹)</t>
    </r>
  </si>
  <si>
    <r>
      <rPr>
        <b/>
        <sz val="11"/>
        <color rgb="FF000000"/>
        <rFont val="Calibri"/>
      </rPr>
      <t>Remuneração de capital mensal por veículo</t>
    </r>
    <r>
      <rPr>
        <b/>
        <vertAlign val="superscript"/>
        <sz val="11"/>
        <color rgb="FF000000"/>
        <rFont val="Calibri"/>
      </rPr>
      <t>(²)</t>
    </r>
  </si>
  <si>
    <t>5.3.2.4. Consumo de combustível</t>
  </si>
  <si>
    <t>Depreciação mensal caminhão carroceria aberta</t>
  </si>
  <si>
    <r>
      <rPr>
        <sz val="11"/>
        <color theme="1"/>
        <rFont val="Calibri"/>
      </rPr>
      <t xml:space="preserve">Preço do combustível - óleo diesel </t>
    </r>
    <r>
      <rPr>
        <vertAlign val="superscript"/>
        <sz val="11"/>
        <color theme="1"/>
        <rFont val="Calibri"/>
      </rPr>
      <t>1</t>
    </r>
  </si>
  <si>
    <t>Custo de aquisição da carroceria carga seca + bomba + Reservatório</t>
  </si>
  <si>
    <t>Vistoria (1º Emplacamento) (anual)</t>
  </si>
  <si>
    <t>Vida útil da carroceria carga seca + bomba + Reservatório</t>
  </si>
  <si>
    <t>5.3.2.5. Óleos e Lubrificantes</t>
  </si>
  <si>
    <t>Idade da carroceria carga seca + bomba + Reservatório</t>
  </si>
  <si>
    <t>Depreciação da carroceria carga seca + bomba + Reservatório</t>
  </si>
  <si>
    <t>Depreciação mensal da carroceria carga seca + bomba + Reservatório</t>
  </si>
  <si>
    <t>6.3.2.2. Remuneração do Capital</t>
  </si>
  <si>
    <r>
      <rPr>
        <sz val="11"/>
        <color rgb="FF000000"/>
        <rFont val="Calibri"/>
      </rPr>
      <t>Estimativa de consumo (gasolina)</t>
    </r>
    <r>
      <rPr>
        <b/>
        <sz val="11"/>
        <color rgb="FF000000"/>
        <rFont val="Calibri"/>
      </rPr>
      <t>(³)</t>
    </r>
  </si>
  <si>
    <r>
      <rPr>
        <sz val="11"/>
        <color rgb="FF000000"/>
        <rFont val="Calibri"/>
      </rPr>
      <t>Valor do combustível (gasolina)</t>
    </r>
    <r>
      <rPr>
        <b/>
        <vertAlign val="superscript"/>
        <sz val="11"/>
        <color rgb="FF000000"/>
        <rFont val="Calibri"/>
      </rPr>
      <t>(4)</t>
    </r>
  </si>
  <si>
    <t>5.3.2.6. Pneus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</si>
  <si>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235/75 R17.5</t>
    </r>
  </si>
  <si>
    <r>
      <rPr>
        <sz val="11"/>
        <color theme="1"/>
        <rFont val="Calibri"/>
      </rPr>
      <t>Valor do veículo proposto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</si>
  <si>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Custo da carroceria carga seca + bomba + Reservatório</t>
  </si>
  <si>
    <r>
      <rPr>
        <sz val="11"/>
        <color theme="1"/>
        <rFont val="Calibri"/>
      </rPr>
      <t>Valor da carroceria carga seca + bomba + Reservatório (V</t>
    </r>
    <r>
      <rPr>
        <vertAlign val="subscript"/>
        <sz val="11"/>
        <color theme="1"/>
        <rFont val="Calibri"/>
      </rPr>
      <t>0</t>
    </r>
    <r>
      <rPr>
        <sz val="11"/>
        <color theme="1"/>
        <rFont val="Calibri"/>
      </rPr>
      <t>)</t>
    </r>
  </si>
  <si>
    <t>5.3.2.7. Manutenção</t>
  </si>
  <si>
    <r>
      <rPr>
        <sz val="11"/>
        <color theme="1"/>
        <rFont val="Calibri"/>
      </rPr>
      <t>Investimento médio total da carroceria carga seca + bomba + Reservatório</t>
    </r>
    <r>
      <rPr>
        <b/>
        <vertAlign val="superscript"/>
        <sz val="11"/>
        <color theme="1"/>
        <rFont val="Calibri"/>
      </rPr>
      <t>(¹)</t>
    </r>
  </si>
  <si>
    <t>Custo Mensal por Veículo Tipo Caminhão Baú</t>
  </si>
  <si>
    <r>
      <rPr>
        <b/>
        <sz val="11"/>
        <color theme="1"/>
        <rFont val="Calibri"/>
      </rPr>
      <t>Remuneração mensal de capital da carroceria carga seca + bomba + Reservatório</t>
    </r>
    <r>
      <rPr>
        <b/>
        <vertAlign val="superscript"/>
        <sz val="11"/>
        <color theme="1"/>
        <rFont val="Calibri"/>
      </rPr>
      <t>(²)</t>
    </r>
  </si>
  <si>
    <t>5.4. FERRAMENTAS E MATERIAIS DE CONSUMO</t>
  </si>
  <si>
    <t>5.4.1.</t>
  </si>
  <si>
    <t>6.3.3.3. Impostos, Seguros e Outros</t>
  </si>
  <si>
    <t>5.4.2.</t>
  </si>
  <si>
    <t>5.4.3.</t>
  </si>
  <si>
    <t>5.4.4.</t>
  </si>
  <si>
    <t>Vistoria (1º emplacamento)</t>
  </si>
  <si>
    <t>5.4.5.</t>
  </si>
  <si>
    <t>5.4.6.</t>
  </si>
  <si>
    <t>5.4.7.</t>
  </si>
  <si>
    <t>5.4.8.</t>
  </si>
  <si>
    <t>Recipiente contentor de lixo 200 litros</t>
  </si>
  <si>
    <t>8. COMPOSIÇÃO DOS ENCARGOS SOCIAIS</t>
  </si>
  <si>
    <t>5.4.9.</t>
  </si>
  <si>
    <t>Bag para coleta (pacote 100 unidade)</t>
  </si>
  <si>
    <t>GRUPO A - OBRIGAÇÕES SOCIAIS</t>
  </si>
  <si>
    <t>Incidência</t>
  </si>
  <si>
    <t>A1</t>
  </si>
  <si>
    <t>INSS (art. 22, inc. I, da Lei 8.212/91)</t>
  </si>
  <si>
    <t>5.4.10.</t>
  </si>
  <si>
    <t>Balança móvel</t>
  </si>
  <si>
    <t>A2</t>
  </si>
  <si>
    <t>SESI ou SESC (art. 30, da Lei 8.036/90 e art. 1º da Lei 8.154/90)</t>
  </si>
  <si>
    <t>A3</t>
  </si>
  <si>
    <t>6.3.3.4. Consumo de combustível</t>
  </si>
  <si>
    <t>SENAI ou SENAC (art. 30, Decreto-Lei 2.318/86)</t>
  </si>
  <si>
    <t>A4</t>
  </si>
  <si>
    <t>INCRA (art. 1º , inc. I do Decreto-Lei 1.146/70)</t>
  </si>
  <si>
    <t>A5</t>
  </si>
  <si>
    <t>SEBRAE (Lei 8.029/90, alterada pela Lei 8.154/1990)</t>
  </si>
  <si>
    <t>A6</t>
  </si>
  <si>
    <t>Salário Educação (Art. 3°, inc. I, do Decreto 87.043/1982)</t>
  </si>
  <si>
    <t>A7</t>
  </si>
  <si>
    <t>Seguro Contra Acidentes de Trabalho (Art. 22, inc. II, Lei 8.212/91)</t>
  </si>
  <si>
    <t>A8</t>
  </si>
  <si>
    <t>FGTS (art. 15 da Lei 8.036/90 e art. 7º, inc. III, da CF/88)</t>
  </si>
  <si>
    <t>CUSTO MENSAL COM FERRAMENTAS E EQUIPAMENTOS</t>
  </si>
  <si>
    <t>SOMA GRUPO A</t>
  </si>
  <si>
    <t>GRUPO B - TEMPO NÃO TRABALHADO</t>
  </si>
  <si>
    <t>B1</t>
  </si>
  <si>
    <t>Férias Gozadas + 1/3</t>
  </si>
  <si>
    <r>
      <rPr>
        <sz val="11"/>
        <color theme="1"/>
        <rFont val="Calibri"/>
      </rPr>
      <t xml:space="preserve">Preço do combustível - óleo diesel </t>
    </r>
    <r>
      <rPr>
        <vertAlign val="superscript"/>
        <sz val="11"/>
        <color theme="1"/>
        <rFont val="Calibri"/>
      </rPr>
      <t>1</t>
    </r>
  </si>
  <si>
    <t>5.5. DESPESAS ADMINISTRATIVAS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</si>
  <si>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</si>
  <si>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</si>
  <si>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</si>
  <si>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</si>
  <si>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</si>
  <si>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</si>
  <si>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</si>
  <si>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Auxílio acidente de trabalho</t>
  </si>
  <si>
    <t>B6</t>
  </si>
  <si>
    <t>Auxílio doença</t>
  </si>
  <si>
    <t>SOMA GRUPO B</t>
  </si>
  <si>
    <t>GRUPO C - PROVISÃO PARA RESCISÃO</t>
  </si>
  <si>
    <t>C1</t>
  </si>
  <si>
    <t>Aviso prévio indenizado</t>
  </si>
  <si>
    <t>C2</t>
  </si>
  <si>
    <t xml:space="preserve">Férias indenizadas </t>
  </si>
  <si>
    <t>6.3.4.5. Óleos e Lubrificantes</t>
  </si>
  <si>
    <t>C3</t>
  </si>
  <si>
    <t>Férias indenizadas s/ aviso prévio indenizado</t>
  </si>
  <si>
    <t>C4</t>
  </si>
  <si>
    <t>Depósito rescisão sem justa causa</t>
  </si>
  <si>
    <t>CUSTO TOTAL MENSAL COM COLETA SELETIVA</t>
  </si>
  <si>
    <t>C5</t>
  </si>
  <si>
    <t>Indenização adicional</t>
  </si>
  <si>
    <t>SOMA GRUPO C</t>
  </si>
  <si>
    <t>GRUPO D - REINCIDÊNCIAS</t>
  </si>
  <si>
    <t>D1</t>
  </si>
  <si>
    <t>Reincidência de Grupo A sobre Grupo B</t>
  </si>
  <si>
    <t>D2</t>
  </si>
  <si>
    <t>Reincidência de FGTS sobre aviso prévio indenizado</t>
  </si>
  <si>
    <t>SOMA GRUPO D</t>
  </si>
  <si>
    <t>SOMA (A+B+C+D)</t>
  </si>
  <si>
    <t>6.3.4.6. Pneus</t>
  </si>
  <si>
    <r>
      <rPr>
        <sz val="11"/>
        <color theme="1"/>
        <rFont val="Calibri"/>
      </rPr>
      <t xml:space="preserve">Custo do jogo de pneus </t>
    </r>
    <r>
      <rPr>
        <sz val="11"/>
        <color theme="1"/>
        <rFont val="Calibri"/>
      </rPr>
      <t>215/75 R17.5</t>
    </r>
  </si>
  <si>
    <t>6.3.4.7. Manutenção</t>
  </si>
  <si>
    <t>Custo de manutenção - Caminhão com carroceria aberta</t>
  </si>
  <si>
    <t>9. CAGED</t>
  </si>
  <si>
    <t>Rio Grande do Sul - Coleta de Resíduos Não-Perigosos - CNAE 38114</t>
  </si>
  <si>
    <t>Admissões</t>
  </si>
  <si>
    <t>Desligamentos</t>
  </si>
  <si>
    <t>Dispensados sem justa causa(¹)</t>
  </si>
  <si>
    <t>Indicadores</t>
  </si>
  <si>
    <t>Estoque recuperado início do Período 01-01-2025</t>
  </si>
  <si>
    <t>Estoque recuperado final do Período 31-12-2025</t>
  </si>
  <si>
    <t>Variação Emprego Absoluta de 01-01-2025 a 31-12-2025</t>
  </si>
  <si>
    <t>Estoque Médio</t>
  </si>
  <si>
    <t>% Demitidos sem justa causa em relação ao estoque médio</t>
  </si>
  <si>
    <t>Taxa de rotatividade</t>
  </si>
  <si>
    <t>Custo Mensal por Veículo Tipo Caminhão com Carroceria Aberta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</si>
  <si>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</si>
  <si>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</si>
  <si>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</si>
  <si>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</si>
  <si>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</si>
  <si>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</si>
  <si>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FGTS</t>
  </si>
  <si>
    <t>Multa FGTS</t>
  </si>
  <si>
    <t xml:space="preserve">(¹) Para o cálculo de percentual de demitidos sem justa causa, optou-se por realizar a proporção obtida entre o nº de dispensados sem justa causa/nº desligamentos totais dispostos na planilha modelo do TCE, que considera os dados do CAGED (2019), tendo em vista que os dados do Novo CAGED não discriminam o tipo de desligamento. Obteve-se a proporção de 58,69%, a qual foi utilizada para estimar o número de dispensados sem justa causa no ano de 2025. </t>
  </si>
  <si>
    <t>Referências</t>
  </si>
  <si>
    <r>
      <rPr>
        <sz val="10"/>
        <color rgb="FF000000"/>
        <rFont val="Calibri"/>
      </rPr>
      <t xml:space="preserve">MINISTÉRIO DO TRABALHO E EMPREGO. </t>
    </r>
    <r>
      <rPr>
        <b/>
        <sz val="10"/>
        <color rgb="FF000000"/>
        <rFont val="Calibri"/>
      </rPr>
      <t>Painel de Informações do Novo CAGED</t>
    </r>
    <r>
      <rPr>
        <sz val="10"/>
        <color rgb="FF000000"/>
        <rFont val="Calibri"/>
      </rPr>
      <t>. Junho de 2026. Disponível em: &lt;https://app.powerbi.com/view?r=eyJrIjoiNWI5NWI0ODEtYmZiYy00Mjg3LTkzNWUtY2UyYjIwMDE1YWI2IiwidCI6IjNlYzkyOTY5LTVhNTEtNGYxOC04YWM5LWVmOThmYmFmYTk3OCJ9&amp;pageName=ReportSectionb52b07ec3b5f3ac6c749&gt;. Acesso em: 27 jun. 2026.
RIO GRANDE DO SUL. Tribunal de Contas do Estado. Orientação Técnica – Serviços de Coleta de Resíduos Sólidos Domiciliares. 2º ed. Porto Alegre: TCE-RS, 2019. Disponível em: &lt;https://tcers.tc.br/repo/orientacoes_gestores/Coleta-de-Residuos-S%C3%B3lidos.pdf&gt;. Acesso em: 27 jun. 2026.</t>
    </r>
  </si>
  <si>
    <t>CUSTO MENSAL  COM VEÍCULOS E EQUIPAMENTOS</t>
  </si>
  <si>
    <t>6.4. FERRAMENTAS E MATERIAIS DE CONSUMO</t>
  </si>
  <si>
    <t>6.4.1.</t>
  </si>
  <si>
    <t>6.4.2.</t>
  </si>
  <si>
    <t>Publicidade (adesivagem portas)</t>
  </si>
  <si>
    <t>6.4.3.</t>
  </si>
  <si>
    <t>6.4.4.</t>
  </si>
  <si>
    <t>6.4.5.</t>
  </si>
  <si>
    <t>6.4.6.</t>
  </si>
  <si>
    <t>6.4.7.</t>
  </si>
  <si>
    <t>6.4.8.</t>
  </si>
  <si>
    <t>Carrinho metálico para carga</t>
  </si>
  <si>
    <t>10. COMPOSIÇÃO DO BDI - BENEFÍCIOS E DESPESAS INDIRETAS</t>
  </si>
  <si>
    <t>6.4.9.</t>
  </si>
  <si>
    <t>Estopa (pacote 400 g)</t>
  </si>
  <si>
    <t>Administração Central (AC)(1)</t>
  </si>
  <si>
    <t>Seguros/Riscos/Garantias (SRG)</t>
  </si>
  <si>
    <t>Lucro (L)</t>
  </si>
  <si>
    <t>Despesas Financeiras (DF)(2)</t>
  </si>
  <si>
    <t>6.4.10.</t>
  </si>
  <si>
    <t>Vassoura</t>
  </si>
  <si>
    <t>D.1</t>
  </si>
  <si>
    <t>i (Taxa Selic)</t>
  </si>
  <si>
    <t>6.4.11.</t>
  </si>
  <si>
    <t>Pá de lixo</t>
  </si>
  <si>
    <t>D.2</t>
  </si>
  <si>
    <t>DU (nº de dias)(3)</t>
  </si>
  <si>
    <t>Tributos (T)(4)</t>
  </si>
  <si>
    <t>E.1</t>
  </si>
  <si>
    <t>ISS</t>
  </si>
  <si>
    <t>6.4.12.</t>
  </si>
  <si>
    <t>E.2</t>
  </si>
  <si>
    <t>Serragem (kg)</t>
  </si>
  <si>
    <t>PIS/PASEP</t>
  </si>
  <si>
    <t>E.3</t>
  </si>
  <si>
    <t>COFINS</t>
  </si>
  <si>
    <t>TOTAL BDI(5)</t>
  </si>
  <si>
    <t>(1) Os percentuais de Administração Central (AC), Seguros/Riscos/Garantias (SRG) e Lucro (L) foram baseados no estudo do TCE apresentado na Orientação Técnica de Serviços de Coleta de Resíduos Sólidos Domiciliares – Projeto, Contratação e Fiscalização – TCE/RS – 2ª Edição, 2019.</t>
  </si>
  <si>
    <t>(2) Base de cálculo para Despesas Financeiras: DF = (1 + i)DU/252 - 1</t>
  </si>
  <si>
    <t>(3) DU = média de dias úteis entre a data de pagamento prevista no contrato e a data final do período de adimplemento da parcela.</t>
  </si>
  <si>
    <t>(4) Tributos baseados no Lucro Presumido (regime de incidência cumulativa).</t>
  </si>
  <si>
    <r>
      <rPr>
        <sz val="10"/>
        <color rgb="FF000000"/>
        <rFont val="Calibri"/>
      </rPr>
      <t>(5) Base de Cálculo do BDI:</t>
    </r>
    <r>
      <rPr>
        <b/>
        <sz val="10"/>
        <color rgb="FF000000"/>
        <rFont val="Calibri"/>
      </rPr>
      <t xml:space="preserve"> BDI = {[(1+AC+SRG) x (1+L) x (1+DF)] / (1-T)} -1</t>
    </r>
  </si>
  <si>
    <t>6.5. DESPESAS ADMINISTRATIVAS</t>
  </si>
  <si>
    <t>CUSTO TOTAL MENSAL COM COLETA DE ÓLEO</t>
  </si>
  <si>
    <t>11. COMPOSIÇÃO DE CUSTOS</t>
  </si>
  <si>
    <t>10.1. Custos com EPIs e Materiais de Consumo</t>
  </si>
  <si>
    <t>PERÍODO</t>
  </si>
  <si>
    <t>ÍNDICE IPCA</t>
  </si>
  <si>
    <t>VALOR NO PERÍODO</t>
  </si>
  <si>
    <t>VALOR ATUALIZADO</t>
  </si>
  <si>
    <t>SEQ.</t>
  </si>
  <si>
    <t>DESCRIÇÃO</t>
  </si>
  <si>
    <t>FORNECEDOR</t>
  </si>
  <si>
    <t>CNPJ</t>
  </si>
  <si>
    <t>FONTE</t>
  </si>
  <si>
    <t>DATA DA COTAÇÃO</t>
  </si>
  <si>
    <t>VALOR UN.</t>
  </si>
  <si>
    <t>PREÇO MÉDIO UN.</t>
  </si>
  <si>
    <t>10.1.1</t>
  </si>
  <si>
    <t>2024.01</t>
  </si>
  <si>
    <t>Álcool gel 70%, embalagem 5 litros.</t>
  </si>
  <si>
    <t>SCHUZA COMERCIO DE DESCARTAVEIS, HIGIENE E LIMPEZA LTDA</t>
  </si>
  <si>
    <t>09.644.894/0001-27</t>
  </si>
  <si>
    <t>PE 43/2024
PM de Boa Vista do Sul</t>
  </si>
  <si>
    <t>2024.02</t>
  </si>
  <si>
    <t>2024.03</t>
  </si>
  <si>
    <t>2024.04</t>
  </si>
  <si>
    <t>2024.05</t>
  </si>
  <si>
    <t>2024.06</t>
  </si>
  <si>
    <t>2024.07</t>
  </si>
  <si>
    <t>2024.08</t>
  </si>
  <si>
    <t>2024.09</t>
  </si>
  <si>
    <t>2024.10</t>
  </si>
  <si>
    <t>2024.11</t>
  </si>
  <si>
    <t>TRIADE LOG COMERCIO E SERVIÇOS EIRELI</t>
  </si>
  <si>
    <t>21.589.563/0001-37</t>
  </si>
  <si>
    <t>Cotação própria</t>
  </si>
  <si>
    <t>2024.12</t>
  </si>
  <si>
    <t>2025.01</t>
  </si>
  <si>
    <t>2025.02</t>
  </si>
  <si>
    <t>2025.03</t>
  </si>
  <si>
    <t>2025.04</t>
  </si>
  <si>
    <t>2025.05</t>
  </si>
  <si>
    <t>2025.06</t>
  </si>
  <si>
    <t>ADEMIR ABRAO BRUSTOLIN</t>
  </si>
  <si>
    <t>2025.07</t>
  </si>
  <si>
    <t>32.121.534/0001-62</t>
  </si>
  <si>
    <t>PE 4/2025
PM de Estação</t>
  </si>
  <si>
    <t>2025.08</t>
  </si>
  <si>
    <t>2025.09</t>
  </si>
  <si>
    <t>2025.10</t>
  </si>
  <si>
    <t>2025.11</t>
  </si>
  <si>
    <t>2025.12</t>
  </si>
  <si>
    <t>10.1.2</t>
  </si>
  <si>
    <t>Avental impermeável de vinil ou PVC</t>
  </si>
  <si>
    <t>2026.01</t>
  </si>
  <si>
    <t>AD LICITAÇÕES LTDA</t>
  </si>
  <si>
    <t>56.900.847/0001-87</t>
  </si>
  <si>
    <t>PE 06/2025 
PM de Camaquã</t>
  </si>
  <si>
    <t>2026.02</t>
  </si>
  <si>
    <t>2026.03</t>
  </si>
  <si>
    <t>2026.04</t>
  </si>
  <si>
    <t>2026.05</t>
  </si>
  <si>
    <t>T&amp;T INDÚSTRIA, COMÉRCIO, IMPORTAÇÃO E EXPORTAÇÃO LTDA</t>
  </si>
  <si>
    <t>26.348.306/0001-27</t>
  </si>
  <si>
    <t>PE 85/2024
PM de Novo Hamburgo</t>
  </si>
  <si>
    <t>BLUSAFE EQUIPAMENTOS DE PROTEÇÃO INDIVIDUAL LTDA</t>
  </si>
  <si>
    <t>36.091.140/0001-60</t>
  </si>
  <si>
    <t>PE 25/2024
PM de Tapera</t>
  </si>
  <si>
    <t>10.1.3</t>
  </si>
  <si>
    <t>Bag para armazenamento de material pós coleta, tipo saco de lixo, com identificação por cor. (capacidade 100 litros, pacote com 100 unidades)</t>
  </si>
  <si>
    <t>pacote</t>
  </si>
  <si>
    <t>TOK LIMP DISTRIBUIDORA DE PRODUTOS DE LIMPEZA E AUTOMOTIVA LTDA</t>
  </si>
  <si>
    <t>20.476.201/0001-77</t>
  </si>
  <si>
    <t>KM COMERCIO ATACADISTA DE EMBALAGENS - EIRELI</t>
  </si>
  <si>
    <t>02.236.630/0001-95</t>
  </si>
  <si>
    <t>HD DISTRIBUIDORA DE PRODUTOS HIGIENICOS E DESCARTAVEIS LTDA</t>
  </si>
  <si>
    <t>03.868.183/0001-50</t>
  </si>
  <si>
    <t>10.1.4</t>
  </si>
  <si>
    <t>Bermuda de brim resistente, com refletivo.</t>
  </si>
  <si>
    <t>PETTER UNIFORMES EIRELI</t>
  </si>
  <si>
    <t>16.996.110/0001-95</t>
  </si>
  <si>
    <t>PE 77/2024 
PM de Capão da Canoa</t>
  </si>
  <si>
    <t>GALERIA DOS ESPORTES LTDA</t>
  </si>
  <si>
    <t>03.159.962/0001-86</t>
  </si>
  <si>
    <t>PE 65/2024 
PM de Panambi</t>
  </si>
  <si>
    <t>DU RIO UNIFORMES BRASIL</t>
  </si>
  <si>
    <t>43.950.473/0001-62</t>
  </si>
  <si>
    <t>10.1.5</t>
  </si>
  <si>
    <t>Bombona plástica com torneira, capacidade 10 litros.</t>
  </si>
  <si>
    <t>LUMILABOR PRODUTOS PARA LABORATÓRIO</t>
  </si>
  <si>
    <t>51.119.586/0001-49</t>
  </si>
  <si>
    <t>LINKLAB PRODUTOS CIENTIFICOS LTDA</t>
  </si>
  <si>
    <t>48.760.622/0001-44</t>
  </si>
  <si>
    <t>BCLAB PRODUTOS LABORATORIAIS</t>
  </si>
  <si>
    <t>39.409.828/0001-33</t>
  </si>
  <si>
    <t>10.1.6</t>
  </si>
  <si>
    <t>Boné tipo árabe, para auxílio na proteção contra radiação solar.</t>
  </si>
  <si>
    <t>EURO MAIS INDÚSTRIA, COMÉRCIO E CONSULTORIA LTDA</t>
  </si>
  <si>
    <t>44.998.858/0001-62</t>
  </si>
  <si>
    <t>BARÃOSEG LTDA</t>
  </si>
  <si>
    <t>53.763.552/0001-18</t>
  </si>
  <si>
    <t>PE 52/2024
PM de Osório</t>
  </si>
  <si>
    <t>EPIFORTTE - COMERCIO DE EQUIPAMENTOS DE PROTECAO INDIVIDUAL LTDA</t>
  </si>
  <si>
    <t>37.596.344/0001-15</t>
  </si>
  <si>
    <t>10.1.7</t>
  </si>
  <si>
    <t>Calça de brim ou sarja resistente, com refletivo.</t>
  </si>
  <si>
    <t>JB PONTES COMÉRCIO LTDA</t>
  </si>
  <si>
    <t>48.937.333/0001-78</t>
  </si>
  <si>
    <t>DANIEL RICARDO HAAS FIN</t>
  </si>
  <si>
    <t>49.578.502/0001-93</t>
  </si>
  <si>
    <t>PE 31/2024 
PM de Igrejinha</t>
  </si>
  <si>
    <t>PETTER UNIFORMES LTDA</t>
  </si>
  <si>
    <t>10.1.8</t>
  </si>
  <si>
    <t>Calça de brim ou sarja resistente.</t>
  </si>
  <si>
    <t>FACCINA DALTORA EQUIPAMENTOS DE SEGURANÇA LTDA</t>
  </si>
  <si>
    <t>04.584.756/0001-86</t>
  </si>
  <si>
    <t>PE 16/2024 
PM de Estação</t>
  </si>
  <si>
    <t>EXTINSOLDA MÁQUINAS E FERRAMENTAS LTDA</t>
  </si>
  <si>
    <t>90.150.376/0001-75</t>
  </si>
  <si>
    <t>PE 01/2025 
CONDESUS</t>
  </si>
  <si>
    <t>10.1.9</t>
  </si>
  <si>
    <t>Calçado de segurança tipo botina, com biqueira de aço ou composite, solado bidensidade antiderrapante, com absorção de energia na área do salto (calcanhar);</t>
  </si>
  <si>
    <t>par</t>
  </si>
  <si>
    <t>RP COMERCIAL LTDA</t>
  </si>
  <si>
    <t>20.604.417/0001-70</t>
  </si>
  <si>
    <t>PE 57/2024
PM de Arroio do Tigre</t>
  </si>
  <si>
    <t>LF COMERCIAL DE BENS LTDA</t>
  </si>
  <si>
    <t>91.845.735/0004-14</t>
  </si>
  <si>
    <t>ASTRO DISTRIBUIDORA LTDA</t>
  </si>
  <si>
    <t>18.597.685/0001-60</t>
  </si>
  <si>
    <t>10.1.10</t>
  </si>
  <si>
    <t>Camiseta de malha manga longa, com refletivo.</t>
  </si>
  <si>
    <t>BENVENUTTI UNIFORMES LTDA</t>
  </si>
  <si>
    <t>11.606.391/0001-09</t>
  </si>
  <si>
    <t>CONFECÇÃO MAPA LTDA</t>
  </si>
  <si>
    <t>30.185.499/0001-10</t>
  </si>
  <si>
    <t>ZEN UNIFORMES LTDA</t>
  </si>
  <si>
    <t>22.692.670/0001-59</t>
  </si>
  <si>
    <t>10.1.11</t>
  </si>
  <si>
    <t>Camiseta de malha, tecido 100% algodão, manga curta.</t>
  </si>
  <si>
    <t>QUALIJU MALHAS LTDA</t>
  </si>
  <si>
    <t>16.575.469/0001-99</t>
  </si>
  <si>
    <t>BRINDES TIC TAC LTDA</t>
  </si>
  <si>
    <t>33.583.462/0001-38</t>
  </si>
  <si>
    <t>PE 30/2024
PM de Capão do Leão</t>
  </si>
  <si>
    <t>MARIA ELIZABETH MOURA MORALES CONFECÇÕES EIRELI</t>
  </si>
  <si>
    <t>30.577.619/0001-24</t>
  </si>
  <si>
    <t>10.1.12</t>
  </si>
  <si>
    <t>Camiseta manga curta com faixa refletiva.</t>
  </si>
  <si>
    <t>RUBENS GANGUCU DE OLIVEIRA FILHO CONFECÇÕES</t>
  </si>
  <si>
    <t>34.993.230/0001-10</t>
  </si>
  <si>
    <t>COPAL INDUSTRIA E COMÉRCIO DE BENS LTDA</t>
  </si>
  <si>
    <t>89.580.310/0001-36</t>
  </si>
  <si>
    <t>10.1.13</t>
  </si>
  <si>
    <t>Capa de chuva em material PVC impermeável, fechamento em botões de pressão.</t>
  </si>
  <si>
    <t>PE 02/2025 
PM de Nova Ramada</t>
  </si>
  <si>
    <t>CITY CLEAN COM. EQUIPAMENTOS LTDA</t>
  </si>
  <si>
    <t>48.256.518/0001-17</t>
  </si>
  <si>
    <t>ALS UNIFORMES PROFISSIONAIS LTDA</t>
  </si>
  <si>
    <t>43.496.899/0001-98</t>
  </si>
  <si>
    <t>PE 19/2024 
PM de Aceguá</t>
  </si>
  <si>
    <t>10.1.14</t>
  </si>
  <si>
    <t>Carrinho metálico com roda de borracha pneumática para transporte de carga.</t>
  </si>
  <si>
    <t>FERRO FERRAMENTAS INDUSTRIAIS LTDA</t>
  </si>
  <si>
    <t>25.003.733/0001-00</t>
  </si>
  <si>
    <t>PALÁCIO DAS FERRAMENTAS LTDA</t>
  </si>
  <si>
    <t>68.422.419/0001-75</t>
  </si>
  <si>
    <t>SUPER-PRO COMÉRCIO DE EQUIPAMENTOS E FERRAMENTAS LTDA</t>
  </si>
  <si>
    <t>08.858.579/0015-35</t>
  </si>
  <si>
    <t>10.1.15</t>
  </si>
  <si>
    <t>PIZANI EQUIPAMENTOS DE SEGURANCA LTDA</t>
  </si>
  <si>
    <t>19.611.064/0001-57</t>
  </si>
  <si>
    <t>PE 33/2024
PM de Itati</t>
  </si>
  <si>
    <t>10.1.16</t>
  </si>
  <si>
    <t>Conjunto de jaqueta e calça para chuva confeccionada em tecido de nylon revestido de pvc,  com capuz e refletivo nas duas peças.</t>
  </si>
  <si>
    <t>conjunto</t>
  </si>
  <si>
    <t>VERTICE COM. DE ROUPAS E ACESSÓRIOS LTDA</t>
  </si>
  <si>
    <t>08.763.888/0001-26</t>
  </si>
  <si>
    <t>PE 257/2024
PM de Caxias do Sul</t>
  </si>
  <si>
    <t>LP EQUIPAMENTOS DE PROTECAO LTDA</t>
  </si>
  <si>
    <t>41.483.730/0001-78</t>
  </si>
  <si>
    <t>PE 13/2024
PM de Porto Vera Cruz</t>
  </si>
  <si>
    <t>REAL EPIS - COMERCIO DE EQUIPAM. DE SEGURAN. LTDA</t>
  </si>
  <si>
    <t>10.839.633/0001-41</t>
  </si>
  <si>
    <t>PE 01/2025 
PM DE PORTO LUCENA</t>
  </si>
  <si>
    <t>10.1.17</t>
  </si>
  <si>
    <t>Creme protetor para mãos, tipo para óleos e graxas, com atendimento às normas da ANVISA, tubo de 200g.</t>
  </si>
  <si>
    <t>PROJESUL COM. DE EQUIP. E ASSESSORIA EM MED. E SEG. DO TRABALHO LTDA</t>
  </si>
  <si>
    <t>05.763.618/0001-27</t>
  </si>
  <si>
    <t>PE 136/2024
FHGV</t>
  </si>
  <si>
    <t>KAEMA SINALIZAÇÃO E UNIFORMES</t>
  </si>
  <si>
    <t>36.158.958/0001-52</t>
  </si>
  <si>
    <t>SINGULAR COMERCIO DE EPI LTDA</t>
  </si>
  <si>
    <t>20.838.307/0001-73</t>
  </si>
  <si>
    <t>10.1.18</t>
  </si>
  <si>
    <t>Estopa para limpeza (400 g)</t>
  </si>
  <si>
    <t>MERCASERRA MATERIAIS PARA CONSTRUÇÃO LTDA</t>
  </si>
  <si>
    <t>06.099.646/0001-54</t>
  </si>
  <si>
    <t>PE 136/2024
CODECA</t>
  </si>
  <si>
    <t>G.M.I. DISTRIBUIDORA LTDA</t>
  </si>
  <si>
    <t>04.098.359/0001-02</t>
  </si>
  <si>
    <t>COMERCIAL ANTONIO CARVALHO LTDA</t>
  </si>
  <si>
    <t>02.559.428/0001-02</t>
  </si>
  <si>
    <t>10.1.19</t>
  </si>
  <si>
    <t>Frasco plástico com válvula tipo pump, com capacidade para 500 ml.</t>
  </si>
  <si>
    <t>KAPRICHO DISTRIBUIDORA LTDA</t>
  </si>
  <si>
    <t>27.403.752/0001-50</t>
  </si>
  <si>
    <t>PE 12/2025
PM de Boa Vista do Sul</t>
  </si>
  <si>
    <t>R. AKIMOTO COMERCIO DE EMBALAGENS E ESSENCIAS LTDA</t>
  </si>
  <si>
    <t>45.902.789/0001-04</t>
  </si>
  <si>
    <t>TRIADE LOG COMERCIO E SERVIÇOS EIRELI EPP</t>
  </si>
  <si>
    <t>10.1.20</t>
  </si>
  <si>
    <t>Jaqueta em tecido impermeável com forro interno</t>
  </si>
  <si>
    <t>THAYNA ZANGRANDE VENTURA GUERREIRO</t>
  </si>
  <si>
    <t>50.373.558/0001-90</t>
  </si>
  <si>
    <t>52.731.028 MANUELA DAGOSTIM FERNANDES DE MELLO</t>
  </si>
  <si>
    <t>52.731.028/0001-00</t>
  </si>
  <si>
    <t>PE 20/2024
PM de Arroio Grande</t>
  </si>
  <si>
    <t>10.1.21</t>
  </si>
  <si>
    <t>Jaqueta em tecido impermeável com forro interno, com refletivo</t>
  </si>
  <si>
    <t>FACCINA DALTORA EQUIPAMENTOS DE SEGURANCA LTDA</t>
  </si>
  <si>
    <t>ALELISE COMÉRCIO DE ARTIGOS DO VESTUÁRIO LTDA</t>
  </si>
  <si>
    <t>13.045.571/0001-94</t>
  </si>
  <si>
    <t>RPE 35/2024
PM de Santa Cruz do Sul</t>
  </si>
  <si>
    <t>PE 88/2024
PM de Alvorada</t>
  </si>
  <si>
    <t>10.1.22</t>
  </si>
  <si>
    <t>Luva de látex multiuso.</t>
  </si>
  <si>
    <t>MACHADO AUTO PARTS LTDA</t>
  </si>
  <si>
    <t>17.180.692/0001-08</t>
  </si>
  <si>
    <t>SAO LOURENCO COMERCIO DE PRODUTOS DE LIMPEZA LTDA</t>
  </si>
  <si>
    <t>09.110.229/0001-53</t>
  </si>
  <si>
    <t>DLE 20/2024
CM de Farroupilha</t>
  </si>
  <si>
    <t>10.1.23</t>
  </si>
  <si>
    <t>Luva de segurança tricotada em algodão e poliéster, punho elástico, banho em látex natural na palma, dedos e ponta dos dedos, anatômicas e flexíveis, alta resistência mecânica e ótima impermeabilidade na palma da mão.</t>
  </si>
  <si>
    <t>NORMATEC EQUIPAMENTOS DE SEGURANCA LTDA</t>
  </si>
  <si>
    <t>26.910.793/0001-70</t>
  </si>
  <si>
    <t>10.1.24</t>
  </si>
  <si>
    <t>Luva multitato revestida com PU, punho elástico.</t>
  </si>
  <si>
    <t>DIMENSIONAL BRASIL SOLUÇÕES LTDA</t>
  </si>
  <si>
    <t>06.913.480/0015-63</t>
  </si>
  <si>
    <t>PLENOBRAS DISTRIBUIDORA ELÉTRICA E HIDRÁULICA LTDA</t>
  </si>
  <si>
    <t>72.313.828/0001-00</t>
  </si>
  <si>
    <t>10.1.25</t>
  </si>
  <si>
    <t xml:space="preserve">Macacão operacional manga curta, material brim grosso (100% algodão), </t>
  </si>
  <si>
    <t>ARKUERO - COMERCIO DE FERRAMENTAS LTDA</t>
  </si>
  <si>
    <t>28.503.687/0001-05</t>
  </si>
  <si>
    <t>10.1.26</t>
  </si>
  <si>
    <t xml:space="preserve">Macacão operacional manga longa, material brim grosso (100% algodão), </t>
  </si>
  <si>
    <t>PE 01/2025 CONDESUS</t>
  </si>
  <si>
    <t>10.1.27</t>
  </si>
  <si>
    <t>Meia de algodão com cano alto, tipo jogador de futebol.</t>
  </si>
  <si>
    <t>B J DE QUADROS CONFECÇÃO DE UNIFORMES EIRELI</t>
  </si>
  <si>
    <t>27.423.588/0001-42</t>
  </si>
  <si>
    <t>PE 86/2024
PM de Parobé</t>
  </si>
  <si>
    <t>FF.COM ESPORTES LTDA</t>
  </si>
  <si>
    <t>05.328.923/0001-90</t>
  </si>
  <si>
    <t>CASA E VIDEO BRASIL S/A</t>
  </si>
  <si>
    <t>11.114.284/0001-63</t>
  </si>
  <si>
    <t>10.1.28</t>
  </si>
  <si>
    <t>Óculos de proteção contra radiação solar</t>
  </si>
  <si>
    <t>USE EPI EQUIPAMENTOS DE SEGURANÇA LTDA</t>
  </si>
  <si>
    <t>20.136.094/0001-38</t>
  </si>
  <si>
    <t>ALL SAFE SOLUCOES EM SEGURANCA DO TRABALHO LTDA</t>
  </si>
  <si>
    <t>28.005.188/0001-80</t>
  </si>
  <si>
    <t>PE 2/2024
COMUR-NH</t>
  </si>
  <si>
    <t>SUPER EPI EQUIPAMENTOS DE PROTEÇÃO INDIVIDUAL LTDA</t>
  </si>
  <si>
    <t>26.588.821/0002-65</t>
  </si>
  <si>
    <t>10.1.29</t>
  </si>
  <si>
    <t>Óculos de segurança, com proteção lateral, lentes com proteção antiembaçante e antirrisco, com regulagem ajustável.</t>
  </si>
  <si>
    <t>DESTRA BRASIL LTDA</t>
  </si>
  <si>
    <t>10.900.700/0001-96</t>
  </si>
  <si>
    <t>TAUFER COMERCIO DE EQUIPAMENTOS DE PROTECAO LTDA</t>
  </si>
  <si>
    <t>13.468.347/0001-05</t>
  </si>
  <si>
    <t>10.1.30</t>
  </si>
  <si>
    <t>Pá de lixo plástica com cabo.</t>
  </si>
  <si>
    <t>JALE DISTRIBUIDORA LTDA</t>
  </si>
  <si>
    <t>04.089.712/0001-80</t>
  </si>
  <si>
    <t>CENTERLAR COMERCIO DE UTILIDADES LTDA</t>
  </si>
  <si>
    <t>05.951.362/0036-01</t>
  </si>
  <si>
    <t>ART LIMP BRASIL LTDA</t>
  </si>
  <si>
    <t>13.186.075/0001-50</t>
  </si>
  <si>
    <t>10.1.31</t>
  </si>
  <si>
    <t>Papel toalha interfolha 20cmx21cm, pacote com 1.000 folhas.</t>
  </si>
  <si>
    <t>WE COMERCIO DE PRODUTOS E UTILIDADES DOMESTICAS EIRELI</t>
  </si>
  <si>
    <t>30.986.684/0001-03</t>
  </si>
  <si>
    <t>PE 23/2024
CODECA</t>
  </si>
  <si>
    <t>MEGALIMPO HIGIENE E LIMPEZA</t>
  </si>
  <si>
    <t>44.910.500/0001-36</t>
  </si>
  <si>
    <t>BHB PRODUTOS E EQUIPAMENTOS DE LIMPEZA LTDA</t>
  </si>
  <si>
    <t>52.767.645/0001-58</t>
  </si>
  <si>
    <t>10.1.32</t>
  </si>
  <si>
    <t>Protetor solar FPS 30, com repelente, embalagem de 120 ml.</t>
  </si>
  <si>
    <t>frasco</t>
  </si>
  <si>
    <t>INFRAEASY SOLUÇÕES LTDA</t>
  </si>
  <si>
    <t>14.553.228/0001-13</t>
  </si>
  <si>
    <t>EPI'S ONLINE COMERCIO LTDA</t>
  </si>
  <si>
    <t>22.712006/0001-24</t>
  </si>
  <si>
    <t>NEOBETEL EPI, EQUIPAMENTOS DE PROTEÇÃO INDIVIDUAL LTDA</t>
  </si>
  <si>
    <t>25.464.260/0001-49</t>
  </si>
  <si>
    <t>10.1.33</t>
  </si>
  <si>
    <t>Recipiente contentor de lixo, capacidade 200 litros, com tampa.</t>
  </si>
  <si>
    <t>COMERCIAL WADY LTDA</t>
  </si>
  <si>
    <t>51.254.493/0001-27</t>
  </si>
  <si>
    <t>PE 21/2024
 ESP-CPP. DE HORTOLANDIA</t>
  </si>
  <si>
    <t>FAZ VENDAS LTDA</t>
  </si>
  <si>
    <t>46.983.819/0001-17</t>
  </si>
  <si>
    <t>PE 09/2024
BATALHAO DE INFANTARIA - SC</t>
  </si>
  <si>
    <t>SANTA MARIA MATERIAIS PARA CONSTRUCAO LTDA</t>
  </si>
  <si>
    <t>49.848.880/0001-40</t>
  </si>
  <si>
    <t>PE 31/2024
ESP-PENIT."AEVP CRISTIANO DE OLIVEIRA" F.PAUL</t>
  </si>
  <si>
    <t>10.1.34</t>
  </si>
  <si>
    <t>Sabonete líquido bactericida, embalagem 5 litros.</t>
  </si>
  <si>
    <t>DM DISTRIBUIDORA DE DESCARTAVEIS LTDA</t>
  </si>
  <si>
    <t>44.449.147/0001-39</t>
  </si>
  <si>
    <t>ALPHA HIGIENE E LIMPEZA LTDA</t>
  </si>
  <si>
    <t>09.276.894/0001-11</t>
  </si>
  <si>
    <t>PE 18/2024
PM de Nova Prata</t>
  </si>
  <si>
    <t>JAB COMERCIO E DISTRIBUIÇÃO DE PRODUTOS LTDA</t>
  </si>
  <si>
    <t>41.507.227/0001-05</t>
  </si>
  <si>
    <t>10.1.35</t>
  </si>
  <si>
    <t>Saco de Ráfia</t>
  </si>
  <si>
    <t>CIRINO &amp; SAMARA COMÉRCIO DE MATERIAIS PARA CONSTRUÇÃO LTDA</t>
  </si>
  <si>
    <t> 03.340.442/0001-75</t>
  </si>
  <si>
    <t>D. DE S. MENDES LTDA</t>
  </si>
  <si>
    <t>21.178.037/0001-84</t>
  </si>
  <si>
    <t>CATIZANI LTDA</t>
  </si>
  <si>
    <t>47.288.891/0001-97</t>
  </si>
  <si>
    <t>10.1.36</t>
  </si>
  <si>
    <t>Sapato de segurança tipo tênis, com cadarço, com proteção  contra agentes abrasivos e escoriantes, com absorção de energia na área do salto (calcanhar), solado antiderrapante;</t>
  </si>
  <si>
    <t>HIGIENIZE COMERCIAL LTDA</t>
  </si>
  <si>
    <t>95.054.177/0001-87</t>
  </si>
  <si>
    <t>PATAVO DISTRIBUIDORA DE SUPRIMENTOS LTDA</t>
  </si>
  <si>
    <t>09.331.096/0001-45</t>
  </si>
  <si>
    <t>SALU DISTRIBUIDORA DE EPI E MRO</t>
  </si>
  <si>
    <t>08.927.259/0001-94</t>
  </si>
  <si>
    <t>10.1.37</t>
  </si>
  <si>
    <t>Serragem.</t>
  </si>
  <si>
    <t>kg</t>
  </si>
  <si>
    <t>OB2 ATIVIDADES DE INTERNET LTDA</t>
  </si>
  <si>
    <t>17.134.291/0001-03</t>
  </si>
  <si>
    <t>CARLOS ALBERTO ROESNER &amp; CIA LTDA</t>
  </si>
  <si>
    <t>83.287.755/0001-46</t>
  </si>
  <si>
    <t>M.RAE CENTER COMERCIO DE TINTAS, MADEIRAS E FERRAGENS LTDA</t>
  </si>
  <si>
    <t>04.506.308/0001-64</t>
  </si>
  <si>
    <t>10.1.38</t>
  </si>
  <si>
    <t>Squeeze térmico em material inox, capacidade 1 litro.</t>
  </si>
  <si>
    <t>HP QUIMICOS HIGIENE E EMBALAGENS LTDA</t>
  </si>
  <si>
    <t>11.371.238/0001-40</t>
  </si>
  <si>
    <t>BIA ARTS PERSONALIZADOS LTDA</t>
  </si>
  <si>
    <t>34.333.303/0001-48</t>
  </si>
  <si>
    <t>CONNECT DISTRIBUIDORA DE PRODUTOS ELETRONICOS E UTILIDADES EM GERAL LTDA</t>
  </si>
  <si>
    <t>49.983.884/0001-30</t>
  </si>
  <si>
    <t>10.1.39</t>
  </si>
  <si>
    <t>Vassoura de nylon com cabo.</t>
  </si>
  <si>
    <t>MEDLIMP PRODUTOS DE LIMPEZA DESCARTÁVEL LTDA</t>
  </si>
  <si>
    <t>05.341.252/0001-06</t>
  </si>
  <si>
    <t>10.1.40</t>
  </si>
  <si>
    <t>Balança móvel digital, capacidade mínima 30 kg, com haste/coluna.</t>
  </si>
  <si>
    <t>GURGELMIX MÁQUINAS E FERRAMENTAS S.A.</t>
  </si>
  <si>
    <t>29.302.348/0001-15</t>
  </si>
  <si>
    <t>BIOVERA EQUIPAMENTOS E SERVIÇOS LTDA</t>
  </si>
  <si>
    <t>06.936.105/0001-33</t>
  </si>
  <si>
    <t>ALCAMAR COMÉRCIO ELETRÔNICO LTDA</t>
  </si>
  <si>
    <t>28.289.078/0001-97</t>
  </si>
  <si>
    <t>10.2. Custos com veículos e equipamentos</t>
  </si>
  <si>
    <t>CAMINHÃO CHASSI</t>
  </si>
  <si>
    <t>10.2.1</t>
  </si>
  <si>
    <t>Caminhão tipo toco (4x2), PBT aproximado 10 T.</t>
  </si>
  <si>
    <t xml:space="preserve">SOBRE EIXO VEÍCULOS LTDA </t>
  </si>
  <si>
    <t>01.827.801/0001-98</t>
  </si>
  <si>
    <t>SAVAR VEÍCULOS LTDA</t>
  </si>
  <si>
    <t>92.889.070/0001-60</t>
  </si>
  <si>
    <t>TRANSRIO CAMINHOES, ONIBUS, MAQUINAS E MOTORES LTDA</t>
  </si>
  <si>
    <t>11.726.521/0005-70</t>
  </si>
  <si>
    <t>10.2.2</t>
  </si>
  <si>
    <t>Caminhão tipo toco (4x2), PBT aproximado 13 T.</t>
  </si>
  <si>
    <t>10.2.3</t>
  </si>
  <si>
    <t>Caminhão tipo toco (4x2), PBT aproximado 17 T.</t>
  </si>
  <si>
    <t>AUSTRAL CAMINHÕES LTDA</t>
  </si>
  <si>
    <t>18.330.569/0001-80</t>
  </si>
  <si>
    <t>10.2.4</t>
  </si>
  <si>
    <t>Caminhão tipo truck (6x2), PBT aproximado 24 T.</t>
  </si>
  <si>
    <t>CARROCERIAS (IMPLEMENTOS)</t>
  </si>
  <si>
    <t>10.2.5</t>
  </si>
  <si>
    <t>Compactador de lixo capacidade mínima 5m³.</t>
  </si>
  <si>
    <t>PLANALTO INDÚSTRIA MECÂNICA LTDA</t>
  </si>
  <si>
    <t>37.021.136/0001-98</t>
  </si>
  <si>
    <t>CIMASP COMÉRCIO E INDÚSTRIA DE EQUIPAMENTOS, SERVIÇOS E PEÇAS LTDA</t>
  </si>
  <si>
    <t>04.686.643/0001-91</t>
  </si>
  <si>
    <t>10.2.6</t>
  </si>
  <si>
    <t>Compactador de lixo capacidade mínima 8m³.</t>
  </si>
  <si>
    <t>10.2.7</t>
  </si>
  <si>
    <t>Compactador de lixo capacidade mínima 15m³.</t>
  </si>
  <si>
    <t>10.2.8</t>
  </si>
  <si>
    <t>Compactador de lixo capacidade mínima 18m³.</t>
  </si>
  <si>
    <t>10.2.9</t>
  </si>
  <si>
    <t>Carroceria tipo lava contêiner, com equipamento com jatos de água com alta pressão sem vazamento da água suja para o exterior.</t>
  </si>
  <si>
    <t>10.2.10</t>
  </si>
  <si>
    <t>Carroceria de madeira ou metálica com estrutura/armação para cobertura com lona, com capacidade mínima de 1.500 kg, para caminhão tipo toco (4x2).</t>
  </si>
  <si>
    <t>MECÂNICA KURTZ LTDA</t>
  </si>
  <si>
    <t>90.121.062/0001-44</t>
  </si>
  <si>
    <t>CONJUNTO CAMINHÕES CHASSI + CARROCERIA</t>
  </si>
  <si>
    <t>10.2.11</t>
  </si>
  <si>
    <t>Conjunto caminhão chassi tipo toco (4x2), equipado com compactador de capacidade volumétrica mínima 5 m³  (coleta de RSD difícil acesso) - Transmissão automática</t>
  </si>
  <si>
    <t>FORZA DISTRIBUIDORA</t>
  </si>
  <si>
    <t>46.135.499/0002-26</t>
  </si>
  <si>
    <t>PNCP</t>
  </si>
  <si>
    <t>VOLKSVAGEN TRUCK</t>
  </si>
  <si>
    <t>06.020.318/0005-44</t>
  </si>
  <si>
    <t>57/07/26</t>
  </si>
  <si>
    <t>JOHNY CANDIDO</t>
  </si>
  <si>
    <t>04.484,388/0001-02</t>
  </si>
  <si>
    <t>10.2.12</t>
  </si>
  <si>
    <t>Conjunto caminhão chassi tipo toco (4x2), equipado com compactador basculante de capacidade volumétrica de 8 m³ (Coleta seletiva) - Transmissão automática</t>
  </si>
  <si>
    <t>DEVA VEICULOS</t>
  </si>
  <si>
    <t>23.762.552/0003-02</t>
  </si>
  <si>
    <t>KCINCO CAMINHÕES</t>
  </si>
  <si>
    <t>08.440.584/0001-28</t>
  </si>
  <si>
    <t>10.2.13</t>
  </si>
  <si>
    <t>Conjunto caminhão chassi tipo toco (4x2), equipado com compactador de capacidade volumétrica de 15 m³ (Coleta RSD e Conteinerizada) - Transmissão automática</t>
  </si>
  <si>
    <t>FOX DISTRIBUIDORA</t>
  </si>
  <si>
    <t>RF SUL COMÉRCIO</t>
  </si>
  <si>
    <t>05.010.520/0001-07</t>
  </si>
  <si>
    <t>TORINO VEÍCULOS</t>
  </si>
  <si>
    <t>02.418.362/0001-93</t>
  </si>
  <si>
    <t>10.2.14</t>
  </si>
  <si>
    <t>Conjunto caminhão chassi tipo truck (6x2), equipado com compactador de capacidade volumétrica de no mínimo 18 m³ (Coleta RSD) - Transmissão automática</t>
  </si>
  <si>
    <t>ENZO CAMINHÕES LTDA</t>
  </si>
  <si>
    <t>09.137.236/0001-49</t>
  </si>
  <si>
    <t>VIAGOV LTDA</t>
  </si>
  <si>
    <t>61.854.011/0001-23</t>
  </si>
  <si>
    <t>10.2.15</t>
  </si>
  <si>
    <t>Conjunto caminhão chassi tipo toco (4x2), com carroceria tipo lava contêiner, com 
equipamento com jatos de água com alta pressão sem vazamento da água suja para o exterior. (Coleta conteinerizada) – Transmissão automática</t>
  </si>
  <si>
    <t>MERCALF DIESEL</t>
  </si>
  <si>
    <t>04.807.924/0001-55</t>
  </si>
  <si>
    <t>CESS COMÉRCIO</t>
  </si>
  <si>
    <t>65.083.759/0001-20</t>
  </si>
  <si>
    <t xml:space="preserve">JAGUARIBE </t>
  </si>
  <si>
    <t>02.872.599/0001-89</t>
  </si>
  <si>
    <t>10.2.16</t>
  </si>
  <si>
    <t>Caminhão chassi tipo toco (4x2), com caçamba metálica basculante, capacidade de carga de 1.500 kg (Coleta conteinerizada - resíduos volumosos) - Transmissão 
Automática</t>
  </si>
  <si>
    <t>RODONAVES</t>
  </si>
  <si>
    <t>10.337.197/0001-02</t>
  </si>
  <si>
    <t>MANUPA COMÉRCIO</t>
  </si>
  <si>
    <t>03.093.376/0008-68</t>
  </si>
  <si>
    <t>10.2.17</t>
  </si>
  <si>
    <t>Caminhão chassi tipo toco (4x2), com carroceria tipo baú fechado volume 
aproximado de 35 m³ (coleta seletiva - adote uma escola) - Transmissão automática</t>
  </si>
  <si>
    <t>10.337.197/0002-93</t>
  </si>
  <si>
    <t>03.093.776/0011-63</t>
  </si>
  <si>
    <t>PESO CAMINHÕES</t>
  </si>
  <si>
    <t>54.728.475/0002-09</t>
  </si>
  <si>
    <t>10.2.18</t>
  </si>
  <si>
    <t>Conjunto caminhão leve, chassi tipo toco (4x2), com carroceria de madeira ou metálica com estrutura/armação para cobertura com lona, com capacidade mínima de 1.500 kg (Coleta de óleos) - Transmissão automática</t>
  </si>
  <si>
    <t xml:space="preserve">ZUCATELLI </t>
  </si>
  <si>
    <t>01.241.313/0001-02</t>
  </si>
  <si>
    <t>VEÍCULOS LEVES</t>
  </si>
  <si>
    <t>10.2.19</t>
  </si>
  <si>
    <t>Veículo 0 km (zero quilômetro), motor mínimo 1.0, capacidade mínima para 5 lugares, carroceria tipo Hatch ou sedan, 5 portas (sendo 4 laterais e 1 traseira), direção hidráulica ou elétrica,  cor branca, bicombustível (Gasolina e Etanol), ar condicionado de fábrica, equipado com todos os acessórios exigidos pelo DETRAN.</t>
  </si>
  <si>
    <t>PÉGASUS VEÍCULO LTDA</t>
  </si>
  <si>
    <t>94.989.027/0001-00</t>
  </si>
  <si>
    <t>PE 056/2024 
PM de Pelotas</t>
  </si>
  <si>
    <t>FELICE AUTOMÓVEIS</t>
  </si>
  <si>
    <t>91.525.790/0001-84</t>
  </si>
  <si>
    <t>PE 05/2024 
CISA</t>
  </si>
  <si>
    <t>GUARACAR COM. AUTOMÓVEIS LTDA</t>
  </si>
  <si>
    <t>88.952.577/0001-44</t>
  </si>
  <si>
    <t>PP 14/2024 
PM Campos Borges</t>
  </si>
  <si>
    <t>10.2.20</t>
  </si>
  <si>
    <t>Veículo tipo picape, zero quilômetro, cabine simples com capacidade para 2 ocupantes, 2 portas, bicombustível, câmbio manual, direção elétrica ou hidráulica, ar condicionado de fábrica, equipado com todos os acessórios exigidos pelo DETRAN.</t>
  </si>
  <si>
    <t>GUAIBACAR VEÍCULOS E PEÇAS LTDA</t>
  </si>
  <si>
    <t>92.661.446/0016-61</t>
  </si>
  <si>
    <t>FELICE AUTOMÓVEIS LTDA</t>
  </si>
  <si>
    <t>PE 06/2024 
CPES</t>
  </si>
  <si>
    <t>SPENGLER S.A.</t>
  </si>
  <si>
    <t>95.425.542/0001-12</t>
  </si>
  <si>
    <t>PE 043/2024 
PM de Sinimbu</t>
  </si>
  <si>
    <t>10.2.21</t>
  </si>
  <si>
    <t>Veículo elétrico utilitário tipo golfe, carroceria com cesto para transporte com capacidade de carga de 500 kg. (Coleta Seletiva)</t>
  </si>
  <si>
    <t>TRAMONTINA STORE COMÉRCIO VAREJISTA LTDA</t>
  </si>
  <si>
    <t>07.635.498/0008-84</t>
  </si>
  <si>
    <t>MIRAMAR RIO PRETO COMERCIAL EIRELI</t>
  </si>
  <si>
    <t>17.745.940/0001-42</t>
  </si>
  <si>
    <t>GVA COMÉRCIO E SERVIÇOS LTDA</t>
  </si>
  <si>
    <t>51.181.150/0001-80</t>
  </si>
  <si>
    <t>EQUIPAMENTOS E OUTROS</t>
  </si>
  <si>
    <t>10.2.22</t>
  </si>
  <si>
    <t>Contêiner para resíduos sólidos destinado ao acondicionamento e coleta de resíduos, com capacidade volumétrica de 1000 litros; Matéria prima: fabricado com polietileno de alta densidade (PEAD) injetado, resistente a raios de ação ultravioleta (proteção anti UV), com 100% de material virgem;</t>
  </si>
  <si>
    <t>POWER BEAR DO BRASIL - EQUIPAMENTOS PARA GESTAO DE RESIDUOS LTDA</t>
  </si>
  <si>
    <t>22.627.035/0001-98</t>
  </si>
  <si>
    <t>LAR PLÁSTICOS IND. E COM. DE PROD. PLÁSTICOS</t>
  </si>
  <si>
    <t>63.967.640/0001-95</t>
  </si>
  <si>
    <t>MILFONT &amp; LEMOS LTDA</t>
  </si>
  <si>
    <t>22.416.412/0001-40</t>
  </si>
  <si>
    <t>CONTEMAR AMBIENTAL LTDA</t>
  </si>
  <si>
    <t>03.770.521/0012-79</t>
  </si>
  <si>
    <t>PE 27/2024
PM de Nova Ramada</t>
  </si>
  <si>
    <t>10.2.23</t>
  </si>
  <si>
    <t>Pneu 185/65 R15</t>
  </si>
  <si>
    <t>JN PNEUS LTDA</t>
  </si>
  <si>
    <t>44.472.217/0001-70</t>
  </si>
  <si>
    <t>PE 31/2024
PM de Aceguá</t>
  </si>
  <si>
    <t>LAGB ACESSÓRIOS E PEÇAS LTDA</t>
  </si>
  <si>
    <t>02.678.428/0001-13</t>
  </si>
  <si>
    <t>PE 02/2025 
CI/Jacuí</t>
  </si>
  <si>
    <t>COMERCIAL AUTOMOTIVA S.A.</t>
  </si>
  <si>
    <t>45.987.005/0001-98</t>
  </si>
  <si>
    <t>10.2.24</t>
  </si>
  <si>
    <t>Pneu 205/60 R15</t>
  </si>
  <si>
    <t>POTENZA IMPORTAÇÃO E EXPORTAÇÃO LTDA</t>
  </si>
  <si>
    <t>12.036.958/0001-11</t>
  </si>
  <si>
    <t>PNEUBEST COMERCIAL LTDA</t>
  </si>
  <si>
    <t>36.996.649/0001-51</t>
  </si>
  <si>
    <t>10.2.25</t>
  </si>
  <si>
    <t>Pneu 215/75 R17.5</t>
  </si>
  <si>
    <t>GAMA PNEUS LTDA</t>
  </si>
  <si>
    <t>55.623.647/0001-61</t>
  </si>
  <si>
    <t>PE 02/2025 CI/Jacuí</t>
  </si>
  <si>
    <t>PNEU FREE DO BRASIL COMÉRCIO ELETRÔNICO LTDA</t>
  </si>
  <si>
    <t>11.891.896/0001-62</t>
  </si>
  <si>
    <t>10.2.26</t>
  </si>
  <si>
    <t>Pneu 235/75 R17.5</t>
  </si>
  <si>
    <t>IMPPAR PNEUS S/A</t>
  </si>
  <si>
    <t>09.398.976/0001-39</t>
  </si>
  <si>
    <t>10.2.27</t>
  </si>
  <si>
    <t>Pneu 275/80 R22.5</t>
  </si>
  <si>
    <t>PRUDENTE TRUCK CENTER LTDA</t>
  </si>
  <si>
    <t>05.341.422/0001-44</t>
  </si>
  <si>
    <t>DINIZ COMÉRCIO DE PNEUS LTDA</t>
  </si>
  <si>
    <t>78.965.381/0003-00</t>
  </si>
  <si>
    <t>10.2.28</t>
  </si>
  <si>
    <t>Pneu 155R12 C</t>
  </si>
  <si>
    <t>LINK COMERCIAL IMP. E EXP. LTDA</t>
  </si>
  <si>
    <t>06.089.521/0001-43</t>
  </si>
  <si>
    <t>10.2.29</t>
  </si>
  <si>
    <t>Óleo para motor 5w30</t>
  </si>
  <si>
    <t>GÊNIO PEÇAS AUTOMOTIVAS LTDA</t>
  </si>
  <si>
    <t>49.286.372/0001-15</t>
  </si>
  <si>
    <t>URSO BRANCO COMERCIO VAREJISTA DE LUBRIFICANTES LTDA</t>
  </si>
  <si>
    <t>28.733.138/0001-19</t>
  </si>
  <si>
    <t>10.2.30</t>
  </si>
  <si>
    <t>Óleo lubrificante para motor diesel, classificação API CI-4 ou superior, SAE 15W-40, base mineral ou semissintética, uso severo urbano, compatível com motores eletrônicos ou mecânicos.</t>
  </si>
  <si>
    <t>GURGELMIX MÁQUINAS E FERRAMENTAS S.A</t>
  </si>
  <si>
    <t>ABL COMERCIO DE AUTO PECAS LTDA</t>
  </si>
  <si>
    <t>06.262.915/0001-51</t>
  </si>
  <si>
    <t>10.2.31</t>
  </si>
  <si>
    <t>Óleo lubrificante para transmissão manual de caminhão, API GL-4 ou GL-5, SAE 80W-90 (mineral) ou 75W-85 (sintético), indicado para uso severo urbano.</t>
  </si>
  <si>
    <t>MERCADOCAR MERCANTIL DE PEÇAS LTDA</t>
  </si>
  <si>
    <t>43.158.302/0001-03</t>
  </si>
  <si>
    <t>URSO BRANCO COM. VAR. DE LUBRIFICANTES LTDA</t>
  </si>
  <si>
    <t>BRUNOCAR AUTO PEÇAS E CENTRO AUTOMOTIVO LTDA</t>
  </si>
  <si>
    <t>15.751.815/0001-80</t>
  </si>
  <si>
    <t>10.2.32</t>
  </si>
  <si>
    <t>Óleo lubrificante para transmissão manual de caminhão, API GL-4 ou  GL-5, SAE 75W-90, base sintética ou semissintética.</t>
  </si>
  <si>
    <t>M.SAM DISTRIBUIDORA DE PEÇAS LTDA</t>
  </si>
  <si>
    <t>04.935.166/0001-50</t>
  </si>
  <si>
    <t>J O DISTRIBUIDORA DE PECAS LTDA</t>
  </si>
  <si>
    <t>35.502.201/0001-71</t>
  </si>
  <si>
    <t>VALERIANO COMERCIO DE PEÇAS PARA ONIBUS E CAMINHOES LTDA</t>
  </si>
  <si>
    <t>17.326.779/0001-32</t>
  </si>
  <si>
    <t>10.2.33</t>
  </si>
  <si>
    <t>Óleo hidráulico para sistema de compactador de lixo, tipo AW, ISO VG 68, alta resistência à oxidação, adequado para aplicações móveis em veículos urbanos.</t>
  </si>
  <si>
    <t>GEOTECH COMPONENTES ELETRONICOS E AGRICOLAS LTDA</t>
  </si>
  <si>
    <t>45.166.255/0001-67</t>
  </si>
  <si>
    <t>ITR SOUTH AMERICA COMERCIO IMPORTACAO E EXPORTACAO LTDA</t>
  </si>
  <si>
    <t>01.231.256/0001-72</t>
  </si>
  <si>
    <t>SELMER INDUSTRIA E COMÉRCIO DE PRODUTOS ATUMOTIVOS</t>
  </si>
  <si>
    <t>03.408.736/0001-91</t>
  </si>
  <si>
    <t>10.2.34</t>
  </si>
  <si>
    <t>Graxa lubrificante automotiva NLGI 2, base de sabão de lítio ou lítio complexado, com aditivo EP (extrema pressão) e/ou bisulfeto de molibdênio (MoS₂), uso severo urbano em articulações, cardans e pinos de compactador.</t>
  </si>
  <si>
    <t>AGROTRATOR PARTS COMÉRCIO GIGITAL LTDA</t>
  </si>
  <si>
    <t>35.673.897/0001-07</t>
  </si>
  <si>
    <t>MARCO ANTONIO DE CARVALHO ROLAMENTOS</t>
  </si>
  <si>
    <t> 09.193.572/0001-09</t>
  </si>
  <si>
    <t>LUBCENTER COMERCIO DE LUBRIFICANTES</t>
  </si>
  <si>
    <t>16.987.941/0001-09</t>
  </si>
  <si>
    <t>SERVIÇOS</t>
  </si>
  <si>
    <t>10.2.35</t>
  </si>
  <si>
    <t>Fornecimento e manutenção de sistema de rastreamento e monitoramento por transmissão de dados via GPS/GPRS da frota.</t>
  </si>
  <si>
    <t>RADIO NET LTDA</t>
  </si>
  <si>
    <t>03.304.610/0001-77</t>
  </si>
  <si>
    <t>PE 46/2024
SANEP</t>
  </si>
  <si>
    <t>SOLUZION SOLUÇÕES LOGÍSTICAS LTDA</t>
  </si>
  <si>
    <t>01.179.216/0001-29</t>
  </si>
  <si>
    <t>DL 23/2024
CIGRES</t>
  </si>
  <si>
    <t>SMART LOCAÇÃO E SERVIÇOS EIRELI</t>
  </si>
  <si>
    <t>20.513.785/0001-03</t>
  </si>
  <si>
    <t>DL 5/2025
PM de Arroio dos Ratos</t>
  </si>
  <si>
    <t>10.2.36</t>
  </si>
  <si>
    <t>Serviço de instalação de videomonitoramento da frota, câmera interna + externa, equipamentos em comodato.</t>
  </si>
  <si>
    <t>UNITRAC</t>
  </si>
  <si>
    <t xml:space="preserve">06.888.503/0001-21 </t>
  </si>
  <si>
    <t>BFLEET VIDEO TELEMETRIA</t>
  </si>
  <si>
    <t xml:space="preserve">22.863.730/0001-59 </t>
  </si>
  <si>
    <t>QUATENUS</t>
  </si>
  <si>
    <t xml:space="preserve">97.544.713/0001-58 </t>
  </si>
  <si>
    <t>INFLEET</t>
  </si>
  <si>
    <t xml:space="preserve">29.327.781/0002-96 </t>
  </si>
  <si>
    <t>10.2.37</t>
  </si>
  <si>
    <t>Serviço de videomonitoramento da frota, mensalidade para acesso ao sistema.</t>
  </si>
  <si>
    <t>RASTREASUL LTDA</t>
  </si>
  <si>
    <t>10.576.193/0001-87</t>
  </si>
  <si>
    <t>10.2.38</t>
  </si>
  <si>
    <t>Serviço de adesivagem de caminhões da coleta.</t>
  </si>
  <si>
    <t>STARK COMUNICAÇÃO VISUAL</t>
  </si>
  <si>
    <t>22.160.373/0001-62</t>
  </si>
  <si>
    <t>BIT COMUNICAÇÃO VISUAL LTDA</t>
  </si>
  <si>
    <t>09.570.593/0001-04</t>
  </si>
  <si>
    <t>STAMER ENVELOPAMENTOS LTDA</t>
  </si>
  <si>
    <t>43.506.556/0001-67</t>
  </si>
  <si>
    <t>10.2.39</t>
  </si>
  <si>
    <t>Serviço de adesivagem portas veículos leves.</t>
  </si>
  <si>
    <t>10.2.40</t>
  </si>
  <si>
    <t>Serviço de adesivagem de contêineres de lixo.</t>
  </si>
  <si>
    <t>10.2.41</t>
  </si>
  <si>
    <t>Seguro veicular para veículos leves.</t>
  </si>
  <si>
    <t>GENTE SEGURADORA SA</t>
  </si>
  <si>
    <t>90.180.605/0001-02</t>
  </si>
  <si>
    <t>PE 2/2025
CONDESUS</t>
  </si>
  <si>
    <t>PORTO SEGURO COMPANHIA DE SEGUROS GERAIS</t>
  </si>
  <si>
    <t>61.198.164/0001-60</t>
  </si>
  <si>
    <t>DL 81/2024
PM de Sapiranga</t>
  </si>
  <si>
    <t>MAPFRE SEGUROS GERAIS S.A.</t>
  </si>
  <si>
    <t>61.074.175/0001-38</t>
  </si>
  <si>
    <t>DL 27/2024 Água de Ivoti</t>
  </si>
  <si>
    <t>10.2.42</t>
  </si>
  <si>
    <t>Seguro veicular  para caminhões da frota.</t>
  </si>
  <si>
    <t>SEGUROS SURA S.A.</t>
  </si>
  <si>
    <t>33.065.699/0001-27</t>
  </si>
  <si>
    <t>PE 09/2024
PM de Aceguá</t>
  </si>
  <si>
    <t>GENTE SEGURADORA S. A.</t>
  </si>
  <si>
    <t>DL 187/2025
PM de Nova Roma do Sul</t>
  </si>
  <si>
    <t>PP 24/2024
PM de Cotiporã</t>
  </si>
  <si>
    <t>10.2.43</t>
  </si>
  <si>
    <t>Recapagem de pneu 275/80 R22.5.</t>
  </si>
  <si>
    <t>ATUAL PNEUS COM E RECAP LTDA</t>
  </si>
  <si>
    <t>06.167.143/0001-79</t>
  </si>
  <si>
    <t>PE 153/2024
CODECA</t>
  </si>
  <si>
    <t>P.R. BORRACHARIA E VULCANIZADORA DE PNEUS LTDA</t>
  </si>
  <si>
    <t>01.443.701/0002-49</t>
  </si>
  <si>
    <t>DL 1365/2024
PM de Bom Princípio</t>
  </si>
  <si>
    <t>GARBIN &amp; BERGAMO LTDA</t>
  </si>
  <si>
    <t>11.442.752/0001-29</t>
  </si>
  <si>
    <t>PE 34/2024
CONDESUS</t>
  </si>
  <si>
    <t>F. VACHILESKI &amp; CIA LTDA</t>
  </si>
  <si>
    <t>93.388.031/0009-08</t>
  </si>
  <si>
    <t>PE 2/2025
PM de Soledade</t>
  </si>
  <si>
    <t>10.2.44</t>
  </si>
  <si>
    <t>Recapagem de pneu 235/75 R17.5.</t>
  </si>
  <si>
    <t>OST RENOVADORA DE PNEUS LTDA</t>
  </si>
  <si>
    <t>04.209.387/0001-41</t>
  </si>
  <si>
    <t>DL 21/2025
PM de São Vendelino</t>
  </si>
  <si>
    <t>J. D. M. BECCON &amp; CIA LTDA</t>
  </si>
  <si>
    <t>94.747.888/0001-74</t>
  </si>
  <si>
    <t>PE 9/2025
PM de Pirapó</t>
  </si>
  <si>
    <t>LAUXEN PNEUS LTDA</t>
  </si>
  <si>
    <t>94.006.210/0001-30</t>
  </si>
  <si>
    <t>PP 03/2025
PM de Porto Xavier</t>
  </si>
  <si>
    <t>10.2.45</t>
  </si>
  <si>
    <t>Recapagem de pneu 215/75 R17.5.</t>
  </si>
  <si>
    <t>RENOVADORA DE PNEUS LUFT LTDA</t>
  </si>
  <si>
    <t>03.850.640/0001-89</t>
  </si>
  <si>
    <t xml:space="preserve">PE 17/2025
PM de Lindolfo Collor </t>
  </si>
  <si>
    <t>ROMANO GUERRA E CIA LTDA</t>
  </si>
  <si>
    <t>01.375.626/0001-45</t>
  </si>
  <si>
    <t>Observações: 
Para os itens 10.2.2 e 10.2.4, o valor foi estimado com base em apenas 2 (dois) orçamentos, uma vez que não foi possível obter o terceiro em tempo hábil. Foi realizada consulta telefônica a uma concessionária Ford, ocasião em que se informou que a empresa não comercializa mais caminhões novos, devido ao encerramento da produção da marca no Brasil. Também foi feito contato por e-mail, em 08/05/2025, com a concessionária Mattana (IVECO), sem retorno. A  empresa Austral Caminhões Ltda não possuÍa caminhões com os PBTs indicados.</t>
  </si>
  <si>
    <t>Para os itens 10.2.5, 10.2.6, 10.2.7 e 10.2.8, foram solicitados orçamentos pelo site das empresas Damaeq, COPAC e LOPAC em 24/04/2025, e à empresa Germani, via e-mail, em 29/04/2025, sem retorno de nenhuma delas. Por esse motivo, justifica-se a utilização de apenas 2 (duas) cotações para a estimativa de preços dos compactadores. No caso específico do item 10.2.6, foi obtida apenas 1 (uma) cotação, pois a empresa CIMASP informou não dispor de compactador com capacidade de 8 m³.</t>
  </si>
  <si>
    <t>Para o item 10.2.9, obteve-se apenas 1 (uma) cotação para o lava contêiner, devido à dificuldade em localizar fornecedores que comercializem esse tipo de implemento.</t>
  </si>
  <si>
    <t>Buscou-se cotação para o implemento carroceria de madeira ou metálica (item 10.2.10) para que fosse possível alcançar os orçamentos mínimos para o conjunto de caminhão chassi com carroceria (item 10.2.18) para a coleta de óleos. No entanto, o item 10.2.10 obteve apenas 1 (uma) cotação válida, uma vez que não foi possível obter os três orçamentos mínimos em tempo hábil. Consultou-se a empresa Rodokurtz via telefone e whatsapp, e as empresas Rodoeste Carretas e Thermo-Flex Implementos Rodoviários, via e-mail, em 16/04/2025 e 25/04/2025 respectivamente, sem retorno.</t>
  </si>
  <si>
    <t>Para o item 10.2.15 foi utilizado como valores de referência o caminhão Pipa toco 4x2 que possui valor semelhante ao caminhão equipado com lava contêiner.</t>
  </si>
  <si>
    <t xml:space="preserve">Para os itens 10.2.36 e 10.2.37, os orçamentos foram feitos tendo como base uma frota de 29 veículos. </t>
  </si>
  <si>
    <t>Para os itens 10.2.38, 10.2.39 e 10.2.40, utilizou-se a mediana como critério para estimativa de preço, uma vez que as cotações apresentaram valores heterogêneos.</t>
  </si>
  <si>
    <t>Os valores cotados no ano de 2025 estão atualizados pelo IPCA até maio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</si>
</sst>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R$ &quot;#,##0.00"/>
    <numFmt numFmtId="165" formatCode="&quot;R$ &quot;#,##0.00;[Red]&quot;-R$ &quot;#,##0.00"/>
    <numFmt numFmtId="166" formatCode="[$R$-416]\ #,##0.00;[Red]\-[$R$-416]\ #,##0.00"/>
    <numFmt numFmtId="167" formatCode="[$R$ -416]#,##0.00"/>
    <numFmt numFmtId="168" formatCode="0.0"/>
    <numFmt numFmtId="169" formatCode="&quot;R$ &quot;#,##0.0000"/>
    <numFmt numFmtId="170" formatCode="#,##0.0"/>
    <numFmt numFmtId="171" formatCode="_-* #,##0.00_-;\-* #,##0.00_-;_-* \-??_-;_-@"/>
    <numFmt numFmtId="172" formatCode="[$R$]\ #,##0.000"/>
    <numFmt numFmtId="173" formatCode="d/m/yyyy"/>
    <numFmt numFmtId="174" formatCode="d/mmm"/>
    <numFmt numFmtId="175" formatCode="0.0000"/>
    <numFmt numFmtId="176" formatCode="dd/mm/yy"/>
  </numFmts>
  <fonts count="4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b/>
      <sz val="11"/>
      <color theme="1"/>
      <name val="Arial"/>
    </font>
    <font>
      <sz val="11"/>
      <color theme="1"/>
      <name val="Arial"/>
    </font>
    <font>
      <b/>
      <sz val="11"/>
      <color theme="1"/>
      <name val="Calibri"/>
    </font>
    <font>
      <sz val="11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sz val="11"/>
      <color rgb="FFFF0000"/>
      <name val="Calibri"/>
    </font>
    <font>
      <sz val="10"/>
      <color theme="1"/>
      <name val="Calibri"/>
    </font>
    <font>
      <sz val="10"/>
      <color rgb="FF000000"/>
      <name val="Calibri"/>
    </font>
    <font>
      <b/>
      <sz val="10"/>
      <color theme="1"/>
      <name val="Arial"/>
    </font>
    <font>
      <b/>
      <sz val="10"/>
      <color rgb="FF000000"/>
      <name val="Arial"/>
    </font>
    <font>
      <b/>
      <sz val="11"/>
      <color theme="1"/>
      <name val="Cambria"/>
    </font>
    <font>
      <u/>
      <sz val="11"/>
      <color rgb="FF0563C1"/>
      <name val="Calibri"/>
    </font>
    <font>
      <b/>
      <i/>
      <sz val="11"/>
      <color rgb="FF000000"/>
      <name val="Calibri"/>
    </font>
    <font>
      <sz val="11"/>
      <color rgb="FF0000FF"/>
      <name val="Calibri"/>
    </font>
    <font>
      <u/>
      <sz val="11"/>
      <color theme="10"/>
      <name val="Calibri"/>
    </font>
    <font>
      <b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sz val="9"/>
      <color rgb="FF404040"/>
      <name val="Quattrocento Sans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sz val="11"/>
      <color theme="1"/>
      <name val="Calibri"/>
      <scheme val="minor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1"/>
      <color rgb="FF0563C1"/>
      <name val="Calibri"/>
    </font>
    <font>
      <u/>
      <sz val="10"/>
      <color rgb="FF000000"/>
      <name val="Calibri"/>
    </font>
    <font>
      <sz val="11"/>
      <color rgb="FFFF0000"/>
      <name val="Arial"/>
    </font>
    <font>
      <vertAlign val="subscript"/>
      <sz val="11"/>
      <color theme="1"/>
      <name val="Calibri"/>
    </font>
    <font>
      <vertAlign val="subscript"/>
      <sz val="10"/>
      <color theme="1"/>
      <name val="Calibri"/>
    </font>
    <font>
      <vertAlign val="superscript"/>
      <sz val="11"/>
      <color theme="1"/>
      <name val="Calibri"/>
    </font>
    <font>
      <vertAlign val="subscript"/>
      <sz val="11"/>
      <color rgb="FF000000"/>
      <name val="Calibri"/>
    </font>
    <font>
      <b/>
      <vertAlign val="superscript"/>
      <sz val="11"/>
      <color rgb="FF000000"/>
      <name val="Calibri"/>
    </font>
    <font>
      <b/>
      <vertAlign val="superscript"/>
      <sz val="11"/>
      <color theme="1"/>
      <name val="Calibri"/>
    </font>
    <font>
      <vertAlign val="superscript"/>
      <sz val="11"/>
      <color rgb="FF000000"/>
      <name val="Calibri"/>
    </font>
  </fonts>
  <fills count="1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FFF2CB"/>
        <bgColor rgb="FFFFF2CB"/>
      </patternFill>
    </fill>
    <fill>
      <patternFill patternType="solid">
        <fgColor rgb="FFFFFFFF"/>
        <bgColor rgb="FFFFFFFF"/>
      </patternFill>
    </fill>
    <fill>
      <patternFill patternType="solid">
        <fgColor rgb="FFF7CAAC"/>
        <bgColor rgb="FFF7CAAC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E7E6E6"/>
        <bgColor rgb="FFE7E6E6"/>
      </patternFill>
    </fill>
    <fill>
      <patternFill patternType="solid">
        <fgColor rgb="FFDDDDDD"/>
        <bgColor rgb="FFDDDDDD"/>
      </patternFill>
    </fill>
    <fill>
      <patternFill patternType="solid">
        <fgColor rgb="FFB4C7DC"/>
        <bgColor rgb="FFB4C7DC"/>
      </patternFill>
    </fill>
    <fill>
      <patternFill patternType="solid">
        <fgColor rgb="FFB3CAC7"/>
        <bgColor rgb="FFB3CAC7"/>
      </patternFill>
    </fill>
    <fill>
      <patternFill patternType="solid">
        <fgColor rgb="FFFFD7D7"/>
        <bgColor rgb="FFFFD7D7"/>
      </patternFill>
    </fill>
  </fills>
  <borders count="6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5">
    <xf numFmtId="0" fontId="0" fillId="0" borderId="0" xfId="0"/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7" fillId="0" borderId="0" xfId="0" applyFont="1" applyAlignment="1">
      <alignment horizontal="left"/>
    </xf>
    <xf numFmtId="0" fontId="6" fillId="3" borderId="11" xfId="0" applyFont="1" applyFill="1" applyBorder="1" applyAlignment="1">
      <alignment horizontal="center"/>
    </xf>
    <xf numFmtId="0" fontId="7" fillId="0" borderId="0" xfId="0" applyFont="1"/>
    <xf numFmtId="0" fontId="1" fillId="3" borderId="11" xfId="0" applyFont="1" applyFill="1" applyBorder="1"/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4" borderId="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5" borderId="5" xfId="0" applyFont="1" applyFill="1" applyBorder="1"/>
    <xf numFmtId="0" fontId="9" fillId="0" borderId="5" xfId="0" applyFont="1" applyBorder="1" applyAlignment="1">
      <alignment horizontal="center" vertical="center"/>
    </xf>
    <xf numFmtId="164" fontId="1" fillId="0" borderId="0" xfId="0" applyNumberFormat="1" applyFont="1"/>
    <xf numFmtId="0" fontId="9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164" fontId="6" fillId="5" borderId="5" xfId="0" applyNumberFormat="1" applyFont="1" applyFill="1" applyBorder="1"/>
    <xf numFmtId="0" fontId="1" fillId="0" borderId="5" xfId="0" applyFont="1" applyBorder="1"/>
    <xf numFmtId="164" fontId="1" fillId="0" borderId="0" xfId="0" applyNumberFormat="1" applyFont="1" applyAlignment="1">
      <alignment horizontal="center"/>
    </xf>
    <xf numFmtId="0" fontId="9" fillId="5" borderId="5" xfId="0" applyFont="1" applyFill="1" applyBorder="1" applyAlignment="1">
      <alignment horizontal="center" vertical="center"/>
    </xf>
    <xf numFmtId="20" fontId="1" fillId="0" borderId="0" xfId="0" applyNumberFormat="1" applyFont="1"/>
    <xf numFmtId="0" fontId="2" fillId="3" borderId="11" xfId="0" applyFont="1" applyFill="1" applyBorder="1"/>
    <xf numFmtId="164" fontId="1" fillId="0" borderId="5" xfId="0" applyNumberFormat="1" applyFont="1" applyBorder="1"/>
    <xf numFmtId="164" fontId="9" fillId="5" borderId="5" xfId="0" applyNumberFormat="1" applyFont="1" applyFill="1" applyBorder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6" xfId="0" applyFont="1" applyBorder="1"/>
    <xf numFmtId="164" fontId="6" fillId="4" borderId="5" xfId="0" applyNumberFormat="1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4" fontId="1" fillId="0" borderId="0" xfId="0" applyNumberFormat="1" applyFont="1"/>
    <xf numFmtId="0" fontId="6" fillId="5" borderId="5" xfId="0" applyFont="1" applyFill="1" applyBorder="1" applyAlignment="1">
      <alignment horizontal="center" vertical="center"/>
    </xf>
    <xf numFmtId="164" fontId="7" fillId="0" borderId="5" xfId="0" applyNumberFormat="1" applyFont="1" applyBorder="1" applyAlignment="1">
      <alignment horizontal="right"/>
    </xf>
    <xf numFmtId="164" fontId="6" fillId="5" borderId="5" xfId="0" applyNumberFormat="1" applyFont="1" applyFill="1" applyBorder="1" applyAlignment="1">
      <alignment horizontal="right"/>
    </xf>
    <xf numFmtId="164" fontId="1" fillId="0" borderId="5" xfId="0" applyNumberFormat="1" applyFont="1" applyBorder="1" applyAlignment="1">
      <alignment horizontal="right"/>
    </xf>
    <xf numFmtId="164" fontId="6" fillId="0" borderId="5" xfId="0" applyNumberFormat="1" applyFont="1" applyBorder="1"/>
    <xf numFmtId="0" fontId="7" fillId="6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166" fontId="1" fillId="0" borderId="5" xfId="0" applyNumberFormat="1" applyFont="1" applyBorder="1"/>
    <xf numFmtId="0" fontId="7" fillId="0" borderId="6" xfId="0" applyFont="1" applyBorder="1" applyAlignment="1">
      <alignment horizontal="left"/>
    </xf>
    <xf numFmtId="164" fontId="6" fillId="2" borderId="5" xfId="0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center"/>
    </xf>
    <xf numFmtId="3" fontId="6" fillId="7" borderId="5" xfId="0" applyNumberFormat="1" applyFont="1" applyFill="1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right" vertical="center"/>
    </xf>
    <xf numFmtId="0" fontId="6" fillId="0" borderId="5" xfId="0" applyFont="1" applyBorder="1"/>
    <xf numFmtId="0" fontId="6" fillId="0" borderId="0" xfId="0" applyFont="1" applyAlignment="1">
      <alignment horizontal="center"/>
    </xf>
    <xf numFmtId="164" fontId="7" fillId="0" borderId="5" xfId="0" applyNumberFormat="1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" fontId="1" fillId="0" borderId="5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165" fontId="6" fillId="0" borderId="5" xfId="0" applyNumberFormat="1" applyFont="1" applyBorder="1"/>
    <xf numFmtId="164" fontId="9" fillId="2" borderId="18" xfId="0" applyNumberFormat="1" applyFont="1" applyFill="1" applyBorder="1" applyAlignment="1">
      <alignment horizontal="right"/>
    </xf>
    <xf numFmtId="10" fontId="1" fillId="0" borderId="5" xfId="0" applyNumberFormat="1" applyFont="1" applyBorder="1" applyAlignment="1">
      <alignment horizontal="center" vertical="center"/>
    </xf>
    <xf numFmtId="164" fontId="6" fillId="2" borderId="18" xfId="0" applyNumberFormat="1" applyFont="1" applyFill="1" applyBorder="1" applyAlignment="1">
      <alignment horizontal="right"/>
    </xf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/>
    </xf>
    <xf numFmtId="10" fontId="6" fillId="0" borderId="5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vertical="center"/>
    </xf>
    <xf numFmtId="165" fontId="7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5" fontId="9" fillId="0" borderId="5" xfId="0" applyNumberFormat="1" applyFont="1" applyBorder="1" applyAlignment="1">
      <alignment horizontal="right"/>
    </xf>
    <xf numFmtId="165" fontId="1" fillId="0" borderId="5" xfId="0" applyNumberFormat="1" applyFont="1" applyBorder="1" applyAlignment="1">
      <alignment horizontal="center"/>
    </xf>
    <xf numFmtId="9" fontId="1" fillId="0" borderId="5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right"/>
    </xf>
    <xf numFmtId="0" fontId="7" fillId="0" borderId="6" xfId="0" applyFont="1" applyBorder="1" applyAlignment="1">
      <alignment vertical="center"/>
    </xf>
    <xf numFmtId="10" fontId="7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/>
    </xf>
    <xf numFmtId="165" fontId="1" fillId="0" borderId="5" xfId="0" applyNumberFormat="1" applyFont="1" applyBorder="1"/>
    <xf numFmtId="164" fontId="6" fillId="2" borderId="18" xfId="0" applyNumberFormat="1" applyFont="1" applyFill="1" applyBorder="1"/>
    <xf numFmtId="10" fontId="9" fillId="0" borderId="5" xfId="0" applyNumberFormat="1" applyFont="1" applyBorder="1" applyAlignment="1">
      <alignment horizontal="center" vertical="center"/>
    </xf>
    <xf numFmtId="165" fontId="9" fillId="0" borderId="5" xfId="0" applyNumberFormat="1" applyFont="1" applyBorder="1" applyAlignment="1">
      <alignment horizontal="right" vertical="center"/>
    </xf>
    <xf numFmtId="165" fontId="6" fillId="0" borderId="5" xfId="0" applyNumberFormat="1" applyFont="1" applyBorder="1" applyAlignment="1">
      <alignment horizontal="right" vertical="center"/>
    </xf>
    <xf numFmtId="0" fontId="6" fillId="8" borderId="21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164" fontId="6" fillId="8" borderId="21" xfId="0" applyNumberFormat="1" applyFont="1" applyFill="1" applyBorder="1"/>
    <xf numFmtId="165" fontId="7" fillId="0" borderId="5" xfId="0" applyNumberFormat="1" applyFont="1" applyBorder="1" applyAlignment="1">
      <alignment horizontal="center"/>
    </xf>
    <xf numFmtId="9" fontId="7" fillId="0" borderId="5" xfId="0" applyNumberFormat="1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center"/>
    </xf>
    <xf numFmtId="0" fontId="6" fillId="2" borderId="5" xfId="0" applyFont="1" applyFill="1" applyBorder="1" applyAlignment="1">
      <alignment vertical="center"/>
    </xf>
    <xf numFmtId="164" fontId="7" fillId="0" borderId="5" xfId="0" applyNumberFormat="1" applyFont="1" applyBorder="1" applyAlignment="1">
      <alignment horizontal="center"/>
    </xf>
    <xf numFmtId="0" fontId="7" fillId="0" borderId="5" xfId="0" applyFont="1" applyBorder="1"/>
    <xf numFmtId="164" fontId="6" fillId="0" borderId="5" xfId="0" applyNumberFormat="1" applyFont="1" applyBorder="1" applyAlignment="1">
      <alignment horizontal="right"/>
    </xf>
    <xf numFmtId="165" fontId="7" fillId="0" borderId="5" xfId="0" applyNumberFormat="1" applyFont="1" applyBorder="1"/>
    <xf numFmtId="164" fontId="9" fillId="0" borderId="5" xfId="0" applyNumberFormat="1" applyFont="1" applyBorder="1" applyAlignment="1">
      <alignment horizontal="right"/>
    </xf>
    <xf numFmtId="164" fontId="6" fillId="8" borderId="18" xfId="0" applyNumberFormat="1" applyFont="1" applyFill="1" applyBorder="1" applyAlignment="1">
      <alignment horizontal="right"/>
    </xf>
    <xf numFmtId="164" fontId="6" fillId="8" borderId="21" xfId="0" applyNumberFormat="1" applyFont="1" applyFill="1" applyBorder="1" applyAlignment="1">
      <alignment horizontal="right"/>
    </xf>
    <xf numFmtId="164" fontId="9" fillId="8" borderId="18" xfId="0" applyNumberFormat="1" applyFont="1" applyFill="1" applyBorder="1" applyAlignment="1">
      <alignment horizontal="right"/>
    </xf>
    <xf numFmtId="164" fontId="9" fillId="8" borderId="21" xfId="0" applyNumberFormat="1" applyFont="1" applyFill="1" applyBorder="1" applyAlignment="1">
      <alignment horizontal="right"/>
    </xf>
    <xf numFmtId="164" fontId="7" fillId="0" borderId="0" xfId="0" applyNumberFormat="1" applyFont="1"/>
    <xf numFmtId="0" fontId="7" fillId="0" borderId="29" xfId="0" applyFont="1" applyBorder="1" applyAlignment="1">
      <alignment horizontal="center"/>
    </xf>
    <xf numFmtId="0" fontId="9" fillId="2" borderId="5" xfId="0" applyFont="1" applyFill="1" applyBorder="1" applyAlignment="1">
      <alignment vertical="center"/>
    </xf>
    <xf numFmtId="165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7" fillId="0" borderId="8" xfId="0" applyFont="1" applyBorder="1"/>
    <xf numFmtId="2" fontId="7" fillId="0" borderId="5" xfId="0" applyNumberFormat="1" applyFont="1" applyBorder="1" applyAlignment="1">
      <alignment horizontal="center"/>
    </xf>
    <xf numFmtId="166" fontId="7" fillId="0" borderId="5" xfId="0" applyNumberFormat="1" applyFont="1" applyBorder="1" applyAlignment="1">
      <alignment horizontal="center"/>
    </xf>
    <xf numFmtId="166" fontId="6" fillId="3" borderId="11" xfId="0" applyNumberFormat="1" applyFont="1" applyFill="1" applyBorder="1" applyAlignment="1">
      <alignment horizontal="center"/>
    </xf>
    <xf numFmtId="166" fontId="9" fillId="8" borderId="21" xfId="0" applyNumberFormat="1" applyFont="1" applyFill="1" applyBorder="1" applyAlignment="1">
      <alignment horizontal="center"/>
    </xf>
    <xf numFmtId="166" fontId="9" fillId="8" borderId="30" xfId="0" applyNumberFormat="1" applyFont="1" applyFill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165" fontId="7" fillId="0" borderId="5" xfId="0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167" fontId="7" fillId="0" borderId="5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right"/>
    </xf>
    <xf numFmtId="165" fontId="7" fillId="0" borderId="5" xfId="0" applyNumberFormat="1" applyFont="1" applyBorder="1" applyAlignment="1">
      <alignment horizontal="right"/>
    </xf>
    <xf numFmtId="10" fontId="1" fillId="0" borderId="5" xfId="0" applyNumberFormat="1" applyFont="1" applyBorder="1" applyAlignment="1">
      <alignment horizontal="center"/>
    </xf>
    <xf numFmtId="0" fontId="7" fillId="0" borderId="7" xfId="0" applyFont="1" applyBorder="1" applyAlignment="1">
      <alignment vertical="center"/>
    </xf>
    <xf numFmtId="164" fontId="6" fillId="0" borderId="5" xfId="0" applyNumberFormat="1" applyFont="1" applyBorder="1" applyAlignment="1">
      <alignment horizontal="center" wrapText="1"/>
    </xf>
    <xf numFmtId="10" fontId="9" fillId="2" borderId="5" xfId="0" applyNumberFormat="1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right" vertical="center"/>
    </xf>
    <xf numFmtId="0" fontId="1" fillId="0" borderId="7" xfId="0" applyFont="1" applyBorder="1"/>
    <xf numFmtId="0" fontId="1" fillId="0" borderId="8" xfId="0" applyFont="1" applyBorder="1"/>
    <xf numFmtId="0" fontId="1" fillId="0" borderId="12" xfId="0" applyFont="1" applyBorder="1" applyAlignment="1">
      <alignment horizontal="center"/>
    </xf>
    <xf numFmtId="164" fontId="1" fillId="0" borderId="12" xfId="0" applyNumberFormat="1" applyFont="1" applyBorder="1"/>
    <xf numFmtId="0" fontId="1" fillId="0" borderId="18" xfId="0" applyFont="1" applyBorder="1" applyAlignment="1">
      <alignment horizontal="center"/>
    </xf>
    <xf numFmtId="164" fontId="1" fillId="0" borderId="18" xfId="0" applyNumberFormat="1" applyFont="1" applyBorder="1"/>
    <xf numFmtId="166" fontId="7" fillId="0" borderId="5" xfId="0" applyNumberFormat="1" applyFont="1" applyBorder="1" applyAlignment="1">
      <alignment horizontal="left"/>
    </xf>
    <xf numFmtId="0" fontId="1" fillId="0" borderId="14" xfId="0" applyFont="1" applyBorder="1"/>
    <xf numFmtId="164" fontId="6" fillId="0" borderId="14" xfId="0" applyNumberFormat="1" applyFont="1" applyBorder="1"/>
    <xf numFmtId="0" fontId="6" fillId="3" borderId="1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164" fontId="10" fillId="0" borderId="0" xfId="0" applyNumberFormat="1" applyFont="1"/>
    <xf numFmtId="0" fontId="6" fillId="3" borderId="11" xfId="0" applyFont="1" applyFill="1" applyBorder="1"/>
    <xf numFmtId="0" fontId="6" fillId="0" borderId="0" xfId="0" applyFont="1"/>
    <xf numFmtId="164" fontId="6" fillId="0" borderId="0" xfId="0" applyNumberFormat="1" applyFont="1"/>
    <xf numFmtId="0" fontId="1" fillId="0" borderId="0" xfId="0" applyFont="1"/>
    <xf numFmtId="0" fontId="6" fillId="2" borderId="18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 vertical="center"/>
    </xf>
    <xf numFmtId="0" fontId="6" fillId="9" borderId="21" xfId="0" applyFont="1" applyFill="1" applyBorder="1"/>
    <xf numFmtId="164" fontId="6" fillId="9" borderId="21" xfId="0" applyNumberFormat="1" applyFont="1" applyFill="1" applyBorder="1" applyAlignment="1">
      <alignment vertical="center"/>
    </xf>
    <xf numFmtId="168" fontId="1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vertical="center"/>
    </xf>
    <xf numFmtId="166" fontId="1" fillId="3" borderId="11" xfId="0" applyNumberFormat="1" applyFont="1" applyFill="1" applyBorder="1"/>
    <xf numFmtId="166" fontId="6" fillId="3" borderId="11" xfId="0" applyNumberFormat="1" applyFont="1" applyFill="1" applyBorder="1" applyAlignment="1">
      <alignment horizontal="center" vertical="center"/>
    </xf>
    <xf numFmtId="166" fontId="1" fillId="3" borderId="11" xfId="0" applyNumberFormat="1" applyFont="1" applyFill="1" applyBorder="1" applyAlignment="1">
      <alignment vertical="center"/>
    </xf>
    <xf numFmtId="10" fontId="6" fillId="0" borderId="5" xfId="0" applyNumberFormat="1" applyFont="1" applyBorder="1" applyAlignment="1">
      <alignment horizontal="center"/>
    </xf>
    <xf numFmtId="166" fontId="6" fillId="3" borderId="11" xfId="0" applyNumberFormat="1" applyFont="1" applyFill="1" applyBorder="1"/>
    <xf numFmtId="0" fontId="1" fillId="0" borderId="18" xfId="0" applyFont="1" applyBorder="1"/>
    <xf numFmtId="164" fontId="1" fillId="0" borderId="18" xfId="0" applyNumberFormat="1" applyFont="1" applyBorder="1" applyAlignment="1">
      <alignment vertical="center"/>
    </xf>
    <xf numFmtId="0" fontId="6" fillId="10" borderId="21" xfId="0" applyFont="1" applyFill="1" applyBorder="1"/>
    <xf numFmtId="164" fontId="6" fillId="10" borderId="21" xfId="0" applyNumberFormat="1" applyFont="1" applyFill="1" applyBorder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right" vertical="center"/>
    </xf>
    <xf numFmtId="0" fontId="6" fillId="0" borderId="14" xfId="0" applyFont="1" applyBorder="1"/>
    <xf numFmtId="164" fontId="1" fillId="0" borderId="14" xfId="0" applyNumberFormat="1" applyFont="1" applyBorder="1" applyAlignment="1">
      <alignment horizontal="right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5" fontId="7" fillId="6" borderId="5" xfId="0" applyNumberFormat="1" applyFont="1" applyFill="1" applyBorder="1" applyAlignment="1">
      <alignment horizontal="right" vertical="center"/>
    </xf>
    <xf numFmtId="0" fontId="1" fillId="10" borderId="21" xfId="0" applyFont="1" applyFill="1" applyBorder="1" applyAlignment="1">
      <alignment horizontal="center"/>
    </xf>
    <xf numFmtId="0" fontId="6" fillId="2" borderId="18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164" fontId="6" fillId="10" borderId="21" xfId="0" applyNumberFormat="1" applyFont="1" applyFill="1" applyBorder="1" applyAlignment="1">
      <alignment horizontal="right" vertical="center"/>
    </xf>
    <xf numFmtId="0" fontId="1" fillId="3" borderId="11" xfId="0" applyFont="1" applyFill="1" applyBorder="1" applyAlignment="1">
      <alignment wrapText="1"/>
    </xf>
    <xf numFmtId="3" fontId="1" fillId="3" borderId="5" xfId="0" applyNumberFormat="1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3" fontId="6" fillId="0" borderId="18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6" borderId="5" xfId="0" applyFont="1" applyFill="1" applyBorder="1"/>
    <xf numFmtId="165" fontId="7" fillId="6" borderId="5" xfId="0" applyNumberFormat="1" applyFont="1" applyFill="1" applyBorder="1" applyAlignment="1">
      <alignment horizontal="right"/>
    </xf>
    <xf numFmtId="3" fontId="6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164" fontId="1" fillId="0" borderId="5" xfId="0" applyNumberFormat="1" applyFont="1" applyBorder="1" applyAlignment="1">
      <alignment horizontal="center" wrapText="1"/>
    </xf>
    <xf numFmtId="9" fontId="1" fillId="0" borderId="5" xfId="0" applyNumberFormat="1" applyFont="1" applyBorder="1" applyAlignment="1">
      <alignment horizontal="center" wrapText="1"/>
    </xf>
    <xf numFmtId="164" fontId="1" fillId="0" borderId="5" xfId="0" applyNumberFormat="1" applyFont="1" applyBorder="1" applyAlignment="1">
      <alignment horizontal="right" wrapText="1"/>
    </xf>
    <xf numFmtId="0" fontId="6" fillId="3" borderId="11" xfId="0" applyFont="1" applyFill="1" applyBorder="1" applyAlignment="1">
      <alignment horizontal="center" wrapText="1"/>
    </xf>
    <xf numFmtId="2" fontId="1" fillId="0" borderId="5" xfId="0" applyNumberFormat="1" applyFont="1" applyBorder="1" applyAlignment="1">
      <alignment horizontal="center" vertical="center"/>
    </xf>
    <xf numFmtId="165" fontId="1" fillId="3" borderId="11" xfId="0" applyNumberFormat="1" applyFont="1" applyFill="1" applyBorder="1"/>
    <xf numFmtId="0" fontId="1" fillId="3" borderId="11" xfId="0" applyFont="1" applyFill="1" applyBorder="1" applyAlignment="1">
      <alignment horizontal="center"/>
    </xf>
    <xf numFmtId="3" fontId="1" fillId="0" borderId="41" xfId="0" applyNumberFormat="1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164" fontId="6" fillId="0" borderId="41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6" fillId="2" borderId="42" xfId="0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1" fontId="1" fillId="0" borderId="5" xfId="0" applyNumberFormat="1" applyFont="1" applyBorder="1" applyAlignment="1">
      <alignment horizontal="center"/>
    </xf>
    <xf numFmtId="164" fontId="1" fillId="3" borderId="11" xfId="0" applyNumberFormat="1" applyFont="1" applyFill="1" applyBorder="1"/>
    <xf numFmtId="164" fontId="9" fillId="0" borderId="5" xfId="0" applyNumberFormat="1" applyFont="1" applyBorder="1" applyAlignment="1">
      <alignment horizontal="right" wrapText="1"/>
    </xf>
    <xf numFmtId="0" fontId="7" fillId="0" borderId="18" xfId="0" applyFont="1" applyBorder="1" applyAlignment="1">
      <alignment horizontal="center"/>
    </xf>
    <xf numFmtId="164" fontId="1" fillId="0" borderId="18" xfId="0" applyNumberFormat="1" applyFont="1" applyBorder="1" applyAlignment="1">
      <alignment horizontal="right"/>
    </xf>
    <xf numFmtId="164" fontId="7" fillId="0" borderId="18" xfId="0" applyNumberFormat="1" applyFont="1" applyBorder="1" applyAlignment="1">
      <alignment horizontal="right"/>
    </xf>
    <xf numFmtId="0" fontId="7" fillId="0" borderId="14" xfId="0" applyFont="1" applyBorder="1"/>
    <xf numFmtId="164" fontId="9" fillId="0" borderId="14" xfId="0" applyNumberFormat="1" applyFont="1" applyBorder="1" applyAlignment="1">
      <alignment horizontal="right"/>
    </xf>
    <xf numFmtId="164" fontId="6" fillId="0" borderId="14" xfId="0" applyNumberFormat="1" applyFont="1" applyBorder="1" applyAlignment="1">
      <alignment horizontal="right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164" fontId="1" fillId="0" borderId="18" xfId="0" applyNumberFormat="1" applyFont="1" applyBorder="1" applyAlignment="1">
      <alignment horizontal="right" vertical="center"/>
    </xf>
    <xf numFmtId="164" fontId="7" fillId="0" borderId="18" xfId="0" applyNumberFormat="1" applyFont="1" applyBorder="1" applyAlignment="1">
      <alignment horizontal="right" vertical="center"/>
    </xf>
    <xf numFmtId="4" fontId="1" fillId="3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 wrapText="1"/>
    </xf>
    <xf numFmtId="0" fontId="10" fillId="0" borderId="0" xfId="0" applyFont="1"/>
    <xf numFmtId="164" fontId="9" fillId="0" borderId="14" xfId="0" applyNumberFormat="1" applyFont="1" applyBorder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/>
    </xf>
    <xf numFmtId="164" fontId="1" fillId="0" borderId="0" xfId="0" applyNumberFormat="1" applyFont="1" applyAlignment="1">
      <alignment horizontal="right"/>
    </xf>
    <xf numFmtId="164" fontId="6" fillId="0" borderId="14" xfId="0" applyNumberFormat="1" applyFont="1" applyBorder="1" applyAlignment="1">
      <alignment horizontal="right" vertical="center"/>
    </xf>
    <xf numFmtId="10" fontId="6" fillId="3" borderId="11" xfId="0" applyNumberFormat="1" applyFont="1" applyFill="1" applyBorder="1" applyAlignment="1">
      <alignment horizontal="center"/>
    </xf>
    <xf numFmtId="164" fontId="6" fillId="3" borderId="11" xfId="0" applyNumberFormat="1" applyFont="1" applyFill="1" applyBorder="1" applyAlignment="1">
      <alignment vertical="center"/>
    </xf>
    <xf numFmtId="10" fontId="1" fillId="3" borderId="11" xfId="0" applyNumberFormat="1" applyFont="1" applyFill="1" applyBorder="1"/>
    <xf numFmtId="164" fontId="6" fillId="0" borderId="0" xfId="0" applyNumberFormat="1" applyFont="1" applyAlignment="1">
      <alignment vertical="center"/>
    </xf>
    <xf numFmtId="2" fontId="1" fillId="3" borderId="11" xfId="0" applyNumberFormat="1" applyFont="1" applyFill="1" applyBorder="1"/>
    <xf numFmtId="164" fontId="1" fillId="3" borderId="11" xfId="0" applyNumberFormat="1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7" fillId="0" borderId="7" xfId="0" applyFont="1" applyBorder="1" applyAlignment="1">
      <alignment horizontal="center"/>
    </xf>
    <xf numFmtId="0" fontId="9" fillId="0" borderId="0" xfId="0" applyFont="1"/>
    <xf numFmtId="0" fontId="1" fillId="0" borderId="7" xfId="0" applyFont="1" applyBorder="1" applyAlignment="1">
      <alignment horizontal="center"/>
    </xf>
    <xf numFmtId="165" fontId="1" fillId="0" borderId="0" xfId="0" applyNumberFormat="1" applyFont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164" fontId="9" fillId="10" borderId="5" xfId="0" applyNumberFormat="1" applyFont="1" applyFill="1" applyBorder="1" applyAlignment="1">
      <alignment horizontal="right" vertical="center"/>
    </xf>
    <xf numFmtId="3" fontId="1" fillId="3" borderId="41" xfId="0" applyNumberFormat="1" applyFont="1" applyFill="1" applyBorder="1" applyAlignment="1">
      <alignment horizontal="center"/>
    </xf>
    <xf numFmtId="164" fontId="7" fillId="0" borderId="5" xfId="0" applyNumberFormat="1" applyFont="1" applyBorder="1" applyAlignment="1">
      <alignment horizontal="center" vertical="center"/>
    </xf>
    <xf numFmtId="10" fontId="7" fillId="3" borderId="5" xfId="0" applyNumberFormat="1" applyFont="1" applyFill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167" fontId="7" fillId="0" borderId="6" xfId="0" applyNumberFormat="1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0" fontId="9" fillId="10" borderId="21" xfId="0" applyFont="1" applyFill="1" applyBorder="1" applyAlignment="1">
      <alignment horizontal="center"/>
    </xf>
    <xf numFmtId="164" fontId="9" fillId="10" borderId="21" xfId="0" applyNumberFormat="1" applyFont="1" applyFill="1" applyBorder="1" applyAlignment="1">
      <alignment horizontal="right" vertical="center"/>
    </xf>
    <xf numFmtId="3" fontId="7" fillId="3" borderId="5" xfId="0" applyNumberFormat="1" applyFont="1" applyFill="1" applyBorder="1" applyAlignment="1">
      <alignment horizontal="center"/>
    </xf>
    <xf numFmtId="164" fontId="1" fillId="0" borderId="12" xfId="0" applyNumberFormat="1" applyFont="1" applyBorder="1" applyAlignment="1">
      <alignment horizontal="right" vertical="center"/>
    </xf>
    <xf numFmtId="0" fontId="7" fillId="6" borderId="5" xfId="0" applyFont="1" applyFill="1" applyBorder="1" applyAlignment="1">
      <alignment horizontal="center"/>
    </xf>
    <xf numFmtId="0" fontId="1" fillId="10" borderId="21" xfId="0" applyFont="1" applyFill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2" fontId="7" fillId="0" borderId="14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vertical="center" wrapText="1"/>
    </xf>
    <xf numFmtId="165" fontId="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horizontal="center" vertical="center" wrapText="1"/>
    </xf>
    <xf numFmtId="2" fontId="9" fillId="0" borderId="18" xfId="0" applyNumberFormat="1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164" fontId="9" fillId="0" borderId="18" xfId="0" applyNumberFormat="1" applyFont="1" applyBorder="1" applyAlignment="1">
      <alignment horizontal="right" vertical="center"/>
    </xf>
    <xf numFmtId="3" fontId="9" fillId="10" borderId="21" xfId="0" applyNumberFormat="1" applyFont="1" applyFill="1" applyBorder="1" applyAlignment="1">
      <alignment horizontal="center"/>
    </xf>
    <xf numFmtId="1" fontId="7" fillId="0" borderId="5" xfId="0" applyNumberFormat="1" applyFont="1" applyBorder="1" applyAlignment="1">
      <alignment horizontal="center"/>
    </xf>
    <xf numFmtId="3" fontId="7" fillId="0" borderId="5" xfId="0" applyNumberFormat="1" applyFont="1" applyBorder="1" applyAlignment="1">
      <alignment horizontal="center"/>
    </xf>
    <xf numFmtId="0" fontId="1" fillId="3" borderId="11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/>
    </xf>
    <xf numFmtId="3" fontId="7" fillId="0" borderId="18" xfId="0" applyNumberFormat="1" applyFont="1" applyBorder="1" applyAlignment="1">
      <alignment horizontal="center"/>
    </xf>
    <xf numFmtId="4" fontId="9" fillId="10" borderId="21" xfId="0" applyNumberFormat="1" applyFont="1" applyFill="1" applyBorder="1" applyAlignment="1">
      <alignment horizontal="center"/>
    </xf>
    <xf numFmtId="164" fontId="6" fillId="0" borderId="5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3" fontId="1" fillId="0" borderId="14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2" fontId="9" fillId="0" borderId="5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right"/>
    </xf>
    <xf numFmtId="3" fontId="1" fillId="3" borderId="5" xfId="0" applyNumberFormat="1" applyFont="1" applyFill="1" applyBorder="1" applyAlignment="1">
      <alignment horizontal="center"/>
    </xf>
    <xf numFmtId="3" fontId="1" fillId="0" borderId="18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/>
    </xf>
    <xf numFmtId="164" fontId="7" fillId="0" borderId="14" xfId="0" applyNumberFormat="1" applyFont="1" applyBorder="1" applyAlignment="1">
      <alignment horizontal="right"/>
    </xf>
    <xf numFmtId="2" fontId="1" fillId="0" borderId="14" xfId="0" applyNumberFormat="1" applyFont="1" applyBorder="1" applyAlignment="1">
      <alignment horizontal="center"/>
    </xf>
    <xf numFmtId="2" fontId="1" fillId="0" borderId="14" xfId="0" applyNumberFormat="1" applyFont="1" applyBorder="1" applyAlignment="1">
      <alignment horizontal="right" vertical="center"/>
    </xf>
    <xf numFmtId="0" fontId="7" fillId="0" borderId="18" xfId="0" applyFont="1" applyBorder="1"/>
    <xf numFmtId="3" fontId="6" fillId="0" borderId="0" xfId="0" applyNumberFormat="1" applyFont="1" applyAlignment="1">
      <alignment horizontal="center" vertical="center"/>
    </xf>
    <xf numFmtId="164" fontId="9" fillId="2" borderId="2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3" fontId="1" fillId="10" borderId="21" xfId="0" applyNumberFormat="1" applyFont="1" applyFill="1" applyBorder="1" applyAlignment="1">
      <alignment horizontal="center"/>
    </xf>
    <xf numFmtId="164" fontId="6" fillId="10" borderId="5" xfId="0" applyNumberFormat="1" applyFont="1" applyFill="1" applyBorder="1"/>
    <xf numFmtId="0" fontId="9" fillId="2" borderId="47" xfId="0" applyFont="1" applyFill="1" applyBorder="1" applyAlignment="1">
      <alignment vertical="center"/>
    </xf>
    <xf numFmtId="0" fontId="6" fillId="0" borderId="0" xfId="0" applyFont="1" applyAlignment="1">
      <alignment horizontal="left"/>
    </xf>
    <xf numFmtId="0" fontId="9" fillId="2" borderId="47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171" fontId="13" fillId="0" borderId="0" xfId="0" applyNumberFormat="1" applyFont="1" applyAlignment="1">
      <alignment vertical="center"/>
    </xf>
    <xf numFmtId="10" fontId="7" fillId="0" borderId="12" xfId="0" applyNumberFormat="1" applyFont="1" applyBorder="1" applyAlignment="1">
      <alignment horizontal="center"/>
    </xf>
    <xf numFmtId="171" fontId="13" fillId="0" borderId="0" xfId="0" applyNumberFormat="1" applyFont="1" applyAlignment="1">
      <alignment horizontal="center" vertical="center"/>
    </xf>
    <xf numFmtId="172" fontId="1" fillId="0" borderId="0" xfId="0" applyNumberFormat="1" applyFont="1" applyAlignment="1">
      <alignment vertical="center"/>
    </xf>
    <xf numFmtId="164" fontId="7" fillId="0" borderId="12" xfId="0" applyNumberFormat="1" applyFont="1" applyBorder="1"/>
    <xf numFmtId="164" fontId="9" fillId="10" borderId="30" xfId="0" applyNumberFormat="1" applyFont="1" applyFill="1" applyBorder="1"/>
    <xf numFmtId="10" fontId="7" fillId="0" borderId="0" xfId="0" applyNumberFormat="1" applyFont="1"/>
    <xf numFmtId="164" fontId="7" fillId="0" borderId="0" xfId="0" applyNumberFormat="1" applyFont="1" applyAlignment="1">
      <alignment horizontal="center"/>
    </xf>
    <xf numFmtId="3" fontId="6" fillId="0" borderId="18" xfId="0" applyNumberFormat="1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2" fontId="6" fillId="0" borderId="18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2" fontId="1" fillId="0" borderId="0" xfId="0" applyNumberFormat="1" applyFont="1"/>
    <xf numFmtId="0" fontId="1" fillId="0" borderId="24" xfId="0" applyFont="1" applyBorder="1" applyAlignment="1">
      <alignment horizontal="left"/>
    </xf>
    <xf numFmtId="164" fontId="6" fillId="2" borderId="21" xfId="0" applyNumberFormat="1" applyFont="1" applyFill="1" applyBorder="1" applyAlignment="1">
      <alignment horizontal="right"/>
    </xf>
    <xf numFmtId="169" fontId="6" fillId="0" borderId="0" xfId="0" applyNumberFormat="1" applyFont="1" applyAlignment="1">
      <alignment vertical="center"/>
    </xf>
    <xf numFmtId="10" fontId="1" fillId="0" borderId="18" xfId="0" applyNumberFormat="1" applyFont="1" applyBorder="1" applyAlignment="1">
      <alignment horizontal="center"/>
    </xf>
    <xf numFmtId="164" fontId="6" fillId="10" borderId="21" xfId="0" applyNumberFormat="1" applyFont="1" applyFill="1" applyBorder="1"/>
    <xf numFmtId="10" fontId="1" fillId="0" borderId="0" xfId="0" applyNumberFormat="1" applyFont="1"/>
    <xf numFmtId="164" fontId="10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170" fontId="1" fillId="0" borderId="41" xfId="0" applyNumberFormat="1" applyFont="1" applyBorder="1" applyAlignment="1">
      <alignment horizontal="center"/>
    </xf>
    <xf numFmtId="166" fontId="9" fillId="8" borderId="21" xfId="0" applyNumberFormat="1" applyFont="1" applyFill="1" applyBorder="1" applyAlignment="1">
      <alignment horizontal="right"/>
    </xf>
    <xf numFmtId="166" fontId="9" fillId="8" borderId="3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1" fillId="0" borderId="13" xfId="0" applyFont="1" applyBorder="1"/>
    <xf numFmtId="0" fontId="6" fillId="2" borderId="47" xfId="0" applyFont="1" applyFill="1" applyBorder="1" applyAlignment="1">
      <alignment vertical="center"/>
    </xf>
    <xf numFmtId="0" fontId="6" fillId="2" borderId="47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164" fontId="9" fillId="0" borderId="0" xfId="0" applyNumberFormat="1" applyFont="1" applyAlignment="1">
      <alignment horizontal="right" wrapText="1"/>
    </xf>
    <xf numFmtId="164" fontId="7" fillId="0" borderId="18" xfId="0" applyNumberFormat="1" applyFont="1" applyBorder="1" applyAlignment="1">
      <alignment horizontal="center"/>
    </xf>
    <xf numFmtId="164" fontId="7" fillId="3" borderId="21" xfId="0" applyNumberFormat="1" applyFont="1" applyFill="1" applyBorder="1" applyAlignment="1">
      <alignment horizontal="right"/>
    </xf>
    <xf numFmtId="164" fontId="7" fillId="3" borderId="5" xfId="0" applyNumberFormat="1" applyFont="1" applyFill="1" applyBorder="1" applyAlignment="1">
      <alignment horizontal="right"/>
    </xf>
    <xf numFmtId="164" fontId="7" fillId="3" borderId="18" xfId="0" applyNumberFormat="1" applyFont="1" applyFill="1" applyBorder="1" applyAlignment="1">
      <alignment horizontal="right"/>
    </xf>
    <xf numFmtId="164" fontId="6" fillId="0" borderId="5" xfId="0" applyNumberFormat="1" applyFont="1" applyBorder="1" applyAlignment="1">
      <alignment wrapText="1"/>
    </xf>
    <xf numFmtId="0" fontId="9" fillId="2" borderId="5" xfId="0" applyFont="1" applyFill="1" applyBorder="1"/>
    <xf numFmtId="0" fontId="7" fillId="0" borderId="5" xfId="0" applyFont="1" applyBorder="1" applyAlignment="1">
      <alignment horizontal="center" wrapText="1"/>
    </xf>
    <xf numFmtId="173" fontId="7" fillId="0" borderId="5" xfId="0" applyNumberFormat="1" applyFont="1" applyBorder="1" applyAlignment="1">
      <alignment horizontal="center"/>
    </xf>
    <xf numFmtId="173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9" fontId="7" fillId="0" borderId="5" xfId="0" applyNumberFormat="1" applyFont="1" applyBorder="1" applyAlignment="1">
      <alignment horizontal="center"/>
    </xf>
    <xf numFmtId="9" fontId="1" fillId="0" borderId="0" xfId="0" applyNumberFormat="1" applyFont="1" applyAlignment="1">
      <alignment horizontal="center"/>
    </xf>
    <xf numFmtId="0" fontId="7" fillId="0" borderId="5" xfId="0" applyFont="1" applyBorder="1" applyAlignment="1">
      <alignment vertical="center"/>
    </xf>
    <xf numFmtId="0" fontId="15" fillId="0" borderId="0" xfId="0" applyFont="1" applyAlignment="1">
      <alignment horizontal="center"/>
    </xf>
    <xf numFmtId="174" fontId="1" fillId="0" borderId="0" xfId="0" applyNumberFormat="1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3" fontId="1" fillId="0" borderId="51" xfId="0" applyNumberFormat="1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164" fontId="7" fillId="0" borderId="1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/>
    </xf>
    <xf numFmtId="164" fontId="9" fillId="3" borderId="5" xfId="0" applyNumberFormat="1" applyFont="1" applyFill="1" applyBorder="1" applyAlignment="1">
      <alignment horizontal="right" wrapText="1"/>
    </xf>
    <xf numFmtId="0" fontId="6" fillId="2" borderId="34" xfId="0" applyFont="1" applyFill="1" applyBorder="1" applyAlignment="1">
      <alignment vertical="center"/>
    </xf>
    <xf numFmtId="3" fontId="1" fillId="3" borderId="21" xfId="0" applyNumberFormat="1" applyFont="1" applyFill="1" applyBorder="1" applyAlignment="1">
      <alignment horizontal="center"/>
    </xf>
    <xf numFmtId="165" fontId="1" fillId="0" borderId="5" xfId="0" applyNumberFormat="1" applyFont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9" fillId="4" borderId="5" xfId="0" applyFont="1" applyFill="1" applyBorder="1" applyAlignment="1">
      <alignment horizontal="center"/>
    </xf>
    <xf numFmtId="0" fontId="9" fillId="4" borderId="5" xfId="0" applyFont="1" applyFill="1" applyBorder="1"/>
    <xf numFmtId="10" fontId="7" fillId="0" borderId="5" xfId="0" applyNumberFormat="1" applyFont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9" fillId="0" borderId="5" xfId="0" applyFont="1" applyBorder="1"/>
    <xf numFmtId="164" fontId="6" fillId="10" borderId="21" xfId="0" applyNumberFormat="1" applyFont="1" applyFill="1" applyBorder="1" applyAlignment="1">
      <alignment horizontal="center" vertical="center"/>
    </xf>
    <xf numFmtId="10" fontId="9" fillId="0" borderId="5" xfId="0" applyNumberFormat="1" applyFont="1" applyBorder="1" applyAlignment="1">
      <alignment horizontal="right"/>
    </xf>
    <xf numFmtId="0" fontId="9" fillId="4" borderId="5" xfId="0" applyFont="1" applyFill="1" applyBorder="1" applyAlignment="1">
      <alignment horizontal="right"/>
    </xf>
    <xf numFmtId="10" fontId="7" fillId="6" borderId="5" xfId="0" applyNumberFormat="1" applyFont="1" applyFill="1" applyBorder="1" applyAlignment="1">
      <alignment horizontal="right"/>
    </xf>
    <xf numFmtId="9" fontId="1" fillId="0" borderId="0" xfId="0" applyNumberFormat="1" applyFont="1"/>
    <xf numFmtId="10" fontId="9" fillId="4" borderId="5" xfId="0" applyNumberFormat="1" applyFont="1" applyFill="1" applyBorder="1" applyAlignment="1">
      <alignment horizontal="right"/>
    </xf>
    <xf numFmtId="0" fontId="6" fillId="4" borderId="5" xfId="0" applyFont="1" applyFill="1" applyBorder="1"/>
    <xf numFmtId="0" fontId="6" fillId="4" borderId="5" xfId="0" applyFont="1" applyFill="1" applyBorder="1" applyAlignment="1">
      <alignment horizontal="center"/>
    </xf>
    <xf numFmtId="10" fontId="6" fillId="4" borderId="5" xfId="0" applyNumberFormat="1" applyFont="1" applyFill="1" applyBorder="1"/>
    <xf numFmtId="3" fontId="1" fillId="0" borderId="18" xfId="0" applyNumberFormat="1" applyFont="1" applyBorder="1" applyAlignment="1">
      <alignment horizontal="center" vertical="center"/>
    </xf>
    <xf numFmtId="10" fontId="6" fillId="0" borderId="0" xfId="0" applyNumberFormat="1" applyFont="1"/>
    <xf numFmtId="164" fontId="1" fillId="0" borderId="41" xfId="0" applyNumberFormat="1" applyFont="1" applyBorder="1" applyAlignment="1">
      <alignment horizontal="right"/>
    </xf>
    <xf numFmtId="3" fontId="9" fillId="0" borderId="5" xfId="0" applyNumberFormat="1" applyFont="1" applyBorder="1"/>
    <xf numFmtId="3" fontId="7" fillId="0" borderId="5" xfId="0" applyNumberFormat="1" applyFont="1" applyBorder="1"/>
    <xf numFmtId="10" fontId="9" fillId="0" borderId="5" xfId="0" applyNumberFormat="1" applyFont="1" applyBorder="1"/>
    <xf numFmtId="175" fontId="9" fillId="0" borderId="5" xfId="0" applyNumberFormat="1" applyFont="1" applyBorder="1"/>
    <xf numFmtId="9" fontId="9" fillId="0" borderId="5" xfId="0" applyNumberFormat="1" applyFont="1" applyBorder="1"/>
    <xf numFmtId="0" fontId="19" fillId="0" borderId="0" xfId="0" applyFont="1"/>
    <xf numFmtId="3" fontId="6" fillId="0" borderId="0" xfId="0" applyNumberFormat="1" applyFont="1"/>
    <xf numFmtId="3" fontId="1" fillId="0" borderId="0" xfId="0" applyNumberFormat="1" applyFont="1"/>
    <xf numFmtId="175" fontId="6" fillId="0" borderId="0" xfId="0" applyNumberFormat="1" applyFont="1"/>
    <xf numFmtId="9" fontId="6" fillId="0" borderId="0" xfId="0" applyNumberFormat="1" applyFont="1"/>
    <xf numFmtId="0" fontId="9" fillId="4" borderId="5" xfId="0" applyFont="1" applyFill="1" applyBorder="1" applyAlignment="1">
      <alignment horizontal="center" vertical="center"/>
    </xf>
    <xf numFmtId="10" fontId="7" fillId="3" borderId="5" xfId="0" applyNumberFormat="1" applyFont="1" applyFill="1" applyBorder="1"/>
    <xf numFmtId="10" fontId="7" fillId="0" borderId="5" xfId="0" applyNumberFormat="1" applyFont="1" applyBorder="1"/>
    <xf numFmtId="0" fontId="7" fillId="0" borderId="12" xfId="0" applyFont="1" applyBorder="1"/>
    <xf numFmtId="0" fontId="9" fillId="0" borderId="12" xfId="0" applyFont="1" applyBorder="1"/>
    <xf numFmtId="10" fontId="9" fillId="0" borderId="12" xfId="0" applyNumberFormat="1" applyFont="1" applyBorder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6" fillId="11" borderId="5" xfId="0" applyFont="1" applyFill="1" applyBorder="1" applyAlignment="1">
      <alignment horizontal="center" vertical="center"/>
    </xf>
    <xf numFmtId="0" fontId="20" fillId="4" borderId="18" xfId="0" applyFont="1" applyFill="1" applyBorder="1" applyAlignment="1">
      <alignment horizontal="center" vertical="center"/>
    </xf>
    <xf numFmtId="0" fontId="20" fillId="4" borderId="18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0" fontId="12" fillId="0" borderId="3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7" fillId="0" borderId="59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6" fillId="13" borderId="5" xfId="0" applyFont="1" applyFill="1" applyBorder="1" applyAlignment="1">
      <alignment horizontal="center"/>
    </xf>
    <xf numFmtId="0" fontId="22" fillId="0" borderId="5" xfId="0" applyFont="1" applyBorder="1" applyAlignment="1">
      <alignment horizontal="center" vertical="center" wrapText="1"/>
    </xf>
    <xf numFmtId="173" fontId="7" fillId="0" borderId="5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/>
    </xf>
    <xf numFmtId="0" fontId="6" fillId="14" borderId="5" xfId="0" applyFont="1" applyFill="1" applyBorder="1" applyAlignment="1">
      <alignment horizontal="center"/>
    </xf>
    <xf numFmtId="0" fontId="12" fillId="0" borderId="3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 wrapText="1"/>
    </xf>
    <xf numFmtId="176" fontId="7" fillId="0" borderId="30" xfId="0" applyNumberFormat="1" applyFont="1" applyBorder="1" applyAlignment="1">
      <alignment horizontal="center" vertical="center"/>
    </xf>
    <xf numFmtId="164" fontId="7" fillId="0" borderId="30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73" fontId="7" fillId="0" borderId="30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173" fontId="7" fillId="0" borderId="18" xfId="0" applyNumberFormat="1" applyFont="1" applyBorder="1" applyAlignment="1">
      <alignment horizontal="center" vertical="center"/>
    </xf>
    <xf numFmtId="0" fontId="27" fillId="0" borderId="0" xfId="0" applyFont="1"/>
    <xf numFmtId="0" fontId="28" fillId="0" borderId="18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73" fontId="7" fillId="0" borderId="59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73" fontId="7" fillId="0" borderId="14" xfId="0" applyNumberFormat="1" applyFont="1" applyBorder="1" applyAlignment="1">
      <alignment horizontal="center" vertical="center"/>
    </xf>
    <xf numFmtId="176" fontId="7" fillId="0" borderId="59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1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/>
    </xf>
    <xf numFmtId="0" fontId="32" fillId="0" borderId="5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173" fontId="7" fillId="0" borderId="13" xfId="0" applyNumberFormat="1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164" fontId="7" fillId="0" borderId="51" xfId="0" applyNumberFormat="1" applyFont="1" applyBorder="1" applyAlignment="1">
      <alignment horizontal="center" vertical="center"/>
    </xf>
    <xf numFmtId="0" fontId="33" fillId="0" borderId="0" xfId="0" applyFont="1"/>
    <xf numFmtId="0" fontId="12" fillId="0" borderId="51" xfId="0" applyFont="1" applyBorder="1" applyAlignment="1">
      <alignment horizontal="center" vertical="center"/>
    </xf>
    <xf numFmtId="173" fontId="7" fillId="0" borderId="51" xfId="0" applyNumberFormat="1" applyFont="1" applyBorder="1" applyAlignment="1">
      <alignment horizontal="center" vertical="center"/>
    </xf>
    <xf numFmtId="164" fontId="7" fillId="6" borderId="30" xfId="0" applyNumberFormat="1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5" fillId="0" borderId="5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173" fontId="7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76" fontId="7" fillId="0" borderId="51" xfId="0" applyNumberFormat="1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173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73" fontId="12" fillId="0" borderId="18" xfId="0" applyNumberFormat="1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73" fontId="7" fillId="0" borderId="41" xfId="0" applyNumberFormat="1" applyFont="1" applyBorder="1" applyAlignment="1">
      <alignment horizontal="center" vertical="center"/>
    </xf>
    <xf numFmtId="164" fontId="7" fillId="0" borderId="41" xfId="0" applyNumberFormat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1" xfId="0" applyFont="1" applyBorder="1" applyAlignment="1">
      <alignment vertical="center"/>
    </xf>
    <xf numFmtId="0" fontId="12" fillId="0" borderId="41" xfId="0" applyFont="1" applyBorder="1" applyAlignment="1">
      <alignment horizontal="center" vertical="center"/>
    </xf>
    <xf numFmtId="164" fontId="7" fillId="0" borderId="41" xfId="0" applyNumberFormat="1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/>
    </xf>
    <xf numFmtId="49" fontId="1" fillId="0" borderId="61" xfId="0" applyNumberFormat="1" applyFont="1" applyBorder="1" applyAlignment="1">
      <alignment horizontal="center" vertical="center"/>
    </xf>
    <xf numFmtId="167" fontId="7" fillId="0" borderId="6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49" fontId="1" fillId="0" borderId="63" xfId="0" applyNumberFormat="1" applyFont="1" applyBorder="1" applyAlignment="1">
      <alignment horizontal="center" vertical="center"/>
    </xf>
    <xf numFmtId="167" fontId="7" fillId="0" borderId="64" xfId="0" applyNumberFormat="1" applyFont="1" applyBorder="1" applyAlignment="1">
      <alignment horizontal="center" vertical="center"/>
    </xf>
    <xf numFmtId="173" fontId="7" fillId="0" borderId="61" xfId="0" applyNumberFormat="1" applyFont="1" applyBorder="1" applyAlignment="1">
      <alignment horizontal="center" vertical="center"/>
    </xf>
    <xf numFmtId="173" fontId="7" fillId="0" borderId="63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61" xfId="0" applyNumberFormat="1" applyFont="1" applyBorder="1" applyAlignment="1">
      <alignment horizontal="center" vertical="center"/>
    </xf>
    <xf numFmtId="173" fontId="7" fillId="0" borderId="66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 wrapText="1"/>
    </xf>
    <xf numFmtId="173" fontId="39" fillId="0" borderId="30" xfId="0" applyNumberFormat="1" applyFont="1" applyBorder="1" applyAlignment="1">
      <alignment horizontal="center" vertical="center"/>
    </xf>
    <xf numFmtId="173" fontId="12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12" fillId="0" borderId="18" xfId="0" applyFont="1" applyBorder="1" applyAlignment="1">
      <alignment horizontal="center" wrapText="1"/>
    </xf>
    <xf numFmtId="0" fontId="12" fillId="0" borderId="18" xfId="0" applyFont="1" applyBorder="1" applyAlignment="1">
      <alignment horizontal="center"/>
    </xf>
    <xf numFmtId="0" fontId="12" fillId="0" borderId="5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12" fillId="0" borderId="24" xfId="0" applyFont="1" applyBorder="1"/>
    <xf numFmtId="0" fontId="12" fillId="0" borderId="10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1" fillId="0" borderId="4" xfId="0" applyFont="1" applyBorder="1" applyAlignment="1">
      <alignment horizontal="center"/>
    </xf>
    <xf numFmtId="0" fontId="3" fillId="0" borderId="4" xfId="0" applyFont="1" applyBorder="1"/>
    <xf numFmtId="0" fontId="5" fillId="0" borderId="6" xfId="0" applyFont="1" applyBorder="1" applyAlignment="1">
      <alignment horizontal="left" vertical="center" wrapText="1"/>
    </xf>
    <xf numFmtId="0" fontId="3" fillId="0" borderId="7" xfId="0" applyFont="1" applyBorder="1"/>
    <xf numFmtId="0" fontId="3" fillId="0" borderId="8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9" xfId="0" applyFont="1" applyBorder="1"/>
    <xf numFmtId="0" fontId="3" fillId="0" borderId="9" xfId="0" applyFont="1" applyBorder="1"/>
    <xf numFmtId="0" fontId="1" fillId="0" borderId="10" xfId="0" applyFont="1" applyBorder="1"/>
    <xf numFmtId="0" fontId="3" fillId="0" borderId="1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6" fillId="2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/>
    </xf>
    <xf numFmtId="0" fontId="6" fillId="5" borderId="6" xfId="0" applyFont="1" applyFill="1" applyBorder="1"/>
    <xf numFmtId="164" fontId="1" fillId="0" borderId="6" xfId="0" applyNumberFormat="1" applyFont="1" applyBorder="1" applyAlignment="1">
      <alignment horizontal="right" vertical="center"/>
    </xf>
    <xf numFmtId="165" fontId="1" fillId="0" borderId="6" xfId="0" applyNumberFormat="1" applyFont="1" applyBorder="1"/>
    <xf numFmtId="0" fontId="6" fillId="5" borderId="6" xfId="0" applyFont="1" applyFill="1" applyBorder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6" fillId="5" borderId="6" xfId="0" applyFont="1" applyFill="1" applyBorder="1" applyAlignment="1">
      <alignment horizontal="right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wrapText="1"/>
    </xf>
    <xf numFmtId="0" fontId="6" fillId="2" borderId="15" xfId="0" applyFont="1" applyFill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6" fillId="2" borderId="6" xfId="0" applyFont="1" applyFill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8" borderId="6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1" fillId="0" borderId="6" xfId="0" applyFont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/>
    </xf>
    <xf numFmtId="0" fontId="6" fillId="8" borderId="19" xfId="0" applyFont="1" applyFill="1" applyBorder="1" applyAlignment="1">
      <alignment horizontal="center"/>
    </xf>
    <xf numFmtId="0" fontId="3" fillId="0" borderId="20" xfId="0" applyFont="1" applyBorder="1"/>
    <xf numFmtId="0" fontId="1" fillId="0" borderId="22" xfId="0" applyFont="1" applyBorder="1" applyAlignment="1">
      <alignment horizontal="left" vertical="center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7" fillId="0" borderId="6" xfId="0" applyFont="1" applyBorder="1" applyAlignment="1">
      <alignment vertical="center"/>
    </xf>
    <xf numFmtId="0" fontId="9" fillId="8" borderId="6" xfId="0" applyFont="1" applyFill="1" applyBorder="1" applyAlignment="1">
      <alignment horizontal="left"/>
    </xf>
    <xf numFmtId="0" fontId="9" fillId="2" borderId="6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164" fontId="1" fillId="0" borderId="6" xfId="0" applyNumberFormat="1" applyFont="1" applyBorder="1" applyAlignment="1">
      <alignment horizontal="right"/>
    </xf>
    <xf numFmtId="0" fontId="1" fillId="0" borderId="15" xfId="0" applyFont="1" applyBorder="1"/>
    <xf numFmtId="164" fontId="1" fillId="0" borderId="15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/>
    </xf>
    <xf numFmtId="0" fontId="1" fillId="0" borderId="19" xfId="0" applyFont="1" applyBorder="1"/>
    <xf numFmtId="164" fontId="6" fillId="10" borderId="6" xfId="0" applyNumberFormat="1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9" borderId="6" xfId="0" applyFont="1" applyFill="1" applyBorder="1" applyAlignment="1">
      <alignment horizontal="left" vertical="center"/>
    </xf>
    <xf numFmtId="0" fontId="6" fillId="3" borderId="35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164" fontId="1" fillId="0" borderId="6" xfId="0" applyNumberFormat="1" applyFont="1" applyBorder="1"/>
    <xf numFmtId="0" fontId="6" fillId="0" borderId="24" xfId="0" applyFont="1" applyBorder="1" applyAlignment="1">
      <alignment horizontal="center"/>
    </xf>
    <xf numFmtId="0" fontId="6" fillId="8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22" xfId="0" applyFont="1" applyBorder="1" applyAlignment="1">
      <alignment vertical="center"/>
    </xf>
    <xf numFmtId="164" fontId="1" fillId="0" borderId="22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left" vertical="center"/>
    </xf>
    <xf numFmtId="164" fontId="1" fillId="0" borderId="15" xfId="0" applyNumberFormat="1" applyFont="1" applyBorder="1" applyAlignment="1">
      <alignment horizontal="right" vertical="center"/>
    </xf>
    <xf numFmtId="0" fontId="6" fillId="10" borderId="26" xfId="0" applyFont="1" applyFill="1" applyBorder="1" applyAlignment="1">
      <alignment horizontal="left" vertical="center"/>
    </xf>
    <xf numFmtId="0" fontId="3" fillId="0" borderId="27" xfId="0" applyFont="1" applyBorder="1"/>
    <xf numFmtId="0" fontId="3" fillId="0" borderId="28" xfId="0" applyFont="1" applyBorder="1"/>
    <xf numFmtId="164" fontId="6" fillId="10" borderId="26" xfId="0" applyNumberFormat="1" applyFont="1" applyFill="1" applyBorder="1" applyAlignment="1">
      <alignment horizontal="right" vertical="center"/>
    </xf>
    <xf numFmtId="166" fontId="1" fillId="0" borderId="6" xfId="0" applyNumberFormat="1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6" fontId="1" fillId="0" borderId="15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164" fontId="1" fillId="3" borderId="6" xfId="0" applyNumberFormat="1" applyFont="1" applyFill="1" applyBorder="1" applyAlignment="1">
      <alignment horizontal="right"/>
    </xf>
    <xf numFmtId="0" fontId="6" fillId="0" borderId="15" xfId="0" applyFont="1" applyBorder="1"/>
    <xf numFmtId="164" fontId="6" fillId="0" borderId="15" xfId="0" applyNumberFormat="1" applyFont="1" applyBorder="1" applyAlignment="1">
      <alignment horizontal="right"/>
    </xf>
    <xf numFmtId="0" fontId="1" fillId="0" borderId="24" xfId="0" applyFont="1" applyBorder="1"/>
    <xf numFmtId="170" fontId="1" fillId="0" borderId="24" xfId="0" applyNumberFormat="1" applyFont="1" applyBorder="1" applyAlignment="1">
      <alignment horizontal="right"/>
    </xf>
    <xf numFmtId="0" fontId="11" fillId="0" borderId="22" xfId="0" applyFont="1" applyBorder="1" applyAlignment="1">
      <alignment horizontal="left" vertical="center" wrapText="1"/>
    </xf>
    <xf numFmtId="0" fontId="3" fillId="0" borderId="29" xfId="0" applyFont="1" applyBorder="1"/>
    <xf numFmtId="0" fontId="0" fillId="0" borderId="0" xfId="0"/>
    <xf numFmtId="0" fontId="3" fillId="0" borderId="38" xfId="0" applyFont="1" applyBorder="1"/>
    <xf numFmtId="0" fontId="6" fillId="3" borderId="35" xfId="0" applyFont="1" applyFill="1" applyBorder="1" applyAlignment="1">
      <alignment horizontal="center" vertical="center" wrapText="1"/>
    </xf>
    <xf numFmtId="0" fontId="6" fillId="10" borderId="26" xfId="0" applyFont="1" applyFill="1" applyBorder="1" applyAlignment="1">
      <alignment horizontal="left"/>
    </xf>
    <xf numFmtId="164" fontId="6" fillId="10" borderId="26" xfId="0" applyNumberFormat="1" applyFont="1" applyFill="1" applyBorder="1" applyAlignment="1">
      <alignment horizontal="right"/>
    </xf>
    <xf numFmtId="0" fontId="6" fillId="0" borderId="15" xfId="0" applyFont="1" applyBorder="1" applyAlignment="1">
      <alignment horizontal="left"/>
    </xf>
    <xf numFmtId="164" fontId="1" fillId="0" borderId="6" xfId="0" applyNumberFormat="1" applyFont="1" applyBorder="1" applyAlignment="1">
      <alignment horizontal="center"/>
    </xf>
    <xf numFmtId="0" fontId="6" fillId="0" borderId="24" xfId="0" applyFont="1" applyBorder="1"/>
    <xf numFmtId="164" fontId="10" fillId="0" borderId="24" xfId="0" applyNumberFormat="1" applyFont="1" applyBorder="1" applyAlignment="1">
      <alignment horizontal="right"/>
    </xf>
    <xf numFmtId="0" fontId="6" fillId="10" borderId="26" xfId="0" applyFont="1" applyFill="1" applyBorder="1"/>
    <xf numFmtId="164" fontId="1" fillId="10" borderId="26" xfId="0" applyNumberFormat="1" applyFont="1" applyFill="1" applyBorder="1" applyAlignment="1">
      <alignment horizontal="right"/>
    </xf>
    <xf numFmtId="0" fontId="1" fillId="0" borderId="7" xfId="0" applyFont="1" applyBorder="1" applyAlignment="1">
      <alignment horizontal="center" wrapText="1"/>
    </xf>
    <xf numFmtId="0" fontId="6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164" fontId="1" fillId="0" borderId="15" xfId="0" applyNumberFormat="1" applyFont="1" applyBorder="1"/>
    <xf numFmtId="0" fontId="6" fillId="10" borderId="26" xfId="0" applyFont="1" applyFill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0" borderId="6" xfId="0" applyFont="1" applyBorder="1"/>
    <xf numFmtId="164" fontId="6" fillId="0" borderId="6" xfId="0" applyNumberFormat="1" applyFont="1" applyBorder="1" applyAlignment="1">
      <alignment horizontal="right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5" xfId="0" applyNumberFormat="1" applyFont="1" applyBorder="1" applyAlignment="1">
      <alignment horizontal="right" vertical="center" wrapText="1"/>
    </xf>
    <xf numFmtId="0" fontId="1" fillId="0" borderId="24" xfId="0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1" fillId="0" borderId="7" xfId="0" applyFont="1" applyBorder="1"/>
    <xf numFmtId="164" fontId="1" fillId="0" borderId="24" xfId="0" applyNumberFormat="1" applyFont="1" applyBorder="1"/>
    <xf numFmtId="0" fontId="6" fillId="2" borderId="15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vertical="center"/>
    </xf>
    <xf numFmtId="164" fontId="6" fillId="9" borderId="19" xfId="0" applyNumberFormat="1" applyFont="1" applyFill="1" applyBorder="1" applyAlignment="1">
      <alignment vertical="center"/>
    </xf>
    <xf numFmtId="164" fontId="6" fillId="0" borderId="15" xfId="0" applyNumberFormat="1" applyFont="1" applyBorder="1" applyAlignment="1">
      <alignment horizontal="right" vertical="center"/>
    </xf>
    <xf numFmtId="0" fontId="6" fillId="2" borderId="6" xfId="0" applyFont="1" applyFill="1" applyBorder="1" applyAlignment="1">
      <alignment horizontal="left" vertical="center"/>
    </xf>
    <xf numFmtId="164" fontId="6" fillId="2" borderId="6" xfId="0" applyNumberFormat="1" applyFont="1" applyFill="1" applyBorder="1" applyAlignment="1">
      <alignment horizontal="right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1" fillId="5" borderId="6" xfId="0" applyNumberFormat="1" applyFont="1" applyFill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1" fillId="0" borderId="0" xfId="0" applyFont="1"/>
    <xf numFmtId="0" fontId="1" fillId="3" borderId="6" xfId="0" applyFont="1" applyFill="1" applyBorder="1"/>
    <xf numFmtId="0" fontId="6" fillId="9" borderId="6" xfId="0" applyFont="1" applyFill="1" applyBorder="1" applyAlignment="1">
      <alignment vertical="center"/>
    </xf>
    <xf numFmtId="164" fontId="6" fillId="9" borderId="6" xfId="0" applyNumberFormat="1" applyFont="1" applyFill="1" applyBorder="1" applyAlignment="1">
      <alignment vertical="center"/>
    </xf>
    <xf numFmtId="0" fontId="1" fillId="3" borderId="15" xfId="0" applyFont="1" applyFill="1" applyBorder="1"/>
    <xf numFmtId="164" fontId="6" fillId="10" borderId="19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164" fontId="1" fillId="0" borderId="19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/>
    </xf>
    <xf numFmtId="0" fontId="1" fillId="0" borderId="24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164" fontId="6" fillId="0" borderId="6" xfId="0" applyNumberFormat="1" applyFont="1" applyBorder="1" applyAlignment="1">
      <alignment horizontal="right" vertical="center"/>
    </xf>
    <xf numFmtId="164" fontId="1" fillId="0" borderId="19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11" fillId="0" borderId="6" xfId="0" applyFont="1" applyBorder="1" applyAlignment="1">
      <alignment horizontal="left" wrapText="1"/>
    </xf>
    <xf numFmtId="165" fontId="1" fillId="0" borderId="19" xfId="0" applyNumberFormat="1" applyFont="1" applyBorder="1" applyAlignment="1">
      <alignment horizontal="right" vertical="center"/>
    </xf>
    <xf numFmtId="0" fontId="1" fillId="0" borderId="39" xfId="0" applyFont="1" applyBorder="1"/>
    <xf numFmtId="0" fontId="3" fillId="0" borderId="40" xfId="0" applyFont="1" applyBorder="1"/>
    <xf numFmtId="164" fontId="1" fillId="3" borderId="39" xfId="0" applyNumberFormat="1" applyFont="1" applyFill="1" applyBorder="1" applyAlignment="1">
      <alignment horizontal="right"/>
    </xf>
    <xf numFmtId="0" fontId="6" fillId="10" borderId="6" xfId="0" applyFont="1" applyFill="1" applyBorder="1" applyAlignment="1">
      <alignment horizontal="center"/>
    </xf>
    <xf numFmtId="0" fontId="11" fillId="0" borderId="6" xfId="0" applyFont="1" applyBorder="1" applyAlignment="1">
      <alignment vertical="center" wrapText="1"/>
    </xf>
    <xf numFmtId="169" fontId="6" fillId="0" borderId="6" xfId="0" applyNumberFormat="1" applyFont="1" applyBorder="1" applyAlignment="1">
      <alignment horizontal="right" vertical="center"/>
    </xf>
    <xf numFmtId="169" fontId="6" fillId="0" borderId="15" xfId="0" applyNumberFormat="1" applyFont="1" applyBorder="1" applyAlignment="1">
      <alignment horizontal="right" vertical="center"/>
    </xf>
    <xf numFmtId="164" fontId="1" fillId="0" borderId="24" xfId="0" applyNumberFormat="1" applyFont="1" applyBorder="1" applyAlignment="1">
      <alignment horizontal="right"/>
    </xf>
    <xf numFmtId="0" fontId="11" fillId="0" borderId="2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/>
    </xf>
    <xf numFmtId="0" fontId="9" fillId="5" borderId="6" xfId="0" applyFont="1" applyFill="1" applyBorder="1"/>
    <xf numFmtId="164" fontId="7" fillId="0" borderId="6" xfId="0" applyNumberFormat="1" applyFont="1" applyBorder="1" applyAlignment="1">
      <alignment horizontal="right" vertical="center"/>
    </xf>
    <xf numFmtId="0" fontId="7" fillId="0" borderId="6" xfId="0" applyFont="1" applyBorder="1"/>
    <xf numFmtId="164" fontId="7" fillId="0" borderId="6" xfId="0" applyNumberFormat="1" applyFont="1" applyBorder="1" applyAlignment="1">
      <alignment horizontal="right"/>
    </xf>
    <xf numFmtId="0" fontId="9" fillId="5" borderId="6" xfId="0" applyFont="1" applyFill="1" applyBorder="1" applyAlignment="1">
      <alignment horizontal="right" vertical="center"/>
    </xf>
    <xf numFmtId="0" fontId="7" fillId="0" borderId="6" xfId="0" applyFont="1" applyBorder="1" applyAlignment="1">
      <alignment horizontal="left"/>
    </xf>
    <xf numFmtId="0" fontId="9" fillId="5" borderId="6" xfId="0" applyFont="1" applyFill="1" applyBorder="1" applyAlignment="1">
      <alignment horizontal="right"/>
    </xf>
    <xf numFmtId="0" fontId="7" fillId="0" borderId="6" xfId="0" applyFont="1" applyBorder="1" applyAlignment="1">
      <alignment vertical="center" wrapText="1"/>
    </xf>
    <xf numFmtId="0" fontId="9" fillId="2" borderId="1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left"/>
    </xf>
    <xf numFmtId="0" fontId="9" fillId="0" borderId="7" xfId="0" applyFont="1" applyBorder="1" applyAlignment="1">
      <alignment horizontal="center"/>
    </xf>
    <xf numFmtId="0" fontId="9" fillId="8" borderId="26" xfId="0" applyFont="1" applyFill="1" applyBorder="1" applyAlignment="1">
      <alignment horizontal="center"/>
    </xf>
    <xf numFmtId="0" fontId="7" fillId="6" borderId="6" xfId="0" applyFont="1" applyFill="1" applyBorder="1" applyAlignment="1">
      <alignment vertical="center"/>
    </xf>
    <xf numFmtId="0" fontId="9" fillId="0" borderId="6" xfId="0" applyFont="1" applyBorder="1" applyAlignment="1">
      <alignment horizontal="center" wrapText="1"/>
    </xf>
    <xf numFmtId="164" fontId="7" fillId="0" borderId="6" xfId="0" applyNumberFormat="1" applyFont="1" applyBorder="1" applyAlignment="1">
      <alignment horizontal="center"/>
    </xf>
    <xf numFmtId="0" fontId="7" fillId="0" borderId="15" xfId="0" applyFont="1" applyBorder="1"/>
    <xf numFmtId="164" fontId="7" fillId="0" borderId="15" xfId="0" applyNumberFormat="1" applyFont="1" applyBorder="1" applyAlignment="1">
      <alignment horizontal="center"/>
    </xf>
    <xf numFmtId="0" fontId="9" fillId="0" borderId="24" xfId="0" applyFont="1" applyBorder="1"/>
    <xf numFmtId="0" fontId="7" fillId="0" borderId="24" xfId="0" applyFont="1" applyBorder="1"/>
    <xf numFmtId="0" fontId="9" fillId="0" borderId="6" xfId="0" applyFont="1" applyBorder="1"/>
    <xf numFmtId="164" fontId="7" fillId="0" borderId="6" xfId="0" applyNumberFormat="1" applyFont="1" applyBorder="1" applyAlignment="1">
      <alignment horizontal="center" vertical="center"/>
    </xf>
    <xf numFmtId="164" fontId="9" fillId="10" borderId="26" xfId="0" applyNumberFormat="1" applyFont="1" applyFill="1" applyBorder="1" applyAlignment="1">
      <alignment horizontal="center"/>
    </xf>
    <xf numFmtId="0" fontId="9" fillId="9" borderId="6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/>
    </xf>
    <xf numFmtId="0" fontId="7" fillId="6" borderId="6" xfId="0" applyFont="1" applyFill="1" applyBorder="1" applyAlignment="1">
      <alignment horizontal="left"/>
    </xf>
    <xf numFmtId="164" fontId="9" fillId="0" borderId="6" xfId="0" applyNumberFormat="1" applyFont="1" applyBorder="1" applyAlignment="1">
      <alignment horizontal="center"/>
    </xf>
    <xf numFmtId="170" fontId="7" fillId="0" borderId="24" xfId="0" applyNumberFormat="1" applyFont="1" applyBorder="1" applyAlignment="1">
      <alignment horizontal="center"/>
    </xf>
    <xf numFmtId="0" fontId="9" fillId="0" borderId="15" xfId="0" applyFont="1" applyBorder="1"/>
    <xf numFmtId="164" fontId="9" fillId="0" borderId="15" xfId="0" applyNumberFormat="1" applyFont="1" applyBorder="1" applyAlignment="1">
      <alignment horizontal="center"/>
    </xf>
    <xf numFmtId="0" fontId="9" fillId="10" borderId="26" xfId="0" applyFont="1" applyFill="1" applyBorder="1" applyAlignment="1">
      <alignment horizontal="left"/>
    </xf>
    <xf numFmtId="0" fontId="12" fillId="0" borderId="6" xfId="0" applyFont="1" applyBorder="1" applyAlignment="1">
      <alignment vertical="center" wrapText="1"/>
    </xf>
    <xf numFmtId="0" fontId="7" fillId="0" borderId="15" xfId="0" applyFont="1" applyBorder="1" applyAlignment="1">
      <alignment horizontal="left"/>
    </xf>
    <xf numFmtId="0" fontId="9" fillId="10" borderId="26" xfId="0" applyFont="1" applyFill="1" applyBorder="1"/>
    <xf numFmtId="164" fontId="7" fillId="0" borderId="24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9" fillId="2" borderId="15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9" fillId="2" borderId="48" xfId="0" applyFont="1" applyFill="1" applyBorder="1" applyAlignment="1">
      <alignment horizontal="center" vertical="center"/>
    </xf>
    <xf numFmtId="0" fontId="3" fillId="0" borderId="49" xfId="0" applyFont="1" applyBorder="1"/>
    <xf numFmtId="0" fontId="7" fillId="0" borderId="22" xfId="0" applyFont="1" applyBorder="1"/>
    <xf numFmtId="164" fontId="7" fillId="0" borderId="22" xfId="0" applyNumberFormat="1" applyFont="1" applyBorder="1"/>
    <xf numFmtId="0" fontId="9" fillId="10" borderId="19" xfId="0" applyFont="1" applyFill="1" applyBorder="1" applyAlignment="1">
      <alignment horizontal="center"/>
    </xf>
    <xf numFmtId="0" fontId="7" fillId="0" borderId="24" xfId="0" applyFont="1" applyBorder="1" applyAlignment="1">
      <alignment horizontal="left"/>
    </xf>
    <xf numFmtId="0" fontId="7" fillId="0" borderId="15" xfId="0" applyFont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7" fillId="0" borderId="6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4" xfId="0" applyFont="1" applyBorder="1" applyAlignment="1">
      <alignment horizontal="left" vertical="center"/>
    </xf>
    <xf numFmtId="164" fontId="9" fillId="0" borderId="24" xfId="0" applyNumberFormat="1" applyFont="1" applyBorder="1" applyAlignment="1">
      <alignment horizontal="center" vertical="center"/>
    </xf>
    <xf numFmtId="0" fontId="9" fillId="10" borderId="6" xfId="0" applyFont="1" applyFill="1" applyBorder="1" applyAlignment="1">
      <alignment horizontal="left" vertical="center"/>
    </xf>
    <xf numFmtId="164" fontId="9" fillId="10" borderId="6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7" fontId="7" fillId="0" borderId="6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 wrapText="1"/>
    </xf>
    <xf numFmtId="0" fontId="3" fillId="0" borderId="45" xfId="0" applyFont="1" applyBorder="1"/>
    <xf numFmtId="0" fontId="3" fillId="0" borderId="46" xfId="0" applyFont="1" applyBorder="1"/>
    <xf numFmtId="164" fontId="7" fillId="3" borderId="6" xfId="0" applyNumberFormat="1" applyFont="1" applyFill="1" applyBorder="1" applyAlignment="1">
      <alignment horizontal="center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0" fontId="7" fillId="0" borderId="7" xfId="0" applyFont="1" applyBorder="1"/>
    <xf numFmtId="0" fontId="9" fillId="8" borderId="6" xfId="0" applyFont="1" applyFill="1" applyBorder="1" applyAlignment="1">
      <alignment horizontal="left" vertical="center"/>
    </xf>
    <xf numFmtId="164" fontId="7" fillId="3" borderId="6" xfId="0" applyNumberFormat="1" applyFont="1" applyFill="1" applyBorder="1" applyAlignment="1">
      <alignment horizontal="center" vertical="center"/>
    </xf>
    <xf numFmtId="164" fontId="7" fillId="0" borderId="24" xfId="0" applyNumberFormat="1" applyFont="1" applyBorder="1"/>
    <xf numFmtId="164" fontId="1" fillId="6" borderId="19" xfId="0" applyNumberFormat="1" applyFont="1" applyFill="1" applyBorder="1" applyAlignment="1">
      <alignment horizontal="right" vertical="center"/>
    </xf>
    <xf numFmtId="164" fontId="1" fillId="0" borderId="24" xfId="0" applyNumberFormat="1" applyFont="1" applyBorder="1" applyAlignment="1">
      <alignment horizontal="right" vertical="center"/>
    </xf>
    <xf numFmtId="0" fontId="1" fillId="3" borderId="6" xfId="0" applyFont="1" applyFill="1" applyBorder="1" applyAlignment="1">
      <alignment horizontal="left"/>
    </xf>
    <xf numFmtId="0" fontId="6" fillId="2" borderId="48" xfId="0" applyFont="1" applyFill="1" applyBorder="1" applyAlignment="1">
      <alignment horizontal="center" vertical="center"/>
    </xf>
    <xf numFmtId="164" fontId="1" fillId="0" borderId="39" xfId="0" applyNumberFormat="1" applyFont="1" applyBorder="1" applyAlignment="1">
      <alignment horizontal="right"/>
    </xf>
    <xf numFmtId="0" fontId="7" fillId="0" borderId="6" xfId="0" applyFont="1" applyBorder="1" applyAlignment="1">
      <alignment wrapText="1"/>
    </xf>
    <xf numFmtId="0" fontId="6" fillId="8" borderId="26" xfId="0" applyFont="1" applyFill="1" applyBorder="1" applyAlignment="1">
      <alignment horizontal="center"/>
    </xf>
    <xf numFmtId="0" fontId="3" fillId="0" borderId="50" xfId="0" applyFont="1" applyBorder="1"/>
    <xf numFmtId="166" fontId="1" fillId="0" borderId="15" xfId="0" applyNumberFormat="1" applyFont="1" applyBorder="1"/>
    <xf numFmtId="0" fontId="11" fillId="0" borderId="6" xfId="0" applyFont="1" applyBorder="1"/>
    <xf numFmtId="164" fontId="1" fillId="3" borderId="52" xfId="0" applyNumberFormat="1" applyFont="1" applyFill="1" applyBorder="1" applyAlignment="1">
      <alignment horizontal="right"/>
    </xf>
    <xf numFmtId="0" fontId="3" fillId="0" borderId="53" xfId="0" applyFont="1" applyBorder="1"/>
    <xf numFmtId="0" fontId="3" fillId="0" borderId="54" xfId="0" applyFont="1" applyBorder="1"/>
    <xf numFmtId="0" fontId="1" fillId="0" borderId="15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1" fillId="0" borderId="6" xfId="0" applyFont="1" applyBorder="1" applyAlignment="1">
      <alignment horizontal="left" vertical="center" wrapText="1"/>
    </xf>
    <xf numFmtId="165" fontId="1" fillId="0" borderId="6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2" borderId="6" xfId="0" applyFont="1" applyFill="1" applyBorder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2" fillId="0" borderId="29" xfId="0" applyFont="1" applyBorder="1" applyAlignment="1">
      <alignment horizontal="left" vertical="center" wrapText="1"/>
    </xf>
    <xf numFmtId="0" fontId="7" fillId="0" borderId="59" xfId="0" applyFont="1" applyBorder="1" applyAlignment="1">
      <alignment horizontal="left" vertical="center" wrapText="1"/>
    </xf>
    <xf numFmtId="0" fontId="3" fillId="0" borderId="51" xfId="0" applyFont="1" applyBorder="1"/>
    <xf numFmtId="0" fontId="7" fillId="0" borderId="59" xfId="0" applyFont="1" applyBorder="1" applyAlignment="1">
      <alignment horizontal="center" vertical="center"/>
    </xf>
    <xf numFmtId="0" fontId="9" fillId="8" borderId="55" xfId="0" applyFont="1" applyFill="1" applyBorder="1" applyAlignment="1">
      <alignment horizontal="left"/>
    </xf>
    <xf numFmtId="164" fontId="7" fillId="0" borderId="59" xfId="0" applyNumberFormat="1" applyFont="1" applyBorder="1" applyAlignment="1">
      <alignment horizontal="center" vertical="center"/>
    </xf>
    <xf numFmtId="0" fontId="9" fillId="8" borderId="56" xfId="0" applyFont="1" applyFill="1" applyBorder="1" applyAlignment="1">
      <alignment horizontal="left"/>
    </xf>
    <xf numFmtId="0" fontId="3" fillId="0" borderId="57" xfId="0" applyFont="1" applyBorder="1"/>
    <xf numFmtId="0" fontId="3" fillId="0" borderId="58" xfId="0" applyFont="1" applyBorder="1"/>
    <xf numFmtId="0" fontId="11" fillId="0" borderId="29" xfId="0" applyFont="1" applyBorder="1" applyAlignment="1">
      <alignment vertical="center"/>
    </xf>
    <xf numFmtId="164" fontId="7" fillId="0" borderId="59" xfId="0" applyNumberFormat="1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59" xfId="0" applyFont="1" applyBorder="1" applyAlignment="1">
      <alignment vertical="center"/>
    </xf>
    <xf numFmtId="0" fontId="7" fillId="0" borderId="59" xfId="0" applyFont="1" applyBorder="1" applyAlignment="1">
      <alignment vertical="center" wrapText="1"/>
    </xf>
    <xf numFmtId="0" fontId="1" fillId="11" borderId="56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6" fillId="4" borderId="48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/>
    </xf>
    <xf numFmtId="0" fontId="3" fillId="0" borderId="55" xfId="0" applyFont="1" applyBorder="1"/>
    <xf numFmtId="0" fontId="1" fillId="0" borderId="6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3.mte.gov.br/sistemas/mediador/Resumo/ResumoVisualizar?nrSolicitacao=MR055548/2024" TargetMode="External"/></Relationships>
</file>

<file path=xl/worksheets/_rels/sheet1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lcamar.com.br/balanca-digital-de-plataforma-balmak-serie-mini-inox-35kg-coluna-com-bateria-k-35icb-1m?parceiro=9788&amp;gad_source=4&amp;gad_campaignid=17458849177&amp;gbraid=0AAAAADIsmrPy0kK_g3P4wTg2r31RZIkRm&amp;gclid=CjwKCAjwruXBBhArEiwACBRtHYahTXUIHKDh_8" TargetMode="External"/><Relationship Id="rId21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42" Type="http://schemas.openxmlformats.org/officeDocument/2006/relationships/hyperlink" Target="https://www.ferramentaskennedy.com.br/carro-armazem-de-aco-com-rodas-pneumatica-g11-200kg-bumafer/p?idsku=13899&amp;utm_source=google&amp;utm_medium=cpc&amp;utm_campaign=17439598065&amp;kwd=&amp;matchtype=&amp;adset_id=&amp;device=c&amp;gad_source=1&amp;gad_campaignid=17439610053&amp;gbraid=0AA" TargetMode="External"/><Relationship Id="rId63" Type="http://schemas.openxmlformats.org/officeDocument/2006/relationships/hyperlink" Target="https://portal.tce.rs.gov.br/aplicprod/f?p=50500:10:::NO:10:P10_ID_LICITACAO,P10_PAG_RETORNO:1290587,19&amp;cs=1ecDIE203i-Y2P1F52sczAC5Me_8" TargetMode="External"/><Relationship Id="rId84" Type="http://schemas.openxmlformats.org/officeDocument/2006/relationships/hyperlink" Target="https://www.superepi.com.br/oculos-de-protecao-wave-poli-ferr-cinza-ca-34653-p1051610" TargetMode="External"/><Relationship Id="rId138" Type="http://schemas.openxmlformats.org/officeDocument/2006/relationships/hyperlink" Target="https://www.prudentepneus.com.br/pneu-27580-r-225-18lon-149146l-gl289a-samson-liso" TargetMode="External"/><Relationship Id="rId159" Type="http://schemas.openxmlformats.org/officeDocument/2006/relationships/hyperlink" Target="https://www.agrotrator.com.br/graxa-rolamento-ep2-grau-nlgi-2-mpa-18kg-texsa-graxarolep2-graxarolep2tx/p?idsku=19049&amp;srsltid=AfmBOor5GUr26wl7h10FkHHsUZyQFHbZrMgUpW-gv2Kv1zTRoERR-Bd2II8" TargetMode="External"/><Relationship Id="rId170" Type="http://schemas.openxmlformats.org/officeDocument/2006/relationships/hyperlink" Target="https://portal.tce.rs.gov.br/aplicprod/f?p=50500:10:::NO:10:P10_ID_LICITACAO,P10_PAG_RETORNO:1207997,19&amp;cs=13wIxB6oQUkZUBkiJALIHmagppXU" TargetMode="External"/><Relationship Id="rId107" Type="http://schemas.openxmlformats.org/officeDocument/2006/relationships/hyperlink" Target="https://www.lojadamaquina.com.br/po-de-serra-serragem-eucalipto-seco-natural-sem-veneno-2-kg?variant_id=1811" TargetMode="External"/><Relationship Id="rId11" Type="http://schemas.openxmlformats.org/officeDocument/2006/relationships/hyperlink" Target="https://portal.tce.rs.gov.br/aplicprod/f?p=50500:10:::NO:10:P10_ID_LICITACAO,P10_PAG_RETORNO,F50500_CD_ORGAO:1193531,14,53900&amp;cs=1BlPUAFVrW13VW3lJtiaWy2bPVAc" TargetMode="External"/><Relationship Id="rId32" Type="http://schemas.openxmlformats.org/officeDocument/2006/relationships/hyperlink" Target="https://portal.tce.rs.gov.br/aplicprod/f?p=50500:10:::NO:10:P10_ID_LICITACAO,P10_PAG_RETORNO:1210380,19&amp;cs=1r2yqzmGuBvFeaOump3a2BUOyDdE" TargetMode="External"/><Relationship Id="rId53" Type="http://schemas.openxmlformats.org/officeDocument/2006/relationships/hyperlink" Target="https://www.gmibh.com.br/estopa-branca-extra-plus-400g-947-5?srsltid=AfmBOorKZd9oTwWQ2_j9F5Lzn6qJUhSLoZpG2OFHfbBbe2uZKgLnoB_H8Jo" TargetMode="External"/><Relationship Id="rId74" Type="http://schemas.openxmlformats.org/officeDocument/2006/relationships/hyperlink" Target="https://www.arkuero.com.br/macacao-azul-industrial-mecanico-manga-curta-uniforme?utm_source=google&amp;utm_medium=Shopping&amp;utm_campaign=macacao-azul-industrial-mecanico-manga-curta-uniforme&amp;inStock&amp;gad_source=4&amp;gclid=CjwKCAjwwe2_BhBEEiwAM1I7sW_4CQTA6KCBu8I4_Q" TargetMode="External"/><Relationship Id="rId128" Type="http://schemas.openxmlformats.org/officeDocument/2006/relationships/hyperlink" Target="https://portal.tce.rs.gov.br/aplicprod/f?p=50500:10:::NO:10:P10_ID_LICITACAO,P10_PAG_RETORNO:1309688,19&amp;cs=1hxlj51D0Cw7BZ_oS0bi2nCWKUt4" TargetMode="External"/><Relationship Id="rId149" Type="http://schemas.openxmlformats.org/officeDocument/2006/relationships/hyperlink" Target="https://www.limaacessorios.com.br/produto/oleo-15w-40-ci-4-vr-max-turbo-20lts?parceiro=3&amp;srsltid=AfmBOoqJicu5OlFtZjEVf2ndVFcWHzgCQTulU-dTbip4HAwh0IHYrAO0t70" TargetMode="External"/><Relationship Id="rId5" Type="http://schemas.openxmlformats.org/officeDocument/2006/relationships/hyperlink" Target="https://portal.tce.rs.gov.br/aplicprod/f?p=50500:10:::NO:10:P10_ID_LICITACAO,P10_PAG_RETORNO:1217097,19&amp;cs=1gtVteT78jVPq_SD_-cIFw9y7kQY" TargetMode="External"/><Relationship Id="rId95" Type="http://schemas.openxmlformats.org/officeDocument/2006/relationships/hyperlink" Target="https://www.episonline.com.br/protetor-solar-com-repelente-nutriex-fator-30-oil-free-bisnaga-120g-p6504" TargetMode="External"/><Relationship Id="rId160" Type="http://schemas.openxmlformats.org/officeDocument/2006/relationships/hyperlink" Target="https://www.rolautorolamentos.com.br/graxa-ep2-1,5kg-litio-nlgi-2-karter-p5210?srsltid=AfmBOoqWuqKaw9mEbWotijgD6vgyL77HkAqKQ2F25_P8ehGATgiM0Rqx" TargetMode="External"/><Relationship Id="rId22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43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64" Type="http://schemas.openxmlformats.org/officeDocument/2006/relationships/hyperlink" Target="https://www.lfmaquinaseferramentas.com.br/luva-danny-amarela-07/p?idsku=119081&amp;gad_source=1&amp;gclid=Cj0KCQjw782_BhDjARIsABTv_JDdknRoG_xm_3nWhFAXVDSPLzE2NZx2zd98niu3VWmePI6ekOYUo7caAs2VEALw_wcB" TargetMode="External"/><Relationship Id="rId118" Type="http://schemas.openxmlformats.org/officeDocument/2006/relationships/hyperlink" Target="https://www.portaldecompraspublicas.com.br/processos/rs/prefeitura-municipal-de-pelotas-54/pe-056-2024-2024-355832" TargetMode="External"/><Relationship Id="rId139" Type="http://schemas.openxmlformats.org/officeDocument/2006/relationships/hyperlink" Target="https://www.guaporepneus.com.br/produto/pneu-275-80r22-5-goodyear-steelmark-ags-liso-149-146l-16-lonas-152835?gad_source=1&amp;gclid=Cj0KCQjw2N2_BhCAARIsAK4pEkWzY0919-ulzNT9X3nPAORRHkR6fMTBcVfd_a9gMBozFut43URt_8gaAmHCEALw_wcB" TargetMode="External"/><Relationship Id="rId85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150" Type="http://schemas.openxmlformats.org/officeDocument/2006/relationships/hyperlink" Target="https://mercadocar.com.br/oleo-de-cambio-80w90-gl5-lubrax-1-litro-petrobras-01001951" TargetMode="External"/><Relationship Id="rId171" Type="http://schemas.openxmlformats.org/officeDocument/2006/relationships/hyperlink" Target="https://portal.tce.rs.gov.br/aplicprod/f?p=50500:10:::NO:10:P10_ID_LICITACAO,P10_PAG_RETORNO:1232852,19&amp;cs=1qmYu6fjS5E1xlD-du_3qFtMgwiM" TargetMode="External"/><Relationship Id="rId12" Type="http://schemas.openxmlformats.org/officeDocument/2006/relationships/hyperlink" Target="https://duriouniformesbrasil.com.br/produto/bermuda-com-e-sem-refletivo/" TargetMode="External"/><Relationship Id="rId33" Type="http://schemas.openxmlformats.org/officeDocument/2006/relationships/hyperlink" Target="https://portal.tce.rs.gov.br/aplicprod/f?p=50500:10:::NO:10:P10_ID_LICITACAO,P10_PAG_RETORNO:1279445,19&amp;cs=160IvwSBvP1tGlIOoBGQhPT6PT7M" TargetMode="External"/><Relationship Id="rId108" Type="http://schemas.openxmlformats.org/officeDocument/2006/relationships/hyperlink" Target="https://www.mrae.com.br/serragem/serragem-de-madeira-fina-po-de-serra-2kg?srsltid=AfmBOortwKKntCwPUgT5LMM2VuDjYd78dBzRiJgDa1wpEoLlVdHXnTjj4WM" TargetMode="External"/><Relationship Id="rId129" Type="http://schemas.openxmlformats.org/officeDocument/2006/relationships/hyperlink" Target="https://www.dpaschoal.com.br/pneu-aro-15-xbri-fastway-a2-185-65r15-88h/p?idsku=1931164&amp;region_id=dnRleDo5MTk4OTAwMA&amp;gad_source=4&amp;gad_campaignid=19153888242&amp;gbraid=0AAAAADpcpxP1Z27kl6QvH4vnz9iiBjTS7&amp;gclid=CjwKCAjwuIbBBhBvEiwAsNypvRaqa-1k8hjsiEFaHdXaVWYnRMW" TargetMode="External"/><Relationship Id="rId54" Type="http://schemas.openxmlformats.org/officeDocument/2006/relationships/hyperlink" Target="https://www.fastobra.com.br/06250-estopa-branca-400g---estolimpe/p?idsku=575346&amp;utm_source=google&amp;utm_medium=cpc&amp;utm_campaign=raised_fastobra_outrosprodutos_pmax&amp;gad_source=1&amp;gad_campaignid=21637439487&amp;gbraid=0AAAAAB-O6idxi7z4pue-kgGCELtISAPjA&amp;gclid=CjwKC" TargetMode="External"/><Relationship Id="rId75" Type="http://schemas.openxmlformats.org/officeDocument/2006/relationships/hyperlink" Target="https://www.extinsolda.com.br/macacao-brim-manga-curta-uniforme-profissional-tamm-64122-1?srsltid=AfmBOorAE0AKYJp-hWM1g-5_DdK7ZQmqseDbKutoS3EDBJnkk_YhpNknaqs" TargetMode="External"/><Relationship Id="rId96" Type="http://schemas.openxmlformats.org/officeDocument/2006/relationships/hyperlink" Target="https://www.lojaneobetel.com.br/protetor-solar-fps-30-uva-com-repelente-120ml-sunday-p26871" TargetMode="External"/><Relationship Id="rId140" Type="http://schemas.openxmlformats.org/officeDocument/2006/relationships/hyperlink" Target="https://www.dpaschoal.com.br/pneu-aro-22-5-xbri-ecoway-b1-275-80r22-5-149-146m/p" TargetMode="External"/><Relationship Id="rId161" Type="http://schemas.openxmlformats.org/officeDocument/2006/relationships/hyperlink" Target="https://www.lubcenterloja.com.br/GRAXALUBRAXLITHEP2NLGI2DIN51825?sku=RX923C3FC-20kg-GKSNS52UR-WLURX25PP-ATE6RNKAJ-OSORHPQUU&amp;utm_source=Site&amp;utm_medium=GoogleShopping&amp;utm_campaign=IntegracaoGoogle&amp;srsltid=AfmBOoq7MfASZUmB1SEN2ndM82pQp1OEx8HO-Gv7On2ISKKCrmG" TargetMode="External"/><Relationship Id="rId6" Type="http://schemas.openxmlformats.org/officeDocument/2006/relationships/hyperlink" Target="https://portal.tce.rs.gov.br/aplicprod/f?p=50500:10:::NO:10:P10_ID_LICITACAO,P10_PAG_RETORNO:1276980,19&amp;cs=1ydrObfXsLYYURa3RU6QXdT_wRmw" TargetMode="External"/><Relationship Id="rId23" Type="http://schemas.openxmlformats.org/officeDocument/2006/relationships/hyperlink" Target="https://www.extinsolda.com.br/calca-brim-uniforme-profissional-c3-bolso-tamanho-g-3865-1" TargetMode="External"/><Relationship Id="rId28" Type="http://schemas.openxmlformats.org/officeDocument/2006/relationships/hyperlink" Target="https://www.benvenuttiuniformes.com.br/camiseta-manga-longa-com-faixa-refletiva-pv-azul?gad_source=1&amp;gad_campaignid=21702808223&amp;gbraid=0AAAAADOgSYlnuzubSZEGcEVmTLS9kZvJ_&amp;gclid=Cj0KCQjwlMfABhCWARIsADGXdy8eaFPS-8Zk5iZWIYDjL_FIZxZdaJ49npa3DJ80E5Bk2ildtS3aoQg" TargetMode="External"/><Relationship Id="rId49" Type="http://schemas.openxmlformats.org/officeDocument/2006/relationships/hyperlink" Target="https://portal.tce.rs.gov.br/aplicprod/f?p=50500:10:::NO:10:P10_ID_LICITACAO,P10_PAG_RETORNO:1295593,19&amp;cs=12lmr-f28m1HkJcAvY2PxVj125s0" TargetMode="External"/><Relationship Id="rId114" Type="http://schemas.openxmlformats.org/officeDocument/2006/relationships/hyperlink" Target="https://medlimp.com.br/produto/vassoura-de-nylon-sem-cabo-no4/" TargetMode="External"/><Relationship Id="rId119" Type="http://schemas.openxmlformats.org/officeDocument/2006/relationships/hyperlink" Target="https://portal.tce.rs.gov.br/aplicprod/f?p=50500:10:::NO:10:P10_ID_LICITACAO,P10_PAG_RETORNO:1204922,19&amp;cs=1M8nr7uZZ-LBs0-OmN4MIbE2Mr5E" TargetMode="External"/><Relationship Id="rId44" Type="http://schemas.openxmlformats.org/officeDocument/2006/relationships/hyperlink" Target="https://portal.tce.rs.gov.br/aplicprod/f?p=50500:10:::NO:10:P10_ID_LICITACAO,P10_PAG_RETORNO:1221308,19&amp;cs=12xls4DWAHX5m5zbhHalNwFEypQw" TargetMode="External"/><Relationship Id="rId60" Type="http://schemas.openxmlformats.org/officeDocument/2006/relationships/hyperlink" Target="https://portal.tce.rs.gov.br/aplicprod/f?p=50500:10:::NO:10:P10_ID_LICITACAO,P10_PAG_RETORNO:1188138,19&amp;cs=1CPWiqLi3LnSbbtrfSlRaTAHLRcY" TargetMode="External"/><Relationship Id="rId65" Type="http://schemas.openxmlformats.org/officeDocument/2006/relationships/hyperlink" Target="https://www.machadoautoparts.com.br/luva-latex-amarela-t-9-g-kalipso/p/pro56053579000207?c=47&amp;t=15&amp;gad_source=1&amp;gclid=Cj0KCQjw782_BhDjARIsABTv_JD-yYZN8-T9X7ba5Fa6myl11nfYedqIJvK-u7y5DVwCjuS0amUlppUaAiplEALw_wcB" TargetMode="External"/><Relationship Id="rId81" Type="http://schemas.openxmlformats.org/officeDocument/2006/relationships/hyperlink" Target="https://www.casaevideo.com.br/meiao-selene-futebol-feminino-2841595/p?idsku=2767472&amp;srsltid=AfmBOoog3BkRxEijsopLI7GEoRB3iWYvweacHxjll8hiXeZvM7NlC0UJalU" TargetMode="External"/><Relationship Id="rId86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130" Type="http://schemas.openxmlformats.org/officeDocument/2006/relationships/hyperlink" Target="https://www.velocepneus.com/pneu-horizon-205-60-r15-91v-hh301.html?srsltid=AfmBOop2sGo4KUk3D6IeqWRh4pK10qKDw8aO0_IQ5DCdJVqsZJB-rMD-iJc" TargetMode="External"/><Relationship Id="rId135" Type="http://schemas.openxmlformats.org/officeDocument/2006/relationships/hyperlink" Target="https://www.pneubest.com.br/produto/pneu-xbri-235-75r17-5?utm_source=Google%20Shopping&amp;utm_medium=Google%20Shopping&amp;utm_campaign=Google%20Shopping&amp;gad_source=1&amp;gbraid=0AAAAADNIR5KstvqeaWse_5DKtKWDkbGjC&amp;gclid=Cj0KCQjwzrzABhD8ARIsANlSWNM93lXGVYePnWhXFXm-qUY" TargetMode="External"/><Relationship Id="rId151" Type="http://schemas.openxmlformats.org/officeDocument/2006/relationships/hyperlink" Target="https://www.fastcarbrasil.com.br/valvoline-oleo-de-cambio-80w90-gl-5-hp-gear-oil-1-lt?srsltid=AfmBOopmttciJ08kej6KBBiR1Xr3XpPL24kVbz6RnIC-akA7oxKVm-7by7A" TargetMode="External"/><Relationship Id="rId156" Type="http://schemas.openxmlformats.org/officeDocument/2006/relationships/hyperlink" Target="https://geotechagro.com.br/produtos/oleo-lubrificante-extron-hidraulico-aw-iso-68-hlp-balde-20-litros/?srsltid=AfmBOorTzuHJpDXe2BO5pe4zmpZnKYKTb-loaiikTSdD5vvelKZiXAwCXU0" TargetMode="External"/><Relationship Id="rId177" Type="http://schemas.openxmlformats.org/officeDocument/2006/relationships/hyperlink" Target="https://portal.tce.rs.gov.br/aplicprod/f?p=50500:10:::NO:10:P10_ID_LICITACAO,P10_PAG_RETORNO:1345489,19&amp;cs=1Vj9JhQe_4i5Phw8-kQ16rdwrb5o" TargetMode="External"/><Relationship Id="rId172" Type="http://schemas.openxmlformats.org/officeDocument/2006/relationships/hyperlink" Target="https://portal.tce.rs.gov.br/aplicprod/f?p=50500:10:::NO:10:P10_ID_LICITACAO,P10_PAG_RETORNO:1273658,19&amp;cs=1_h5J1rGE6LvBJhp1uWLln6_CV-Q" TargetMode="External"/><Relationship Id="rId13" Type="http://schemas.openxmlformats.org/officeDocument/2006/relationships/hyperlink" Target="https://www.lumilabor.com.br/plasticos/bombona-graduada-com-alca-tampa-e-torneira?parceiro=6858&amp;variant_id=1209&amp;gad_source=1&amp;gclid=CjwKCAjw--K_BhB5EiwAuwYoynLpp1tC5CeTL9XT1WkGOuvwayfGeV8hwUsBLHBRTwe3IA74UKYr0BoC1AAQAvD_BwE" TargetMode="External"/><Relationship Id="rId18" Type="http://schemas.openxmlformats.org/officeDocument/2006/relationships/hyperlink" Target="https://www.epifortte.com.br/touca-e-protecao/touca-arabe-bone-epi-brim-ca-44963?gad_source=1&amp;gad_campaignid=22380412049&amp;gbraid=0AAAAAC_U6LQcAZYviJS-BlTWyZW958i4u&amp;gclid=Cj0KCQjwlMfABhCWARIsADGXdy_bYWgihzfmt9qmlV1WtGZvMYDDU2v3_gMjGYS2gkj2wugwStP7nbgaAv2CEA" TargetMode="External"/><Relationship Id="rId39" Type="http://schemas.openxmlformats.org/officeDocument/2006/relationships/hyperlink" Target="https://portal.tce.rs.gov.br/aplicprod/f?p=50500:10:::NO:10:P10_ID_LICITACAO,P10_PAG_RETORNO:1219082,19&amp;cs=1ZUvVO2wWhgHchLF3GeTCcoOM27U" TargetMode="External"/><Relationship Id="rId109" Type="http://schemas.openxmlformats.org/officeDocument/2006/relationships/hyperlink" Target="https://www.hpplasticos.com.br/garrafa-squeeze-1000ml-inox/?srsltid=AfmBOorAvEGpy672EEjHfMNYmTj3eO8hMsEQzeLzMwnLF_5v8V3MWagCtNk" TargetMode="External"/><Relationship Id="rId34" Type="http://schemas.openxmlformats.org/officeDocument/2006/relationships/hyperlink" Target="https://www.zengouniformes.com.br/camiseta-masculina-basica-malha-fria-pv-com-faixa-refletiva-verde" TargetMode="External"/><Relationship Id="rId50" Type="http://schemas.openxmlformats.org/officeDocument/2006/relationships/hyperlink" Target="https://www.kaema.com.br/creme-protetor-maos-luva-quimica-grupo-3-200-gr-nutriex?utm_source=Site&amp;utm_medium=GoogleMerchant&amp;utm_campaign=GoogleMerchant&amp;gad_source=1&amp;gclid=Cj0KCQjw782_BhDjARIsABTv_JCislYdJmhQ6RHSgdXQr-Rr1MA_sjGVjHSH-9Jl_cfrsJ5Lhild2bEaAgqNE" TargetMode="External"/><Relationship Id="rId55" Type="http://schemas.openxmlformats.org/officeDocument/2006/relationships/hyperlink" Target="https://portal.tce.rs.gov.br/aplicprod/f?p=50500:10:::NO:10:P10_ID_LICITACAO,P10_PAG_RETORNO:1318859,19&amp;cs=11DLct-ViAtTRggol_VIDgbowEVA" TargetMode="External"/><Relationship Id="rId76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97" Type="http://schemas.openxmlformats.org/officeDocument/2006/relationships/hyperlink" Target="https://portal.tce.rs.gov.br/aplicprod/f?p=50500:10:::NO:10:P10_ID_LICITACAO,P10_PAG_RETORNO:1263893,19&amp;cs=11tjJ1NVinTMtpTcyR73BcoPuaAE" TargetMode="External"/><Relationship Id="rId104" Type="http://schemas.openxmlformats.org/officeDocument/2006/relationships/hyperlink" Target="https://www.patavo.com.br/produtos/sapato-conforto-preto-c-cadarco-ca-4642/?srsltid=AfmBOooywTrvyoqErDImsEa3l-iFOT-vhQOarMwIXqdoDdU_74atT8d6" TargetMode="External"/><Relationship Id="rId120" Type="http://schemas.openxmlformats.org/officeDocument/2006/relationships/hyperlink" Target="https://portal.tce.rs.gov.br/aplicprod/f?p=50500:10:::NO:10:P10_ID_LICITACAO,P10_PAG_RETORNO,F50500_CD_ORGAO:1217895,14,65600&amp;cs=17OzXXyCCzV6HvcT71c95bACYt-Y" TargetMode="External"/><Relationship Id="rId125" Type="http://schemas.openxmlformats.org/officeDocument/2006/relationships/hyperlink" Target="https://loja.larplasticos.com.br/container-de-plastico-injetado-1100-litros-branco/p?srsltid=AfmBOorl06vuX57_Tvtq7q5F7_b1jfzNkFN1y-P-7BMNc6rvdyXb7TKU" TargetMode="External"/><Relationship Id="rId141" Type="http://schemas.openxmlformats.org/officeDocument/2006/relationships/hyperlink" Target="https://www.pneusauto.com.br/products/pneu-155-r12c-8pr-88?variant=50236643148076&amp;country=BR&amp;currency=BRL&amp;utm_medium=product_sync&amp;utm_source=google&amp;utm_content=sag_organic&amp;utm_campaign=sag_organic&amp;gad_source=4&amp;gbraid=0AAAAApqCRJ_sgWhpdPnR5v65VLfpcKVDz&amp;gcl" TargetMode="External"/><Relationship Id="rId146" Type="http://schemas.openxmlformats.org/officeDocument/2006/relationships/hyperlink" Target="https://www.lojadomecanico.com.br/produto/437118/32/250/oleo-lubrificante-do-motor--havoline-sae-5w30-semissintetico-api-sn-para-motores-flex-1l-texaco-437118" TargetMode="External"/><Relationship Id="rId167" Type="http://schemas.openxmlformats.org/officeDocument/2006/relationships/hyperlink" Target="https://portal.tce.rs.gov.br/aplicprod/f?p=50500:10:::NO:10:P10_ID_LICITACAO,P10_PAG_RETORNO:1218533,19&amp;cs=11hWJRd25jVxtUczZcoVXBR2gtXw" TargetMode="External"/><Relationship Id="rId7" Type="http://schemas.openxmlformats.org/officeDocument/2006/relationships/hyperlink" Target="https://www.toklimp.com/produtos/saco-de-lixo-110-lt-c-100-laranja-7-mic-75-x-90-cm/" TargetMode="External"/><Relationship Id="rId71" Type="http://schemas.openxmlformats.org/officeDocument/2006/relationships/hyperlink" Target="https://www.dimensional.com.br/luva-protecao-mecanica-poliamida-poliuretano-preta-elastico-9g-tatil-volk-103118007-ca-30916---volk/p?idsku=449097&amp;gad_source=1&amp;gclid=Cj0KCQjw782_BhDjARIsABTv_JBnLkm8OxgnPO47Vo2FsK-08FRCnQRdQrCTHPbF7pGvgfKHsCbDVhQaAhPJEALw_w" TargetMode="External"/><Relationship Id="rId92" Type="http://schemas.openxmlformats.org/officeDocument/2006/relationships/hyperlink" Target="https://www.megalimpo.com.br/papel-toalha-branco-20x21-cm-c-1000-fls-ametista" TargetMode="External"/><Relationship Id="rId162" Type="http://schemas.openxmlformats.org/officeDocument/2006/relationships/hyperlink" Target="https://www.portaldecompraspublicas.com.br/processos/rs/servico-autonomo-de-saneamento-de-pelotas-sanep-940/pe-pe-46-2024-2024-298153" TargetMode="External"/><Relationship Id="rId2" Type="http://schemas.openxmlformats.org/officeDocument/2006/relationships/hyperlink" Target="https://www.triadelog.com.br/alcool-gel-70-all-clear-audax-5-litros" TargetMode="External"/><Relationship Id="rId29" Type="http://schemas.openxmlformats.org/officeDocument/2006/relationships/hyperlink" Target="https://www.mapauniformes.com.br/camisetas/camiseta-manga-longa-com-faixa-refletiva?parceiro=2700&amp;variant_id=187&amp;srsltid=AfmBOoo-ZDPKJcAmd3WVVUv6oUdRDiN_-9aHqBsXC0_I8SXISKqWSNeCoKs" TargetMode="External"/><Relationship Id="rId24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40" Type="http://schemas.openxmlformats.org/officeDocument/2006/relationships/hyperlink" Target="https://www.ferrostore.com.br/todas/carro-carga-roda-pneumatica-200kg-ccp200-fercar?parceiro=4159&amp;srsltid=AfmBOorOeDzNrIn4JTG4NgOJfezVA6tVAzCFAcGAko7969d_AGt4Pv0pGwY" TargetMode="External"/><Relationship Id="rId45" Type="http://schemas.openxmlformats.org/officeDocument/2006/relationships/hyperlink" Target="https://www.astrodistribuidora.com/colete-refletivo-dia-e-noite-verde-vic71260-vicsa-danny?gad_source=4&amp;gclid=Cj0KCQjw782_BhDjARIsABTv_JAomF9_SgjyedFUfuo1psgZ-V76ClSDBEsgP3MkiwakrdQsx6WBvUkaAjnUEALw_wcB" TargetMode="External"/><Relationship Id="rId66" Type="http://schemas.openxmlformats.org/officeDocument/2006/relationships/hyperlink" Target="https://portal.tce.rs.gov.br/aplicprod/f?p=50500:10:::NO:10:P10_ID_LICITACAO,P10_PAG_RETORNO:1292980,19&amp;cs=1jDmAnFRPm8k5407x7W-MIgbftRY" TargetMode="External"/><Relationship Id="rId87" Type="http://schemas.openxmlformats.org/officeDocument/2006/relationships/hyperlink" Target="https://www.solusegepi.com.br/produto/oculos-de-protecao-rio-de-janeiro-polifer-incolor-com-ajuste-ca-34082/?gad_source=1&amp;gclid=CjwKCAjwwe2_BhBEEiwAM1I7sd6JGOE_6eKysTyQAOrw5OUsGzMTLLUDnspND2-1dIAg6BR_znkJhBoCIKsQAvD_BwE" TargetMode="External"/><Relationship Id="rId110" Type="http://schemas.openxmlformats.org/officeDocument/2006/relationships/hyperlink" Target="https://www.biaartslembrancinha.com.br/brindes/garrafas-e-squeezes/squeeze-garrafa-inox-personalizada-1-litro-m8200-brinde-personalizado?srsltid=AfmBOoqhqevx8rs2iMemdOkR430twjLyJ3JtJNlBRSbZmtSaVzSyC1biGnM" TargetMode="External"/><Relationship Id="rId115" Type="http://schemas.openxmlformats.org/officeDocument/2006/relationships/hyperlink" Target="https://www.lojadomecanico.com.br/produto/613663/37/797/balanca-checkout-1531kgx510g-280x330x73mm-ramuza-1247" TargetMode="External"/><Relationship Id="rId131" Type="http://schemas.openxmlformats.org/officeDocument/2006/relationships/hyperlink" Target="https://www.dpaschoal.com.br/pneu-westlake-205-60r15-tl-z-108-wl-91h/p?idsku=1925466&amp;region_id=dnRleDo5MTk4OTAwMA&amp;gad_source=1&amp;gad_campaignid=19153888242&amp;gbraid=0AAAAADpcpxNDZ2rfdGhNVCwTu7p3nrjUM&amp;gclid=CjwKCAjwuIbBBhBvEiwAsNypvWDy7q9XonqQ4WQpDbnkuqzCx5gYx" TargetMode="External"/><Relationship Id="rId136" Type="http://schemas.openxmlformats.org/officeDocument/2006/relationships/hyperlink" Target="https://www.ciapneus.com.br/pneu-235-75r17-5-aro-17-5-xbri-ecoplus-c2-18pr-tl-143-141j?utm_source=google&amp;utm_medium=Shopping&amp;utm_campaign=pneu-235-75r17-5-aro-17-5-xbri-ecoplus-c2-18pr-tl-143-141j&amp;inStock&amp;gad_source=4&amp;gad_campaignid=21292405603&amp;gbraid=0AA" TargetMode="External"/><Relationship Id="rId157" Type="http://schemas.openxmlformats.org/officeDocument/2006/relationships/hyperlink" Target="https://loja.itrsa.com.br/produtos/oleo-para-sistemas-hidraulicos-aw-68-mineral-20-litros/?pf=gs&amp;variant=1089654048&amp;gad_source=1&amp;gclid=Cj0KCQjw2N2_BhCAARIsAK4pEkWOlJfJvOJxhqvseEMJ0YwDzEVCAgilj8TBCSjNhUuXeVbCGIZXIEQaAhBEEALw_wcB" TargetMode="External"/><Relationship Id="rId178" Type="http://schemas.openxmlformats.org/officeDocument/2006/relationships/hyperlink" Target="https://portal.tce.rs.gov.br/aplicprod/f?p=50500:10:::NO:10:P10_ID_LICITACAO,P10_PAG_RETORNO:1310212,19&amp;cs=1mlMQYbAl2GUbWIw12wfBn8XHNic" TargetMode="External"/><Relationship Id="rId61" Type="http://schemas.openxmlformats.org/officeDocument/2006/relationships/hyperlink" Target="https://portal.tce.rs.gov.br/aplicprod/f?p=50500:10:::NO:10:P10_ID_LICITACAO,P10_PAG_RETORNO:1193531,19&amp;cs=1QIdI2ylEJ6wWfK50sgXcbviSQQ8" TargetMode="External"/><Relationship Id="rId82" Type="http://schemas.openxmlformats.org/officeDocument/2006/relationships/hyperlink" Target="https://www.epipremium.com.br/protecao-facial/oculos/oculos-de-protecao-leopardo-lente-cinza-kalipso-c-a-11268?gad_source=1&amp;gclid=CjwKCAjwwe2_BhBEEiwAM1I7sfTAotQerfLEqwRBVs7b4WgpUbHPEtBeUPXBJuhr6-8mDd1QYI50WhoCFxIQAvD_BwE" TargetMode="External"/><Relationship Id="rId152" Type="http://schemas.openxmlformats.org/officeDocument/2006/relationships/hyperlink" Target="https://www.brunocar.com.br/litro-oleo-cambio-diferencial-80w90-bardahl-1-litro?utm_source=Site&amp;utm_medium=GoogleShopping&amp;utm_campaign=IntegracaoGoogle_KGS&amp;srsltid=AfmBOor_qKv1Y0nP93bsuBVwaXtJJ1kKx2At5qVKO6DyLuKSSYZTD8opNU0" TargetMode="External"/><Relationship Id="rId173" Type="http://schemas.openxmlformats.org/officeDocument/2006/relationships/hyperlink" Target="https://portal.tce.rs.gov.br/aplicprod/f?p=50500:10:::NO:10:P10_ID_LICITACAO,P10_PAG_RETORNO:1310212,19&amp;cs=1mlMQYbAl2GUbWIw12wfBn8XHNic" TargetMode="External"/><Relationship Id="rId19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14" Type="http://schemas.openxmlformats.org/officeDocument/2006/relationships/hyperlink" Target="https://www.lojalinklab.com.br/plasticos/bombona-graduada/bombona-especifica-de-produtos-com-torneira?variant_id=675&amp;parceiro=1142&amp;gad_source=1&amp;gclid=CjwKCAjw--K_BhB5EiwAuwYoyviDFIf3OBpPgNp6dLP1GgFeuFPqxWCAc2zKSkkm7UnKMt18Xxid_RoCqIMQAvD_BwE" TargetMode="External"/><Relationship Id="rId30" Type="http://schemas.openxmlformats.org/officeDocument/2006/relationships/hyperlink" Target="https://www.zengouniformes.com.br/camiseta-pv-gola-redonda-manga-longa-com-faixa-refletiva-verde?utm_source=Site&amp;utm_medium=GoogleMerchant&amp;utm_campaign=GoogleMerchant&amp;sku=VCAMPV-ML-CFV-GM&amp;srsltid=AfmBOoqo28NkPimZexYtV2vkOvo9r0MFXz2nKH7WUUf8wG2uvnu_64VeDLM" TargetMode="External"/><Relationship Id="rId35" Type="http://schemas.openxmlformats.org/officeDocument/2006/relationships/hyperlink" Target="https://www.uniformesrubensfilho.com.br/kit-20-camiseta-manga-curta-faixa-refletiva-personalizadas/" TargetMode="External"/><Relationship Id="rId56" Type="http://schemas.openxmlformats.org/officeDocument/2006/relationships/hyperlink" Target="https://www.rcoessencias.com.br/todas-as-categorias/plastico/saboneteiras/frasco-pet-500ml-cacula-c-valvula-pump?parceiro=2074&amp;gad_source=1&amp;gclid=CjwKCAjwwe2_BhBEEiwAM1I7sdLNi6r5-Rx52IbWjqxQm-737JtF-hCsmgUr_6hQG0vmTp105LItNBoCnMkQAvD_BwE&amp;variant_id=4225" TargetMode="External"/><Relationship Id="rId77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100" Type="http://schemas.openxmlformats.org/officeDocument/2006/relationships/hyperlink" Target="https://cesconstrucao.com.br/saco-p-entulho-de-rafia-55x75cm.html?srsltid=AfmBOorVbXLxxCAIvX6AH7q4bhev9Li8_C6wdFdyv321zlZBEwtwVzGpG3w" TargetMode="External"/><Relationship Id="rId105" Type="http://schemas.openxmlformats.org/officeDocument/2006/relationships/hyperlink" Target="https://www.epiemro.com.br/sapato-conforto-amarrar-bidensidade-sv60-sem-bico-ca-4642-108460-4" TargetMode="External"/><Relationship Id="rId126" Type="http://schemas.openxmlformats.org/officeDocument/2006/relationships/hyperlink" Target="https://portal.tce.rs.gov.br/aplicprod/f?p=50500:10:::NO:10:P10_ID_LICITACAO,P10_PAG_RETORNO:1215530,19&amp;cs=1DMPBun2mv5ERMrCBW7jcCIRzxoo" TargetMode="External"/><Relationship Id="rId147" Type="http://schemas.openxmlformats.org/officeDocument/2006/relationships/hyperlink" Target="https://www.lojadomecanico.com.br/produto/266558/32/250/oleo-lubrificante-mineral-15w40-truck-ci-4-1l-para-motores-a-diesel-radnaq-mo22-01" TargetMode="External"/><Relationship Id="rId168" Type="http://schemas.openxmlformats.org/officeDocument/2006/relationships/hyperlink" Target="https://portal.tce.rs.gov.br/aplicprod/f?p=50500:10:::NO:10:P10_ID_LICITACAO,P10_PAG_RETORNO:1311677,19&amp;cs=1mFEIwcXaTFcHe8GmMPBpv207e2E" TargetMode="External"/><Relationship Id="rId8" Type="http://schemas.openxmlformats.org/officeDocument/2006/relationships/hyperlink" Target="https://loja.casadosacodelixo.com.br/saco-de-lixo-100-litros-colorido?srsltid=AfmBOoqC7MVNcmk6UcBGY6y5AU6qIzYl30IeiGSre682fgj-hveod0oF" TargetMode="External"/><Relationship Id="rId51" Type="http://schemas.openxmlformats.org/officeDocument/2006/relationships/hyperlink" Target="https://www.lojadoepi.com.br/creme-de-protecao-help-hand-grupo-iii-oleo-agua-e-pintura-bisnaga-200g-henlau-ca-9611-63-p2169?utm_source=google&amp;utm_medium=cpc&amp;utm_campaign=lojavirtual&amp;gad_source=1&amp;gclid=Cj0KCQjw782_BhDjARIsABTv_JDxqIbQp_2x2NAgaf0BWByvSE0-65" TargetMode="External"/><Relationship Id="rId72" Type="http://schemas.openxmlformats.org/officeDocument/2006/relationships/hyperlink" Target="https://www.plenobras.com.br/646a5a8bd496504d21df4e03/luva-poliuretanopoliester-tatil-smart-tamanho-10-(gg)-preta-ca-46932-volk?gad_source=1&amp;gclid=Cj0KCQjw782_BhDjARIsABTv_JAzI1W0J67tlZtdqf_vmUoiR8AJL2RQMPZE7453yvZxxn3nrL70ncAaAlhXEALw_wcB" TargetMode="External"/><Relationship Id="rId93" Type="http://schemas.openxmlformats.org/officeDocument/2006/relationships/hyperlink" Target="https://www.bhb.com.br/pacote-de-papel-toalha-interfolhado-20x21cm-600g-globo-premium?srsltid=AfmBOop_wxx-Iqb-LeyQ49tL4A9Nt4sOUI3FWal40EJZAyptFqVtiTz5" TargetMode="External"/><Relationship Id="rId98" Type="http://schemas.openxmlformats.org/officeDocument/2006/relationships/hyperlink" Target="https://portal.tce.rs.gov.br/aplicprod/f?p=50500:10:::NO:10:P10_ID_LICITACAO,P10_PAG_RETORNO:1185740,19&amp;cs=1mes7KzpKv9zPB78J1pyWH1Yqbds" TargetMode="External"/><Relationship Id="rId121" Type="http://schemas.openxmlformats.org/officeDocument/2006/relationships/hyperlink" Target="https://portal.tce.rs.gov.br/aplicprod/f?p=50500:10:::NO:10:P10_ID_LICITACAO,P10_PAG_RETORNO:1205102,19&amp;cs=1AYnd0sX3ywHz5jc05qWnQWRVDFU" TargetMode="External"/><Relationship Id="rId142" Type="http://schemas.openxmlformats.org/officeDocument/2006/relationships/hyperlink" Target="https://www.pneubest.com.br/produto/pneu-155r12c-8pr-88-86q-rw-05-roadwing?utm_source=Google%20Shopping&amp;utm_medium=Google%20Shopping&amp;utm_campaign=Google%20Shopping&amp;gad_source=1&amp;gbraid=0AAAAADNIR5InYW9lQ5HfkEfehPc05pQZ2&amp;gclid=Cj0KCQjwzYLABhD4ARIsALySuCQ9s2" TargetMode="External"/><Relationship Id="rId163" Type="http://schemas.openxmlformats.org/officeDocument/2006/relationships/hyperlink" Target="https://portal.tce.rs.gov.br/aplicprod/f?p=50500:10:::NO:10:P10_ID_LICITACAO,P10_PAG_RETORNO:1284516,19&amp;cs=1JXhOTglN2yya_tkkIA3giYEMgMw" TargetMode="External"/><Relationship Id="rId3" Type="http://schemas.openxmlformats.org/officeDocument/2006/relationships/hyperlink" Target="https://portal.tce.rs.gov.br/aplicprod/f?p=50500:10:::NO:10:P10_ID_LICITACAO,P10_PAG_RETORNO:1308852,19&amp;cs=1ZAsDcPITd_k7lKbNDeSkgjBZsw8" TargetMode="External"/><Relationship Id="rId25" Type="http://schemas.openxmlformats.org/officeDocument/2006/relationships/hyperlink" Target="https://portal.tce.rs.gov.br/aplicprod/f?p=50500:10:::NO:10:P10_ID_LICITACAO,P10_PAG_RETORNO:1279445,19&amp;cs=160IvwSBvP1tGlIOoBGQhPT6PT7M" TargetMode="External"/><Relationship Id="rId46" Type="http://schemas.openxmlformats.org/officeDocument/2006/relationships/hyperlink" Target="https://portal.tce.rs.gov.br/aplicprod/f?p=50500:10:::NO:10:P10_ID_LICITACAO,P10_PAG_RETORNO:1249585,19&amp;cs=1AL0YcvBRWSq1hg28xfdxEoQ4xzY" TargetMode="External"/><Relationship Id="rId67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116" Type="http://schemas.openxmlformats.org/officeDocument/2006/relationships/hyperlink" Target="https://www.7lab.com.br/equipamentos-para-laboratorio/balanca-de-laboratorio/balanca-digital-plataforma-150kg-bel-modelo-tx-1505?parceiro=5060&amp;variant_id=989&amp;campaignid=21942086871&amp;adgroupid=169000587257&amp;keyword=&amp;network=g&amp;utm_medium=cpc&amp;gad_source=4&amp;gad_" TargetMode="External"/><Relationship Id="rId137" Type="http://schemas.openxmlformats.org/officeDocument/2006/relationships/hyperlink" Target="https://www.dpaschoal.com.br/pneu-aro-17-5-xbri-ecoplus-c2-235-75r17-5-143-141j/p?idsku=1403001&amp;region_id=dnRleDo5MTk4OTAwMA&amp;gad_source=1&amp;gbraid=0AAAAADpcpxPXsmbI-Ir_-T5iy_7dYLvf5&amp;gclid=Cj0KCQjwzrzABhD8ARIsANlSWNOE38O8OHWOofuB9Mx7pRSsoO4YvRjJqVFPTpm7kHuWI" TargetMode="External"/><Relationship Id="rId158" Type="http://schemas.openxmlformats.org/officeDocument/2006/relationships/hyperlink" Target="https://www.atacadaodebaterias.com.br/produto/oleo-ipir-ipitur-aw-68-hlp-bd-20lts?utm_source=Google%20Shopping&amp;utm_medium=Google%20Shopping&amp;utm_campaign=Google%20Shopping&amp;gad_source=4&amp;gclid=Cj0KCQjw2N2_BhCAARIsAK4pEkUOOfJPfK12sI-0rPcGOcqLsVQnXpRbKyB_u1vSK" TargetMode="External"/><Relationship Id="rId20" Type="http://schemas.openxmlformats.org/officeDocument/2006/relationships/hyperlink" Target="https://portal.tce.rs.gov.br/aplicprod/f?p=50500:10:::NO:10:P10_ID_LICITACAO,P10_PAG_RETORNO,F50500_CD_ORGAO:1172945,14,50000&amp;cs=16m4A-i455_eZIUg_kmjB5TRmJYQ" TargetMode="External"/><Relationship Id="rId41" Type="http://schemas.openxmlformats.org/officeDocument/2006/relationships/hyperlink" Target="https://palaciodasferramentas.com.br/carrinho-para-carga-200-kg-pneu-com-camara-ccp200-fercar?srsltid=AfmBOordIeJSiZgExJC8v8ib1N9t7u_Pax97-DshocXJxxVOKwPP90D5hus" TargetMode="External"/><Relationship Id="rId62" Type="http://schemas.openxmlformats.org/officeDocument/2006/relationships/hyperlink" Target="https://portal.tce.rs.gov.br/aplicprod/f?p=50500:10:::NO:10:P10_ID_LICITACAO,P10_PAG_RETORNO:1179195,19&amp;cs=1c0-1fnsewtOT0BQE6x68ccYPsHc" TargetMode="External"/><Relationship Id="rId83" Type="http://schemas.openxmlformats.org/officeDocument/2006/relationships/hyperlink" Target="https://portal.tce.rs.gov.br/aplicprod/f?p=50500:10:::NO:10:P10_ID_LICITACAO,P10_PAG_RETORNO:1262853,19&amp;cs=1wBerMBRUzZo-RzrxVc674Wcf88Y" TargetMode="External"/><Relationship Id="rId88" Type="http://schemas.openxmlformats.org/officeDocument/2006/relationships/hyperlink" Target="https://www.jaledistribuidora.com.br/utilidades/pa-para-lixo/pa-lixo-dalcin-articulavel-com-cabo-90m" TargetMode="External"/><Relationship Id="rId111" Type="http://schemas.openxmlformats.org/officeDocument/2006/relationships/hyperlink" Target="https://www.connectutilidadesstore.com.br/MLB-4978055440-garrafa-termica-aco-inox-316-squeeze-academia-sport-alca-1l-_JM?srsltid=AfmBOoodOx95skJCOGSP3Rh4tFV4CBJJq26XEk__o0HnGraeEA9I_C1WRvU" TargetMode="External"/><Relationship Id="rId132" Type="http://schemas.openxmlformats.org/officeDocument/2006/relationships/hyperlink" Target="https://www.pneubest.com.br/produto/pneu-205-60r15-91h-dk558-alfamotors?utm_source=Google%20Shopping&amp;utm_medium=Google%20Shopping&amp;utm_campaign=Google%20Shopping&amp;gad_source=4&amp;gad_campaignid=17338707013&amp;gbraid=0AAAAADNIR5Io5Sl2_yJMhYkmrsFvMP9uh&amp;gclid=CjwKCA" TargetMode="External"/><Relationship Id="rId153" Type="http://schemas.openxmlformats.org/officeDocument/2006/relationships/hyperlink" Target="https://www.msam.com.br/produto/meritor-75w901l-oleo-75w90-sintetico-1l-meritor-170056" TargetMode="External"/><Relationship Id="rId174" Type="http://schemas.openxmlformats.org/officeDocument/2006/relationships/hyperlink" Target="https://portal.tce.rs.gov.br/aplicprod/f?p=50500:10:::NO:10:P10_ID_LICITACAO,P10_PAG_RETORNO:1317121,19&amp;cs=1MVxFxqcMoFJXy9otAlJOFzexckI" TargetMode="External"/><Relationship Id="rId179" Type="http://schemas.openxmlformats.org/officeDocument/2006/relationships/hyperlink" Target="https://portal.tce.rs.gov.br/aplicprod/f?p=50500:10:::NO:10:P10_ID_LICITACAO,P10_PAG_RETORNO:1273658,19&amp;cs=1_h5J1rGE6LvBJhp1uWLln6_CV-Q" TargetMode="External"/><Relationship Id="rId15" Type="http://schemas.openxmlformats.org/officeDocument/2006/relationships/hyperlink" Target="https://www.bclab.com.br/consumiveis/bombonas/bombona-de-plastico-graduada-com-torneira-nalgon?variant_id=1775&amp;parceiro=3&amp;gad_source=1&amp;gclid=CjwKCAjw--K_BhB5EiwAuwYoyuRo1fCgJhTYS923aGw0bSsUkesdOjKgq9S00ObGYD8ClOSKOU83ChoCcg4QAvD_BwE" TargetMode="External"/><Relationship Id="rId36" Type="http://schemas.openxmlformats.org/officeDocument/2006/relationships/hyperlink" Target="https://www.copalparafusos.com.br/camiseta-cinza-manga-curta-com-refletivo-gg?srsltid=AfmBOoqZA0a6FBGmle7-T6Lhv74RA2w7dcTDu2lY5QcMaAwCf8qGQZOe" TargetMode="External"/><Relationship Id="rId57" Type="http://schemas.openxmlformats.org/officeDocument/2006/relationships/hyperlink" Target="https://www.triadelog.com.br/saboneteira-cvalvula-pump-500ml?utm_source=Site&amp;utm_medium=GoogleMerchant&amp;utm_campaign=GoogleMerchant&amp;utm_source=adwords&amp;utm_medium=%7Badname%7D&amp;utm_campaign=%7Bcampaignname%7D&amp;utm_content=%7Badgroupname%7D&amp;utm_keyword=&amp;utm_ma" TargetMode="External"/><Relationship Id="rId106" Type="http://schemas.openxmlformats.org/officeDocument/2006/relationships/hyperlink" Target="https://www.essenciabrasileira.com.br/produto/cama-inhouse-serragem-fina-po-de-serra-plantas-animais-3kg-2/?gad_source=4&amp;gbraid=0AAAAADqWbqb3ohjJ98fM6OgzHGURZMR-c&amp;gclid=Cj0KCQjw_JzABhC2ARIsAPe3ynrxEzM5RU355sgN5E1aq4ZmJtIWxnC1_H-F4KhW37tSQhOYNc3Xc2EaAgmuEA" TargetMode="External"/><Relationship Id="rId127" Type="http://schemas.openxmlformats.org/officeDocument/2006/relationships/hyperlink" Target="https://portal.tce.rs.gov.br/aplicprod/f?p=50500:10:::NO:10:P10_ID_LICITACAO,P10_PAG_RETORNO:1281048,19&amp;cs=1ljp7eE5UVajexBeJyHdKWD_j23Q" TargetMode="External"/><Relationship Id="rId10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31" Type="http://schemas.openxmlformats.org/officeDocument/2006/relationships/hyperlink" Target="https://www.atacadaomalhas.com.br/15preta?utm_source=Site&amp;utm_medium=GoogleMerchant&amp;utm_campaign=GoogleMerchant&amp;sku=marinho-gg&amp;gad_source=1&amp;gad_campaignid=22344578332&amp;gbraid=0AAAAADiFf4oFf6llghXvkTrT7hMsikTwz&amp;gclid=Cj0KCQjwlMfABhCWARIsADGXdy8KPf9us85TO6A_" TargetMode="External"/><Relationship Id="rId52" Type="http://schemas.openxmlformats.org/officeDocument/2006/relationships/hyperlink" Target="https://portal.tce.rs.gov.br/aplicprod/f?p=50500:10:::NO:10:P10_ID_LICITACAO,P10_PAG_RETORNO:1262357,19&amp;cs=1M3j6kQi8j9OpRpG2oIvSCcFXTvQ" TargetMode="External"/><Relationship Id="rId73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78" Type="http://schemas.openxmlformats.org/officeDocument/2006/relationships/hyperlink" Target="https://www.extinsolda.com.br/macacao-brim-manga-longa-uniforme-profissional-tamg-82277-1" TargetMode="External"/><Relationship Id="rId94" Type="http://schemas.openxmlformats.org/officeDocument/2006/relationships/hyperlink" Target="https://portal.tce.rs.gov.br/aplicprod/f?p=50500:10:::NO:10:P10_ID_LICITACAO,P10_PAG_RETORNO:1279445,19&amp;cs=160IvwSBvP1tGlIOoBGQhPT6PT7M" TargetMode="External"/><Relationship Id="rId99" Type="http://schemas.openxmlformats.org/officeDocument/2006/relationships/hyperlink" Target="https://portal.tce.rs.gov.br/aplicprod/f?p=50500:10:::NO:10:P10_ID_LICITACAO,P10_PAG_RETORNO:1308852,19&amp;cs=1ZAsDcPITd_k7lKbNDeSkgjBZsw8" TargetMode="External"/><Relationship Id="rId101" Type="http://schemas.openxmlformats.org/officeDocument/2006/relationships/hyperlink" Target="https://www.construirfacil.com.br/saco-de-rafia-75x55-cm/prod-10295631/?srsltid=AfmBOoqtIJoyyRmCWBCDoXBBBeeC8h2tU522R8XJm9rg-Mx-axw8FeFBWLE" TargetMode="External"/><Relationship Id="rId122" Type="http://schemas.openxmlformats.org/officeDocument/2006/relationships/hyperlink" Target="https://portal.tce.rs.gov.br/aplicprod/f?p=50500:10:::NO:10:P10_ID_LICITACAO,P10_PAG_RETORNO:1282476,19&amp;cs=1OEUsuwwARtN763ZtvLTfSHLeP2M" TargetMode="External"/><Relationship Id="rId143" Type="http://schemas.openxmlformats.org/officeDocument/2006/relationships/hyperlink" Target="https://www.ciapneus.com.br/pneu-155r12c-aro-12-sunset-over-cargo-b3-8pr-88-86q?utm_source=google&amp;utm_medium=Shopping&amp;utm_campaign=pneu-155r12c-aro-12-sunset-over-cargo-b3-8pr-88-86q&amp;inStock&amp;gad_source=4&amp;gbraid=0AAAAAqbJaNqijh36yWhhhIGs9aK5ETXbT&amp;gclid=Cj0" TargetMode="External"/><Relationship Id="rId148" Type="http://schemas.openxmlformats.org/officeDocument/2006/relationships/hyperlink" Target="https://www.dpaschoal.com.br/oleo-lubrificante-do-motor-ursa-premium-15w40-tds-ci-sae-20l/p?idsku=7536224&amp;gad_source=4&amp;gclid=Cj0KCQjw2N2_BhCAARIsAK4pEkWOlxF4pwWV8bhwwpVkoYj5Kwqbh2KBhveHV2TCQO5i-o2oQNstaHsaAh7uEALw_wcB" TargetMode="External"/><Relationship Id="rId164" Type="http://schemas.openxmlformats.org/officeDocument/2006/relationships/hyperlink" Target="https://portal.tce.rs.gov.br/aplicprod/f?p=50500:10:::NO:10:P10_ID_LICITACAO,P10_PAG_RETORNO:1320595,19&amp;cs=12IjK_WmlcKUIfe6Bpg7aaZMuBPk" TargetMode="External"/><Relationship Id="rId169" Type="http://schemas.openxmlformats.org/officeDocument/2006/relationships/hyperlink" Target="https://portal.tce.rs.gov.br/aplicprod/f?p=50500:10:::NO:10:P10_ID_LICITACAO,P10_PAG_RETORNO:1234814,19&amp;cs=18MyzUqHCmEjc6wZ0fsnJ46C9mtw" TargetMode="External"/><Relationship Id="rId4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9" Type="http://schemas.openxmlformats.org/officeDocument/2006/relationships/hyperlink" Target="https://hddistribuidora.com/produto/saco-lixo-100-l-amar-75x090/" TargetMode="External"/><Relationship Id="rId26" Type="http://schemas.openxmlformats.org/officeDocument/2006/relationships/hyperlink" Target="https://www.lfmaquinaseferramentas.com.br/botina-de-seguranca-elastico-com-bico-de-aco-marluvas-preta/p?idsku=126195&amp;gad_source=1&amp;gclid=Cj0KCQjw782_BhDjARIsABTv_JA4zgTR0s9xuXNb4_cn0tSclDGedbKiHDOY1zIts1AGqfJYCKKKoFAaAsrQEALw_wcB" TargetMode="External"/><Relationship Id="rId47" Type="http://schemas.openxmlformats.org/officeDocument/2006/relationships/hyperlink" Target="https://portal.tce.rs.gov.br/aplicprod/f?p=50500:10:::NO:10:P10_ID_LICITACAO,P10_PAG_RETORNO:1194182,19&amp;cs=1HDWBr13kbCxXzDSKUGagSZ43lEM" TargetMode="External"/><Relationship Id="rId68" Type="http://schemas.openxmlformats.org/officeDocument/2006/relationships/hyperlink" Target="https://www.extinsolda.com.br/luva-1012-rubber-super-safety-ca-34370-tamanho-10-83477-1" TargetMode="External"/><Relationship Id="rId89" Type="http://schemas.openxmlformats.org/officeDocument/2006/relationships/hyperlink" Target="https://www.maravilhasdolar.com/pa-para-lixo-de-plastico-com-cabo-nitron-34067-p4840?v=4841" TargetMode="External"/><Relationship Id="rId112" Type="http://schemas.openxmlformats.org/officeDocument/2006/relationships/hyperlink" Target="https://www.jaledistribuidora.com.br/utilidades/vassouras/vassoura-nylon-clean-sem-cabo?gad_source=4&amp;gbraid=0AAAAABQgY1a9mZhOnUCIsSMKKwK92YHvy&amp;gclid=Cj0KCQjw_JzABhC2ARIsAPe3ynr_f670IIYBwhx_9T0r53ke93iiHtZpPJGnMBTxD8mt-Kyg8pR-ufgaAhQvEALw_wcB" TargetMode="External"/><Relationship Id="rId133" Type="http://schemas.openxmlformats.org/officeDocument/2006/relationships/hyperlink" Target="https://www.pneubest.com.br/produto/pneu-xbri-215-75r17-5-ecoway-liso?utm_source=Google%20Shopping&amp;utm_medium=Google%20Shopping&amp;utm_campaign=Google%20Shopping&amp;gad_source=4&amp;gad_campaignid=17338707013&amp;gbraid=0AAAAADNIR5Io5Sl2_yJMhYkmrsFvMP9uh&amp;gclid=CjwKCAjw" TargetMode="External"/><Relationship Id="rId154" Type="http://schemas.openxmlformats.org/officeDocument/2006/relationships/hyperlink" Target="https://www.ciadiesel.com.br/filtro-e-lubrificante/varetas-de-nivel-de-oleo-de-motor-para-veiculos/oleo-75w90-meritor-sintetico-api-gl5-cambio-eixo-diferencial?srsltid=AfmBOorPA_CPofn254WxBgRdjGEO1PR7XqHQWYqFT-1CW3UA7T_R5XyD" TargetMode="External"/><Relationship Id="rId175" Type="http://schemas.openxmlformats.org/officeDocument/2006/relationships/hyperlink" Target="https://portal.tce.rs.gov.br/aplicprod/f?p=50500:10:::NO:10:P10_ID_LICITACAO,P10_PAG_RETORNO:1326519,19&amp;cs=1AWwTEk0IjfWkkn5o9_hE1AzaZ08" TargetMode="External"/><Relationship Id="rId16" Type="http://schemas.openxmlformats.org/officeDocument/2006/relationships/hyperlink" Target="https://portal.tce.rs.gov.br/aplicprod/f?p=50500:10:::NO:10:P10_ID_LICITACAO,P10_PAG_RETORNO:1217097,19&amp;cs=1gtVteT78jVPq_SD_-cIFw9y7kQY" TargetMode="External"/><Relationship Id="rId37" Type="http://schemas.openxmlformats.org/officeDocument/2006/relationships/hyperlink" Target="https://portal.tce.rs.gov.br/aplicprod/f?p=50500:10:::NO:10:P10_ID_LICITACAO,P10_PAG_RETORNO:1310262,19&amp;cs=1C9zEN0ODQ6_xuc2o5aAqwyDHvt0" TargetMode="External"/><Relationship Id="rId58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79" Type="http://schemas.openxmlformats.org/officeDocument/2006/relationships/hyperlink" Target="https://portal.tce.rs.gov.br/aplicprod/f?p=50500:10:::NO:10:P10_ID_LICITACAO,P10_PAG_RETORNO:1220422,19&amp;cs=1gdE7VA84mJVwOfSiFyWPYn6TpAg" TargetMode="External"/><Relationship Id="rId102" Type="http://schemas.openxmlformats.org/officeDocument/2006/relationships/hyperlink" Target="https://www.catizani.com.br/ferramentas/acessorios-de-limpeza/saco-linhagem-para-entulho-pr-16235-4085-p3679?srsltid=AfmBOoo6ZLuEC2Ph_uXggTP2Y5w_U_NQdIqNUfmFgtmQmc543NvwM3i-y-E" TargetMode="External"/><Relationship Id="rId123" Type="http://schemas.openxmlformats.org/officeDocument/2006/relationships/hyperlink" Target="https://www.tramontina.com.br/veiculo-utilitario-eletrico-tramontina-elettro-320ce-cesto-grande/79966440.html" TargetMode="External"/><Relationship Id="rId144" Type="http://schemas.openxmlformats.org/officeDocument/2006/relationships/hyperlink" Target="https://www.geniopecas.com.br/oleo-motor-shell-helix-ultra-ect-c2-5w30-100-sintetico-1-lt?utm_source=Site&amp;utm_medium=GoogleMerchant&amp;utm_campaign=GoogleMerchant&amp;srsltid=AfmBOoqlxdZnU32M8PzHGkicM4TsjO8-4W8sMb4Db88CyaWcjYyoRSejusw" TargetMode="External"/><Relationship Id="rId90" Type="http://schemas.openxmlformats.org/officeDocument/2006/relationships/hyperlink" Target="https://www.artlimpbrasil.com.br/pa-de-lixo-com-cabo-longo-64-cm.html?srsltid=AfmBOormZlrLqSfS85XNMq6nyWyXaeZQApKO6HtWXhx6B9J_1LEoS46B" TargetMode="External"/><Relationship Id="rId165" Type="http://schemas.openxmlformats.org/officeDocument/2006/relationships/hyperlink" Target="https://portal.tce.rs.gov.br/aplicprod/f?p=50500:10:::NO:10:P10_ID_LICITACAO,P10_PAG_RETORNO:1305168,19&amp;cs=1HqIuT3aMjwjt8LLc0HVh-hDg1d0" TargetMode="External"/><Relationship Id="rId27" Type="http://schemas.openxmlformats.org/officeDocument/2006/relationships/hyperlink" Target="https://www.astrodistribuidora.com/botina-bidensidade-com-bico-de-aco-11sfb48a-safety-flex-marluvas-ca-43409?srsltid=AfmBOoq55l-a50wF0iGHidg-KSAofrCuy4OHZBapufEdmwwrQPbaJpQy" TargetMode="External"/><Relationship Id="rId48" Type="http://schemas.openxmlformats.org/officeDocument/2006/relationships/hyperlink" Target="https://portal.tce.rs.gov.br/aplicprod/f?p=50500:10:::NO:10:P10_ID_LICITACAO,P10_PAG_RETORNO:1331336,19&amp;cs=1mkmhFvYn8ABG7SjJ3r6n5xnVwEQ" TargetMode="External"/><Relationship Id="rId69" Type="http://schemas.openxmlformats.org/officeDocument/2006/relationships/hyperlink" Target="https://normatecepi.com.br/produto/luva-rubber-ca-34370" TargetMode="External"/><Relationship Id="rId113" Type="http://schemas.openxmlformats.org/officeDocument/2006/relationships/hyperlink" Target="https://www.maravilhasdolar.com/vassoura-novica-original-bettanin-6467-p18065?tsid=16&amp;gad_source=4&amp;gbraid=0AAAAADn66GkKpD69nEfKGCVU2Lmi69PJH&amp;gclid=Cj0KCQjw_JzABhC2ARIsAPe3ynqrAnBVipm6F1dwA6pF7LfL1pNrnRhoEXtJrlLBL6gb8p8oDIy7OB4aAsIjEALw_wcB" TargetMode="External"/><Relationship Id="rId134" Type="http://schemas.openxmlformats.org/officeDocument/2006/relationships/hyperlink" Target="https://www.pneufree.com.br/pneu/pneu-215-75r17-5-16-lonas-135-133l-rh621-roadx" TargetMode="External"/><Relationship Id="rId80" Type="http://schemas.openxmlformats.org/officeDocument/2006/relationships/hyperlink" Target="https://www.futfanatics.com.br/meiao-umbro-classic-branco?parceiro=2934&amp;variant_id=1665189" TargetMode="External"/><Relationship Id="rId155" Type="http://schemas.openxmlformats.org/officeDocument/2006/relationships/hyperlink" Target="https://www.dfautopecas.com.br/geral/oleo-cambio-sintetico-toyota-hilux-3-0-diferencial-ranger-volkswagem-caminhao-onibus-com-cambio?srsltid=AfmBOopSP2AK3SMVVXwS_AYAwUjBOacop3dTh6EnaBvgi-bMl7KuVWcF" TargetMode="External"/><Relationship Id="rId176" Type="http://schemas.openxmlformats.org/officeDocument/2006/relationships/hyperlink" Target="https://portal.tce.rs.gov.br/aplicprod/f?p=50500:10:::NO:10:P10_ID_LICITACAO,P10_PAG_RETORNO:1320036,19&amp;cs=1whJ-HOzEWIFp-1LC2Sv6GrdhbLI" TargetMode="External"/><Relationship Id="rId17" Type="http://schemas.openxmlformats.org/officeDocument/2006/relationships/hyperlink" Target="https://portal.tce.rs.gov.br/aplicprod/f?p=50500:10:::NO:10:P10_ID_LICITACAO,P10_PAG_RETORNO:1264560,19&amp;cs=1jL9BcTxiRESaf9PJ7rHCPKfv1Aw" TargetMode="External"/><Relationship Id="rId38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59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103" Type="http://schemas.openxmlformats.org/officeDocument/2006/relationships/hyperlink" Target="https://www.higienize.com/epi/sapato-de-protecao-de-amarrar-certificacao-ca-4642?srsltid=AfmBOortOG8bUaXsMcMj7ajg-DYysTYguOjgBjAJSD1KTMDm4xQaAWcF" TargetMode="External"/><Relationship Id="rId124" Type="http://schemas.openxmlformats.org/officeDocument/2006/relationships/hyperlink" Target="https://loja.powerbear.com.br/produto/contentor-de-lixo-de-1000-litros-jsn/" TargetMode="External"/><Relationship Id="rId70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91" Type="http://schemas.openxmlformats.org/officeDocument/2006/relationships/hyperlink" Target="https://portal.tce.rs.gov.br/aplicprod/f?p=50500:10:::NO:10:P10_ID_LICITACAO,P10_PAG_RETORNO:1147309,19&amp;cs=183ynjrnPGbJHxLWuifvMOARXJlg" TargetMode="External"/><Relationship Id="rId145" Type="http://schemas.openxmlformats.org/officeDocument/2006/relationships/hyperlink" Target="https://www.fastcarbrasil.com.br/oleo-de-motor-original-ford-motorcraft-5w30-100-sintetico" TargetMode="External"/><Relationship Id="rId166" Type="http://schemas.openxmlformats.org/officeDocument/2006/relationships/hyperlink" Target="https://portal.tce.rs.gov.br/aplicprod/f?p=50500:10:::NO:10:P10_ID_LICITACAO,P10_PAG_RETORNO,F50500_CD_ORGAO:1246651,14,59900&amp;cs=1np937mukNByW_SXT6Qfz8BkonuM" TargetMode="External"/><Relationship Id="rId1" Type="http://schemas.openxmlformats.org/officeDocument/2006/relationships/hyperlink" Target="https://portal.tce.rs.gov.br/aplicprod/f?p=50500:10:::NO:10:P10_ID_LICITACAO,P10_PAG_RETORNO:1263893,19&amp;cs=11tjJ1NVinTMtpTcyR73BcoPua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1000"/>
  <sheetViews>
    <sheetView showGridLines="0" tabSelected="1" workbookViewId="0">
      <selection activeCell="D23" sqref="D23"/>
    </sheetView>
  </sheetViews>
  <sheetFormatPr defaultColWidth="14.42578125" defaultRowHeight="15" customHeight="1" x14ac:dyDescent="0.25"/>
  <cols>
    <col min="1" max="1" width="8.5703125" customWidth="1"/>
    <col min="2" max="2" width="10.140625" customWidth="1"/>
    <col min="3" max="3" width="8.7109375" customWidth="1"/>
    <col min="4" max="4" width="40.7109375" customWidth="1"/>
    <col min="5" max="5" width="19.5703125" customWidth="1"/>
    <col min="6" max="6" width="13.140625" customWidth="1"/>
    <col min="7" max="7" width="14.28515625" customWidth="1"/>
    <col min="8" max="8" width="15.140625" customWidth="1"/>
    <col min="9" max="9" width="16.42578125" customWidth="1"/>
    <col min="10" max="10" width="8.7109375" customWidth="1"/>
    <col min="11" max="11" width="15.42578125" customWidth="1"/>
    <col min="12" max="16" width="8.7109375" customWidth="1"/>
    <col min="17" max="17" width="11.5703125" customWidth="1"/>
    <col min="18" max="26" width="8.7109375" customWidth="1"/>
  </cols>
  <sheetData>
    <row r="2" spans="1:11" ht="15.75" x14ac:dyDescent="0.25">
      <c r="A2" s="1"/>
      <c r="B2" s="531" t="s">
        <v>0</v>
      </c>
      <c r="C2" s="532"/>
      <c r="D2" s="532"/>
      <c r="E2" s="532"/>
      <c r="F2" s="532"/>
      <c r="G2" s="532"/>
      <c r="H2" s="532"/>
      <c r="I2" s="533"/>
    </row>
    <row r="3" spans="1:11" x14ac:dyDescent="0.25">
      <c r="B3" s="534"/>
      <c r="C3" s="535"/>
      <c r="D3" s="535"/>
      <c r="E3" s="535"/>
      <c r="F3" s="535"/>
      <c r="G3" s="535"/>
      <c r="H3" s="535"/>
      <c r="I3" s="535"/>
    </row>
    <row r="4" spans="1:11" ht="60.75" customHeight="1" x14ac:dyDescent="0.25">
      <c r="B4" s="2" t="s">
        <v>1</v>
      </c>
      <c r="C4" s="536" t="s">
        <v>2</v>
      </c>
      <c r="D4" s="537"/>
      <c r="E4" s="538"/>
      <c r="F4" s="539" t="s">
        <v>3</v>
      </c>
      <c r="G4" s="538"/>
      <c r="H4" s="540" t="s">
        <v>4</v>
      </c>
      <c r="I4" s="538"/>
    </row>
    <row r="5" spans="1:11" x14ac:dyDescent="0.25">
      <c r="B5" s="541"/>
      <c r="C5" s="542"/>
      <c r="D5" s="542"/>
      <c r="E5" s="542"/>
      <c r="F5" s="542"/>
      <c r="G5" s="542"/>
      <c r="H5" s="542"/>
      <c r="I5" s="542"/>
    </row>
    <row r="6" spans="1:11" x14ac:dyDescent="0.25">
      <c r="B6" s="543"/>
      <c r="C6" s="544"/>
      <c r="D6" s="544"/>
      <c r="E6" s="544"/>
      <c r="F6" s="544"/>
      <c r="G6" s="544"/>
      <c r="H6" s="544"/>
      <c r="I6" s="544"/>
    </row>
    <row r="7" spans="1:11" x14ac:dyDescent="0.25">
      <c r="B7" s="551" t="s">
        <v>5</v>
      </c>
      <c r="C7" s="537"/>
      <c r="D7" s="537"/>
      <c r="E7" s="537"/>
      <c r="F7" s="537"/>
      <c r="G7" s="537"/>
      <c r="H7" s="537"/>
      <c r="I7" s="538"/>
    </row>
    <row r="8" spans="1:11" x14ac:dyDescent="0.25">
      <c r="B8" s="3" t="s">
        <v>6</v>
      </c>
      <c r="C8" s="545" t="s">
        <v>7</v>
      </c>
      <c r="D8" s="537"/>
      <c r="E8" s="537"/>
      <c r="F8" s="537"/>
      <c r="G8" s="538"/>
      <c r="H8" s="546" t="s">
        <v>8</v>
      </c>
      <c r="I8" s="538"/>
    </row>
    <row r="9" spans="1:11" x14ac:dyDescent="0.25">
      <c r="B9" s="3" t="s">
        <v>9</v>
      </c>
      <c r="C9" s="545" t="s">
        <v>10</v>
      </c>
      <c r="D9" s="537"/>
      <c r="E9" s="537"/>
      <c r="F9" s="537"/>
      <c r="G9" s="538"/>
      <c r="H9" s="546" t="s">
        <v>11</v>
      </c>
      <c r="I9" s="538"/>
    </row>
    <row r="10" spans="1:11" x14ac:dyDescent="0.25">
      <c r="B10" s="3" t="s">
        <v>12</v>
      </c>
      <c r="C10" s="545" t="s">
        <v>13</v>
      </c>
      <c r="D10" s="537"/>
      <c r="E10" s="537"/>
      <c r="F10" s="537"/>
      <c r="G10" s="538"/>
      <c r="H10" s="546" t="s">
        <v>14</v>
      </c>
      <c r="I10" s="538"/>
    </row>
    <row r="11" spans="1:11" x14ac:dyDescent="0.25">
      <c r="B11" s="3" t="s">
        <v>15</v>
      </c>
      <c r="C11" s="545" t="s">
        <v>16</v>
      </c>
      <c r="D11" s="537"/>
      <c r="E11" s="537"/>
      <c r="F11" s="537"/>
      <c r="G11" s="538"/>
      <c r="H11" s="546">
        <v>6</v>
      </c>
      <c r="I11" s="538"/>
    </row>
    <row r="12" spans="1:11" x14ac:dyDescent="0.25">
      <c r="B12" s="3" t="s">
        <v>17</v>
      </c>
      <c r="C12" s="545" t="s">
        <v>18</v>
      </c>
      <c r="D12" s="537"/>
      <c r="E12" s="537"/>
      <c r="F12" s="537"/>
      <c r="G12" s="538"/>
      <c r="H12" s="547">
        <f>I20</f>
        <v>15318251.585039411</v>
      </c>
      <c r="I12" s="538"/>
    </row>
    <row r="13" spans="1:11" x14ac:dyDescent="0.25">
      <c r="B13" s="541"/>
      <c r="C13" s="542"/>
      <c r="D13" s="542"/>
      <c r="E13" s="542"/>
      <c r="F13" s="542"/>
      <c r="G13" s="542"/>
      <c r="H13" s="542"/>
      <c r="I13" s="542"/>
    </row>
    <row r="14" spans="1:11" x14ac:dyDescent="0.25">
      <c r="B14" s="543"/>
      <c r="C14" s="544"/>
      <c r="D14" s="544"/>
      <c r="E14" s="544"/>
      <c r="F14" s="544"/>
      <c r="G14" s="544"/>
      <c r="H14" s="544"/>
      <c r="I14" s="544"/>
    </row>
    <row r="15" spans="1:11" ht="45" x14ac:dyDescent="0.25">
      <c r="B15" s="820" t="s">
        <v>20</v>
      </c>
      <c r="C15" s="821"/>
      <c r="D15" s="9" t="s">
        <v>21</v>
      </c>
      <c r="E15" s="11" t="s">
        <v>22</v>
      </c>
      <c r="F15" s="9" t="s">
        <v>23</v>
      </c>
      <c r="G15" s="11" t="s">
        <v>24</v>
      </c>
      <c r="H15" s="11" t="s">
        <v>25</v>
      </c>
      <c r="I15" s="11" t="s">
        <v>26</v>
      </c>
    </row>
    <row r="16" spans="1:11" ht="30" x14ac:dyDescent="0.25">
      <c r="B16" s="824">
        <v>1</v>
      </c>
      <c r="C16" s="824"/>
      <c r="D16" s="819" t="s">
        <v>28</v>
      </c>
      <c r="E16" s="15">
        <v>4800</v>
      </c>
      <c r="F16" s="14" t="s">
        <v>30</v>
      </c>
      <c r="G16" s="16">
        <f t="shared" ref="G16:G19" si="0">H16/E16</f>
        <v>257.50684290469314</v>
      </c>
      <c r="H16" s="16">
        <f>'OK 2.1 - COLETA RSD'!K22</f>
        <v>1236032.8459425271</v>
      </c>
      <c r="I16" s="16">
        <f t="shared" ref="I16:I19" si="1">H16*6</f>
        <v>7416197.0756551623</v>
      </c>
      <c r="K16" s="21"/>
    </row>
    <row r="17" spans="2:18" ht="30" x14ac:dyDescent="0.25">
      <c r="B17" s="824">
        <v>2</v>
      </c>
      <c r="C17" s="824"/>
      <c r="D17" s="819" t="s">
        <v>37</v>
      </c>
      <c r="E17" s="15">
        <v>850</v>
      </c>
      <c r="F17" s="14" t="s">
        <v>38</v>
      </c>
      <c r="G17" s="16">
        <f t="shared" si="0"/>
        <v>888.77447863803434</v>
      </c>
      <c r="H17" s="16">
        <f>'OK 3.1 - COLETA CONTEIN.'!K23</f>
        <v>755458.30684232921</v>
      </c>
      <c r="I17" s="16">
        <f t="shared" si="1"/>
        <v>4532749.8410539757</v>
      </c>
      <c r="K17" s="27"/>
    </row>
    <row r="18" spans="2:18" ht="30" x14ac:dyDescent="0.25">
      <c r="B18" s="824">
        <v>3</v>
      </c>
      <c r="C18" s="824"/>
      <c r="D18" s="819" t="s">
        <v>44</v>
      </c>
      <c r="E18" s="15">
        <v>7</v>
      </c>
      <c r="F18" s="14" t="s">
        <v>45</v>
      </c>
      <c r="G18" s="16">
        <f t="shared" si="0"/>
        <v>71071.867949291583</v>
      </c>
      <c r="H18" s="16">
        <f>'OK 4.1 - COLETA SELETIVA'!K19</f>
        <v>497503.07564504107</v>
      </c>
      <c r="I18" s="16">
        <f t="shared" si="1"/>
        <v>2985018.4538702462</v>
      </c>
      <c r="K18" s="21"/>
      <c r="P18" s="29"/>
    </row>
    <row r="19" spans="2:18" ht="30" x14ac:dyDescent="0.25">
      <c r="B19" s="824">
        <v>4</v>
      </c>
      <c r="C19" s="824"/>
      <c r="D19" s="819" t="s">
        <v>46</v>
      </c>
      <c r="E19" s="15">
        <v>1</v>
      </c>
      <c r="F19" s="14" t="s">
        <v>48</v>
      </c>
      <c r="G19" s="16">
        <f t="shared" si="0"/>
        <v>64047.702410004451</v>
      </c>
      <c r="H19" s="16">
        <f>'OK 5.1 - COLETA ÓLEOS'!K18</f>
        <v>64047.702410004451</v>
      </c>
      <c r="I19" s="16">
        <f t="shared" si="1"/>
        <v>384286.21446002671</v>
      </c>
      <c r="K19" s="21"/>
      <c r="P19" s="29"/>
    </row>
    <row r="20" spans="2:18" x14ac:dyDescent="0.25">
      <c r="B20" s="822" t="s">
        <v>50</v>
      </c>
      <c r="C20" s="823"/>
      <c r="D20" s="537"/>
      <c r="E20" s="537"/>
      <c r="F20" s="537"/>
      <c r="G20" s="538"/>
      <c r="H20" s="35">
        <f t="shared" ref="H20:I20" si="2">SUM(H16:H19)</f>
        <v>2553041.9308399018</v>
      </c>
      <c r="I20" s="37">
        <f t="shared" si="2"/>
        <v>15318251.585039411</v>
      </c>
      <c r="K20" s="21"/>
      <c r="P20" s="29"/>
    </row>
    <row r="21" spans="2:18" ht="15.75" customHeight="1" x14ac:dyDescent="0.25">
      <c r="E21" s="38"/>
      <c r="P21" s="29"/>
    </row>
    <row r="22" spans="2:18" ht="15.75" customHeight="1" x14ac:dyDescent="0.25">
      <c r="E22" s="38"/>
      <c r="G22" s="39"/>
      <c r="H22" s="40"/>
      <c r="I22" s="40"/>
      <c r="P22" s="29"/>
    </row>
    <row r="23" spans="2:18" ht="15.75" customHeight="1" x14ac:dyDescent="0.25">
      <c r="E23" s="38"/>
      <c r="G23" s="39"/>
      <c r="H23" s="40"/>
      <c r="I23" s="21"/>
      <c r="P23" s="29"/>
    </row>
    <row r="24" spans="2:18" ht="15.75" customHeight="1" x14ac:dyDescent="0.25">
      <c r="E24" s="38"/>
      <c r="P24" s="29"/>
      <c r="R24" s="29"/>
    </row>
    <row r="25" spans="2:18" ht="15.75" customHeight="1" x14ac:dyDescent="0.25">
      <c r="E25" s="38"/>
      <c r="R25" s="29"/>
    </row>
    <row r="26" spans="2:18" ht="15.75" customHeight="1" x14ac:dyDescent="0.25">
      <c r="R26" s="29"/>
    </row>
    <row r="27" spans="2:18" ht="15.75" customHeight="1" x14ac:dyDescent="0.25"/>
    <row r="28" spans="2:18" ht="15.75" customHeight="1" x14ac:dyDescent="0.25"/>
    <row r="29" spans="2:18" ht="15.75" customHeight="1" x14ac:dyDescent="0.25"/>
    <row r="30" spans="2:18" ht="15.75" customHeight="1" x14ac:dyDescent="0.25"/>
    <row r="31" spans="2:18" ht="15.75" customHeight="1" x14ac:dyDescent="0.25"/>
    <row r="32" spans="2:1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6">
    <mergeCell ref="B13:I13"/>
    <mergeCell ref="B14:I14"/>
    <mergeCell ref="B20:G20"/>
    <mergeCell ref="B7:I7"/>
    <mergeCell ref="C8:G8"/>
    <mergeCell ref="H8:I8"/>
    <mergeCell ref="C9:G9"/>
    <mergeCell ref="H9:I9"/>
    <mergeCell ref="C10:G10"/>
    <mergeCell ref="H10:I10"/>
    <mergeCell ref="B15:C15"/>
    <mergeCell ref="B16:C16"/>
    <mergeCell ref="B17:C17"/>
    <mergeCell ref="B18:C18"/>
    <mergeCell ref="B19:C19"/>
    <mergeCell ref="B5:I5"/>
    <mergeCell ref="B6:I6"/>
    <mergeCell ref="C11:G11"/>
    <mergeCell ref="H11:I11"/>
    <mergeCell ref="C12:G12"/>
    <mergeCell ref="H12:I12"/>
    <mergeCell ref="B2:I2"/>
    <mergeCell ref="B3:I3"/>
    <mergeCell ref="C4:E4"/>
    <mergeCell ref="F4:G4"/>
    <mergeCell ref="H4:I4"/>
  </mergeCells>
  <pageMargins left="0.51180555555555596" right="0.51180555555555596" top="0.78749999999999998" bottom="0.78749999999999998" header="0" footer="0"/>
  <pageSetup paperSize="9" scale="92" fitToHeight="0" orientation="landscape" r:id="rId1"/>
  <headerFooter>
    <oddFooter>&amp;R&amp;P de 45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000"/>
  <sheetViews>
    <sheetView showGridLines="0" workbookViewId="0"/>
  </sheetViews>
  <sheetFormatPr defaultColWidth="14.42578125" defaultRowHeight="15" customHeight="1" x14ac:dyDescent="0.25"/>
  <cols>
    <col min="1" max="1" width="26.7109375" customWidth="1"/>
    <col min="2" max="2" width="9.140625" customWidth="1"/>
    <col min="3" max="3" width="9" customWidth="1"/>
    <col min="4" max="4" width="8.7109375" customWidth="1"/>
    <col min="5" max="5" width="9.7109375" customWidth="1"/>
    <col min="6" max="6" width="12.85546875" customWidth="1"/>
    <col min="7" max="7" width="11.85546875" customWidth="1"/>
    <col min="8" max="8" width="13.42578125" customWidth="1"/>
    <col min="9" max="9" width="10" customWidth="1"/>
    <col min="10" max="10" width="9.85546875" customWidth="1"/>
    <col min="11" max="11" width="18.7109375" customWidth="1"/>
    <col min="12" max="12" width="38.7109375" customWidth="1"/>
    <col min="13" max="13" width="19.140625" customWidth="1"/>
    <col min="14" max="14" width="20.5703125" customWidth="1"/>
    <col min="15" max="17" width="8.7109375" customWidth="1"/>
    <col min="18" max="18" width="9.5703125" customWidth="1"/>
    <col min="19" max="19" width="10" customWidth="1"/>
    <col min="20" max="21" width="8.7109375" customWidth="1"/>
    <col min="22" max="22" width="9" customWidth="1"/>
    <col min="23" max="26" width="8.7109375" customWidth="1"/>
  </cols>
  <sheetData>
    <row r="1" spans="2:14" x14ac:dyDescent="0.25">
      <c r="K1" s="1"/>
      <c r="L1" s="6"/>
      <c r="M1" s="8"/>
    </row>
    <row r="2" spans="2:14" ht="15.75" x14ac:dyDescent="0.25">
      <c r="B2" s="531" t="s">
        <v>42</v>
      </c>
      <c r="C2" s="532"/>
      <c r="D2" s="532"/>
      <c r="E2" s="532"/>
      <c r="F2" s="532"/>
      <c r="G2" s="532"/>
      <c r="H2" s="532"/>
      <c r="I2" s="532"/>
      <c r="J2" s="532"/>
      <c r="K2" s="533"/>
      <c r="L2" s="12"/>
      <c r="M2" s="30"/>
    </row>
    <row r="3" spans="2:14" x14ac:dyDescent="0.25">
      <c r="K3" s="1"/>
      <c r="L3" s="6"/>
      <c r="M3" s="8"/>
    </row>
    <row r="4" spans="2:14" x14ac:dyDescent="0.25">
      <c r="B4" s="551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8"/>
    </row>
    <row r="5" spans="2:14" ht="33" customHeight="1" x14ac:dyDescent="0.25">
      <c r="B5" s="552" t="s">
        <v>31</v>
      </c>
      <c r="C5" s="537"/>
      <c r="D5" s="537"/>
      <c r="E5" s="537"/>
      <c r="F5" s="537"/>
      <c r="G5" s="538"/>
      <c r="H5" s="17" t="s">
        <v>32</v>
      </c>
      <c r="I5" s="553" t="s">
        <v>33</v>
      </c>
      <c r="J5" s="538"/>
      <c r="K5" s="18" t="s">
        <v>34</v>
      </c>
      <c r="L5" s="6"/>
      <c r="M5" s="8"/>
    </row>
    <row r="6" spans="2:14" x14ac:dyDescent="0.25">
      <c r="B6" s="19" t="s">
        <v>39</v>
      </c>
      <c r="C6" s="554" t="s">
        <v>40</v>
      </c>
      <c r="D6" s="537"/>
      <c r="E6" s="537"/>
      <c r="F6" s="537"/>
      <c r="G6" s="538"/>
      <c r="H6" s="41">
        <f>SUM(H7:H18)</f>
        <v>14</v>
      </c>
      <c r="I6" s="555"/>
      <c r="J6" s="538"/>
      <c r="K6" s="43">
        <f>SUM(K7:K18)</f>
        <v>102202.31778285671</v>
      </c>
      <c r="L6" s="6"/>
      <c r="M6" s="8"/>
    </row>
    <row r="7" spans="2:14" x14ac:dyDescent="0.25">
      <c r="B7" s="26" t="s">
        <v>53</v>
      </c>
      <c r="C7" s="545" t="s">
        <v>54</v>
      </c>
      <c r="D7" s="537"/>
      <c r="E7" s="537"/>
      <c r="F7" s="537"/>
      <c r="G7" s="538"/>
      <c r="H7" s="14">
        <v>1</v>
      </c>
      <c r="I7" s="556">
        <f>K48</f>
        <v>12578.929312692355</v>
      </c>
      <c r="J7" s="538"/>
      <c r="K7" s="44">
        <f t="shared" ref="K7:K18" si="0">I7*H7</f>
        <v>12578.929312692355</v>
      </c>
      <c r="L7" s="6"/>
      <c r="M7" s="8"/>
    </row>
    <row r="8" spans="2:14" x14ac:dyDescent="0.25">
      <c r="B8" s="26" t="s">
        <v>59</v>
      </c>
      <c r="C8" s="545" t="s">
        <v>60</v>
      </c>
      <c r="D8" s="537"/>
      <c r="E8" s="537"/>
      <c r="F8" s="537"/>
      <c r="G8" s="538"/>
      <c r="H8" s="14">
        <v>1</v>
      </c>
      <c r="I8" s="556">
        <f>K69</f>
        <v>10130.565976910362</v>
      </c>
      <c r="J8" s="538"/>
      <c r="K8" s="44">
        <f t="shared" si="0"/>
        <v>10130.565976910362</v>
      </c>
      <c r="L8" s="6"/>
      <c r="M8" s="8"/>
    </row>
    <row r="9" spans="2:14" x14ac:dyDescent="0.25">
      <c r="B9" s="26" t="s">
        <v>63</v>
      </c>
      <c r="C9" s="545" t="s">
        <v>64</v>
      </c>
      <c r="D9" s="537"/>
      <c r="E9" s="537"/>
      <c r="F9" s="537"/>
      <c r="G9" s="538"/>
      <c r="H9" s="14">
        <v>1</v>
      </c>
      <c r="I9" s="556">
        <f>K94</f>
        <v>11102.637751129234</v>
      </c>
      <c r="J9" s="538"/>
      <c r="K9" s="44">
        <f t="shared" si="0"/>
        <v>11102.637751129234</v>
      </c>
      <c r="L9" s="6"/>
      <c r="M9" s="8"/>
    </row>
    <row r="10" spans="2:14" x14ac:dyDescent="0.25">
      <c r="B10" s="26" t="s">
        <v>67</v>
      </c>
      <c r="C10" s="545" t="s">
        <v>68</v>
      </c>
      <c r="D10" s="537"/>
      <c r="E10" s="537"/>
      <c r="F10" s="537"/>
      <c r="G10" s="538"/>
      <c r="H10" s="14">
        <v>1</v>
      </c>
      <c r="I10" s="556">
        <f>K113</f>
        <v>5130.0715059133481</v>
      </c>
      <c r="J10" s="538"/>
      <c r="K10" s="44">
        <f t="shared" si="0"/>
        <v>5130.0715059133481</v>
      </c>
      <c r="L10" s="6"/>
      <c r="M10" s="8"/>
      <c r="N10" s="39"/>
    </row>
    <row r="11" spans="2:14" x14ac:dyDescent="0.25">
      <c r="B11" s="26" t="s">
        <v>71</v>
      </c>
      <c r="C11" s="545" t="s">
        <v>77</v>
      </c>
      <c r="D11" s="537"/>
      <c r="E11" s="537"/>
      <c r="F11" s="537"/>
      <c r="G11" s="538"/>
      <c r="H11" s="14">
        <v>1</v>
      </c>
      <c r="I11" s="556">
        <f>K134</f>
        <v>6496.322753689923</v>
      </c>
      <c r="J11" s="538"/>
      <c r="K11" s="44">
        <f t="shared" si="0"/>
        <v>6496.322753689923</v>
      </c>
      <c r="L11" s="6"/>
      <c r="M11" s="8"/>
    </row>
    <row r="12" spans="2:14" x14ac:dyDescent="0.25">
      <c r="B12" s="26" t="s">
        <v>75</v>
      </c>
      <c r="C12" s="545" t="s">
        <v>80</v>
      </c>
      <c r="D12" s="537"/>
      <c r="E12" s="537"/>
      <c r="F12" s="537"/>
      <c r="G12" s="538"/>
      <c r="H12" s="14">
        <v>1</v>
      </c>
      <c r="I12" s="556">
        <f>K159</f>
        <v>7070.7016115313463</v>
      </c>
      <c r="J12" s="538"/>
      <c r="K12" s="44">
        <f t="shared" si="0"/>
        <v>7070.7016115313463</v>
      </c>
      <c r="L12" s="6"/>
      <c r="M12" s="8"/>
    </row>
    <row r="13" spans="2:14" x14ac:dyDescent="0.25">
      <c r="B13" s="26" t="s">
        <v>81</v>
      </c>
      <c r="C13" s="545" t="s">
        <v>85</v>
      </c>
      <c r="D13" s="537"/>
      <c r="E13" s="537"/>
      <c r="F13" s="537"/>
      <c r="G13" s="538"/>
      <c r="H13" s="14">
        <v>1</v>
      </c>
      <c r="I13" s="556">
        <f>K180</f>
        <v>5926.7079345371476</v>
      </c>
      <c r="J13" s="538"/>
      <c r="K13" s="44">
        <f t="shared" si="0"/>
        <v>5926.7079345371476</v>
      </c>
      <c r="L13" s="6"/>
      <c r="M13" s="8"/>
    </row>
    <row r="14" spans="2:14" x14ac:dyDescent="0.25">
      <c r="B14" s="26" t="s">
        <v>86</v>
      </c>
      <c r="C14" s="545" t="s">
        <v>89</v>
      </c>
      <c r="D14" s="537"/>
      <c r="E14" s="537"/>
      <c r="F14" s="537"/>
      <c r="G14" s="538"/>
      <c r="H14" s="3">
        <v>1</v>
      </c>
      <c r="I14" s="557">
        <f>K205</f>
        <v>6591.8172284100037</v>
      </c>
      <c r="J14" s="538"/>
      <c r="K14" s="49">
        <f t="shared" si="0"/>
        <v>6591.8172284100037</v>
      </c>
      <c r="L14" s="6"/>
      <c r="M14" s="8"/>
    </row>
    <row r="15" spans="2:14" x14ac:dyDescent="0.25">
      <c r="B15" s="26" t="s">
        <v>88</v>
      </c>
      <c r="C15" s="545" t="s">
        <v>90</v>
      </c>
      <c r="D15" s="537"/>
      <c r="E15" s="537"/>
      <c r="F15" s="537"/>
      <c r="G15" s="538"/>
      <c r="H15" s="14">
        <v>1</v>
      </c>
      <c r="I15" s="556">
        <f>K227</f>
        <v>5684.6895066241468</v>
      </c>
      <c r="J15" s="538"/>
      <c r="K15" s="44">
        <f t="shared" si="0"/>
        <v>5684.6895066241468</v>
      </c>
      <c r="L15" s="6"/>
      <c r="M15" s="8"/>
    </row>
    <row r="16" spans="2:14" x14ac:dyDescent="0.25">
      <c r="B16" s="26" t="s">
        <v>93</v>
      </c>
      <c r="C16" s="545" t="s">
        <v>94</v>
      </c>
      <c r="D16" s="537"/>
      <c r="E16" s="537"/>
      <c r="F16" s="537"/>
      <c r="G16" s="538"/>
      <c r="H16" s="14">
        <v>1</v>
      </c>
      <c r="I16" s="556">
        <f>K249</f>
        <v>5684.6895066241468</v>
      </c>
      <c r="J16" s="538"/>
      <c r="K16" s="44">
        <f t="shared" si="0"/>
        <v>5684.6895066241468</v>
      </c>
      <c r="L16" s="6"/>
      <c r="M16" s="8"/>
    </row>
    <row r="17" spans="2:14" x14ac:dyDescent="0.25">
      <c r="B17" s="26" t="s">
        <v>97</v>
      </c>
      <c r="C17" s="559" t="s">
        <v>100</v>
      </c>
      <c r="D17" s="537"/>
      <c r="E17" s="537"/>
      <c r="F17" s="537"/>
      <c r="G17" s="538"/>
      <c r="H17" s="14">
        <v>2</v>
      </c>
      <c r="I17" s="556">
        <f>K271</f>
        <v>6121.6611467860021</v>
      </c>
      <c r="J17" s="538"/>
      <c r="K17" s="44">
        <f t="shared" si="0"/>
        <v>12243.322293572004</v>
      </c>
      <c r="L17" s="6"/>
      <c r="M17" s="8"/>
    </row>
    <row r="18" spans="2:14" x14ac:dyDescent="0.25">
      <c r="B18" s="26" t="s">
        <v>103</v>
      </c>
      <c r="C18" s="559" t="s">
        <v>104</v>
      </c>
      <c r="D18" s="537"/>
      <c r="E18" s="537"/>
      <c r="F18" s="537"/>
      <c r="G18" s="538"/>
      <c r="H18" s="14">
        <v>2</v>
      </c>
      <c r="I18" s="556">
        <f>K297</f>
        <v>6780.931200611356</v>
      </c>
      <c r="J18" s="538"/>
      <c r="K18" s="44">
        <f t="shared" si="0"/>
        <v>13561.862401222712</v>
      </c>
      <c r="L18" s="6"/>
      <c r="M18" s="8"/>
    </row>
    <row r="19" spans="2:14" x14ac:dyDescent="0.25">
      <c r="B19" s="19" t="s">
        <v>106</v>
      </c>
      <c r="C19" s="555" t="s">
        <v>58</v>
      </c>
      <c r="D19" s="537"/>
      <c r="E19" s="537"/>
      <c r="F19" s="537"/>
      <c r="G19" s="538"/>
      <c r="H19" s="41">
        <f>SUM(H20:H24)</f>
        <v>14</v>
      </c>
      <c r="I19" s="558"/>
      <c r="J19" s="538"/>
      <c r="K19" s="43">
        <f>SUM(K20:K24)</f>
        <v>1072.4033333333334</v>
      </c>
      <c r="L19" s="6"/>
      <c r="M19" s="8"/>
    </row>
    <row r="20" spans="2:14" x14ac:dyDescent="0.25">
      <c r="B20" s="55" t="s">
        <v>109</v>
      </c>
      <c r="C20" s="545" t="s">
        <v>111</v>
      </c>
      <c r="D20" s="537"/>
      <c r="E20" s="537"/>
      <c r="F20" s="537"/>
      <c r="G20" s="538"/>
      <c r="H20" s="14">
        <f>H7+H10</f>
        <v>2</v>
      </c>
      <c r="I20" s="556">
        <f>K309</f>
        <v>25.710555555555555</v>
      </c>
      <c r="J20" s="538"/>
      <c r="K20" s="60">
        <f t="shared" ref="K20:K24" si="1">I20*H20</f>
        <v>51.421111111111109</v>
      </c>
      <c r="L20" s="6"/>
      <c r="M20" s="8"/>
    </row>
    <row r="21" spans="2:14" ht="15" customHeight="1" x14ac:dyDescent="0.25">
      <c r="B21" s="62" t="s">
        <v>114</v>
      </c>
      <c r="C21" s="561" t="s">
        <v>115</v>
      </c>
      <c r="D21" s="537"/>
      <c r="E21" s="537"/>
      <c r="F21" s="537"/>
      <c r="G21" s="538"/>
      <c r="H21" s="14">
        <v>2</v>
      </c>
      <c r="I21" s="556">
        <f>K321</f>
        <v>99.687777777777768</v>
      </c>
      <c r="J21" s="538"/>
      <c r="K21" s="60">
        <f t="shared" si="1"/>
        <v>199.37555555555554</v>
      </c>
      <c r="L21" s="6"/>
      <c r="M21" s="64"/>
      <c r="N21" s="65"/>
    </row>
    <row r="22" spans="2:14" ht="15" customHeight="1" x14ac:dyDescent="0.25">
      <c r="B22" s="62" t="s">
        <v>124</v>
      </c>
      <c r="C22" s="562" t="s">
        <v>125</v>
      </c>
      <c r="D22" s="537"/>
      <c r="E22" s="537"/>
      <c r="F22" s="537"/>
      <c r="G22" s="538"/>
      <c r="H22" s="14">
        <v>4</v>
      </c>
      <c r="I22" s="556">
        <f>K335</f>
        <v>101.32777777777777</v>
      </c>
      <c r="J22" s="538"/>
      <c r="K22" s="60">
        <f t="shared" si="1"/>
        <v>405.31111111111107</v>
      </c>
      <c r="L22" s="6"/>
      <c r="M22" s="8"/>
    </row>
    <row r="23" spans="2:14" ht="15.75" customHeight="1" x14ac:dyDescent="0.25">
      <c r="B23" s="62" t="s">
        <v>127</v>
      </c>
      <c r="C23" s="561" t="s">
        <v>128</v>
      </c>
      <c r="D23" s="537"/>
      <c r="E23" s="537"/>
      <c r="F23" s="537"/>
      <c r="G23" s="538"/>
      <c r="H23" s="70">
        <v>2</v>
      </c>
      <c r="I23" s="556">
        <f>K348</f>
        <v>77.268888888888881</v>
      </c>
      <c r="J23" s="538"/>
      <c r="K23" s="60">
        <f t="shared" si="1"/>
        <v>154.53777777777776</v>
      </c>
      <c r="L23" s="6"/>
      <c r="M23" s="8"/>
    </row>
    <row r="24" spans="2:14" ht="15.75" customHeight="1" x14ac:dyDescent="0.25">
      <c r="B24" s="55" t="s">
        <v>131</v>
      </c>
      <c r="C24" s="559" t="s">
        <v>132</v>
      </c>
      <c r="D24" s="537"/>
      <c r="E24" s="537"/>
      <c r="F24" s="537"/>
      <c r="G24" s="538"/>
      <c r="H24" s="14">
        <v>4</v>
      </c>
      <c r="I24" s="556">
        <f>K358</f>
        <v>65.439444444444447</v>
      </c>
      <c r="J24" s="538"/>
      <c r="K24" s="60">
        <f t="shared" si="1"/>
        <v>261.75777777777779</v>
      </c>
      <c r="L24" s="6"/>
      <c r="M24" s="8"/>
    </row>
    <row r="25" spans="2:14" ht="15.75" customHeight="1" x14ac:dyDescent="0.25">
      <c r="B25" s="19" t="s">
        <v>133</v>
      </c>
      <c r="C25" s="555" t="s">
        <v>70</v>
      </c>
      <c r="D25" s="537"/>
      <c r="E25" s="537"/>
      <c r="F25" s="537"/>
      <c r="G25" s="538"/>
      <c r="H25" s="41">
        <f>H26</f>
        <v>1</v>
      </c>
      <c r="I25" s="558"/>
      <c r="J25" s="538"/>
      <c r="K25" s="43">
        <f>K452</f>
        <v>1795.3592987726097</v>
      </c>
      <c r="L25" s="6"/>
      <c r="M25" s="8"/>
    </row>
    <row r="26" spans="2:14" ht="15.75" customHeight="1" x14ac:dyDescent="0.25">
      <c r="B26" s="26" t="s">
        <v>136</v>
      </c>
      <c r="C26" s="545" t="s">
        <v>137</v>
      </c>
      <c r="D26" s="537"/>
      <c r="E26" s="537"/>
      <c r="F26" s="537"/>
      <c r="G26" s="538"/>
      <c r="H26" s="73">
        <v>1</v>
      </c>
      <c r="I26" s="556">
        <f>K386+K394+K408+I423+K433+K446</f>
        <v>1697.0215904392767</v>
      </c>
      <c r="J26" s="538"/>
      <c r="K26" s="44">
        <f>I26*H26</f>
        <v>1697.0215904392767</v>
      </c>
      <c r="L26" s="6"/>
      <c r="M26" s="8"/>
    </row>
    <row r="27" spans="2:14" ht="15.75" customHeight="1" x14ac:dyDescent="0.25">
      <c r="B27" s="19" t="s">
        <v>140</v>
      </c>
      <c r="C27" s="555" t="s">
        <v>96</v>
      </c>
      <c r="D27" s="537"/>
      <c r="E27" s="537"/>
      <c r="F27" s="537"/>
      <c r="G27" s="538"/>
      <c r="H27" s="41">
        <v>1</v>
      </c>
      <c r="I27" s="560"/>
      <c r="J27" s="538"/>
      <c r="K27" s="43">
        <f>K463</f>
        <v>17000</v>
      </c>
      <c r="L27" s="6"/>
      <c r="M27" s="8"/>
    </row>
    <row r="28" spans="2:14" ht="15.75" customHeight="1" x14ac:dyDescent="0.25">
      <c r="B28" s="19" t="s">
        <v>143</v>
      </c>
      <c r="C28" s="555" t="s">
        <v>102</v>
      </c>
      <c r="D28" s="537"/>
      <c r="E28" s="537"/>
      <c r="F28" s="537"/>
      <c r="G28" s="538"/>
      <c r="H28" s="41">
        <v>1</v>
      </c>
      <c r="I28" s="560"/>
      <c r="J28" s="538"/>
      <c r="K28" s="43">
        <f>K473</f>
        <v>33801.075867288579</v>
      </c>
      <c r="L28" s="6"/>
      <c r="M28" s="8"/>
    </row>
    <row r="29" spans="2:14" ht="15.75" customHeight="1" x14ac:dyDescent="0.25">
      <c r="B29" s="563" t="s">
        <v>144</v>
      </c>
      <c r="C29" s="564"/>
      <c r="D29" s="564"/>
      <c r="E29" s="564"/>
      <c r="F29" s="564"/>
      <c r="G29" s="564"/>
      <c r="H29" s="564"/>
      <c r="I29" s="564"/>
      <c r="J29" s="565"/>
      <c r="K29" s="79">
        <f>K27+K25+K19+K6+K28</f>
        <v>155871.15628225124</v>
      </c>
      <c r="L29" s="6"/>
      <c r="M29" s="8"/>
    </row>
    <row r="30" spans="2:14" ht="15.75" customHeight="1" x14ac:dyDescent="0.25">
      <c r="K30" s="1"/>
      <c r="L30" s="6"/>
      <c r="M30" s="8"/>
    </row>
    <row r="31" spans="2:14" ht="15.75" customHeight="1" x14ac:dyDescent="0.25">
      <c r="B31" s="566" t="s">
        <v>149</v>
      </c>
      <c r="C31" s="537"/>
      <c r="D31" s="537"/>
      <c r="E31" s="537"/>
      <c r="F31" s="537"/>
      <c r="G31" s="537"/>
      <c r="H31" s="537"/>
      <c r="I31" s="537"/>
      <c r="J31" s="537"/>
      <c r="K31" s="538"/>
      <c r="L31" s="6"/>
      <c r="M31" s="8"/>
    </row>
    <row r="32" spans="2:14" ht="15.75" customHeight="1" x14ac:dyDescent="0.25">
      <c r="B32" s="567"/>
      <c r="C32" s="537"/>
      <c r="D32" s="537"/>
      <c r="E32" s="537"/>
      <c r="F32" s="537"/>
      <c r="G32" s="537"/>
      <c r="H32" s="537"/>
      <c r="I32" s="537"/>
      <c r="J32" s="537"/>
      <c r="K32" s="537"/>
      <c r="L32" s="6"/>
      <c r="M32" s="8"/>
    </row>
    <row r="33" spans="2:13" ht="15.75" customHeight="1" x14ac:dyDescent="0.25">
      <c r="B33" s="568" t="s">
        <v>154</v>
      </c>
      <c r="C33" s="537"/>
      <c r="D33" s="537"/>
      <c r="E33" s="537"/>
      <c r="F33" s="537"/>
      <c r="G33" s="537"/>
      <c r="H33" s="537"/>
      <c r="I33" s="537"/>
      <c r="J33" s="537"/>
      <c r="K33" s="538"/>
      <c r="L33" s="6"/>
      <c r="M33" s="8"/>
    </row>
    <row r="34" spans="2:13" ht="15.75" customHeight="1" x14ac:dyDescent="0.25">
      <c r="B34" s="58" t="s">
        <v>116</v>
      </c>
      <c r="C34" s="569" t="s">
        <v>117</v>
      </c>
      <c r="D34" s="537"/>
      <c r="E34" s="537"/>
      <c r="F34" s="537"/>
      <c r="G34" s="537"/>
      <c r="H34" s="537"/>
      <c r="I34" s="538"/>
      <c r="J34" s="61"/>
      <c r="K34" s="61" t="s">
        <v>121</v>
      </c>
      <c r="L34" s="6"/>
      <c r="M34" s="8"/>
    </row>
    <row r="35" spans="2:13" ht="15.75" customHeight="1" x14ac:dyDescent="0.25">
      <c r="B35" s="3" t="s">
        <v>122</v>
      </c>
      <c r="C35" s="559" t="s">
        <v>123</v>
      </c>
      <c r="D35" s="537"/>
      <c r="E35" s="537"/>
      <c r="F35" s="537"/>
      <c r="G35" s="537"/>
      <c r="H35" s="537"/>
      <c r="I35" s="538"/>
      <c r="J35" s="74"/>
      <c r="K35" s="86">
        <f>'6 - DADOS CC MO'!E113</f>
        <v>6876.95</v>
      </c>
      <c r="L35" s="6"/>
      <c r="M35" s="8"/>
    </row>
    <row r="36" spans="2:13" ht="15.75" customHeight="1" x14ac:dyDescent="0.25">
      <c r="B36" s="3"/>
      <c r="C36" s="570" t="s">
        <v>142</v>
      </c>
      <c r="D36" s="537"/>
      <c r="E36" s="537"/>
      <c r="F36" s="537"/>
      <c r="G36" s="537"/>
      <c r="H36" s="537"/>
      <c r="I36" s="538"/>
      <c r="J36" s="75"/>
      <c r="K36" s="90">
        <f>K35</f>
        <v>6876.95</v>
      </c>
      <c r="L36" s="6"/>
      <c r="M36" s="8"/>
    </row>
    <row r="37" spans="2:13" ht="15.75" customHeight="1" x14ac:dyDescent="0.25">
      <c r="B37" s="61" t="s">
        <v>145</v>
      </c>
      <c r="C37" s="569" t="s">
        <v>146</v>
      </c>
      <c r="D37" s="537"/>
      <c r="E37" s="537"/>
      <c r="F37" s="537"/>
      <c r="G37" s="537"/>
      <c r="H37" s="537"/>
      <c r="I37" s="538"/>
      <c r="J37" s="61" t="s">
        <v>141</v>
      </c>
      <c r="K37" s="61" t="s">
        <v>121</v>
      </c>
      <c r="L37" s="6"/>
      <c r="M37" s="8"/>
    </row>
    <row r="38" spans="2:13" ht="15.75" customHeight="1" x14ac:dyDescent="0.25">
      <c r="B38" s="14" t="s">
        <v>147</v>
      </c>
      <c r="C38" s="571" t="s">
        <v>148</v>
      </c>
      <c r="D38" s="537"/>
      <c r="E38" s="537"/>
      <c r="F38" s="537"/>
      <c r="G38" s="537"/>
      <c r="H38" s="537"/>
      <c r="I38" s="538"/>
      <c r="J38" s="78">
        <f>'7 - ENCARGOS SOCIAIS'!$D$13</f>
        <v>0.36800000000000005</v>
      </c>
      <c r="K38" s="86">
        <f t="shared" ref="K38:K41" si="2">J38*$K$35</f>
        <v>2530.7176000000004</v>
      </c>
      <c r="L38" s="6"/>
      <c r="M38" s="8"/>
    </row>
    <row r="39" spans="2:13" ht="15.75" customHeight="1" x14ac:dyDescent="0.25">
      <c r="B39" s="14" t="s">
        <v>150</v>
      </c>
      <c r="C39" s="571" t="s">
        <v>151</v>
      </c>
      <c r="D39" s="537"/>
      <c r="E39" s="537"/>
      <c r="F39" s="537"/>
      <c r="G39" s="537"/>
      <c r="H39" s="537"/>
      <c r="I39" s="538"/>
      <c r="J39" s="78">
        <f>'7 - ENCARGOS SOCIAIS'!$D$21</f>
        <v>0.15387245147090212</v>
      </c>
      <c r="K39" s="86">
        <f t="shared" si="2"/>
        <v>1058.1731551428202</v>
      </c>
      <c r="L39" s="6"/>
      <c r="M39" s="8"/>
    </row>
    <row r="40" spans="2:13" ht="15.75" customHeight="1" x14ac:dyDescent="0.25">
      <c r="B40" s="14" t="s">
        <v>152</v>
      </c>
      <c r="C40" s="571" t="s">
        <v>153</v>
      </c>
      <c r="D40" s="537"/>
      <c r="E40" s="537"/>
      <c r="F40" s="537"/>
      <c r="G40" s="537"/>
      <c r="H40" s="537"/>
      <c r="I40" s="538"/>
      <c r="J40" s="78">
        <f>'7 - ENCARGOS SOCIAIS'!$D$28</f>
        <v>0.12666581537651095</v>
      </c>
      <c r="K40" s="86">
        <f t="shared" si="2"/>
        <v>871.07447905349693</v>
      </c>
      <c r="L40" s="6"/>
      <c r="M40" s="8"/>
    </row>
    <row r="41" spans="2:13" ht="15.75" customHeight="1" x14ac:dyDescent="0.25">
      <c r="B41" s="14" t="s">
        <v>155</v>
      </c>
      <c r="C41" s="571" t="s">
        <v>156</v>
      </c>
      <c r="D41" s="537"/>
      <c r="E41" s="537"/>
      <c r="F41" s="537"/>
      <c r="G41" s="537"/>
      <c r="H41" s="537"/>
      <c r="I41" s="538"/>
      <c r="J41" s="78">
        <f>'7 - ENCARGOS SOCIAIS'!$D$32</f>
        <v>5.9231502118822603E-2</v>
      </c>
      <c r="K41" s="86">
        <f t="shared" si="2"/>
        <v>407.33207849603707</v>
      </c>
      <c r="L41" s="6"/>
      <c r="M41" s="8"/>
    </row>
    <row r="42" spans="2:13" ht="15.75" customHeight="1" x14ac:dyDescent="0.25">
      <c r="B42" s="17"/>
      <c r="C42" s="552" t="s">
        <v>157</v>
      </c>
      <c r="D42" s="537"/>
      <c r="E42" s="537"/>
      <c r="F42" s="537"/>
      <c r="G42" s="537"/>
      <c r="H42" s="537"/>
      <c r="I42" s="538"/>
      <c r="J42" s="83">
        <f t="shared" ref="J42:K42" si="3">SUM(J38:J41)</f>
        <v>0.70776976896623567</v>
      </c>
      <c r="K42" s="98">
        <f t="shared" si="3"/>
        <v>4867.2973126923544</v>
      </c>
      <c r="L42" s="6"/>
      <c r="M42" s="8"/>
    </row>
    <row r="43" spans="2:13" ht="30" customHeight="1" x14ac:dyDescent="0.25">
      <c r="B43" s="61" t="s">
        <v>158</v>
      </c>
      <c r="C43" s="572" t="s">
        <v>159</v>
      </c>
      <c r="D43" s="537"/>
      <c r="E43" s="537"/>
      <c r="F43" s="537"/>
      <c r="G43" s="538"/>
      <c r="H43" s="59" t="s">
        <v>160</v>
      </c>
      <c r="I43" s="61" t="s">
        <v>120</v>
      </c>
      <c r="J43" s="61" t="s">
        <v>161</v>
      </c>
      <c r="K43" s="61" t="s">
        <v>121</v>
      </c>
      <c r="L43" s="64"/>
      <c r="M43" s="8"/>
    </row>
    <row r="44" spans="2:13" ht="15" customHeight="1" x14ac:dyDescent="0.25">
      <c r="B44" s="14" t="s">
        <v>162</v>
      </c>
      <c r="C44" s="561" t="s">
        <v>163</v>
      </c>
      <c r="D44" s="537"/>
      <c r="E44" s="537"/>
      <c r="F44" s="537"/>
      <c r="G44" s="538"/>
      <c r="H44" s="3">
        <v>26</v>
      </c>
      <c r="I44" s="88">
        <v>27.15</v>
      </c>
      <c r="J44" s="104">
        <v>0.19</v>
      </c>
      <c r="K44" s="44">
        <f>(H44*I44)-((H44*I44)*J44)</f>
        <v>571.779</v>
      </c>
      <c r="L44" s="6"/>
      <c r="M44" s="8"/>
    </row>
    <row r="45" spans="2:13" ht="15" customHeight="1" x14ac:dyDescent="0.25">
      <c r="B45" s="14" t="s">
        <v>164</v>
      </c>
      <c r="C45" s="561" t="s">
        <v>176</v>
      </c>
      <c r="D45" s="537"/>
      <c r="E45" s="537"/>
      <c r="F45" s="537"/>
      <c r="G45" s="538"/>
      <c r="H45" s="3">
        <f>H44*4</f>
        <v>104</v>
      </c>
      <c r="I45" s="93">
        <v>6.25</v>
      </c>
      <c r="J45" s="104">
        <v>0.06</v>
      </c>
      <c r="K45" s="44">
        <f>(H45*I45)-(K35*J45)</f>
        <v>237.38300000000004</v>
      </c>
      <c r="L45" s="6"/>
      <c r="M45" s="8"/>
    </row>
    <row r="46" spans="2:13" ht="15.75" customHeight="1" x14ac:dyDescent="0.25">
      <c r="B46" s="14" t="s">
        <v>166</v>
      </c>
      <c r="C46" s="571" t="s">
        <v>167</v>
      </c>
      <c r="D46" s="537"/>
      <c r="E46" s="537"/>
      <c r="F46" s="537"/>
      <c r="G46" s="538"/>
      <c r="H46" s="3">
        <v>1</v>
      </c>
      <c r="I46" s="88">
        <v>25.52</v>
      </c>
      <c r="J46" s="26"/>
      <c r="K46" s="94">
        <f>I46</f>
        <v>25.52</v>
      </c>
      <c r="L46" s="6"/>
      <c r="M46" s="8"/>
    </row>
    <row r="47" spans="2:13" ht="15.75" customHeight="1" x14ac:dyDescent="0.25">
      <c r="B47" s="26"/>
      <c r="C47" s="570" t="s">
        <v>170</v>
      </c>
      <c r="D47" s="537"/>
      <c r="E47" s="537"/>
      <c r="F47" s="537"/>
      <c r="G47" s="537"/>
      <c r="H47" s="537"/>
      <c r="I47" s="538"/>
      <c r="J47" s="75"/>
      <c r="K47" s="108">
        <f>SUM(K44:K46)</f>
        <v>834.68200000000002</v>
      </c>
      <c r="L47" s="6"/>
      <c r="M47" s="8"/>
    </row>
    <row r="48" spans="2:13" ht="15.75" customHeight="1" x14ac:dyDescent="0.25">
      <c r="B48" s="573" t="s">
        <v>182</v>
      </c>
      <c r="C48" s="564"/>
      <c r="D48" s="564"/>
      <c r="E48" s="564"/>
      <c r="F48" s="564"/>
      <c r="G48" s="564"/>
      <c r="H48" s="564"/>
      <c r="I48" s="564"/>
      <c r="J48" s="565"/>
      <c r="K48" s="111">
        <f>K47+K42+K36</f>
        <v>12578.929312692355</v>
      </c>
      <c r="L48" s="6"/>
      <c r="M48" s="8"/>
    </row>
    <row r="49" spans="2:13" ht="15.75" customHeight="1" x14ac:dyDescent="0.25">
      <c r="B49" s="574" t="s">
        <v>172</v>
      </c>
      <c r="C49" s="535"/>
      <c r="D49" s="535"/>
      <c r="E49" s="535"/>
      <c r="F49" s="535"/>
      <c r="G49" s="535"/>
      <c r="H49" s="575"/>
      <c r="I49" s="99">
        <v>1</v>
      </c>
      <c r="J49" s="99" t="s">
        <v>173</v>
      </c>
      <c r="K49" s="112">
        <f>K48*I49</f>
        <v>12578.929312692355</v>
      </c>
      <c r="L49" s="6"/>
      <c r="M49" s="8"/>
    </row>
    <row r="50" spans="2:13" ht="15.75" customHeight="1" x14ac:dyDescent="0.25">
      <c r="H50" s="21"/>
      <c r="K50" s="1"/>
      <c r="L50" s="6"/>
      <c r="M50" s="8"/>
    </row>
    <row r="51" spans="2:13" ht="15.75" customHeight="1" x14ac:dyDescent="0.25">
      <c r="B51" s="568" t="s">
        <v>190</v>
      </c>
      <c r="C51" s="537"/>
      <c r="D51" s="537"/>
      <c r="E51" s="537"/>
      <c r="F51" s="537"/>
      <c r="G51" s="537"/>
      <c r="H51" s="537"/>
      <c r="I51" s="537"/>
      <c r="J51" s="537"/>
      <c r="K51" s="538"/>
      <c r="L51" s="6"/>
      <c r="M51" s="8"/>
    </row>
    <row r="52" spans="2:13" ht="15.75" customHeight="1" x14ac:dyDescent="0.25">
      <c r="B52" s="58" t="s">
        <v>116</v>
      </c>
      <c r="C52" s="569" t="s">
        <v>117</v>
      </c>
      <c r="D52" s="537"/>
      <c r="E52" s="537"/>
      <c r="F52" s="537"/>
      <c r="G52" s="538"/>
      <c r="H52" s="59" t="s">
        <v>118</v>
      </c>
      <c r="I52" s="105" t="s">
        <v>119</v>
      </c>
      <c r="J52" s="61" t="s">
        <v>120</v>
      </c>
      <c r="K52" s="61" t="s">
        <v>121</v>
      </c>
      <c r="L52" s="6"/>
      <c r="M52" s="8"/>
    </row>
    <row r="53" spans="2:13" ht="15.75" customHeight="1" x14ac:dyDescent="0.25">
      <c r="B53" s="3" t="s">
        <v>122</v>
      </c>
      <c r="C53" s="545" t="s">
        <v>123</v>
      </c>
      <c r="D53" s="537"/>
      <c r="E53" s="537"/>
      <c r="F53" s="537"/>
      <c r="G53" s="538"/>
      <c r="H53" s="3">
        <v>220</v>
      </c>
      <c r="I53" s="14" t="s">
        <v>126</v>
      </c>
      <c r="J53" s="66">
        <f>K53/H53</f>
        <v>16.363636363636363</v>
      </c>
      <c r="K53" s="86">
        <f>'6 - DADOS CC MO'!E102</f>
        <v>3600</v>
      </c>
      <c r="L53" s="6"/>
      <c r="M53" s="8"/>
    </row>
    <row r="54" spans="2:13" ht="15.75" customHeight="1" x14ac:dyDescent="0.25">
      <c r="B54" s="14" t="s">
        <v>195</v>
      </c>
      <c r="C54" s="63" t="s">
        <v>130</v>
      </c>
      <c r="D54" s="68"/>
      <c r="E54" s="68"/>
      <c r="F54" s="68"/>
      <c r="G54" s="69"/>
      <c r="H54" s="71">
        <f>7+1/3</f>
        <v>7.333333333333333</v>
      </c>
      <c r="I54" s="14" t="s">
        <v>126</v>
      </c>
      <c r="J54" s="66">
        <f>J53*2</f>
        <v>32.727272727272727</v>
      </c>
      <c r="K54" s="67">
        <f>H54*J54</f>
        <v>239.99999999999997</v>
      </c>
      <c r="L54" s="6"/>
      <c r="M54" s="8"/>
    </row>
    <row r="55" spans="2:13" ht="15.75" customHeight="1" x14ac:dyDescent="0.25">
      <c r="B55" s="14" t="s">
        <v>198</v>
      </c>
      <c r="C55" s="63" t="s">
        <v>135</v>
      </c>
      <c r="D55" s="68"/>
      <c r="E55" s="68"/>
      <c r="F55" s="68"/>
      <c r="G55" s="69"/>
      <c r="H55" s="71"/>
      <c r="I55" s="14"/>
      <c r="J55" s="66">
        <f>61/304*(SUM(K54))</f>
        <v>48.157894736842103</v>
      </c>
      <c r="K55" s="67">
        <f>J55</f>
        <v>48.157894736842103</v>
      </c>
      <c r="L55" s="6"/>
      <c r="M55" s="8"/>
    </row>
    <row r="56" spans="2:13" ht="15.75" customHeight="1" x14ac:dyDescent="0.25">
      <c r="B56" s="3" t="s">
        <v>129</v>
      </c>
      <c r="C56" s="545" t="s">
        <v>139</v>
      </c>
      <c r="D56" s="537"/>
      <c r="E56" s="537"/>
      <c r="F56" s="537"/>
      <c r="G56" s="538"/>
      <c r="H56" s="3">
        <v>40</v>
      </c>
      <c r="I56" s="14" t="s">
        <v>141</v>
      </c>
      <c r="J56" s="74"/>
      <c r="K56" s="86">
        <f>K53*40%</f>
        <v>1440</v>
      </c>
      <c r="L56" s="6"/>
      <c r="M56" s="8"/>
    </row>
    <row r="57" spans="2:13" ht="15.75" customHeight="1" x14ac:dyDescent="0.25">
      <c r="B57" s="3"/>
      <c r="C57" s="570" t="s">
        <v>142</v>
      </c>
      <c r="D57" s="537"/>
      <c r="E57" s="537"/>
      <c r="F57" s="537"/>
      <c r="G57" s="537"/>
      <c r="H57" s="537"/>
      <c r="I57" s="538"/>
      <c r="J57" s="75"/>
      <c r="K57" s="90">
        <f>SUM(K53:K56)</f>
        <v>5328.1578947368416</v>
      </c>
      <c r="L57" s="6"/>
      <c r="M57" s="8"/>
    </row>
    <row r="58" spans="2:13" ht="15.75" customHeight="1" x14ac:dyDescent="0.25">
      <c r="B58" s="61" t="s">
        <v>145</v>
      </c>
      <c r="C58" s="569" t="s">
        <v>146</v>
      </c>
      <c r="D58" s="537"/>
      <c r="E58" s="537"/>
      <c r="F58" s="537"/>
      <c r="G58" s="537"/>
      <c r="H58" s="537"/>
      <c r="I58" s="538"/>
      <c r="J58" s="61" t="s">
        <v>141</v>
      </c>
      <c r="K58" s="61" t="s">
        <v>121</v>
      </c>
      <c r="L58" s="6"/>
      <c r="M58" s="8"/>
    </row>
    <row r="59" spans="2:13" ht="15.75" customHeight="1" x14ac:dyDescent="0.25">
      <c r="B59" s="14" t="s">
        <v>147</v>
      </c>
      <c r="C59" s="571" t="s">
        <v>148</v>
      </c>
      <c r="D59" s="537"/>
      <c r="E59" s="537"/>
      <c r="F59" s="537"/>
      <c r="G59" s="537"/>
      <c r="H59" s="537"/>
      <c r="I59" s="538"/>
      <c r="J59" s="78">
        <f>'7 - ENCARGOS SOCIAIS'!$D$13</f>
        <v>0.36800000000000005</v>
      </c>
      <c r="K59" s="86">
        <f t="shared" ref="K59:K62" si="4">J59*$K$57</f>
        <v>1960.762105263158</v>
      </c>
      <c r="L59" s="6"/>
      <c r="M59" s="8"/>
    </row>
    <row r="60" spans="2:13" ht="15.75" customHeight="1" x14ac:dyDescent="0.25">
      <c r="B60" s="14" t="s">
        <v>150</v>
      </c>
      <c r="C60" s="571" t="s">
        <v>151</v>
      </c>
      <c r="D60" s="537"/>
      <c r="E60" s="537"/>
      <c r="F60" s="537"/>
      <c r="G60" s="537"/>
      <c r="H60" s="537"/>
      <c r="I60" s="538"/>
      <c r="J60" s="78">
        <f>'7 - ENCARGOS SOCIAIS'!$D$21</f>
        <v>0.15387245147090212</v>
      </c>
      <c r="K60" s="86">
        <f t="shared" si="4"/>
        <v>819.8567170871986</v>
      </c>
      <c r="L60" s="6"/>
      <c r="M60" s="8"/>
    </row>
    <row r="61" spans="2:13" ht="15.75" customHeight="1" x14ac:dyDescent="0.25">
      <c r="B61" s="14" t="s">
        <v>152</v>
      </c>
      <c r="C61" s="571" t="s">
        <v>153</v>
      </c>
      <c r="D61" s="537"/>
      <c r="E61" s="537"/>
      <c r="F61" s="537"/>
      <c r="G61" s="537"/>
      <c r="H61" s="537"/>
      <c r="I61" s="538"/>
      <c r="J61" s="78">
        <f>'7 - ENCARGOS SOCIAIS'!$D$28</f>
        <v>0.12666581537651095</v>
      </c>
      <c r="K61" s="86">
        <f t="shared" si="4"/>
        <v>674.89546419163605</v>
      </c>
      <c r="L61" s="6"/>
      <c r="M61" s="8"/>
    </row>
    <row r="62" spans="2:13" ht="15.75" customHeight="1" x14ac:dyDescent="0.25">
      <c r="B62" s="14" t="s">
        <v>155</v>
      </c>
      <c r="C62" s="571" t="s">
        <v>156</v>
      </c>
      <c r="D62" s="537"/>
      <c r="E62" s="537"/>
      <c r="F62" s="537"/>
      <c r="G62" s="537"/>
      <c r="H62" s="537"/>
      <c r="I62" s="538"/>
      <c r="J62" s="78">
        <f>'7 - ENCARGOS SOCIAIS'!$D$32</f>
        <v>5.9231502118822603E-2</v>
      </c>
      <c r="K62" s="86">
        <f t="shared" si="4"/>
        <v>315.59479563152661</v>
      </c>
      <c r="L62" s="6"/>
      <c r="M62" s="8"/>
    </row>
    <row r="63" spans="2:13" ht="15.75" customHeight="1" x14ac:dyDescent="0.25">
      <c r="B63" s="17"/>
      <c r="C63" s="552" t="s">
        <v>157</v>
      </c>
      <c r="D63" s="537"/>
      <c r="E63" s="537"/>
      <c r="F63" s="537"/>
      <c r="G63" s="537"/>
      <c r="H63" s="537"/>
      <c r="I63" s="538"/>
      <c r="J63" s="83">
        <f t="shared" ref="J63:K63" si="5">SUM(J59:J62)</f>
        <v>0.70776976896623567</v>
      </c>
      <c r="K63" s="98">
        <f t="shared" si="5"/>
        <v>3771.1090821735197</v>
      </c>
      <c r="L63" s="6"/>
      <c r="M63" s="8"/>
    </row>
    <row r="64" spans="2:13" ht="15.75" customHeight="1" x14ac:dyDescent="0.25">
      <c r="B64" s="61" t="s">
        <v>158</v>
      </c>
      <c r="C64" s="572" t="s">
        <v>159</v>
      </c>
      <c r="D64" s="537"/>
      <c r="E64" s="537"/>
      <c r="F64" s="537"/>
      <c r="G64" s="538"/>
      <c r="H64" s="59" t="s">
        <v>160</v>
      </c>
      <c r="I64" s="61" t="s">
        <v>120</v>
      </c>
      <c r="J64" s="61" t="s">
        <v>161</v>
      </c>
      <c r="K64" s="61" t="s">
        <v>121</v>
      </c>
      <c r="L64" s="6"/>
      <c r="M64" s="8"/>
    </row>
    <row r="65" spans="2:13" ht="15" customHeight="1" x14ac:dyDescent="0.25">
      <c r="B65" s="14" t="s">
        <v>162</v>
      </c>
      <c r="C65" s="561" t="s">
        <v>163</v>
      </c>
      <c r="D65" s="537"/>
      <c r="E65" s="537"/>
      <c r="F65" s="537"/>
      <c r="G65" s="538"/>
      <c r="H65" s="14">
        <v>26</v>
      </c>
      <c r="I65" s="88">
        <v>27.15</v>
      </c>
      <c r="J65" s="89">
        <v>0.19</v>
      </c>
      <c r="K65" s="44">
        <f>(H65*I65)-((H65*I65)*J65)</f>
        <v>571.779</v>
      </c>
      <c r="L65" s="6"/>
      <c r="M65" s="8"/>
    </row>
    <row r="66" spans="2:13" ht="15" customHeight="1" x14ac:dyDescent="0.25">
      <c r="B66" s="14" t="s">
        <v>164</v>
      </c>
      <c r="C66" s="571" t="s">
        <v>176</v>
      </c>
      <c r="D66" s="537"/>
      <c r="E66" s="537"/>
      <c r="F66" s="537"/>
      <c r="G66" s="538"/>
      <c r="H66" s="14">
        <f>H65*4</f>
        <v>104</v>
      </c>
      <c r="I66" s="93">
        <v>6.25</v>
      </c>
      <c r="J66" s="89">
        <v>0.06</v>
      </c>
      <c r="K66" s="44">
        <f>(H66*I66)-(K53*J66)</f>
        <v>434</v>
      </c>
      <c r="L66" s="6"/>
      <c r="M66" s="8"/>
    </row>
    <row r="67" spans="2:13" ht="15.75" customHeight="1" x14ac:dyDescent="0.25">
      <c r="B67" s="14" t="s">
        <v>166</v>
      </c>
      <c r="C67" s="571" t="s">
        <v>167</v>
      </c>
      <c r="D67" s="537"/>
      <c r="E67" s="537"/>
      <c r="F67" s="537"/>
      <c r="G67" s="538"/>
      <c r="H67" s="3">
        <v>1</v>
      </c>
      <c r="I67" s="88">
        <v>25.52</v>
      </c>
      <c r="J67" s="26"/>
      <c r="K67" s="94">
        <f>I67</f>
        <v>25.52</v>
      </c>
      <c r="L67" s="6"/>
      <c r="M67" s="8"/>
    </row>
    <row r="68" spans="2:13" ht="15.75" customHeight="1" x14ac:dyDescent="0.25">
      <c r="B68" s="26"/>
      <c r="C68" s="570" t="s">
        <v>170</v>
      </c>
      <c r="D68" s="537"/>
      <c r="E68" s="537"/>
      <c r="F68" s="537"/>
      <c r="G68" s="537"/>
      <c r="H68" s="537"/>
      <c r="I68" s="538"/>
      <c r="J68" s="75"/>
      <c r="K68" s="108">
        <f>SUM(K65:K67)</f>
        <v>1031.299</v>
      </c>
      <c r="L68" s="6"/>
      <c r="M68" s="8"/>
    </row>
    <row r="69" spans="2:13" ht="15.75" customHeight="1" x14ac:dyDescent="0.25">
      <c r="B69" s="573" t="s">
        <v>218</v>
      </c>
      <c r="C69" s="564"/>
      <c r="D69" s="564"/>
      <c r="E69" s="564"/>
      <c r="F69" s="564"/>
      <c r="G69" s="564"/>
      <c r="H69" s="564"/>
      <c r="I69" s="564"/>
      <c r="J69" s="565"/>
      <c r="K69" s="111">
        <f>K68+K63+K57</f>
        <v>10130.565976910362</v>
      </c>
      <c r="L69" s="6"/>
      <c r="M69" s="8"/>
    </row>
    <row r="70" spans="2:13" ht="15.75" customHeight="1" x14ac:dyDescent="0.25">
      <c r="B70" s="574" t="s">
        <v>172</v>
      </c>
      <c r="C70" s="535"/>
      <c r="D70" s="535"/>
      <c r="E70" s="535"/>
      <c r="F70" s="535"/>
      <c r="G70" s="535"/>
      <c r="H70" s="575"/>
      <c r="I70" s="99">
        <v>1</v>
      </c>
      <c r="J70" s="99" t="s">
        <v>173</v>
      </c>
      <c r="K70" s="112">
        <f>K69*I70</f>
        <v>10130.565976910362</v>
      </c>
      <c r="L70" s="6"/>
      <c r="M70" s="8"/>
    </row>
    <row r="71" spans="2:13" ht="15.75" customHeight="1" x14ac:dyDescent="0.25">
      <c r="K71" s="1"/>
      <c r="L71" s="6"/>
      <c r="M71" s="8"/>
    </row>
    <row r="72" spans="2:13" ht="15.75" customHeight="1" x14ac:dyDescent="0.25">
      <c r="B72" s="568" t="s">
        <v>220</v>
      </c>
      <c r="C72" s="537"/>
      <c r="D72" s="537"/>
      <c r="E72" s="537"/>
      <c r="F72" s="537"/>
      <c r="G72" s="537"/>
      <c r="H72" s="537"/>
      <c r="I72" s="537"/>
      <c r="J72" s="537"/>
      <c r="K72" s="538"/>
      <c r="L72" s="6"/>
      <c r="M72" s="8"/>
    </row>
    <row r="73" spans="2:13" ht="15.75" customHeight="1" x14ac:dyDescent="0.25">
      <c r="B73" s="58" t="s">
        <v>116</v>
      </c>
      <c r="C73" s="569" t="s">
        <v>117</v>
      </c>
      <c r="D73" s="537"/>
      <c r="E73" s="537"/>
      <c r="F73" s="537"/>
      <c r="G73" s="538"/>
      <c r="H73" s="59" t="s">
        <v>118</v>
      </c>
      <c r="I73" s="105" t="s">
        <v>119</v>
      </c>
      <c r="J73" s="61" t="s">
        <v>120</v>
      </c>
      <c r="K73" s="61" t="s">
        <v>121</v>
      </c>
      <c r="L73" s="6"/>
      <c r="M73" s="8"/>
    </row>
    <row r="74" spans="2:13" ht="15.75" customHeight="1" x14ac:dyDescent="0.25">
      <c r="B74" s="14" t="s">
        <v>122</v>
      </c>
      <c r="C74" s="571" t="s">
        <v>123</v>
      </c>
      <c r="D74" s="537"/>
      <c r="E74" s="537"/>
      <c r="F74" s="537"/>
      <c r="G74" s="538"/>
      <c r="H74" s="3">
        <v>220</v>
      </c>
      <c r="I74" s="14" t="s">
        <v>126</v>
      </c>
      <c r="J74" s="66">
        <f>K74/H74</f>
        <v>16.363636363636363</v>
      </c>
      <c r="K74" s="86">
        <f>'6 - DADOS CC MO'!E102</f>
        <v>3600</v>
      </c>
      <c r="L74" s="6"/>
      <c r="M74" s="8"/>
    </row>
    <row r="75" spans="2:13" ht="15.75" customHeight="1" x14ac:dyDescent="0.25">
      <c r="B75" s="548" t="s">
        <v>129</v>
      </c>
      <c r="C75" s="576" t="s">
        <v>178</v>
      </c>
      <c r="D75" s="542"/>
      <c r="E75" s="542"/>
      <c r="F75" s="542"/>
      <c r="G75" s="577"/>
      <c r="H75" s="71">
        <f>H78*H90</f>
        <v>112.66666666666666</v>
      </c>
      <c r="I75" s="14" t="s">
        <v>180</v>
      </c>
      <c r="J75" s="66"/>
      <c r="K75" s="86"/>
      <c r="L75" s="6"/>
      <c r="M75" s="8"/>
    </row>
    <row r="76" spans="2:13" ht="15.75" customHeight="1" x14ac:dyDescent="0.25">
      <c r="B76" s="550"/>
      <c r="C76" s="578"/>
      <c r="D76" s="544"/>
      <c r="E76" s="544"/>
      <c r="F76" s="544"/>
      <c r="G76" s="579"/>
      <c r="H76" s="71">
        <f>H75*8/7</f>
        <v>128.76190476190476</v>
      </c>
      <c r="I76" s="14" t="s">
        <v>181</v>
      </c>
      <c r="J76" s="66">
        <f>J74*0.2</f>
        <v>3.2727272727272729</v>
      </c>
      <c r="K76" s="86">
        <f t="shared" ref="K76:K77" si="6">H76*J76</f>
        <v>421.40259740259739</v>
      </c>
      <c r="L76" s="6"/>
      <c r="M76" s="8"/>
    </row>
    <row r="77" spans="2:13" ht="15.75" customHeight="1" x14ac:dyDescent="0.25">
      <c r="B77" s="14" t="s">
        <v>183</v>
      </c>
      <c r="C77" s="63" t="s">
        <v>130</v>
      </c>
      <c r="D77" s="68"/>
      <c r="E77" s="68"/>
      <c r="F77" s="68"/>
      <c r="G77" s="69"/>
      <c r="H77" s="71">
        <f>7+1/3-H78</f>
        <v>3</v>
      </c>
      <c r="I77" s="14" t="s">
        <v>126</v>
      </c>
      <c r="J77" s="66">
        <f>J74*2</f>
        <v>32.727272727272727</v>
      </c>
      <c r="K77" s="67">
        <f t="shared" si="6"/>
        <v>98.181818181818187</v>
      </c>
      <c r="L77" s="6"/>
      <c r="M77" s="8"/>
    </row>
    <row r="78" spans="2:13" ht="15.75" customHeight="1" x14ac:dyDescent="0.25">
      <c r="B78" s="14" t="s">
        <v>185</v>
      </c>
      <c r="C78" s="63" t="s">
        <v>186</v>
      </c>
      <c r="D78" s="68"/>
      <c r="E78" s="68"/>
      <c r="F78" s="68"/>
      <c r="G78" s="69"/>
      <c r="H78" s="71">
        <f>4+1/3</f>
        <v>4.333333333333333</v>
      </c>
      <c r="I78" s="14" t="s">
        <v>126</v>
      </c>
      <c r="J78" s="66"/>
      <c r="K78" s="67"/>
      <c r="L78" s="6"/>
      <c r="M78" s="8"/>
    </row>
    <row r="79" spans="2:13" ht="15.75" customHeight="1" x14ac:dyDescent="0.25">
      <c r="B79" s="14" t="s">
        <v>188</v>
      </c>
      <c r="C79" s="63" t="s">
        <v>189</v>
      </c>
      <c r="D79" s="68"/>
      <c r="E79" s="68"/>
      <c r="F79" s="68"/>
      <c r="G79" s="69"/>
      <c r="H79" s="71">
        <f>H78*8/7</f>
        <v>4.9523809523809517</v>
      </c>
      <c r="I79" s="14" t="s">
        <v>126</v>
      </c>
      <c r="J79" s="66">
        <f>J74*2*1.2</f>
        <v>39.272727272727273</v>
      </c>
      <c r="K79" s="67">
        <f>H79*J79</f>
        <v>194.49350649350646</v>
      </c>
      <c r="L79" s="6"/>
      <c r="M79" s="8"/>
    </row>
    <row r="80" spans="2:13" ht="15.75" customHeight="1" x14ac:dyDescent="0.25">
      <c r="B80" s="14" t="s">
        <v>192</v>
      </c>
      <c r="C80" s="63" t="s">
        <v>135</v>
      </c>
      <c r="D80" s="68"/>
      <c r="E80" s="68"/>
      <c r="F80" s="68"/>
      <c r="G80" s="69"/>
      <c r="H80" s="71"/>
      <c r="I80" s="14"/>
      <c r="J80" s="66">
        <f>61/304*(SUM(K76:K79))</f>
        <v>143.28537252221463</v>
      </c>
      <c r="K80" s="67">
        <f>J80</f>
        <v>143.28537252221463</v>
      </c>
      <c r="L80" s="6"/>
      <c r="M80" s="8"/>
    </row>
    <row r="81" spans="2:13" ht="15.75" customHeight="1" x14ac:dyDescent="0.25">
      <c r="B81" s="14" t="s">
        <v>134</v>
      </c>
      <c r="C81" s="571" t="s">
        <v>139</v>
      </c>
      <c r="D81" s="537"/>
      <c r="E81" s="537"/>
      <c r="F81" s="537"/>
      <c r="G81" s="538"/>
      <c r="H81" s="3">
        <v>40</v>
      </c>
      <c r="I81" s="14" t="s">
        <v>141</v>
      </c>
      <c r="J81" s="74"/>
      <c r="K81" s="86">
        <f>K74*40%</f>
        <v>1440</v>
      </c>
      <c r="L81" s="6"/>
      <c r="M81" s="8"/>
    </row>
    <row r="82" spans="2:13" ht="15.75" customHeight="1" x14ac:dyDescent="0.25">
      <c r="B82" s="3"/>
      <c r="C82" s="570" t="s">
        <v>142</v>
      </c>
      <c r="D82" s="537"/>
      <c r="E82" s="537"/>
      <c r="F82" s="537"/>
      <c r="G82" s="537"/>
      <c r="H82" s="537"/>
      <c r="I82" s="538"/>
      <c r="J82" s="75"/>
      <c r="K82" s="90">
        <f>SUM(K74:K81)</f>
        <v>5897.3632946001362</v>
      </c>
      <c r="L82" s="6"/>
      <c r="M82" s="8"/>
    </row>
    <row r="83" spans="2:13" ht="15.75" customHeight="1" x14ac:dyDescent="0.25">
      <c r="B83" s="61" t="s">
        <v>145</v>
      </c>
      <c r="C83" s="569" t="s">
        <v>146</v>
      </c>
      <c r="D83" s="537"/>
      <c r="E83" s="537"/>
      <c r="F83" s="537"/>
      <c r="G83" s="537"/>
      <c r="H83" s="537"/>
      <c r="I83" s="538"/>
      <c r="J83" s="61" t="s">
        <v>141</v>
      </c>
      <c r="K83" s="61" t="s">
        <v>121</v>
      </c>
      <c r="L83" s="6"/>
      <c r="M83" s="8"/>
    </row>
    <row r="84" spans="2:13" ht="15.75" customHeight="1" x14ac:dyDescent="0.25">
      <c r="B84" s="14" t="s">
        <v>147</v>
      </c>
      <c r="C84" s="571" t="s">
        <v>148</v>
      </c>
      <c r="D84" s="537"/>
      <c r="E84" s="537"/>
      <c r="F84" s="537"/>
      <c r="G84" s="537"/>
      <c r="H84" s="537"/>
      <c r="I84" s="538"/>
      <c r="J84" s="78">
        <f>'7 - ENCARGOS SOCIAIS'!$D$13</f>
        <v>0.36800000000000005</v>
      </c>
      <c r="K84" s="86">
        <f t="shared" ref="K84:K87" si="7">J84*$K$82</f>
        <v>2170.2296924128505</v>
      </c>
      <c r="L84" s="6"/>
      <c r="M84" s="8"/>
    </row>
    <row r="85" spans="2:13" ht="15" customHeight="1" x14ac:dyDescent="0.25">
      <c r="B85" s="14" t="s">
        <v>150</v>
      </c>
      <c r="C85" s="571" t="s">
        <v>151</v>
      </c>
      <c r="D85" s="537"/>
      <c r="E85" s="537"/>
      <c r="F85" s="537"/>
      <c r="G85" s="537"/>
      <c r="H85" s="537"/>
      <c r="I85" s="538"/>
      <c r="J85" s="78">
        <f>'7 - ENCARGOS SOCIAIS'!$D$21</f>
        <v>0.15387245147090212</v>
      </c>
      <c r="K85" s="86">
        <f t="shared" si="7"/>
        <v>907.44174735463889</v>
      </c>
      <c r="L85" s="6"/>
      <c r="M85" s="8"/>
    </row>
    <row r="86" spans="2:13" ht="15.75" customHeight="1" x14ac:dyDescent="0.25">
      <c r="B86" s="14" t="s">
        <v>152</v>
      </c>
      <c r="C86" s="571" t="s">
        <v>153</v>
      </c>
      <c r="D86" s="537"/>
      <c r="E86" s="537"/>
      <c r="F86" s="537"/>
      <c r="G86" s="537"/>
      <c r="H86" s="537"/>
      <c r="I86" s="538"/>
      <c r="J86" s="78">
        <f>'7 - ENCARGOS SOCIAIS'!$D$28</f>
        <v>0.12666581537651095</v>
      </c>
      <c r="K86" s="86">
        <f t="shared" si="7"/>
        <v>746.99433028203316</v>
      </c>
      <c r="L86" s="6"/>
      <c r="M86" s="8"/>
    </row>
    <row r="87" spans="2:13" ht="15.75" customHeight="1" x14ac:dyDescent="0.25">
      <c r="B87" s="14" t="s">
        <v>155</v>
      </c>
      <c r="C87" s="571" t="s">
        <v>156</v>
      </c>
      <c r="D87" s="537"/>
      <c r="E87" s="537"/>
      <c r="F87" s="537"/>
      <c r="G87" s="537"/>
      <c r="H87" s="537"/>
      <c r="I87" s="538"/>
      <c r="J87" s="78">
        <f>'7 - ENCARGOS SOCIAIS'!$D$32</f>
        <v>5.9231502118822603E-2</v>
      </c>
      <c r="K87" s="86">
        <f t="shared" si="7"/>
        <v>349.30968647957462</v>
      </c>
      <c r="L87" s="6"/>
      <c r="M87" s="8"/>
    </row>
    <row r="88" spans="2:13" ht="15.75" customHeight="1" x14ac:dyDescent="0.25">
      <c r="B88" s="17"/>
      <c r="C88" s="552" t="s">
        <v>157</v>
      </c>
      <c r="D88" s="537"/>
      <c r="E88" s="537"/>
      <c r="F88" s="537"/>
      <c r="G88" s="537"/>
      <c r="H88" s="537"/>
      <c r="I88" s="538"/>
      <c r="J88" s="83">
        <f t="shared" ref="J88:K88" si="8">SUM(J84:J87)</f>
        <v>0.70776976896623567</v>
      </c>
      <c r="K88" s="98">
        <f t="shared" si="8"/>
        <v>4173.9754565290968</v>
      </c>
      <c r="L88" s="6"/>
      <c r="M88" s="8"/>
    </row>
    <row r="89" spans="2:13" ht="33.75" customHeight="1" x14ac:dyDescent="0.25">
      <c r="B89" s="61" t="s">
        <v>158</v>
      </c>
      <c r="C89" s="572" t="s">
        <v>159</v>
      </c>
      <c r="D89" s="537"/>
      <c r="E89" s="537"/>
      <c r="F89" s="537"/>
      <c r="G89" s="538"/>
      <c r="H89" s="59" t="s">
        <v>160</v>
      </c>
      <c r="I89" s="61" t="s">
        <v>120</v>
      </c>
      <c r="J89" s="61" t="s">
        <v>161</v>
      </c>
      <c r="K89" s="61" t="s">
        <v>121</v>
      </c>
      <c r="L89" s="6"/>
      <c r="M89" s="8"/>
    </row>
    <row r="90" spans="2:13" ht="15" customHeight="1" x14ac:dyDescent="0.25">
      <c r="B90" s="14" t="s">
        <v>162</v>
      </c>
      <c r="C90" s="561" t="s">
        <v>163</v>
      </c>
      <c r="D90" s="537"/>
      <c r="E90" s="537"/>
      <c r="F90" s="537"/>
      <c r="G90" s="538"/>
      <c r="H90" s="14">
        <v>26</v>
      </c>
      <c r="I90" s="88">
        <v>27.15</v>
      </c>
      <c r="J90" s="89">
        <v>0.19</v>
      </c>
      <c r="K90" s="44">
        <f>(H90*I90)-((H90*I90)*J90)</f>
        <v>571.779</v>
      </c>
      <c r="L90" s="6"/>
      <c r="M90" s="8"/>
    </row>
    <row r="91" spans="2:13" ht="15.75" customHeight="1" x14ac:dyDescent="0.25">
      <c r="B91" s="14" t="s">
        <v>164</v>
      </c>
      <c r="C91" s="571" t="s">
        <v>176</v>
      </c>
      <c r="D91" s="537"/>
      <c r="E91" s="537"/>
      <c r="F91" s="537"/>
      <c r="G91" s="538"/>
      <c r="H91" s="14">
        <f>H90*4</f>
        <v>104</v>
      </c>
      <c r="I91" s="93">
        <v>6.25</v>
      </c>
      <c r="J91" s="89">
        <v>0.06</v>
      </c>
      <c r="K91" s="44">
        <f>(H91*I91)-(K74*J91)</f>
        <v>434</v>
      </c>
      <c r="L91" s="6"/>
      <c r="M91" s="8"/>
    </row>
    <row r="92" spans="2:13" ht="15.75" customHeight="1" x14ac:dyDescent="0.25">
      <c r="B92" s="14" t="s">
        <v>166</v>
      </c>
      <c r="C92" s="571" t="s">
        <v>167</v>
      </c>
      <c r="D92" s="537"/>
      <c r="E92" s="537"/>
      <c r="F92" s="537"/>
      <c r="G92" s="538"/>
      <c r="H92" s="3">
        <v>1</v>
      </c>
      <c r="I92" s="88">
        <v>25.52</v>
      </c>
      <c r="J92" s="26"/>
      <c r="K92" s="94">
        <f>I92</f>
        <v>25.52</v>
      </c>
      <c r="L92" s="6"/>
      <c r="M92" s="8"/>
    </row>
    <row r="93" spans="2:13" ht="15.75" customHeight="1" x14ac:dyDescent="0.25">
      <c r="B93" s="26"/>
      <c r="C93" s="570" t="s">
        <v>170</v>
      </c>
      <c r="D93" s="537"/>
      <c r="E93" s="537"/>
      <c r="F93" s="537"/>
      <c r="G93" s="537"/>
      <c r="H93" s="537"/>
      <c r="I93" s="538"/>
      <c r="J93" s="75"/>
      <c r="K93" s="108">
        <f>SUM(K90:K92)</f>
        <v>1031.299</v>
      </c>
      <c r="L93" s="6"/>
      <c r="M93" s="8"/>
    </row>
    <row r="94" spans="2:13" ht="15.75" customHeight="1" x14ac:dyDescent="0.25">
      <c r="B94" s="573" t="s">
        <v>227</v>
      </c>
      <c r="C94" s="564"/>
      <c r="D94" s="564"/>
      <c r="E94" s="564"/>
      <c r="F94" s="564"/>
      <c r="G94" s="564"/>
      <c r="H94" s="564"/>
      <c r="I94" s="564"/>
      <c r="J94" s="565"/>
      <c r="K94" s="111">
        <f>K93+K88+K82</f>
        <v>11102.637751129234</v>
      </c>
      <c r="L94" s="6"/>
      <c r="M94" s="8"/>
    </row>
    <row r="95" spans="2:13" ht="15.75" customHeight="1" x14ac:dyDescent="0.25">
      <c r="B95" s="574" t="s">
        <v>172</v>
      </c>
      <c r="C95" s="535"/>
      <c r="D95" s="535"/>
      <c r="E95" s="535"/>
      <c r="F95" s="535"/>
      <c r="G95" s="535"/>
      <c r="H95" s="575"/>
      <c r="I95" s="99">
        <v>1</v>
      </c>
      <c r="J95" s="99" t="s">
        <v>173</v>
      </c>
      <c r="K95" s="112">
        <f>K94*I95</f>
        <v>11102.637751129234</v>
      </c>
      <c r="L95" s="6"/>
      <c r="M95" s="8"/>
    </row>
    <row r="96" spans="2:13" ht="15.75" customHeight="1" x14ac:dyDescent="0.25">
      <c r="K96" s="1"/>
      <c r="L96" s="6"/>
      <c r="M96" s="8"/>
    </row>
    <row r="97" spans="2:13" ht="15.75" customHeight="1" x14ac:dyDescent="0.25">
      <c r="B97" s="568" t="s">
        <v>229</v>
      </c>
      <c r="C97" s="537"/>
      <c r="D97" s="537"/>
      <c r="E97" s="537"/>
      <c r="F97" s="537"/>
      <c r="G97" s="537"/>
      <c r="H97" s="537"/>
      <c r="I97" s="537"/>
      <c r="J97" s="537"/>
      <c r="K97" s="538"/>
      <c r="L97" s="6"/>
      <c r="M97" s="8"/>
    </row>
    <row r="98" spans="2:13" ht="15.75" customHeight="1" x14ac:dyDescent="0.25">
      <c r="B98" s="58" t="s">
        <v>116</v>
      </c>
      <c r="C98" s="569" t="s">
        <v>117</v>
      </c>
      <c r="D98" s="537"/>
      <c r="E98" s="537"/>
      <c r="F98" s="537"/>
      <c r="G98" s="537"/>
      <c r="H98" s="537"/>
      <c r="I98" s="538"/>
      <c r="J98" s="61"/>
      <c r="K98" s="61" t="s">
        <v>121</v>
      </c>
      <c r="L98" s="6"/>
      <c r="M98" s="8"/>
    </row>
    <row r="99" spans="2:13" ht="15.75" customHeight="1" x14ac:dyDescent="0.25">
      <c r="B99" s="3" t="s">
        <v>122</v>
      </c>
      <c r="C99" s="559" t="s">
        <v>123</v>
      </c>
      <c r="D99" s="537"/>
      <c r="E99" s="537"/>
      <c r="F99" s="537"/>
      <c r="G99" s="537"/>
      <c r="H99" s="537"/>
      <c r="I99" s="538"/>
      <c r="J99" s="74"/>
      <c r="K99" s="86">
        <f>'6 - DADOS CC MO'!E56</f>
        <v>2307.83</v>
      </c>
      <c r="L99" s="6"/>
      <c r="M99" s="8"/>
    </row>
    <row r="100" spans="2:13" ht="15.75" customHeight="1" x14ac:dyDescent="0.25">
      <c r="B100" s="3"/>
      <c r="C100" s="570" t="s">
        <v>142</v>
      </c>
      <c r="D100" s="537"/>
      <c r="E100" s="537"/>
      <c r="F100" s="537"/>
      <c r="G100" s="537"/>
      <c r="H100" s="537"/>
      <c r="I100" s="538"/>
      <c r="J100" s="75"/>
      <c r="K100" s="90">
        <f>K99</f>
        <v>2307.83</v>
      </c>
      <c r="L100" s="6"/>
      <c r="M100" s="8"/>
    </row>
    <row r="101" spans="2:13" ht="15.75" customHeight="1" x14ac:dyDescent="0.25">
      <c r="B101" s="61" t="s">
        <v>145</v>
      </c>
      <c r="C101" s="569" t="s">
        <v>146</v>
      </c>
      <c r="D101" s="537"/>
      <c r="E101" s="537"/>
      <c r="F101" s="537"/>
      <c r="G101" s="537"/>
      <c r="H101" s="537"/>
      <c r="I101" s="538"/>
      <c r="J101" s="61" t="s">
        <v>141</v>
      </c>
      <c r="K101" s="61" t="s">
        <v>121</v>
      </c>
      <c r="L101" s="6"/>
      <c r="M101" s="8"/>
    </row>
    <row r="102" spans="2:13" ht="15" customHeight="1" x14ac:dyDescent="0.25">
      <c r="B102" s="14" t="s">
        <v>147</v>
      </c>
      <c r="C102" s="571" t="s">
        <v>148</v>
      </c>
      <c r="D102" s="537"/>
      <c r="E102" s="537"/>
      <c r="F102" s="537"/>
      <c r="G102" s="537"/>
      <c r="H102" s="537"/>
      <c r="I102" s="538"/>
      <c r="J102" s="78">
        <f>'7 - ENCARGOS SOCIAIS'!$D$13</f>
        <v>0.36800000000000005</v>
      </c>
      <c r="K102" s="86">
        <f t="shared" ref="K102:K105" si="9">J102*$K$100</f>
        <v>849.28144000000009</v>
      </c>
      <c r="L102" s="6"/>
      <c r="M102" s="8"/>
    </row>
    <row r="103" spans="2:13" ht="15.75" customHeight="1" x14ac:dyDescent="0.25">
      <c r="B103" s="14" t="s">
        <v>150</v>
      </c>
      <c r="C103" s="571" t="s">
        <v>151</v>
      </c>
      <c r="D103" s="537"/>
      <c r="E103" s="537"/>
      <c r="F103" s="537"/>
      <c r="G103" s="537"/>
      <c r="H103" s="537"/>
      <c r="I103" s="538"/>
      <c r="J103" s="78">
        <f>'7 - ENCARGOS SOCIAIS'!$D$21</f>
        <v>0.15387245147090212</v>
      </c>
      <c r="K103" s="86">
        <f t="shared" si="9"/>
        <v>355.11145967809205</v>
      </c>
      <c r="L103" s="6"/>
      <c r="M103" s="8"/>
    </row>
    <row r="104" spans="2:13" ht="15.75" customHeight="1" x14ac:dyDescent="0.25">
      <c r="B104" s="14" t="s">
        <v>152</v>
      </c>
      <c r="C104" s="571" t="s">
        <v>153</v>
      </c>
      <c r="D104" s="537"/>
      <c r="E104" s="537"/>
      <c r="F104" s="537"/>
      <c r="G104" s="537"/>
      <c r="H104" s="537"/>
      <c r="I104" s="538"/>
      <c r="J104" s="78">
        <f>'7 - ENCARGOS SOCIAIS'!$D$28</f>
        <v>0.12666581537651095</v>
      </c>
      <c r="K104" s="86">
        <f t="shared" si="9"/>
        <v>292.32316870037323</v>
      </c>
      <c r="L104" s="6"/>
      <c r="M104" s="8"/>
    </row>
    <row r="105" spans="2:13" ht="15.75" customHeight="1" x14ac:dyDescent="0.25">
      <c r="B105" s="14" t="s">
        <v>155</v>
      </c>
      <c r="C105" s="571" t="s">
        <v>156</v>
      </c>
      <c r="D105" s="537"/>
      <c r="E105" s="537"/>
      <c r="F105" s="537"/>
      <c r="G105" s="537"/>
      <c r="H105" s="537"/>
      <c r="I105" s="538"/>
      <c r="J105" s="78">
        <f>'7 - ENCARGOS SOCIAIS'!$D$32</f>
        <v>5.9231502118822603E-2</v>
      </c>
      <c r="K105" s="86">
        <f t="shared" si="9"/>
        <v>136.69623753488236</v>
      </c>
      <c r="L105" s="6"/>
      <c r="M105" s="8"/>
    </row>
    <row r="106" spans="2:13" ht="15.75" customHeight="1" x14ac:dyDescent="0.25">
      <c r="B106" s="17"/>
      <c r="C106" s="552" t="s">
        <v>157</v>
      </c>
      <c r="D106" s="537"/>
      <c r="E106" s="537"/>
      <c r="F106" s="537"/>
      <c r="G106" s="537"/>
      <c r="H106" s="537"/>
      <c r="I106" s="538"/>
      <c r="J106" s="83">
        <f t="shared" ref="J106:K106" si="10">SUM(J102:J105)</f>
        <v>0.70776976896623567</v>
      </c>
      <c r="K106" s="98">
        <f t="shared" si="10"/>
        <v>1633.4123059133478</v>
      </c>
      <c r="L106" s="6"/>
      <c r="M106" s="8"/>
    </row>
    <row r="107" spans="2:13" ht="30" customHeight="1" x14ac:dyDescent="0.25">
      <c r="B107" s="61" t="s">
        <v>158</v>
      </c>
      <c r="C107" s="572" t="s">
        <v>159</v>
      </c>
      <c r="D107" s="537"/>
      <c r="E107" s="537"/>
      <c r="F107" s="537"/>
      <c r="G107" s="538"/>
      <c r="H107" s="59" t="s">
        <v>160</v>
      </c>
      <c r="I107" s="61" t="s">
        <v>120</v>
      </c>
      <c r="J107" s="61" t="s">
        <v>161</v>
      </c>
      <c r="K107" s="61" t="s">
        <v>121</v>
      </c>
      <c r="L107" s="6"/>
      <c r="M107" s="8"/>
    </row>
    <row r="108" spans="2:13" ht="15" customHeight="1" x14ac:dyDescent="0.25">
      <c r="B108" s="14" t="s">
        <v>162</v>
      </c>
      <c r="C108" s="561" t="s">
        <v>163</v>
      </c>
      <c r="D108" s="537"/>
      <c r="E108" s="537"/>
      <c r="F108" s="537"/>
      <c r="G108" s="538"/>
      <c r="H108" s="14">
        <v>26</v>
      </c>
      <c r="I108" s="88">
        <v>27.15</v>
      </c>
      <c r="J108" s="89">
        <v>0.19</v>
      </c>
      <c r="K108" s="44">
        <f>(H108*I108)-((H108*I108)*J108)</f>
        <v>571.779</v>
      </c>
      <c r="L108" s="6"/>
      <c r="M108" s="8"/>
    </row>
    <row r="109" spans="2:13" ht="15.75" customHeight="1" x14ac:dyDescent="0.25">
      <c r="B109" s="14" t="s">
        <v>164</v>
      </c>
      <c r="C109" s="571" t="s">
        <v>165</v>
      </c>
      <c r="D109" s="537"/>
      <c r="E109" s="537"/>
      <c r="F109" s="537"/>
      <c r="G109" s="538"/>
      <c r="H109" s="14">
        <f>H108*4</f>
        <v>104</v>
      </c>
      <c r="I109" s="93">
        <v>6.25</v>
      </c>
      <c r="J109" s="89">
        <v>0.06</v>
      </c>
      <c r="K109" s="44">
        <f>(H109*I109)-(K99*J109)</f>
        <v>511.53020000000004</v>
      </c>
      <c r="L109" s="6"/>
      <c r="M109" s="8"/>
    </row>
    <row r="110" spans="2:13" ht="15.75" customHeight="1" x14ac:dyDescent="0.25">
      <c r="B110" s="14" t="s">
        <v>166</v>
      </c>
      <c r="C110" s="571" t="s">
        <v>167</v>
      </c>
      <c r="D110" s="537"/>
      <c r="E110" s="537"/>
      <c r="F110" s="537"/>
      <c r="G110" s="538"/>
      <c r="H110" s="3">
        <v>1</v>
      </c>
      <c r="I110" s="88">
        <v>25.52</v>
      </c>
      <c r="J110" s="26"/>
      <c r="K110" s="131">
        <f t="shared" ref="K110:K111" si="11">I110</f>
        <v>25.52</v>
      </c>
      <c r="L110" s="6"/>
      <c r="M110" s="8"/>
    </row>
    <row r="111" spans="2:13" ht="15.75" customHeight="1" x14ac:dyDescent="0.25">
      <c r="B111" s="14" t="s">
        <v>168</v>
      </c>
      <c r="C111" s="580" t="s">
        <v>207</v>
      </c>
      <c r="D111" s="537"/>
      <c r="E111" s="537"/>
      <c r="F111" s="537"/>
      <c r="G111" s="538"/>
      <c r="H111" s="3">
        <v>1</v>
      </c>
      <c r="I111" s="88">
        <v>80</v>
      </c>
      <c r="J111" s="26"/>
      <c r="K111" s="94">
        <f t="shared" si="11"/>
        <v>80</v>
      </c>
      <c r="L111" s="6"/>
      <c r="M111" s="8"/>
    </row>
    <row r="112" spans="2:13" ht="15.75" customHeight="1" x14ac:dyDescent="0.25">
      <c r="B112" s="26"/>
      <c r="C112" s="570" t="s">
        <v>170</v>
      </c>
      <c r="D112" s="537"/>
      <c r="E112" s="537"/>
      <c r="F112" s="537"/>
      <c r="G112" s="537"/>
      <c r="H112" s="537"/>
      <c r="I112" s="538"/>
      <c r="J112" s="75"/>
      <c r="K112" s="108">
        <f>SUM(K108:K111)</f>
        <v>1188.8292000000001</v>
      </c>
      <c r="L112" s="6"/>
      <c r="M112" s="8"/>
    </row>
    <row r="113" spans="2:13" ht="15.75" customHeight="1" x14ac:dyDescent="0.25">
      <c r="B113" s="573" t="s">
        <v>232</v>
      </c>
      <c r="C113" s="564"/>
      <c r="D113" s="564"/>
      <c r="E113" s="564"/>
      <c r="F113" s="564"/>
      <c r="G113" s="564"/>
      <c r="H113" s="564"/>
      <c r="I113" s="564"/>
      <c r="J113" s="565"/>
      <c r="K113" s="111">
        <f>K112+K106+K100</f>
        <v>5130.0715059133481</v>
      </c>
      <c r="L113" s="6"/>
      <c r="M113" s="8"/>
    </row>
    <row r="114" spans="2:13" ht="15.75" customHeight="1" x14ac:dyDescent="0.25">
      <c r="B114" s="574" t="s">
        <v>172</v>
      </c>
      <c r="C114" s="535"/>
      <c r="D114" s="535"/>
      <c r="E114" s="535"/>
      <c r="F114" s="535"/>
      <c r="G114" s="535"/>
      <c r="H114" s="575"/>
      <c r="I114" s="99">
        <f>H10</f>
        <v>1</v>
      </c>
      <c r="J114" s="99" t="s">
        <v>173</v>
      </c>
      <c r="K114" s="112">
        <f>K113*I114</f>
        <v>5130.0715059133481</v>
      </c>
      <c r="L114" s="6"/>
      <c r="M114" s="8"/>
    </row>
    <row r="115" spans="2:13" ht="15.75" customHeight="1" x14ac:dyDescent="0.25">
      <c r="K115" s="1"/>
      <c r="L115" s="6"/>
      <c r="M115" s="8"/>
    </row>
    <row r="116" spans="2:13" ht="15.75" customHeight="1" x14ac:dyDescent="0.25">
      <c r="B116" s="568" t="s">
        <v>234</v>
      </c>
      <c r="C116" s="537"/>
      <c r="D116" s="537"/>
      <c r="E116" s="537"/>
      <c r="F116" s="537"/>
      <c r="G116" s="537"/>
      <c r="H116" s="537"/>
      <c r="I116" s="537"/>
      <c r="J116" s="537"/>
      <c r="K116" s="538"/>
      <c r="L116" s="6"/>
      <c r="M116" s="8"/>
    </row>
    <row r="117" spans="2:13" ht="15.75" customHeight="1" x14ac:dyDescent="0.25">
      <c r="B117" s="58" t="s">
        <v>116</v>
      </c>
      <c r="C117" s="569" t="s">
        <v>117</v>
      </c>
      <c r="D117" s="537"/>
      <c r="E117" s="537"/>
      <c r="F117" s="537"/>
      <c r="G117" s="538"/>
      <c r="H117" s="59" t="s">
        <v>118</v>
      </c>
      <c r="I117" s="105" t="s">
        <v>119</v>
      </c>
      <c r="J117" s="61" t="s">
        <v>120</v>
      </c>
      <c r="K117" s="61" t="s">
        <v>121</v>
      </c>
      <c r="L117" s="6"/>
      <c r="M117" s="8"/>
    </row>
    <row r="118" spans="2:13" ht="15.75" customHeight="1" x14ac:dyDescent="0.25">
      <c r="B118" s="14" t="s">
        <v>122</v>
      </c>
      <c r="C118" s="571" t="s">
        <v>123</v>
      </c>
      <c r="D118" s="537"/>
      <c r="E118" s="537"/>
      <c r="F118" s="537"/>
      <c r="G118" s="538"/>
      <c r="H118" s="3">
        <v>220</v>
      </c>
      <c r="I118" s="14" t="s">
        <v>126</v>
      </c>
      <c r="J118" s="66">
        <f>K118/H118</f>
        <v>9.6690909090909081</v>
      </c>
      <c r="K118" s="86">
        <f>'6 - DADOS CC MO'!E34</f>
        <v>2127.1999999999998</v>
      </c>
      <c r="L118" s="6"/>
      <c r="M118" s="8"/>
    </row>
    <row r="119" spans="2:13" ht="15.75" customHeight="1" x14ac:dyDescent="0.25">
      <c r="B119" s="14" t="s">
        <v>195</v>
      </c>
      <c r="C119" s="63" t="s">
        <v>130</v>
      </c>
      <c r="D119" s="68"/>
      <c r="E119" s="68"/>
      <c r="F119" s="68"/>
      <c r="G119" s="69"/>
      <c r="H119" s="71">
        <f>7+1/3</f>
        <v>7.333333333333333</v>
      </c>
      <c r="I119" s="14" t="s">
        <v>126</v>
      </c>
      <c r="J119" s="66">
        <f>J118*2</f>
        <v>19.338181818181816</v>
      </c>
      <c r="K119" s="67">
        <f>H119*J119</f>
        <v>141.8133333333333</v>
      </c>
      <c r="L119" s="6"/>
      <c r="M119" s="8"/>
    </row>
    <row r="120" spans="2:13" ht="15" customHeight="1" x14ac:dyDescent="0.25">
      <c r="B120" s="14" t="s">
        <v>198</v>
      </c>
      <c r="C120" s="63" t="s">
        <v>135</v>
      </c>
      <c r="D120" s="68"/>
      <c r="E120" s="68"/>
      <c r="F120" s="68"/>
      <c r="G120" s="69"/>
      <c r="H120" s="71"/>
      <c r="I120" s="14"/>
      <c r="J120" s="66">
        <f>61/304*(SUM(K119))</f>
        <v>28.455964912280699</v>
      </c>
      <c r="K120" s="67">
        <f>J120</f>
        <v>28.455964912280699</v>
      </c>
      <c r="L120" s="6"/>
      <c r="M120" s="8"/>
    </row>
    <row r="121" spans="2:13" ht="15.75" customHeight="1" x14ac:dyDescent="0.25">
      <c r="B121" s="14" t="s">
        <v>129</v>
      </c>
      <c r="C121" s="571" t="s">
        <v>139</v>
      </c>
      <c r="D121" s="537"/>
      <c r="E121" s="537"/>
      <c r="F121" s="537"/>
      <c r="G121" s="538"/>
      <c r="H121" s="3">
        <v>40</v>
      </c>
      <c r="I121" s="14" t="s">
        <v>141</v>
      </c>
      <c r="J121" s="74"/>
      <c r="K121" s="86">
        <f>K118*40%</f>
        <v>850.88</v>
      </c>
      <c r="L121" s="6"/>
      <c r="M121" s="8"/>
    </row>
    <row r="122" spans="2:13" ht="15.75" customHeight="1" x14ac:dyDescent="0.25">
      <c r="B122" s="3"/>
      <c r="C122" s="570" t="s">
        <v>142</v>
      </c>
      <c r="D122" s="537"/>
      <c r="E122" s="537"/>
      <c r="F122" s="537"/>
      <c r="G122" s="537"/>
      <c r="H122" s="537"/>
      <c r="I122" s="538"/>
      <c r="J122" s="75"/>
      <c r="K122" s="90">
        <f>SUM(K118:K121)</f>
        <v>3148.3492982456141</v>
      </c>
      <c r="L122" s="6"/>
      <c r="M122" s="8"/>
    </row>
    <row r="123" spans="2:13" ht="15.75" customHeight="1" x14ac:dyDescent="0.25">
      <c r="B123" s="61" t="s">
        <v>145</v>
      </c>
      <c r="C123" s="569" t="s">
        <v>146</v>
      </c>
      <c r="D123" s="537"/>
      <c r="E123" s="537"/>
      <c r="F123" s="537"/>
      <c r="G123" s="537"/>
      <c r="H123" s="537"/>
      <c r="I123" s="538"/>
      <c r="J123" s="61" t="s">
        <v>141</v>
      </c>
      <c r="K123" s="61" t="s">
        <v>121</v>
      </c>
      <c r="L123" s="6"/>
      <c r="M123" s="8"/>
    </row>
    <row r="124" spans="2:13" ht="15.75" customHeight="1" x14ac:dyDescent="0.25">
      <c r="B124" s="14" t="s">
        <v>147</v>
      </c>
      <c r="C124" s="571" t="s">
        <v>148</v>
      </c>
      <c r="D124" s="537"/>
      <c r="E124" s="537"/>
      <c r="F124" s="537"/>
      <c r="G124" s="537"/>
      <c r="H124" s="537"/>
      <c r="I124" s="538"/>
      <c r="J124" s="78">
        <f>'7 - ENCARGOS SOCIAIS'!$D$13</f>
        <v>0.36800000000000005</v>
      </c>
      <c r="K124" s="86">
        <f t="shared" ref="K124:K127" si="12">J124*$K$122</f>
        <v>1158.592541754386</v>
      </c>
      <c r="L124" s="6"/>
      <c r="M124" s="8"/>
    </row>
    <row r="125" spans="2:13" ht="15.75" customHeight="1" x14ac:dyDescent="0.25">
      <c r="B125" s="14" t="s">
        <v>150</v>
      </c>
      <c r="C125" s="571" t="s">
        <v>151</v>
      </c>
      <c r="D125" s="537"/>
      <c r="E125" s="537"/>
      <c r="F125" s="537"/>
      <c r="G125" s="537"/>
      <c r="H125" s="537"/>
      <c r="I125" s="538"/>
      <c r="J125" s="78">
        <f>'7 - ENCARGOS SOCIAIS'!$D$21</f>
        <v>0.15387245147090212</v>
      </c>
      <c r="K125" s="86">
        <f t="shared" si="12"/>
        <v>484.444224607747</v>
      </c>
      <c r="L125" s="6"/>
      <c r="M125" s="8"/>
    </row>
    <row r="126" spans="2:13" ht="15.75" customHeight="1" x14ac:dyDescent="0.25">
      <c r="B126" s="14" t="s">
        <v>152</v>
      </c>
      <c r="C126" s="571" t="s">
        <v>153</v>
      </c>
      <c r="D126" s="537"/>
      <c r="E126" s="537"/>
      <c r="F126" s="537"/>
      <c r="G126" s="537"/>
      <c r="H126" s="537"/>
      <c r="I126" s="538"/>
      <c r="J126" s="78">
        <f>'7 - ENCARGOS SOCIAIS'!$D$28</f>
        <v>0.12666581537651095</v>
      </c>
      <c r="K126" s="86">
        <f t="shared" si="12"/>
        <v>398.78823095234674</v>
      </c>
      <c r="L126" s="6"/>
      <c r="M126" s="8"/>
    </row>
    <row r="127" spans="2:13" ht="15.75" customHeight="1" x14ac:dyDescent="0.25">
      <c r="B127" s="14" t="s">
        <v>155</v>
      </c>
      <c r="C127" s="571" t="s">
        <v>156</v>
      </c>
      <c r="D127" s="537"/>
      <c r="E127" s="537"/>
      <c r="F127" s="537"/>
      <c r="G127" s="537"/>
      <c r="H127" s="537"/>
      <c r="I127" s="538"/>
      <c r="J127" s="78">
        <f>'7 - ENCARGOS SOCIAIS'!$D$32</f>
        <v>5.9231502118822603E-2</v>
      </c>
      <c r="K127" s="86">
        <f t="shared" si="12"/>
        <v>186.48145812982875</v>
      </c>
      <c r="L127" s="6"/>
      <c r="M127" s="8"/>
    </row>
    <row r="128" spans="2:13" ht="15.75" customHeight="1" x14ac:dyDescent="0.25">
      <c r="B128" s="17"/>
      <c r="C128" s="552" t="s">
        <v>157</v>
      </c>
      <c r="D128" s="537"/>
      <c r="E128" s="537"/>
      <c r="F128" s="537"/>
      <c r="G128" s="537"/>
      <c r="H128" s="537"/>
      <c r="I128" s="538"/>
      <c r="J128" s="83">
        <f t="shared" ref="J128:K128" si="13">SUM(J124:J127)</f>
        <v>0.70776976896623567</v>
      </c>
      <c r="K128" s="98">
        <f t="shared" si="13"/>
        <v>2228.3064554443085</v>
      </c>
      <c r="L128" s="6"/>
      <c r="M128" s="8"/>
    </row>
    <row r="129" spans="2:13" ht="32.25" customHeight="1" x14ac:dyDescent="0.25">
      <c r="B129" s="61" t="s">
        <v>158</v>
      </c>
      <c r="C129" s="572" t="s">
        <v>159</v>
      </c>
      <c r="D129" s="537"/>
      <c r="E129" s="537"/>
      <c r="F129" s="537"/>
      <c r="G129" s="538"/>
      <c r="H129" s="59" t="s">
        <v>160</v>
      </c>
      <c r="I129" s="61" t="s">
        <v>120</v>
      </c>
      <c r="J129" s="61" t="s">
        <v>161</v>
      </c>
      <c r="K129" s="61" t="s">
        <v>121</v>
      </c>
      <c r="L129" s="6"/>
      <c r="M129" s="8"/>
    </row>
    <row r="130" spans="2:13" ht="15.75" customHeight="1" x14ac:dyDescent="0.25">
      <c r="B130" s="14" t="s">
        <v>162</v>
      </c>
      <c r="C130" s="571" t="s">
        <v>174</v>
      </c>
      <c r="D130" s="537"/>
      <c r="E130" s="537"/>
      <c r="F130" s="537"/>
      <c r="G130" s="538"/>
      <c r="H130" s="3">
        <v>26</v>
      </c>
      <c r="I130" s="88">
        <v>27.15</v>
      </c>
      <c r="J130" s="104">
        <v>0.19</v>
      </c>
      <c r="K130" s="44">
        <f>(H130*I130)-((H130*I130)*J130)</f>
        <v>571.779</v>
      </c>
      <c r="L130" s="6"/>
      <c r="M130" s="8"/>
    </row>
    <row r="131" spans="2:13" ht="15.75" customHeight="1" x14ac:dyDescent="0.25">
      <c r="B131" s="14" t="s">
        <v>164</v>
      </c>
      <c r="C131" s="561" t="s">
        <v>176</v>
      </c>
      <c r="D131" s="537"/>
      <c r="E131" s="537"/>
      <c r="F131" s="537"/>
      <c r="G131" s="538"/>
      <c r="H131" s="3">
        <f>H130*4</f>
        <v>104</v>
      </c>
      <c r="I131" s="93">
        <v>6.25</v>
      </c>
      <c r="J131" s="104">
        <v>0.06</v>
      </c>
      <c r="K131" s="44">
        <f>(H131*I131)-(K118*J131)</f>
        <v>522.36800000000005</v>
      </c>
      <c r="L131" s="6"/>
      <c r="M131" s="8"/>
    </row>
    <row r="132" spans="2:13" ht="15.75" customHeight="1" x14ac:dyDescent="0.25">
      <c r="B132" s="14" t="s">
        <v>166</v>
      </c>
      <c r="C132" s="571" t="s">
        <v>167</v>
      </c>
      <c r="D132" s="537"/>
      <c r="E132" s="537"/>
      <c r="F132" s="537"/>
      <c r="G132" s="538"/>
      <c r="H132" s="3">
        <v>1</v>
      </c>
      <c r="I132" s="88">
        <v>25.52</v>
      </c>
      <c r="J132" s="26"/>
      <c r="K132" s="94">
        <f>I132</f>
        <v>25.52</v>
      </c>
      <c r="L132" s="6"/>
      <c r="M132" s="8"/>
    </row>
    <row r="133" spans="2:13" ht="15.75" customHeight="1" x14ac:dyDescent="0.25">
      <c r="B133" s="26"/>
      <c r="C133" s="570" t="s">
        <v>170</v>
      </c>
      <c r="D133" s="537"/>
      <c r="E133" s="537"/>
      <c r="F133" s="537"/>
      <c r="G133" s="537"/>
      <c r="H133" s="537"/>
      <c r="I133" s="538"/>
      <c r="J133" s="75"/>
      <c r="K133" s="108">
        <f>SUM(K130:K132)</f>
        <v>1119.6669999999999</v>
      </c>
      <c r="L133" s="6"/>
      <c r="M133" s="8"/>
    </row>
    <row r="134" spans="2:13" ht="15.75" customHeight="1" x14ac:dyDescent="0.25">
      <c r="B134" s="573" t="s">
        <v>253</v>
      </c>
      <c r="C134" s="564"/>
      <c r="D134" s="564"/>
      <c r="E134" s="564"/>
      <c r="F134" s="564"/>
      <c r="G134" s="564"/>
      <c r="H134" s="564"/>
      <c r="I134" s="564"/>
      <c r="J134" s="565"/>
      <c r="K134" s="111">
        <f>K133+K128+K122</f>
        <v>6496.322753689923</v>
      </c>
      <c r="L134" s="6"/>
      <c r="M134" s="8"/>
    </row>
    <row r="135" spans="2:13" ht="15.75" customHeight="1" x14ac:dyDescent="0.25">
      <c r="B135" s="574" t="s">
        <v>172</v>
      </c>
      <c r="C135" s="535"/>
      <c r="D135" s="535"/>
      <c r="E135" s="535"/>
      <c r="F135" s="535"/>
      <c r="G135" s="535"/>
      <c r="H135" s="575"/>
      <c r="I135" s="99">
        <v>1</v>
      </c>
      <c r="J135" s="99" t="s">
        <v>173</v>
      </c>
      <c r="K135" s="112">
        <f>K134*I135</f>
        <v>6496.322753689923</v>
      </c>
      <c r="L135" s="6"/>
      <c r="M135" s="8"/>
    </row>
    <row r="136" spans="2:13" ht="15.75" customHeight="1" x14ac:dyDescent="0.25">
      <c r="K136" s="1"/>
      <c r="L136" s="6"/>
      <c r="M136" s="8"/>
    </row>
    <row r="137" spans="2:13" ht="15.75" customHeight="1" x14ac:dyDescent="0.25">
      <c r="B137" s="581" t="s">
        <v>255</v>
      </c>
      <c r="C137" s="537"/>
      <c r="D137" s="537"/>
      <c r="E137" s="537"/>
      <c r="F137" s="537"/>
      <c r="G137" s="537"/>
      <c r="H137" s="537"/>
      <c r="I137" s="537"/>
      <c r="J137" s="537"/>
      <c r="K137" s="538"/>
      <c r="L137" s="6"/>
      <c r="M137" s="8"/>
    </row>
    <row r="138" spans="2:13" ht="15.75" customHeight="1" x14ac:dyDescent="0.25">
      <c r="B138" s="80" t="s">
        <v>116</v>
      </c>
      <c r="C138" s="582" t="s">
        <v>117</v>
      </c>
      <c r="D138" s="537"/>
      <c r="E138" s="537"/>
      <c r="F138" s="537"/>
      <c r="G138" s="538"/>
      <c r="H138" s="100" t="s">
        <v>118</v>
      </c>
      <c r="I138" s="117" t="s">
        <v>119</v>
      </c>
      <c r="J138" s="81" t="s">
        <v>120</v>
      </c>
      <c r="K138" s="81" t="s">
        <v>121</v>
      </c>
      <c r="L138" s="6"/>
      <c r="M138" s="8"/>
    </row>
    <row r="139" spans="2:13" ht="15.75" customHeight="1" x14ac:dyDescent="0.25">
      <c r="B139" s="36" t="s">
        <v>122</v>
      </c>
      <c r="C139" s="580" t="s">
        <v>123</v>
      </c>
      <c r="D139" s="537"/>
      <c r="E139" s="537"/>
      <c r="F139" s="537"/>
      <c r="G139" s="538"/>
      <c r="H139" s="33">
        <v>220</v>
      </c>
      <c r="I139" s="36" t="s">
        <v>126</v>
      </c>
      <c r="J139" s="118">
        <f>K139/H139</f>
        <v>9.6690909090909081</v>
      </c>
      <c r="K139" s="85">
        <v>2127.1999999999998</v>
      </c>
      <c r="L139" s="6"/>
      <c r="M139" s="8"/>
    </row>
    <row r="140" spans="2:13" ht="15.75" customHeight="1" x14ac:dyDescent="0.25">
      <c r="B140" s="583" t="s">
        <v>129</v>
      </c>
      <c r="C140" s="584" t="s">
        <v>178</v>
      </c>
      <c r="D140" s="542"/>
      <c r="E140" s="542"/>
      <c r="F140" s="542"/>
      <c r="G140" s="577"/>
      <c r="H140" s="121">
        <v>112.67</v>
      </c>
      <c r="I140" s="33" t="s">
        <v>180</v>
      </c>
      <c r="J140" s="82"/>
      <c r="K140" s="85"/>
      <c r="L140" s="6"/>
      <c r="M140" s="8"/>
    </row>
    <row r="141" spans="2:13" ht="15.75" customHeight="1" x14ac:dyDescent="0.25">
      <c r="B141" s="550"/>
      <c r="C141" s="578"/>
      <c r="D141" s="544"/>
      <c r="E141" s="544"/>
      <c r="F141" s="544"/>
      <c r="G141" s="579"/>
      <c r="H141" s="127">
        <v>128.76</v>
      </c>
      <c r="I141" s="33" t="s">
        <v>181</v>
      </c>
      <c r="J141" s="121">
        <f>J139*0.2</f>
        <v>1.9338181818181817</v>
      </c>
      <c r="K141" s="85">
        <f t="shared" ref="K141:K142" si="14">J141*H141</f>
        <v>248.99842909090904</v>
      </c>
      <c r="L141" s="6"/>
      <c r="M141" s="8"/>
    </row>
    <row r="142" spans="2:13" ht="15.75" customHeight="1" x14ac:dyDescent="0.25">
      <c r="B142" s="36" t="s">
        <v>183</v>
      </c>
      <c r="C142" s="50" t="s">
        <v>130</v>
      </c>
      <c r="D142" s="119"/>
      <c r="E142" s="119"/>
      <c r="F142" s="119"/>
      <c r="G142" s="120"/>
      <c r="H142" s="121">
        <f>7+1/3-H143</f>
        <v>3</v>
      </c>
      <c r="I142" s="33" t="s">
        <v>126</v>
      </c>
      <c r="J142" s="121">
        <f>J139*2</f>
        <v>19.338181818181816</v>
      </c>
      <c r="K142" s="85">
        <f t="shared" si="14"/>
        <v>58.014545454545448</v>
      </c>
      <c r="L142" s="6"/>
      <c r="M142" s="8"/>
    </row>
    <row r="143" spans="2:13" ht="15.75" customHeight="1" x14ac:dyDescent="0.25">
      <c r="B143" s="36" t="s">
        <v>185</v>
      </c>
      <c r="C143" s="50" t="s">
        <v>186</v>
      </c>
      <c r="D143" s="119"/>
      <c r="E143" s="119"/>
      <c r="F143" s="119"/>
      <c r="G143" s="120"/>
      <c r="H143" s="121">
        <f>4+1/3</f>
        <v>4.333333333333333</v>
      </c>
      <c r="I143" s="33" t="s">
        <v>126</v>
      </c>
      <c r="J143" s="33"/>
      <c r="K143" s="85"/>
      <c r="L143" s="6"/>
      <c r="M143" s="8"/>
    </row>
    <row r="144" spans="2:13" ht="15.75" customHeight="1" x14ac:dyDescent="0.25">
      <c r="B144" s="36" t="s">
        <v>188</v>
      </c>
      <c r="C144" s="50" t="s">
        <v>189</v>
      </c>
      <c r="D144" s="119"/>
      <c r="E144" s="119"/>
      <c r="F144" s="119"/>
      <c r="G144" s="120"/>
      <c r="H144" s="121">
        <f>H143*8/7</f>
        <v>4.9523809523809517</v>
      </c>
      <c r="I144" s="33" t="s">
        <v>126</v>
      </c>
      <c r="J144" s="121">
        <f>J139*2*1.2</f>
        <v>23.205818181818177</v>
      </c>
      <c r="K144" s="85">
        <f>J144*H144</f>
        <v>114.92405194805191</v>
      </c>
      <c r="L144" s="6"/>
      <c r="M144" s="8"/>
    </row>
    <row r="145" spans="2:13" ht="15.75" customHeight="1" x14ac:dyDescent="0.25">
      <c r="B145" s="36" t="s">
        <v>192</v>
      </c>
      <c r="C145" s="50" t="s">
        <v>200</v>
      </c>
      <c r="D145" s="119"/>
      <c r="E145" s="119"/>
      <c r="F145" s="119"/>
      <c r="G145" s="120"/>
      <c r="H145" s="33"/>
      <c r="I145" s="7"/>
      <c r="J145" s="121">
        <f>61/304*(SUM(K141:K144))</f>
        <v>84.664995447710169</v>
      </c>
      <c r="K145" s="85">
        <f>J145</f>
        <v>84.664995447710169</v>
      </c>
      <c r="L145" s="6"/>
      <c r="M145" s="8"/>
    </row>
    <row r="146" spans="2:13" ht="15.75" customHeight="1" x14ac:dyDescent="0.25">
      <c r="B146" s="36" t="s">
        <v>134</v>
      </c>
      <c r="C146" s="580" t="s">
        <v>139</v>
      </c>
      <c r="D146" s="537"/>
      <c r="E146" s="537"/>
      <c r="F146" s="537"/>
      <c r="G146" s="538"/>
      <c r="H146" s="33">
        <v>40</v>
      </c>
      <c r="I146" s="36" t="s">
        <v>141</v>
      </c>
      <c r="J146" s="82"/>
      <c r="K146" s="85">
        <f>K139*40%</f>
        <v>850.88</v>
      </c>
      <c r="L146" s="6"/>
      <c r="M146" s="8"/>
    </row>
    <row r="147" spans="2:13" ht="15.75" customHeight="1" x14ac:dyDescent="0.25">
      <c r="B147" s="33"/>
      <c r="C147" s="585" t="s">
        <v>142</v>
      </c>
      <c r="D147" s="537"/>
      <c r="E147" s="537"/>
      <c r="F147" s="537"/>
      <c r="G147" s="537"/>
      <c r="H147" s="537"/>
      <c r="I147" s="538"/>
      <c r="J147" s="52"/>
      <c r="K147" s="87">
        <f>SUM(K139:K146)</f>
        <v>3484.6820219412166</v>
      </c>
      <c r="L147" s="6"/>
      <c r="M147" s="8"/>
    </row>
    <row r="148" spans="2:13" ht="15.75" customHeight="1" x14ac:dyDescent="0.25">
      <c r="B148" s="81" t="s">
        <v>145</v>
      </c>
      <c r="C148" s="582" t="s">
        <v>146</v>
      </c>
      <c r="D148" s="537"/>
      <c r="E148" s="537"/>
      <c r="F148" s="537"/>
      <c r="G148" s="537"/>
      <c r="H148" s="537"/>
      <c r="I148" s="538"/>
      <c r="J148" s="81" t="s">
        <v>141</v>
      </c>
      <c r="K148" s="81" t="s">
        <v>121</v>
      </c>
      <c r="L148" s="6"/>
      <c r="M148" s="8"/>
    </row>
    <row r="149" spans="2:13" ht="15.75" customHeight="1" x14ac:dyDescent="0.25">
      <c r="B149" s="36" t="s">
        <v>147</v>
      </c>
      <c r="C149" s="580" t="s">
        <v>148</v>
      </c>
      <c r="D149" s="537"/>
      <c r="E149" s="537"/>
      <c r="F149" s="537"/>
      <c r="G149" s="537"/>
      <c r="H149" s="537"/>
      <c r="I149" s="538"/>
      <c r="J149" s="78">
        <f>'7 - ENCARGOS SOCIAIS'!$D$13</f>
        <v>0.36800000000000005</v>
      </c>
      <c r="K149" s="85">
        <f>J149*K147</f>
        <v>1282.3629840743679</v>
      </c>
      <c r="L149" s="6"/>
      <c r="M149" s="8"/>
    </row>
    <row r="150" spans="2:13" ht="15.75" customHeight="1" x14ac:dyDescent="0.25">
      <c r="B150" s="36" t="s">
        <v>150</v>
      </c>
      <c r="C150" s="580" t="s">
        <v>151</v>
      </c>
      <c r="D150" s="537"/>
      <c r="E150" s="537"/>
      <c r="F150" s="537"/>
      <c r="G150" s="537"/>
      <c r="H150" s="537"/>
      <c r="I150" s="538"/>
      <c r="J150" s="78">
        <f>'7 - ENCARGOS SOCIAIS'!$D$21</f>
        <v>0.15387245147090212</v>
      </c>
      <c r="K150" s="85">
        <f>J150*K147</f>
        <v>536.19656531267492</v>
      </c>
      <c r="L150" s="6"/>
      <c r="M150" s="8"/>
    </row>
    <row r="151" spans="2:13" ht="15.75" customHeight="1" x14ac:dyDescent="0.25">
      <c r="B151" s="36" t="s">
        <v>152</v>
      </c>
      <c r="C151" s="580" t="s">
        <v>153</v>
      </c>
      <c r="D151" s="537"/>
      <c r="E151" s="537"/>
      <c r="F151" s="537"/>
      <c r="G151" s="537"/>
      <c r="H151" s="537"/>
      <c r="I151" s="538"/>
      <c r="J151" s="78">
        <f>'7 - ENCARGOS SOCIAIS'!$D$28</f>
        <v>0.12666581537651095</v>
      </c>
      <c r="K151" s="85">
        <f>J151*K147</f>
        <v>441.39008963705299</v>
      </c>
      <c r="L151" s="6"/>
      <c r="M151" s="8"/>
    </row>
    <row r="152" spans="2:13" ht="15.75" customHeight="1" x14ac:dyDescent="0.25">
      <c r="B152" s="36" t="s">
        <v>155</v>
      </c>
      <c r="C152" s="580" t="s">
        <v>156</v>
      </c>
      <c r="D152" s="537"/>
      <c r="E152" s="537"/>
      <c r="F152" s="537"/>
      <c r="G152" s="537"/>
      <c r="H152" s="537"/>
      <c r="I152" s="538"/>
      <c r="J152" s="78">
        <f>'7 - ENCARGOS SOCIAIS'!$D$32</f>
        <v>5.9231502118822603E-2</v>
      </c>
      <c r="K152" s="85">
        <f>J152*K147</f>
        <v>206.40295056603421</v>
      </c>
      <c r="L152" s="6"/>
      <c r="M152" s="8"/>
    </row>
    <row r="153" spans="2:13" ht="15.75" customHeight="1" x14ac:dyDescent="0.25">
      <c r="B153" s="20"/>
      <c r="C153" s="586" t="s">
        <v>157</v>
      </c>
      <c r="D153" s="537"/>
      <c r="E153" s="537"/>
      <c r="F153" s="537"/>
      <c r="G153" s="537"/>
      <c r="H153" s="537"/>
      <c r="I153" s="538"/>
      <c r="J153" s="96">
        <f t="shared" ref="J153:K153" si="15">SUM(J149:J152)</f>
        <v>0.70776976896623567</v>
      </c>
      <c r="K153" s="97">
        <f t="shared" si="15"/>
        <v>2466.3525895901298</v>
      </c>
      <c r="L153" s="6"/>
      <c r="M153" s="8"/>
    </row>
    <row r="154" spans="2:13" ht="33.75" customHeight="1" x14ac:dyDescent="0.25">
      <c r="B154" s="81" t="s">
        <v>158</v>
      </c>
      <c r="C154" s="587" t="s">
        <v>159</v>
      </c>
      <c r="D154" s="537"/>
      <c r="E154" s="537"/>
      <c r="F154" s="537"/>
      <c r="G154" s="538"/>
      <c r="H154" s="100" t="s">
        <v>160</v>
      </c>
      <c r="I154" s="81" t="s">
        <v>120</v>
      </c>
      <c r="J154" s="81" t="s">
        <v>161</v>
      </c>
      <c r="K154" s="81" t="s">
        <v>121</v>
      </c>
      <c r="L154" s="6"/>
      <c r="M154" s="8"/>
    </row>
    <row r="155" spans="2:13" ht="15.75" customHeight="1" x14ac:dyDescent="0.25">
      <c r="B155" s="36" t="s">
        <v>162</v>
      </c>
      <c r="C155" s="580" t="s">
        <v>174</v>
      </c>
      <c r="D155" s="537"/>
      <c r="E155" s="537"/>
      <c r="F155" s="537"/>
      <c r="G155" s="538"/>
      <c r="H155" s="36">
        <v>26</v>
      </c>
      <c r="I155" s="102">
        <v>27.15</v>
      </c>
      <c r="J155" s="103">
        <v>0.19</v>
      </c>
      <c r="K155" s="42">
        <f>(H155*I155)-((H155*I155)*0.19)</f>
        <v>571.779</v>
      </c>
      <c r="L155" s="6"/>
      <c r="M155" s="8"/>
    </row>
    <row r="156" spans="2:13" ht="15.75" customHeight="1" x14ac:dyDescent="0.25">
      <c r="B156" s="36" t="s">
        <v>164</v>
      </c>
      <c r="C156" s="580" t="s">
        <v>177</v>
      </c>
      <c r="D156" s="537"/>
      <c r="E156" s="537"/>
      <c r="F156" s="537"/>
      <c r="G156" s="538"/>
      <c r="H156" s="36">
        <f>H155*4</f>
        <v>104</v>
      </c>
      <c r="I156" s="106">
        <v>6.25</v>
      </c>
      <c r="J156" s="103">
        <v>0.06</v>
      </c>
      <c r="K156" s="42">
        <f>(H156*I156)-(K139*0.06)</f>
        <v>522.36800000000005</v>
      </c>
      <c r="L156" s="6"/>
      <c r="M156" s="8"/>
    </row>
    <row r="157" spans="2:13" ht="15.75" customHeight="1" x14ac:dyDescent="0.25">
      <c r="B157" s="36" t="s">
        <v>166</v>
      </c>
      <c r="C157" s="580" t="s">
        <v>167</v>
      </c>
      <c r="D157" s="537"/>
      <c r="E157" s="537"/>
      <c r="F157" s="537"/>
      <c r="G157" s="538"/>
      <c r="H157" s="33">
        <v>1</v>
      </c>
      <c r="I157" s="102">
        <v>25.52</v>
      </c>
      <c r="J157" s="107"/>
      <c r="K157" s="132">
        <f>I157</f>
        <v>25.52</v>
      </c>
      <c r="L157" s="6"/>
      <c r="M157" s="8"/>
    </row>
    <row r="158" spans="2:13" ht="15.75" customHeight="1" x14ac:dyDescent="0.25">
      <c r="B158" s="107"/>
      <c r="C158" s="585" t="s">
        <v>170</v>
      </c>
      <c r="D158" s="537"/>
      <c r="E158" s="537"/>
      <c r="F158" s="537"/>
      <c r="G158" s="537"/>
      <c r="H158" s="537"/>
      <c r="I158" s="538"/>
      <c r="J158" s="52"/>
      <c r="K158" s="110">
        <f>SUM(K155:K157)</f>
        <v>1119.6669999999999</v>
      </c>
      <c r="L158" s="6"/>
      <c r="M158" s="8"/>
    </row>
    <row r="159" spans="2:13" ht="15.75" customHeight="1" x14ac:dyDescent="0.25">
      <c r="B159" s="588" t="s">
        <v>253</v>
      </c>
      <c r="C159" s="564"/>
      <c r="D159" s="564"/>
      <c r="E159" s="564"/>
      <c r="F159" s="564"/>
      <c r="G159" s="564"/>
      <c r="H159" s="564"/>
      <c r="I159" s="564"/>
      <c r="J159" s="565"/>
      <c r="K159" s="113">
        <f>K158+K153+K147</f>
        <v>7070.7016115313463</v>
      </c>
      <c r="L159" s="6"/>
      <c r="M159" s="8"/>
    </row>
    <row r="160" spans="2:13" ht="15.75" customHeight="1" x14ac:dyDescent="0.25">
      <c r="B160" s="574" t="s">
        <v>172</v>
      </c>
      <c r="C160" s="535"/>
      <c r="D160" s="535"/>
      <c r="E160" s="535"/>
      <c r="F160" s="535"/>
      <c r="G160" s="535"/>
      <c r="H160" s="575"/>
      <c r="I160" s="99">
        <v>1</v>
      </c>
      <c r="J160" s="99" t="s">
        <v>173</v>
      </c>
      <c r="K160" s="114">
        <f>K159*1</f>
        <v>7070.7016115313463</v>
      </c>
      <c r="L160" s="6"/>
      <c r="M160" s="8"/>
    </row>
    <row r="161" spans="2:13" ht="15.75" customHeight="1" x14ac:dyDescent="0.25">
      <c r="K161" s="1"/>
      <c r="L161" s="6"/>
      <c r="M161" s="8"/>
    </row>
    <row r="162" spans="2:13" ht="15" customHeight="1" x14ac:dyDescent="0.25">
      <c r="B162" s="568" t="s">
        <v>284</v>
      </c>
      <c r="C162" s="537"/>
      <c r="D162" s="537"/>
      <c r="E162" s="537"/>
      <c r="F162" s="537"/>
      <c r="G162" s="537"/>
      <c r="H162" s="537"/>
      <c r="I162" s="537"/>
      <c r="J162" s="537"/>
      <c r="K162" s="538"/>
      <c r="L162" s="6"/>
      <c r="M162" s="8"/>
    </row>
    <row r="163" spans="2:13" ht="15.75" customHeight="1" x14ac:dyDescent="0.25">
      <c r="B163" s="58" t="s">
        <v>116</v>
      </c>
      <c r="C163" s="569" t="s">
        <v>117</v>
      </c>
      <c r="D163" s="537"/>
      <c r="E163" s="537"/>
      <c r="F163" s="537"/>
      <c r="G163" s="538"/>
      <c r="H163" s="59" t="s">
        <v>118</v>
      </c>
      <c r="I163" s="105" t="s">
        <v>119</v>
      </c>
      <c r="J163" s="61" t="s">
        <v>120</v>
      </c>
      <c r="K163" s="61" t="s">
        <v>121</v>
      </c>
      <c r="L163" s="6"/>
      <c r="M163" s="8"/>
    </row>
    <row r="164" spans="2:13" ht="15.75" customHeight="1" x14ac:dyDescent="0.25">
      <c r="B164" s="14" t="s">
        <v>122</v>
      </c>
      <c r="C164" s="571" t="s">
        <v>123</v>
      </c>
      <c r="D164" s="537"/>
      <c r="E164" s="537"/>
      <c r="F164" s="537"/>
      <c r="G164" s="538"/>
      <c r="H164" s="3">
        <v>220</v>
      </c>
      <c r="I164" s="14" t="s">
        <v>126</v>
      </c>
      <c r="J164" s="66">
        <f>K164/H164</f>
        <v>8.6198181818181805</v>
      </c>
      <c r="K164" s="86">
        <v>1896.36</v>
      </c>
      <c r="L164" s="6"/>
      <c r="M164" s="8"/>
    </row>
    <row r="165" spans="2:13" ht="15.75" customHeight="1" x14ac:dyDescent="0.25">
      <c r="B165" s="14" t="s">
        <v>195</v>
      </c>
      <c r="C165" s="63" t="s">
        <v>130</v>
      </c>
      <c r="D165" s="68"/>
      <c r="E165" s="68"/>
      <c r="F165" s="68"/>
      <c r="G165" s="69"/>
      <c r="H165" s="71">
        <f>7+1/3</f>
        <v>7.333333333333333</v>
      </c>
      <c r="I165" s="14" t="s">
        <v>126</v>
      </c>
      <c r="J165" s="66">
        <f>J164*2</f>
        <v>17.239636363636361</v>
      </c>
      <c r="K165" s="67">
        <f>H165*J165</f>
        <v>126.42399999999998</v>
      </c>
      <c r="L165" s="6"/>
      <c r="M165" s="8"/>
    </row>
    <row r="166" spans="2:13" ht="15.75" customHeight="1" x14ac:dyDescent="0.25">
      <c r="B166" s="14" t="s">
        <v>198</v>
      </c>
      <c r="C166" s="63" t="s">
        <v>135</v>
      </c>
      <c r="D166" s="68"/>
      <c r="E166" s="68"/>
      <c r="F166" s="68"/>
      <c r="G166" s="69"/>
      <c r="H166" s="71"/>
      <c r="I166" s="14"/>
      <c r="J166" s="66">
        <f>61/304*(SUM(K165))</f>
        <v>25.367973684210522</v>
      </c>
      <c r="K166" s="67">
        <f>J166</f>
        <v>25.367973684210522</v>
      </c>
      <c r="L166" s="6"/>
      <c r="M166" s="8"/>
    </row>
    <row r="167" spans="2:13" ht="15.75" customHeight="1" x14ac:dyDescent="0.25">
      <c r="B167" s="14" t="s">
        <v>129</v>
      </c>
      <c r="C167" s="571" t="s">
        <v>139</v>
      </c>
      <c r="D167" s="537"/>
      <c r="E167" s="537"/>
      <c r="F167" s="537"/>
      <c r="G167" s="538"/>
      <c r="H167" s="3">
        <v>40</v>
      </c>
      <c r="I167" s="14" t="s">
        <v>141</v>
      </c>
      <c r="J167" s="74"/>
      <c r="K167" s="86">
        <f>K164*40%</f>
        <v>758.54399999999998</v>
      </c>
      <c r="L167" s="6"/>
      <c r="M167" s="8"/>
    </row>
    <row r="168" spans="2:13" ht="15.75" customHeight="1" x14ac:dyDescent="0.25">
      <c r="B168" s="3"/>
      <c r="C168" s="570" t="s">
        <v>142</v>
      </c>
      <c r="D168" s="537"/>
      <c r="E168" s="537"/>
      <c r="F168" s="537"/>
      <c r="G168" s="537"/>
      <c r="H168" s="537"/>
      <c r="I168" s="538"/>
      <c r="J168" s="75"/>
      <c r="K168" s="90">
        <f>SUM(K164:K167)</f>
        <v>2806.6959736842105</v>
      </c>
      <c r="L168" s="6"/>
      <c r="M168" s="8"/>
    </row>
    <row r="169" spans="2:13" ht="15.75" customHeight="1" x14ac:dyDescent="0.25">
      <c r="B169" s="61" t="s">
        <v>145</v>
      </c>
      <c r="C169" s="569" t="s">
        <v>146</v>
      </c>
      <c r="D169" s="537"/>
      <c r="E169" s="537"/>
      <c r="F169" s="537"/>
      <c r="G169" s="537"/>
      <c r="H169" s="537"/>
      <c r="I169" s="538"/>
      <c r="J169" s="61" t="s">
        <v>141</v>
      </c>
      <c r="K169" s="61" t="s">
        <v>121</v>
      </c>
      <c r="L169" s="6"/>
      <c r="M169" s="8"/>
    </row>
    <row r="170" spans="2:13" ht="15.75" customHeight="1" x14ac:dyDescent="0.25">
      <c r="B170" s="14" t="s">
        <v>147</v>
      </c>
      <c r="C170" s="571" t="s">
        <v>148</v>
      </c>
      <c r="D170" s="537"/>
      <c r="E170" s="537"/>
      <c r="F170" s="537"/>
      <c r="G170" s="537"/>
      <c r="H170" s="537"/>
      <c r="I170" s="538"/>
      <c r="J170" s="78">
        <f>'7 - ENCARGOS SOCIAIS'!D13</f>
        <v>0.36800000000000005</v>
      </c>
      <c r="K170" s="86">
        <f t="shared" ref="K170:K173" si="16">J170*$K$168</f>
        <v>1032.8641183157895</v>
      </c>
      <c r="L170" s="6"/>
      <c r="M170" s="8"/>
    </row>
    <row r="171" spans="2:13" ht="15.75" customHeight="1" x14ac:dyDescent="0.25">
      <c r="B171" s="14" t="s">
        <v>150</v>
      </c>
      <c r="C171" s="571" t="s">
        <v>151</v>
      </c>
      <c r="D171" s="537"/>
      <c r="E171" s="537"/>
      <c r="F171" s="537"/>
      <c r="G171" s="537"/>
      <c r="H171" s="537"/>
      <c r="I171" s="538"/>
      <c r="J171" s="78">
        <f>'7 - ENCARGOS SOCIAIS'!D21</f>
        <v>0.15387245147090212</v>
      </c>
      <c r="K171" s="86">
        <f t="shared" si="16"/>
        <v>431.87319000430006</v>
      </c>
      <c r="L171" s="6"/>
      <c r="M171" s="8"/>
    </row>
    <row r="172" spans="2:13" ht="15.75" customHeight="1" x14ac:dyDescent="0.25">
      <c r="B172" s="14" t="s">
        <v>152</v>
      </c>
      <c r="C172" s="571" t="s">
        <v>153</v>
      </c>
      <c r="D172" s="537"/>
      <c r="E172" s="537"/>
      <c r="F172" s="537"/>
      <c r="G172" s="537"/>
      <c r="H172" s="537"/>
      <c r="I172" s="538"/>
      <c r="J172" s="78">
        <f>'7 - ENCARGOS SOCIAIS'!D28</f>
        <v>0.12666581537651095</v>
      </c>
      <c r="K172" s="86">
        <f t="shared" si="16"/>
        <v>355.51243402068081</v>
      </c>
      <c r="L172" s="6"/>
      <c r="M172" s="8"/>
    </row>
    <row r="173" spans="2:13" ht="15.75" customHeight="1" x14ac:dyDescent="0.25">
      <c r="B173" s="14" t="s">
        <v>155</v>
      </c>
      <c r="C173" s="571" t="s">
        <v>156</v>
      </c>
      <c r="D173" s="537"/>
      <c r="E173" s="537"/>
      <c r="F173" s="537"/>
      <c r="G173" s="537"/>
      <c r="H173" s="537"/>
      <c r="I173" s="538"/>
      <c r="J173" s="78">
        <f>'7 - ENCARGOS SOCIAIS'!D32</f>
        <v>5.9231502118822603E-2</v>
      </c>
      <c r="K173" s="86">
        <f t="shared" si="16"/>
        <v>166.24481851216717</v>
      </c>
      <c r="L173" s="6"/>
      <c r="M173" s="8"/>
    </row>
    <row r="174" spans="2:13" ht="15.75" customHeight="1" x14ac:dyDescent="0.25">
      <c r="B174" s="17"/>
      <c r="C174" s="552" t="s">
        <v>157</v>
      </c>
      <c r="D174" s="537"/>
      <c r="E174" s="537"/>
      <c r="F174" s="537"/>
      <c r="G174" s="537"/>
      <c r="H174" s="537"/>
      <c r="I174" s="538"/>
      <c r="J174" s="83">
        <f t="shared" ref="J174:K174" si="17">SUM(J170:J173)</f>
        <v>0.70776976896623567</v>
      </c>
      <c r="K174" s="98">
        <f t="shared" si="17"/>
        <v>1986.4945608529374</v>
      </c>
      <c r="L174" s="6"/>
      <c r="M174" s="8"/>
    </row>
    <row r="175" spans="2:13" ht="27.75" customHeight="1" x14ac:dyDescent="0.25">
      <c r="B175" s="61" t="s">
        <v>158</v>
      </c>
      <c r="C175" s="572" t="s">
        <v>159</v>
      </c>
      <c r="D175" s="537"/>
      <c r="E175" s="537"/>
      <c r="F175" s="537"/>
      <c r="G175" s="538"/>
      <c r="H175" s="59" t="s">
        <v>160</v>
      </c>
      <c r="I175" s="61" t="s">
        <v>120</v>
      </c>
      <c r="J175" s="61" t="s">
        <v>161</v>
      </c>
      <c r="K175" s="61" t="s">
        <v>121</v>
      </c>
      <c r="L175" s="6"/>
      <c r="M175" s="8"/>
    </row>
    <row r="176" spans="2:13" ht="15.75" customHeight="1" x14ac:dyDescent="0.25">
      <c r="B176" s="14" t="s">
        <v>162</v>
      </c>
      <c r="C176" s="571" t="s">
        <v>174</v>
      </c>
      <c r="D176" s="537"/>
      <c r="E176" s="537"/>
      <c r="F176" s="537"/>
      <c r="G176" s="538"/>
      <c r="H176" s="3">
        <v>26</v>
      </c>
      <c r="I176" s="88">
        <v>27.15</v>
      </c>
      <c r="J176" s="104">
        <v>0.19</v>
      </c>
      <c r="K176" s="44">
        <f>(H176*I176)-((H176*I176)*J176)</f>
        <v>571.779</v>
      </c>
      <c r="L176" s="6"/>
      <c r="M176" s="8"/>
    </row>
    <row r="177" spans="2:13" ht="15" customHeight="1" x14ac:dyDescent="0.25">
      <c r="B177" s="14" t="s">
        <v>164</v>
      </c>
      <c r="C177" s="561" t="s">
        <v>176</v>
      </c>
      <c r="D177" s="537"/>
      <c r="E177" s="537"/>
      <c r="F177" s="537"/>
      <c r="G177" s="538"/>
      <c r="H177" s="3">
        <f>H176*4</f>
        <v>104</v>
      </c>
      <c r="I177" s="93">
        <v>6.25</v>
      </c>
      <c r="J177" s="104">
        <v>0.06</v>
      </c>
      <c r="K177" s="44">
        <f>(H177*I177)-(K164*J177)</f>
        <v>536.21839999999997</v>
      </c>
      <c r="L177" s="6"/>
      <c r="M177" s="8"/>
    </row>
    <row r="178" spans="2:13" ht="15.75" customHeight="1" x14ac:dyDescent="0.25">
      <c r="B178" s="14" t="s">
        <v>166</v>
      </c>
      <c r="C178" s="571" t="s">
        <v>167</v>
      </c>
      <c r="D178" s="537"/>
      <c r="E178" s="537"/>
      <c r="F178" s="537"/>
      <c r="G178" s="538"/>
      <c r="H178" s="3">
        <v>1</v>
      </c>
      <c r="I178" s="88">
        <v>25.52</v>
      </c>
      <c r="J178" s="26"/>
      <c r="K178" s="94">
        <f>I178</f>
        <v>25.52</v>
      </c>
      <c r="L178" s="6"/>
      <c r="M178" s="8"/>
    </row>
    <row r="179" spans="2:13" ht="15.75" customHeight="1" x14ac:dyDescent="0.25">
      <c r="B179" s="26"/>
      <c r="C179" s="570" t="s">
        <v>170</v>
      </c>
      <c r="D179" s="537"/>
      <c r="E179" s="537"/>
      <c r="F179" s="537"/>
      <c r="G179" s="537"/>
      <c r="H179" s="537"/>
      <c r="I179" s="538"/>
      <c r="J179" s="75"/>
      <c r="K179" s="108">
        <f>SUM(K176:K178)</f>
        <v>1133.5174</v>
      </c>
      <c r="L179" s="6"/>
      <c r="M179" s="8"/>
    </row>
    <row r="180" spans="2:13" ht="15" customHeight="1" x14ac:dyDescent="0.25">
      <c r="B180" s="573" t="s">
        <v>304</v>
      </c>
      <c r="C180" s="564"/>
      <c r="D180" s="564"/>
      <c r="E180" s="564"/>
      <c r="F180" s="564"/>
      <c r="G180" s="564"/>
      <c r="H180" s="564"/>
      <c r="I180" s="564"/>
      <c r="J180" s="565"/>
      <c r="K180" s="111">
        <f>K179+K174+K168</f>
        <v>5926.7079345371476</v>
      </c>
      <c r="L180" s="6"/>
      <c r="M180" s="8"/>
    </row>
    <row r="181" spans="2:13" ht="15.75" customHeight="1" x14ac:dyDescent="0.25">
      <c r="B181" s="574" t="s">
        <v>172</v>
      </c>
      <c r="C181" s="535"/>
      <c r="D181" s="535"/>
      <c r="E181" s="535"/>
      <c r="F181" s="535"/>
      <c r="G181" s="535"/>
      <c r="H181" s="575"/>
      <c r="I181" s="99">
        <v>1</v>
      </c>
      <c r="J181" s="99" t="s">
        <v>173</v>
      </c>
      <c r="K181" s="112">
        <f>K180*I181</f>
        <v>5926.7079345371476</v>
      </c>
      <c r="L181" s="6"/>
      <c r="M181" s="8"/>
    </row>
    <row r="182" spans="2:13" ht="15.75" customHeight="1" x14ac:dyDescent="0.25">
      <c r="K182" s="1"/>
      <c r="L182" s="6"/>
      <c r="M182" s="8"/>
    </row>
    <row r="183" spans="2:13" ht="15.75" customHeight="1" x14ac:dyDescent="0.25">
      <c r="B183" s="581" t="s">
        <v>313</v>
      </c>
      <c r="C183" s="537"/>
      <c r="D183" s="537"/>
      <c r="E183" s="537"/>
      <c r="F183" s="537"/>
      <c r="G183" s="537"/>
      <c r="H183" s="537"/>
      <c r="I183" s="537"/>
      <c r="J183" s="537"/>
      <c r="K183" s="538"/>
      <c r="L183" s="6"/>
      <c r="M183" s="8"/>
    </row>
    <row r="184" spans="2:13" ht="15.75" customHeight="1" x14ac:dyDescent="0.25">
      <c r="B184" s="80" t="s">
        <v>116</v>
      </c>
      <c r="C184" s="582" t="s">
        <v>117</v>
      </c>
      <c r="D184" s="537"/>
      <c r="E184" s="537"/>
      <c r="F184" s="537"/>
      <c r="G184" s="538"/>
      <c r="H184" s="100" t="s">
        <v>118</v>
      </c>
      <c r="I184" s="117" t="s">
        <v>119</v>
      </c>
      <c r="J184" s="81" t="s">
        <v>120</v>
      </c>
      <c r="K184" s="81" t="s">
        <v>121</v>
      </c>
      <c r="L184" s="6"/>
      <c r="M184" s="8"/>
    </row>
    <row r="185" spans="2:13" ht="15.75" customHeight="1" x14ac:dyDescent="0.25">
      <c r="B185" s="36" t="s">
        <v>122</v>
      </c>
      <c r="C185" s="580" t="s">
        <v>123</v>
      </c>
      <c r="D185" s="537"/>
      <c r="E185" s="537"/>
      <c r="F185" s="537"/>
      <c r="G185" s="538"/>
      <c r="H185" s="33">
        <v>220</v>
      </c>
      <c r="I185" s="36" t="s">
        <v>126</v>
      </c>
      <c r="J185" s="118">
        <f>K185/H185</f>
        <v>8.6198181818181805</v>
      </c>
      <c r="K185" s="85">
        <f>'6 - DADOS CC MO'!E45</f>
        <v>1896.36</v>
      </c>
      <c r="L185" s="6"/>
      <c r="M185" s="8"/>
    </row>
    <row r="186" spans="2:13" ht="15.75" customHeight="1" x14ac:dyDescent="0.25">
      <c r="B186" s="583" t="s">
        <v>129</v>
      </c>
      <c r="C186" s="584" t="s">
        <v>178</v>
      </c>
      <c r="D186" s="542"/>
      <c r="E186" s="542"/>
      <c r="F186" s="542"/>
      <c r="G186" s="577"/>
      <c r="H186" s="121">
        <v>112.67</v>
      </c>
      <c r="I186" s="33" t="s">
        <v>180</v>
      </c>
      <c r="J186" s="82"/>
      <c r="K186" s="85"/>
      <c r="L186" s="6"/>
      <c r="M186" s="8"/>
    </row>
    <row r="187" spans="2:13" ht="15.75" customHeight="1" x14ac:dyDescent="0.25">
      <c r="B187" s="550"/>
      <c r="C187" s="578"/>
      <c r="D187" s="544"/>
      <c r="E187" s="544"/>
      <c r="F187" s="544"/>
      <c r="G187" s="579"/>
      <c r="H187" s="127">
        <v>128.76</v>
      </c>
      <c r="I187" s="33" t="s">
        <v>181</v>
      </c>
      <c r="J187" s="121">
        <f>J185*0.2</f>
        <v>1.7239636363636361</v>
      </c>
      <c r="K187" s="85">
        <f t="shared" ref="K187:K188" si="18">J187*H187</f>
        <v>221.97755781818177</v>
      </c>
      <c r="L187" s="6"/>
      <c r="M187" s="8"/>
    </row>
    <row r="188" spans="2:13" ht="15.75" customHeight="1" x14ac:dyDescent="0.25">
      <c r="B188" s="36" t="s">
        <v>183</v>
      </c>
      <c r="C188" s="50" t="s">
        <v>130</v>
      </c>
      <c r="D188" s="119"/>
      <c r="E188" s="119"/>
      <c r="F188" s="119"/>
      <c r="G188" s="120"/>
      <c r="H188" s="121">
        <v>7.33</v>
      </c>
      <c r="I188" s="33" t="s">
        <v>126</v>
      </c>
      <c r="J188" s="121">
        <f>J185*2</f>
        <v>17.239636363636361</v>
      </c>
      <c r="K188" s="85">
        <f t="shared" si="18"/>
        <v>126.36653454545453</v>
      </c>
      <c r="L188" s="6"/>
      <c r="M188" s="8"/>
    </row>
    <row r="189" spans="2:13" ht="15.75" customHeight="1" x14ac:dyDescent="0.25">
      <c r="B189" s="36" t="s">
        <v>185</v>
      </c>
      <c r="C189" s="50" t="s">
        <v>186</v>
      </c>
      <c r="D189" s="119"/>
      <c r="E189" s="119"/>
      <c r="F189" s="119"/>
      <c r="G189" s="120"/>
      <c r="H189" s="121">
        <f>4+1/3</f>
        <v>4.333333333333333</v>
      </c>
      <c r="I189" s="33" t="s">
        <v>126</v>
      </c>
      <c r="J189" s="33"/>
      <c r="K189" s="85"/>
      <c r="L189" s="6"/>
      <c r="M189" s="8"/>
    </row>
    <row r="190" spans="2:13" ht="15.75" customHeight="1" x14ac:dyDescent="0.25">
      <c r="B190" s="36" t="s">
        <v>188</v>
      </c>
      <c r="C190" s="50" t="s">
        <v>189</v>
      </c>
      <c r="D190" s="119"/>
      <c r="E190" s="119"/>
      <c r="F190" s="119"/>
      <c r="G190" s="120"/>
      <c r="H190" s="121">
        <f>H189*8/7</f>
        <v>4.9523809523809517</v>
      </c>
      <c r="I190" s="33" t="s">
        <v>126</v>
      </c>
      <c r="J190" s="121">
        <f>J185*2*1.2</f>
        <v>20.687563636363631</v>
      </c>
      <c r="K190" s="85">
        <f>J190*H190</f>
        <v>102.45269610389606</v>
      </c>
      <c r="L190" s="6"/>
      <c r="M190" s="8"/>
    </row>
    <row r="191" spans="2:13" ht="15.75" customHeight="1" x14ac:dyDescent="0.25">
      <c r="B191" s="36" t="s">
        <v>192</v>
      </c>
      <c r="C191" s="50" t="s">
        <v>200</v>
      </c>
      <c r="D191" s="119"/>
      <c r="E191" s="119"/>
      <c r="F191" s="119"/>
      <c r="G191" s="120"/>
      <c r="H191" s="33"/>
      <c r="I191" s="7"/>
      <c r="J191" s="121">
        <f>61/304*(SUM(K187:K190))</f>
        <v>90.455934528024585</v>
      </c>
      <c r="K191" s="85">
        <f>J191</f>
        <v>90.455934528024585</v>
      </c>
      <c r="L191" s="6"/>
      <c r="M191" s="8"/>
    </row>
    <row r="192" spans="2:13" ht="15.75" customHeight="1" x14ac:dyDescent="0.25">
      <c r="B192" s="36" t="s">
        <v>134</v>
      </c>
      <c r="C192" s="580" t="s">
        <v>139</v>
      </c>
      <c r="D192" s="537"/>
      <c r="E192" s="537"/>
      <c r="F192" s="537"/>
      <c r="G192" s="538"/>
      <c r="H192" s="33">
        <v>40</v>
      </c>
      <c r="I192" s="36" t="s">
        <v>141</v>
      </c>
      <c r="J192" s="82"/>
      <c r="K192" s="85">
        <f>K185*40%</f>
        <v>758.54399999999998</v>
      </c>
      <c r="L192" s="6"/>
      <c r="M192" s="8"/>
    </row>
    <row r="193" spans="2:13" ht="15.75" customHeight="1" x14ac:dyDescent="0.25">
      <c r="B193" s="33"/>
      <c r="C193" s="585" t="s">
        <v>142</v>
      </c>
      <c r="D193" s="537"/>
      <c r="E193" s="537"/>
      <c r="F193" s="537"/>
      <c r="G193" s="537"/>
      <c r="H193" s="537"/>
      <c r="I193" s="538"/>
      <c r="J193" s="52"/>
      <c r="K193" s="87">
        <f>SUM(K185:K192)</f>
        <v>3196.1567229955567</v>
      </c>
      <c r="L193" s="6"/>
      <c r="M193" s="8"/>
    </row>
    <row r="194" spans="2:13" ht="15.75" customHeight="1" x14ac:dyDescent="0.25">
      <c r="B194" s="81" t="s">
        <v>145</v>
      </c>
      <c r="C194" s="582" t="s">
        <v>146</v>
      </c>
      <c r="D194" s="537"/>
      <c r="E194" s="537"/>
      <c r="F194" s="537"/>
      <c r="G194" s="537"/>
      <c r="H194" s="537"/>
      <c r="I194" s="538"/>
      <c r="J194" s="81" t="s">
        <v>141</v>
      </c>
      <c r="K194" s="81" t="s">
        <v>121</v>
      </c>
      <c r="L194" s="6"/>
      <c r="M194" s="8"/>
    </row>
    <row r="195" spans="2:13" ht="15.75" customHeight="1" x14ac:dyDescent="0.25">
      <c r="B195" s="36" t="s">
        <v>147</v>
      </c>
      <c r="C195" s="580" t="s">
        <v>148</v>
      </c>
      <c r="D195" s="537"/>
      <c r="E195" s="537"/>
      <c r="F195" s="537"/>
      <c r="G195" s="537"/>
      <c r="H195" s="537"/>
      <c r="I195" s="538"/>
      <c r="J195" s="78">
        <f>'7 - ENCARGOS SOCIAIS'!$D$13</f>
        <v>0.36800000000000005</v>
      </c>
      <c r="K195" s="85">
        <f>J195*K193</f>
        <v>1176.185674062365</v>
      </c>
      <c r="L195" s="6"/>
      <c r="M195" s="8"/>
    </row>
    <row r="196" spans="2:13" ht="15.75" customHeight="1" x14ac:dyDescent="0.25">
      <c r="B196" s="36" t="s">
        <v>150</v>
      </c>
      <c r="C196" s="580" t="s">
        <v>151</v>
      </c>
      <c r="D196" s="537"/>
      <c r="E196" s="537"/>
      <c r="F196" s="537"/>
      <c r="G196" s="537"/>
      <c r="H196" s="537"/>
      <c r="I196" s="538"/>
      <c r="J196" s="78">
        <f>'7 - ENCARGOS SOCIAIS'!$D$21</f>
        <v>0.15387245147090212</v>
      </c>
      <c r="K196" s="85">
        <f>J196*K193</f>
        <v>491.80047025253134</v>
      </c>
      <c r="L196" s="6"/>
      <c r="M196" s="8"/>
    </row>
    <row r="197" spans="2:13" ht="15.75" customHeight="1" x14ac:dyDescent="0.25">
      <c r="B197" s="36" t="s">
        <v>152</v>
      </c>
      <c r="C197" s="580" t="s">
        <v>153</v>
      </c>
      <c r="D197" s="537"/>
      <c r="E197" s="537"/>
      <c r="F197" s="537"/>
      <c r="G197" s="537"/>
      <c r="H197" s="537"/>
      <c r="I197" s="538"/>
      <c r="J197" s="78">
        <f>'7 - ENCARGOS SOCIAIS'!$D$28</f>
        <v>0.12666581537651095</v>
      </c>
      <c r="K197" s="85">
        <f>J197*K193</f>
        <v>404.84379738934945</v>
      </c>
      <c r="L197" s="6"/>
      <c r="M197" s="8"/>
    </row>
    <row r="198" spans="2:13" ht="15.75" customHeight="1" x14ac:dyDescent="0.25">
      <c r="B198" s="36" t="s">
        <v>155</v>
      </c>
      <c r="C198" s="580" t="s">
        <v>156</v>
      </c>
      <c r="D198" s="537"/>
      <c r="E198" s="537"/>
      <c r="F198" s="537"/>
      <c r="G198" s="537"/>
      <c r="H198" s="537"/>
      <c r="I198" s="538"/>
      <c r="J198" s="78">
        <f>'7 - ENCARGOS SOCIAIS'!$D$32</f>
        <v>5.9231502118822603E-2</v>
      </c>
      <c r="K198" s="85">
        <f>J198*K193</f>
        <v>189.31316371020043</v>
      </c>
      <c r="L198" s="6"/>
      <c r="M198" s="8"/>
    </row>
    <row r="199" spans="2:13" ht="15.75" customHeight="1" x14ac:dyDescent="0.25">
      <c r="B199" s="20"/>
      <c r="C199" s="586" t="s">
        <v>157</v>
      </c>
      <c r="D199" s="537"/>
      <c r="E199" s="537"/>
      <c r="F199" s="537"/>
      <c r="G199" s="537"/>
      <c r="H199" s="537"/>
      <c r="I199" s="538"/>
      <c r="J199" s="96">
        <f t="shared" ref="J199:K199" si="19">SUM(J195:J198)</f>
        <v>0.70776976896623567</v>
      </c>
      <c r="K199" s="97">
        <f t="shared" si="19"/>
        <v>2262.1431054144464</v>
      </c>
      <c r="L199" s="6"/>
      <c r="M199" s="8"/>
    </row>
    <row r="200" spans="2:13" ht="33" customHeight="1" x14ac:dyDescent="0.25">
      <c r="B200" s="81" t="s">
        <v>158</v>
      </c>
      <c r="C200" s="587" t="s">
        <v>159</v>
      </c>
      <c r="D200" s="537"/>
      <c r="E200" s="537"/>
      <c r="F200" s="537"/>
      <c r="G200" s="538"/>
      <c r="H200" s="100" t="s">
        <v>160</v>
      </c>
      <c r="I200" s="81" t="s">
        <v>120</v>
      </c>
      <c r="J200" s="81" t="s">
        <v>161</v>
      </c>
      <c r="K200" s="81" t="s">
        <v>121</v>
      </c>
      <c r="L200" s="6"/>
      <c r="M200" s="8"/>
    </row>
    <row r="201" spans="2:13" ht="15.75" customHeight="1" x14ac:dyDescent="0.25">
      <c r="B201" s="36" t="s">
        <v>162</v>
      </c>
      <c r="C201" s="580" t="s">
        <v>174</v>
      </c>
      <c r="D201" s="537"/>
      <c r="E201" s="537"/>
      <c r="F201" s="537"/>
      <c r="G201" s="538"/>
      <c r="H201" s="36">
        <v>26</v>
      </c>
      <c r="I201" s="102">
        <v>27.15</v>
      </c>
      <c r="J201" s="103">
        <v>0.19</v>
      </c>
      <c r="K201" s="42">
        <f>(H201*I201)-((H201*I201)*0.19)</f>
        <v>571.779</v>
      </c>
      <c r="L201" s="6"/>
      <c r="M201" s="8"/>
    </row>
    <row r="202" spans="2:13" ht="15.75" customHeight="1" x14ac:dyDescent="0.25">
      <c r="B202" s="36" t="s">
        <v>164</v>
      </c>
      <c r="C202" s="580" t="s">
        <v>177</v>
      </c>
      <c r="D202" s="537"/>
      <c r="E202" s="537"/>
      <c r="F202" s="537"/>
      <c r="G202" s="538"/>
      <c r="H202" s="36">
        <f>H201*4</f>
        <v>104</v>
      </c>
      <c r="I202" s="106">
        <v>6.25</v>
      </c>
      <c r="J202" s="103">
        <v>0.06</v>
      </c>
      <c r="K202" s="42">
        <f>(H202*I202)-(K185*0.06)</f>
        <v>536.21839999999997</v>
      </c>
      <c r="L202" s="6"/>
      <c r="M202" s="8"/>
    </row>
    <row r="203" spans="2:13" ht="15.75" customHeight="1" x14ac:dyDescent="0.25">
      <c r="B203" s="36" t="s">
        <v>166</v>
      </c>
      <c r="C203" s="580" t="s">
        <v>167</v>
      </c>
      <c r="D203" s="537"/>
      <c r="E203" s="537"/>
      <c r="F203" s="537"/>
      <c r="G203" s="538"/>
      <c r="H203" s="33">
        <v>1</v>
      </c>
      <c r="I203" s="102">
        <v>25.52</v>
      </c>
      <c r="J203" s="107"/>
      <c r="K203" s="132">
        <f>I203</f>
        <v>25.52</v>
      </c>
      <c r="L203" s="6"/>
      <c r="M203" s="8"/>
    </row>
    <row r="204" spans="2:13" ht="15.75" customHeight="1" x14ac:dyDescent="0.25">
      <c r="B204" s="107"/>
      <c r="C204" s="585" t="s">
        <v>170</v>
      </c>
      <c r="D204" s="537"/>
      <c r="E204" s="537"/>
      <c r="F204" s="537"/>
      <c r="G204" s="537"/>
      <c r="H204" s="537"/>
      <c r="I204" s="538"/>
      <c r="J204" s="52"/>
      <c r="K204" s="110">
        <f>SUM(K201:K203)</f>
        <v>1133.5174</v>
      </c>
      <c r="L204" s="6"/>
      <c r="M204" s="8"/>
    </row>
    <row r="205" spans="2:13" ht="15.75" customHeight="1" x14ac:dyDescent="0.25">
      <c r="B205" s="588" t="s">
        <v>304</v>
      </c>
      <c r="C205" s="564"/>
      <c r="D205" s="564"/>
      <c r="E205" s="564"/>
      <c r="F205" s="564"/>
      <c r="G205" s="564"/>
      <c r="H205" s="564"/>
      <c r="I205" s="564"/>
      <c r="J205" s="565"/>
      <c r="K205" s="113">
        <f>K204+K199+K193</f>
        <v>6591.8172284100037</v>
      </c>
      <c r="L205" s="6"/>
      <c r="M205" s="8"/>
    </row>
    <row r="206" spans="2:13" ht="15.75" customHeight="1" x14ac:dyDescent="0.25">
      <c r="B206" s="574" t="s">
        <v>172</v>
      </c>
      <c r="C206" s="535"/>
      <c r="D206" s="535"/>
      <c r="E206" s="535"/>
      <c r="F206" s="535"/>
      <c r="G206" s="535"/>
      <c r="H206" s="575"/>
      <c r="I206" s="99">
        <v>1</v>
      </c>
      <c r="J206" s="99" t="s">
        <v>173</v>
      </c>
      <c r="K206" s="114">
        <f>K205*1</f>
        <v>6591.8172284100037</v>
      </c>
      <c r="L206" s="6"/>
      <c r="M206" s="8"/>
    </row>
    <row r="207" spans="2:13" ht="15.75" customHeight="1" x14ac:dyDescent="0.25">
      <c r="K207" s="1"/>
      <c r="L207" s="6"/>
      <c r="M207" s="8"/>
    </row>
    <row r="208" spans="2:13" ht="15.75" customHeight="1" x14ac:dyDescent="0.25">
      <c r="B208" s="568" t="s">
        <v>339</v>
      </c>
      <c r="C208" s="537"/>
      <c r="D208" s="537"/>
      <c r="E208" s="537"/>
      <c r="F208" s="537"/>
      <c r="G208" s="537"/>
      <c r="H208" s="537"/>
      <c r="I208" s="537"/>
      <c r="J208" s="537"/>
      <c r="K208" s="538"/>
      <c r="L208" s="6"/>
      <c r="M208" s="8"/>
    </row>
    <row r="209" spans="2:13" ht="15.75" customHeight="1" x14ac:dyDescent="0.25">
      <c r="B209" s="58" t="s">
        <v>116</v>
      </c>
      <c r="C209" s="569" t="s">
        <v>117</v>
      </c>
      <c r="D209" s="537"/>
      <c r="E209" s="537"/>
      <c r="F209" s="537"/>
      <c r="G209" s="538"/>
      <c r="H209" s="59" t="s">
        <v>118</v>
      </c>
      <c r="I209" s="105" t="s">
        <v>119</v>
      </c>
      <c r="J209" s="61" t="s">
        <v>120</v>
      </c>
      <c r="K209" s="61" t="s">
        <v>121</v>
      </c>
      <c r="L209" s="6"/>
      <c r="M209" s="8"/>
    </row>
    <row r="210" spans="2:13" ht="15.75" customHeight="1" x14ac:dyDescent="0.25">
      <c r="B210" s="3" t="s">
        <v>122</v>
      </c>
      <c r="C210" s="545" t="s">
        <v>123</v>
      </c>
      <c r="D210" s="537"/>
      <c r="E210" s="537"/>
      <c r="F210" s="537"/>
      <c r="G210" s="538"/>
      <c r="H210" s="3">
        <v>220</v>
      </c>
      <c r="I210" s="14" t="s">
        <v>126</v>
      </c>
      <c r="J210" s="66">
        <f>K210/H210</f>
        <v>8.0266363636363636</v>
      </c>
      <c r="K210" s="86">
        <v>1765.86</v>
      </c>
      <c r="L210" s="6"/>
      <c r="M210" s="8"/>
    </row>
    <row r="211" spans="2:13" ht="15.75" customHeight="1" x14ac:dyDescent="0.25">
      <c r="B211" s="14" t="s">
        <v>195</v>
      </c>
      <c r="C211" s="63" t="s">
        <v>130</v>
      </c>
      <c r="D211" s="68"/>
      <c r="E211" s="68"/>
      <c r="F211" s="68"/>
      <c r="G211" s="69"/>
      <c r="H211" s="71">
        <f>7+1/3</f>
        <v>7.333333333333333</v>
      </c>
      <c r="I211" s="14" t="s">
        <v>126</v>
      </c>
      <c r="J211" s="66">
        <f>J210*2</f>
        <v>16.053272727272727</v>
      </c>
      <c r="K211" s="67">
        <f>H211*J211</f>
        <v>117.72399999999999</v>
      </c>
      <c r="L211" s="6"/>
      <c r="M211" s="8"/>
    </row>
    <row r="212" spans="2:13" ht="15.75" customHeight="1" x14ac:dyDescent="0.25">
      <c r="B212" s="14" t="s">
        <v>198</v>
      </c>
      <c r="C212" s="63" t="s">
        <v>135</v>
      </c>
      <c r="D212" s="68"/>
      <c r="E212" s="68"/>
      <c r="F212" s="68"/>
      <c r="G212" s="69"/>
      <c r="H212" s="71"/>
      <c r="I212" s="14"/>
      <c r="J212" s="66">
        <f>61/304*(SUM(K211))</f>
        <v>23.622250000000001</v>
      </c>
      <c r="K212" s="67">
        <f>J212</f>
        <v>23.622250000000001</v>
      </c>
      <c r="L212" s="6"/>
      <c r="M212" s="8"/>
    </row>
    <row r="213" spans="2:13" ht="15.75" customHeight="1" x14ac:dyDescent="0.25">
      <c r="B213" s="3" t="s">
        <v>129</v>
      </c>
      <c r="C213" s="545" t="s">
        <v>139</v>
      </c>
      <c r="D213" s="537"/>
      <c r="E213" s="537"/>
      <c r="F213" s="537"/>
      <c r="G213" s="538"/>
      <c r="H213" s="3">
        <v>40</v>
      </c>
      <c r="I213" s="14" t="s">
        <v>141</v>
      </c>
      <c r="J213" s="74"/>
      <c r="K213" s="86">
        <f>K210*40%</f>
        <v>706.34400000000005</v>
      </c>
      <c r="L213" s="6"/>
      <c r="M213" s="8"/>
    </row>
    <row r="214" spans="2:13" ht="15.75" customHeight="1" x14ac:dyDescent="0.25">
      <c r="B214" s="3"/>
      <c r="C214" s="570" t="s">
        <v>142</v>
      </c>
      <c r="D214" s="537"/>
      <c r="E214" s="537"/>
      <c r="F214" s="537"/>
      <c r="G214" s="537"/>
      <c r="H214" s="537"/>
      <c r="I214" s="538"/>
      <c r="J214" s="75"/>
      <c r="K214" s="90">
        <f>SUM(K210:K213)</f>
        <v>2613.5502499999998</v>
      </c>
      <c r="L214" s="6"/>
      <c r="M214" s="8"/>
    </row>
    <row r="215" spans="2:13" ht="15.75" customHeight="1" x14ac:dyDescent="0.25">
      <c r="B215" s="61" t="s">
        <v>145</v>
      </c>
      <c r="C215" s="569" t="s">
        <v>146</v>
      </c>
      <c r="D215" s="537"/>
      <c r="E215" s="537"/>
      <c r="F215" s="537"/>
      <c r="G215" s="537"/>
      <c r="H215" s="537"/>
      <c r="I215" s="538"/>
      <c r="J215" s="61" t="s">
        <v>141</v>
      </c>
      <c r="K215" s="61" t="s">
        <v>121</v>
      </c>
      <c r="L215" s="6"/>
      <c r="M215" s="8"/>
    </row>
    <row r="216" spans="2:13" ht="15.75" customHeight="1" x14ac:dyDescent="0.25">
      <c r="B216" s="14" t="s">
        <v>147</v>
      </c>
      <c r="C216" s="571" t="s">
        <v>148</v>
      </c>
      <c r="D216" s="537"/>
      <c r="E216" s="537"/>
      <c r="F216" s="537"/>
      <c r="G216" s="537"/>
      <c r="H216" s="537"/>
      <c r="I216" s="538"/>
      <c r="J216" s="78">
        <f>'7 - ENCARGOS SOCIAIS'!$D$13</f>
        <v>0.36800000000000005</v>
      </c>
      <c r="K216" s="86">
        <f t="shared" ref="K216:K219" si="20">J216*$K$214</f>
        <v>961.78649200000007</v>
      </c>
      <c r="L216" s="6"/>
      <c r="M216" s="8"/>
    </row>
    <row r="217" spans="2:13" ht="15.75" customHeight="1" x14ac:dyDescent="0.25">
      <c r="B217" s="14" t="s">
        <v>150</v>
      </c>
      <c r="C217" s="571" t="s">
        <v>151</v>
      </c>
      <c r="D217" s="537"/>
      <c r="E217" s="537"/>
      <c r="F217" s="537"/>
      <c r="G217" s="537"/>
      <c r="H217" s="537"/>
      <c r="I217" s="538"/>
      <c r="J217" s="78">
        <f>'7 - ENCARGOS SOCIAIS'!$D$21</f>
        <v>0.15387245147090212</v>
      </c>
      <c r="K217" s="86">
        <f t="shared" si="20"/>
        <v>402.15338400988907</v>
      </c>
      <c r="L217" s="6"/>
      <c r="M217" s="8"/>
    </row>
    <row r="218" spans="2:13" ht="15.75" customHeight="1" x14ac:dyDescent="0.25">
      <c r="B218" s="14" t="s">
        <v>152</v>
      </c>
      <c r="C218" s="571" t="s">
        <v>153</v>
      </c>
      <c r="D218" s="537"/>
      <c r="E218" s="537"/>
      <c r="F218" s="537"/>
      <c r="G218" s="537"/>
      <c r="H218" s="537"/>
      <c r="I218" s="538"/>
      <c r="J218" s="78">
        <f>'7 - ENCARGOS SOCIAIS'!$D$28</f>
        <v>0.12666581537651095</v>
      </c>
      <c r="K218" s="86">
        <f t="shared" si="20"/>
        <v>331.04747344373402</v>
      </c>
      <c r="L218" s="6"/>
      <c r="M218" s="8"/>
    </row>
    <row r="219" spans="2:13" ht="15.75" customHeight="1" x14ac:dyDescent="0.25">
      <c r="B219" s="14" t="s">
        <v>155</v>
      </c>
      <c r="C219" s="571" t="s">
        <v>156</v>
      </c>
      <c r="D219" s="537"/>
      <c r="E219" s="537"/>
      <c r="F219" s="537"/>
      <c r="G219" s="537"/>
      <c r="H219" s="537"/>
      <c r="I219" s="538"/>
      <c r="J219" s="78">
        <f>'7 - ENCARGOS SOCIAIS'!$D$32</f>
        <v>5.9231502118822603E-2</v>
      </c>
      <c r="K219" s="86">
        <f t="shared" si="20"/>
        <v>154.80450717052432</v>
      </c>
      <c r="L219" s="6"/>
      <c r="M219" s="8"/>
    </row>
    <row r="220" spans="2:13" ht="15.75" customHeight="1" x14ac:dyDescent="0.25">
      <c r="B220" s="17"/>
      <c r="C220" s="552" t="s">
        <v>157</v>
      </c>
      <c r="D220" s="537"/>
      <c r="E220" s="537"/>
      <c r="F220" s="537"/>
      <c r="G220" s="537"/>
      <c r="H220" s="537"/>
      <c r="I220" s="538"/>
      <c r="J220" s="83">
        <f t="shared" ref="J220:K220" si="21">SUM(J216:J219)</f>
        <v>0.70776976896623567</v>
      </c>
      <c r="K220" s="98">
        <f t="shared" si="21"/>
        <v>1849.7918566241476</v>
      </c>
      <c r="L220" s="6"/>
      <c r="M220" s="8"/>
    </row>
    <row r="221" spans="2:13" ht="28.5" customHeight="1" x14ac:dyDescent="0.25">
      <c r="B221" s="61" t="s">
        <v>158</v>
      </c>
      <c r="C221" s="572" t="s">
        <v>159</v>
      </c>
      <c r="D221" s="537"/>
      <c r="E221" s="537"/>
      <c r="F221" s="537"/>
      <c r="G221" s="538"/>
      <c r="H221" s="59" t="s">
        <v>160</v>
      </c>
      <c r="I221" s="61" t="s">
        <v>120</v>
      </c>
      <c r="J221" s="61" t="s">
        <v>161</v>
      </c>
      <c r="K221" s="61" t="s">
        <v>121</v>
      </c>
      <c r="L221" s="6"/>
      <c r="M221" s="8"/>
    </row>
    <row r="222" spans="2:13" ht="15" customHeight="1" x14ac:dyDescent="0.25">
      <c r="B222" s="14" t="s">
        <v>162</v>
      </c>
      <c r="C222" s="561" t="s">
        <v>163</v>
      </c>
      <c r="D222" s="537"/>
      <c r="E222" s="537"/>
      <c r="F222" s="537"/>
      <c r="G222" s="538"/>
      <c r="H222" s="14">
        <v>26</v>
      </c>
      <c r="I222" s="88">
        <v>27.15</v>
      </c>
      <c r="J222" s="89">
        <v>0.19</v>
      </c>
      <c r="K222" s="44">
        <f>(H222*I222)-((H222*I222)*J222)</f>
        <v>571.779</v>
      </c>
      <c r="L222" s="6"/>
      <c r="M222" s="8"/>
    </row>
    <row r="223" spans="2:13" ht="15.75" customHeight="1" x14ac:dyDescent="0.25">
      <c r="B223" s="14" t="s">
        <v>164</v>
      </c>
      <c r="C223" s="571" t="s">
        <v>165</v>
      </c>
      <c r="D223" s="537"/>
      <c r="E223" s="537"/>
      <c r="F223" s="537"/>
      <c r="G223" s="538"/>
      <c r="H223" s="14">
        <f>H222*4</f>
        <v>104</v>
      </c>
      <c r="I223" s="93">
        <v>6.25</v>
      </c>
      <c r="J223" s="89">
        <v>0.06</v>
      </c>
      <c r="K223" s="44">
        <f>(H223*I223)-(K210*J223)</f>
        <v>544.04840000000002</v>
      </c>
      <c r="L223" s="6"/>
      <c r="M223" s="8"/>
    </row>
    <row r="224" spans="2:13" ht="15" customHeight="1" x14ac:dyDescent="0.25">
      <c r="B224" s="14" t="s">
        <v>166</v>
      </c>
      <c r="C224" s="571" t="s">
        <v>167</v>
      </c>
      <c r="D224" s="537"/>
      <c r="E224" s="537"/>
      <c r="F224" s="537"/>
      <c r="G224" s="538"/>
      <c r="H224" s="3">
        <v>1</v>
      </c>
      <c r="I224" s="88">
        <v>25.52</v>
      </c>
      <c r="J224" s="26"/>
      <c r="K224" s="131">
        <f t="shared" ref="K224:K225" si="22">I224</f>
        <v>25.52</v>
      </c>
      <c r="L224" s="6"/>
      <c r="M224" s="8"/>
    </row>
    <row r="225" spans="1:22" ht="15.75" customHeight="1" x14ac:dyDescent="0.25">
      <c r="B225" s="14" t="s">
        <v>168</v>
      </c>
      <c r="C225" s="580" t="s">
        <v>207</v>
      </c>
      <c r="D225" s="537"/>
      <c r="E225" s="537"/>
      <c r="F225" s="537"/>
      <c r="G225" s="538"/>
      <c r="H225" s="33">
        <v>1</v>
      </c>
      <c r="I225" s="102">
        <v>80</v>
      </c>
      <c r="J225" s="107"/>
      <c r="K225" s="132">
        <f t="shared" si="22"/>
        <v>80</v>
      </c>
      <c r="L225" s="6"/>
      <c r="M225" s="8"/>
    </row>
    <row r="226" spans="1:22" ht="15.75" customHeight="1" x14ac:dyDescent="0.25">
      <c r="B226" s="26"/>
      <c r="C226" s="570" t="s">
        <v>170</v>
      </c>
      <c r="D226" s="537"/>
      <c r="E226" s="537"/>
      <c r="F226" s="537"/>
      <c r="G226" s="537"/>
      <c r="H226" s="537"/>
      <c r="I226" s="538"/>
      <c r="J226" s="75"/>
      <c r="K226" s="108">
        <f>SUM(K222:K225)</f>
        <v>1221.3474000000001</v>
      </c>
      <c r="L226" s="6"/>
      <c r="M226" s="8"/>
    </row>
    <row r="227" spans="1:22" ht="15.75" customHeight="1" x14ac:dyDescent="0.25">
      <c r="B227" s="573" t="s">
        <v>351</v>
      </c>
      <c r="C227" s="564"/>
      <c r="D227" s="564"/>
      <c r="E227" s="564"/>
      <c r="F227" s="564"/>
      <c r="G227" s="564"/>
      <c r="H227" s="564"/>
      <c r="I227" s="564"/>
      <c r="J227" s="565"/>
      <c r="K227" s="111">
        <f>K226+K220+K214</f>
        <v>5684.6895066241468</v>
      </c>
      <c r="L227" s="6"/>
      <c r="M227" s="8"/>
    </row>
    <row r="228" spans="1:22" ht="15.75" customHeight="1" x14ac:dyDescent="0.25">
      <c r="B228" s="574" t="s">
        <v>172</v>
      </c>
      <c r="C228" s="535"/>
      <c r="D228" s="535"/>
      <c r="E228" s="535"/>
      <c r="F228" s="535"/>
      <c r="G228" s="535"/>
      <c r="H228" s="575"/>
      <c r="I228" s="99">
        <f>H15</f>
        <v>1</v>
      </c>
      <c r="J228" s="99" t="s">
        <v>173</v>
      </c>
      <c r="K228" s="112">
        <f>K227*I228</f>
        <v>5684.6895066241468</v>
      </c>
      <c r="L228" s="6"/>
      <c r="M228" s="8"/>
    </row>
    <row r="229" spans="1:22" ht="15.75" customHeight="1" x14ac:dyDescent="0.25">
      <c r="K229" s="1"/>
      <c r="L229" s="6"/>
      <c r="M229" s="8"/>
    </row>
    <row r="230" spans="1:22" ht="15.75" customHeight="1" x14ac:dyDescent="0.25">
      <c r="B230" s="568" t="s">
        <v>353</v>
      </c>
      <c r="C230" s="537"/>
      <c r="D230" s="537"/>
      <c r="E230" s="537"/>
      <c r="F230" s="537"/>
      <c r="G230" s="537"/>
      <c r="H230" s="537"/>
      <c r="I230" s="537"/>
      <c r="J230" s="537"/>
      <c r="K230" s="538"/>
      <c r="L230" s="6"/>
      <c r="M230" s="8"/>
    </row>
    <row r="231" spans="1:22" ht="15.75" customHeight="1" x14ac:dyDescent="0.25">
      <c r="B231" s="58" t="s">
        <v>116</v>
      </c>
      <c r="C231" s="569" t="s">
        <v>117</v>
      </c>
      <c r="D231" s="537"/>
      <c r="E231" s="537"/>
      <c r="F231" s="537"/>
      <c r="G231" s="538"/>
      <c r="H231" s="59" t="s">
        <v>118</v>
      </c>
      <c r="I231" s="105" t="s">
        <v>119</v>
      </c>
      <c r="J231" s="61" t="s">
        <v>120</v>
      </c>
      <c r="K231" s="61" t="s">
        <v>121</v>
      </c>
      <c r="L231" s="6"/>
      <c r="M231" s="8"/>
    </row>
    <row r="232" spans="1:22" ht="15.75" customHeight="1" x14ac:dyDescent="0.25">
      <c r="A232" s="183"/>
      <c r="B232" s="3" t="s">
        <v>122</v>
      </c>
      <c r="C232" s="545" t="s">
        <v>123</v>
      </c>
      <c r="D232" s="537"/>
      <c r="E232" s="537"/>
      <c r="F232" s="537"/>
      <c r="G232" s="538"/>
      <c r="H232" s="3">
        <v>220</v>
      </c>
      <c r="I232" s="14" t="s">
        <v>126</v>
      </c>
      <c r="J232" s="66">
        <f>K232/H232</f>
        <v>8.0266363636363636</v>
      </c>
      <c r="K232" s="86">
        <f>'6 - DADOS CC MO'!E79</f>
        <v>1765.86</v>
      </c>
      <c r="L232" s="6"/>
      <c r="M232" s="185"/>
      <c r="N232" s="183"/>
      <c r="O232" s="183"/>
      <c r="P232" s="183"/>
      <c r="Q232" s="183"/>
      <c r="R232" s="183"/>
      <c r="S232" s="183"/>
      <c r="T232" s="183"/>
      <c r="U232" s="183"/>
      <c r="V232" s="183"/>
    </row>
    <row r="233" spans="1:22" ht="15.75" customHeight="1" x14ac:dyDescent="0.25">
      <c r="B233" s="14" t="s">
        <v>195</v>
      </c>
      <c r="C233" s="63" t="s">
        <v>130</v>
      </c>
      <c r="D233" s="68"/>
      <c r="E233" s="68"/>
      <c r="F233" s="68"/>
      <c r="G233" s="69"/>
      <c r="H233" s="71">
        <f>7+1/3</f>
        <v>7.333333333333333</v>
      </c>
      <c r="I233" s="14" t="s">
        <v>126</v>
      </c>
      <c r="J233" s="66">
        <f>J232*2</f>
        <v>16.053272727272727</v>
      </c>
      <c r="K233" s="67">
        <f>H233*J233</f>
        <v>117.72399999999999</v>
      </c>
      <c r="L233" s="6"/>
      <c r="M233" s="8"/>
    </row>
    <row r="234" spans="1:22" ht="15.75" customHeight="1" x14ac:dyDescent="0.25">
      <c r="B234" s="14" t="s">
        <v>198</v>
      </c>
      <c r="C234" s="63" t="s">
        <v>135</v>
      </c>
      <c r="D234" s="68"/>
      <c r="E234" s="68"/>
      <c r="F234" s="68"/>
      <c r="G234" s="69"/>
      <c r="H234" s="71"/>
      <c r="I234" s="14"/>
      <c r="J234" s="66">
        <f>61/304*(SUM(K233))</f>
        <v>23.622250000000001</v>
      </c>
      <c r="K234" s="67">
        <f>J234</f>
        <v>23.622250000000001</v>
      </c>
      <c r="L234" s="6"/>
      <c r="M234" s="8"/>
    </row>
    <row r="235" spans="1:22" ht="15.75" customHeight="1" x14ac:dyDescent="0.25">
      <c r="B235" s="3" t="s">
        <v>129</v>
      </c>
      <c r="C235" s="545" t="s">
        <v>139</v>
      </c>
      <c r="D235" s="537"/>
      <c r="E235" s="537"/>
      <c r="F235" s="537"/>
      <c r="G235" s="538"/>
      <c r="H235" s="3">
        <v>40</v>
      </c>
      <c r="I235" s="14" t="s">
        <v>141</v>
      </c>
      <c r="J235" s="74"/>
      <c r="K235" s="86">
        <f>K232*40%</f>
        <v>706.34400000000005</v>
      </c>
      <c r="L235" s="6"/>
      <c r="M235" s="8"/>
    </row>
    <row r="236" spans="1:22" ht="15.75" customHeight="1" x14ac:dyDescent="0.25">
      <c r="B236" s="3"/>
      <c r="C236" s="570" t="s">
        <v>142</v>
      </c>
      <c r="D236" s="537"/>
      <c r="E236" s="537"/>
      <c r="F236" s="537"/>
      <c r="G236" s="537"/>
      <c r="H236" s="537"/>
      <c r="I236" s="538"/>
      <c r="J236" s="75"/>
      <c r="K236" s="90">
        <f>SUM(K232:K235)</f>
        <v>2613.5502499999998</v>
      </c>
      <c r="L236" s="6"/>
      <c r="M236" s="8"/>
    </row>
    <row r="237" spans="1:22" ht="15.75" customHeight="1" x14ac:dyDescent="0.25">
      <c r="B237" s="61" t="s">
        <v>145</v>
      </c>
      <c r="C237" s="569" t="s">
        <v>146</v>
      </c>
      <c r="D237" s="537"/>
      <c r="E237" s="537"/>
      <c r="F237" s="537"/>
      <c r="G237" s="537"/>
      <c r="H237" s="537"/>
      <c r="I237" s="538"/>
      <c r="J237" s="61" t="s">
        <v>141</v>
      </c>
      <c r="K237" s="61" t="s">
        <v>121</v>
      </c>
      <c r="L237" s="6"/>
      <c r="M237" s="8"/>
    </row>
    <row r="238" spans="1:22" ht="15.75" customHeight="1" x14ac:dyDescent="0.25">
      <c r="B238" s="14" t="s">
        <v>147</v>
      </c>
      <c r="C238" s="571" t="s">
        <v>148</v>
      </c>
      <c r="D238" s="537"/>
      <c r="E238" s="537"/>
      <c r="F238" s="537"/>
      <c r="G238" s="537"/>
      <c r="H238" s="537"/>
      <c r="I238" s="538"/>
      <c r="J238" s="78">
        <f>'7 - ENCARGOS SOCIAIS'!$D$13</f>
        <v>0.36800000000000005</v>
      </c>
      <c r="K238" s="86">
        <f t="shared" ref="K238:K241" si="23">J238*$K$236</f>
        <v>961.78649200000007</v>
      </c>
      <c r="L238" s="6"/>
      <c r="M238" s="8"/>
    </row>
    <row r="239" spans="1:22" ht="15.75" customHeight="1" x14ac:dyDescent="0.25">
      <c r="B239" s="14" t="s">
        <v>150</v>
      </c>
      <c r="C239" s="571" t="s">
        <v>151</v>
      </c>
      <c r="D239" s="537"/>
      <c r="E239" s="537"/>
      <c r="F239" s="537"/>
      <c r="G239" s="537"/>
      <c r="H239" s="537"/>
      <c r="I239" s="538"/>
      <c r="J239" s="78">
        <f>'7 - ENCARGOS SOCIAIS'!$D$21</f>
        <v>0.15387245147090212</v>
      </c>
      <c r="K239" s="86">
        <f t="shared" si="23"/>
        <v>402.15338400988907</v>
      </c>
      <c r="L239" s="6"/>
      <c r="M239" s="8"/>
    </row>
    <row r="240" spans="1:22" ht="15.75" customHeight="1" x14ac:dyDescent="0.25">
      <c r="B240" s="14" t="s">
        <v>152</v>
      </c>
      <c r="C240" s="571" t="s">
        <v>153</v>
      </c>
      <c r="D240" s="537"/>
      <c r="E240" s="537"/>
      <c r="F240" s="537"/>
      <c r="G240" s="537"/>
      <c r="H240" s="537"/>
      <c r="I240" s="538"/>
      <c r="J240" s="78">
        <f>'7 - ENCARGOS SOCIAIS'!$D$28</f>
        <v>0.12666581537651095</v>
      </c>
      <c r="K240" s="86">
        <f t="shared" si="23"/>
        <v>331.04747344373402</v>
      </c>
      <c r="L240" s="6"/>
      <c r="M240" s="8"/>
    </row>
    <row r="241" spans="1:22" ht="15.75" customHeight="1" x14ac:dyDescent="0.25">
      <c r="B241" s="14" t="s">
        <v>155</v>
      </c>
      <c r="C241" s="571" t="s">
        <v>156</v>
      </c>
      <c r="D241" s="537"/>
      <c r="E241" s="537"/>
      <c r="F241" s="537"/>
      <c r="G241" s="537"/>
      <c r="H241" s="537"/>
      <c r="I241" s="538"/>
      <c r="J241" s="78">
        <f>'7 - ENCARGOS SOCIAIS'!$D$32</f>
        <v>5.9231502118822603E-2</v>
      </c>
      <c r="K241" s="86">
        <f t="shared" si="23"/>
        <v>154.80450717052432</v>
      </c>
      <c r="L241" s="6"/>
      <c r="M241" s="8"/>
    </row>
    <row r="242" spans="1:22" ht="15.75" customHeight="1" x14ac:dyDescent="0.25">
      <c r="B242" s="17"/>
      <c r="C242" s="552" t="s">
        <v>157</v>
      </c>
      <c r="D242" s="537"/>
      <c r="E242" s="537"/>
      <c r="F242" s="537"/>
      <c r="G242" s="537"/>
      <c r="H242" s="537"/>
      <c r="I242" s="538"/>
      <c r="J242" s="83">
        <f t="shared" ref="J242:K242" si="24">SUM(J238:J241)</f>
        <v>0.70776976896623567</v>
      </c>
      <c r="K242" s="98">
        <f t="shared" si="24"/>
        <v>1849.7918566241476</v>
      </c>
      <c r="L242" s="6"/>
      <c r="M242" s="8"/>
    </row>
    <row r="243" spans="1:22" ht="33" customHeight="1" x14ac:dyDescent="0.25">
      <c r="B243" s="61" t="s">
        <v>158</v>
      </c>
      <c r="C243" s="572" t="s">
        <v>159</v>
      </c>
      <c r="D243" s="537"/>
      <c r="E243" s="537"/>
      <c r="F243" s="537"/>
      <c r="G243" s="538"/>
      <c r="H243" s="59" t="s">
        <v>160</v>
      </c>
      <c r="I243" s="61" t="s">
        <v>120</v>
      </c>
      <c r="J243" s="61" t="s">
        <v>161</v>
      </c>
      <c r="K243" s="61" t="s">
        <v>121</v>
      </c>
      <c r="L243" s="6"/>
      <c r="M243" s="8"/>
    </row>
    <row r="244" spans="1:22" ht="15" customHeight="1" x14ac:dyDescent="0.25">
      <c r="B244" s="14" t="s">
        <v>162</v>
      </c>
      <c r="C244" s="561" t="s">
        <v>163</v>
      </c>
      <c r="D244" s="537"/>
      <c r="E244" s="537"/>
      <c r="F244" s="537"/>
      <c r="G244" s="538"/>
      <c r="H244" s="14">
        <v>26</v>
      </c>
      <c r="I244" s="88">
        <v>27.15</v>
      </c>
      <c r="J244" s="104">
        <v>0.19</v>
      </c>
      <c r="K244" s="44">
        <f>(H244*I244)-((H244*I244)*J244)</f>
        <v>571.779</v>
      </c>
      <c r="L244" s="6"/>
      <c r="M244" s="8"/>
    </row>
    <row r="245" spans="1:22" ht="15.75" customHeight="1" x14ac:dyDescent="0.25">
      <c r="A245" s="183"/>
      <c r="B245" s="194" t="s">
        <v>164</v>
      </c>
      <c r="C245" s="561" t="s">
        <v>176</v>
      </c>
      <c r="D245" s="537"/>
      <c r="E245" s="537"/>
      <c r="F245" s="537"/>
      <c r="G245" s="538"/>
      <c r="H245" s="195">
        <f>H244*4</f>
        <v>104</v>
      </c>
      <c r="I245" s="196">
        <v>6.25</v>
      </c>
      <c r="J245" s="197">
        <v>0.06</v>
      </c>
      <c r="K245" s="198">
        <f>(H245*I245)-(K232*J245)</f>
        <v>544.04840000000002</v>
      </c>
      <c r="L245" s="199"/>
      <c r="M245" s="185"/>
      <c r="N245" s="183"/>
      <c r="O245" s="183"/>
      <c r="P245" s="183"/>
      <c r="Q245" s="183"/>
      <c r="R245" s="183"/>
      <c r="S245" s="183"/>
      <c r="T245" s="183"/>
      <c r="U245" s="183"/>
      <c r="V245" s="183"/>
    </row>
    <row r="246" spans="1:22" ht="15.75" customHeight="1" x14ac:dyDescent="0.25">
      <c r="B246" s="14" t="s">
        <v>166</v>
      </c>
      <c r="C246" s="571" t="s">
        <v>167</v>
      </c>
      <c r="D246" s="537"/>
      <c r="E246" s="537"/>
      <c r="F246" s="537"/>
      <c r="G246" s="538"/>
      <c r="H246" s="3">
        <v>1</v>
      </c>
      <c r="I246" s="88">
        <v>25.52</v>
      </c>
      <c r="J246" s="26"/>
      <c r="K246" s="94">
        <f t="shared" ref="K246:K247" si="25">I246</f>
        <v>25.52</v>
      </c>
      <c r="L246" s="6"/>
      <c r="M246" s="8"/>
    </row>
    <row r="247" spans="1:22" ht="15.75" customHeight="1" x14ac:dyDescent="0.25">
      <c r="B247" s="14" t="s">
        <v>168</v>
      </c>
      <c r="C247" s="580" t="s">
        <v>207</v>
      </c>
      <c r="D247" s="537"/>
      <c r="E247" s="537"/>
      <c r="F247" s="537"/>
      <c r="G247" s="538"/>
      <c r="H247" s="3">
        <v>1</v>
      </c>
      <c r="I247" s="88">
        <v>80</v>
      </c>
      <c r="J247" s="26"/>
      <c r="K247" s="94">
        <f t="shared" si="25"/>
        <v>80</v>
      </c>
      <c r="L247" s="6"/>
      <c r="M247" s="201"/>
    </row>
    <row r="248" spans="1:22" ht="15.75" customHeight="1" x14ac:dyDescent="0.25">
      <c r="B248" s="26"/>
      <c r="C248" s="570" t="s">
        <v>170</v>
      </c>
      <c r="D248" s="537"/>
      <c r="E248" s="537"/>
      <c r="F248" s="537"/>
      <c r="G248" s="537"/>
      <c r="H248" s="537"/>
      <c r="I248" s="538"/>
      <c r="J248" s="75"/>
      <c r="K248" s="108">
        <f>SUM(K244:K247)</f>
        <v>1221.3474000000001</v>
      </c>
      <c r="L248" s="6"/>
      <c r="M248" s="8"/>
    </row>
    <row r="249" spans="1:22" ht="15.75" customHeight="1" x14ac:dyDescent="0.25">
      <c r="B249" s="573" t="s">
        <v>385</v>
      </c>
      <c r="C249" s="564"/>
      <c r="D249" s="564"/>
      <c r="E249" s="564"/>
      <c r="F249" s="564"/>
      <c r="G249" s="564"/>
      <c r="H249" s="564"/>
      <c r="I249" s="564"/>
      <c r="J249" s="565"/>
      <c r="K249" s="111">
        <f>K248+K242+K236</f>
        <v>5684.6895066241468</v>
      </c>
      <c r="L249" s="6"/>
      <c r="M249" s="8"/>
    </row>
    <row r="250" spans="1:22" ht="15.75" customHeight="1" x14ac:dyDescent="0.25">
      <c r="B250" s="574" t="s">
        <v>172</v>
      </c>
      <c r="C250" s="535"/>
      <c r="D250" s="535"/>
      <c r="E250" s="535"/>
      <c r="F250" s="535"/>
      <c r="G250" s="535"/>
      <c r="H250" s="575"/>
      <c r="I250" s="99">
        <v>1</v>
      </c>
      <c r="J250" s="99" t="s">
        <v>173</v>
      </c>
      <c r="K250" s="112">
        <f>K249*I250</f>
        <v>5684.6895066241468</v>
      </c>
      <c r="L250" s="6"/>
      <c r="M250" s="8"/>
    </row>
    <row r="251" spans="1:22" ht="15.75" customHeight="1" x14ac:dyDescent="0.25">
      <c r="K251" s="1"/>
      <c r="L251" s="6"/>
      <c r="M251" s="8"/>
    </row>
    <row r="252" spans="1:22" ht="15.75" customHeight="1" x14ac:dyDescent="0.25">
      <c r="B252" s="568" t="s">
        <v>389</v>
      </c>
      <c r="C252" s="537"/>
      <c r="D252" s="537"/>
      <c r="E252" s="537"/>
      <c r="F252" s="537"/>
      <c r="G252" s="537"/>
      <c r="H252" s="537"/>
      <c r="I252" s="537"/>
      <c r="J252" s="537"/>
      <c r="K252" s="538"/>
      <c r="L252" s="6"/>
      <c r="M252" s="8"/>
    </row>
    <row r="253" spans="1:22" ht="15.75" customHeight="1" x14ac:dyDescent="0.25">
      <c r="B253" s="58" t="s">
        <v>116</v>
      </c>
      <c r="C253" s="569" t="s">
        <v>117</v>
      </c>
      <c r="D253" s="537"/>
      <c r="E253" s="537"/>
      <c r="F253" s="537"/>
      <c r="G253" s="538"/>
      <c r="H253" s="59" t="s">
        <v>118</v>
      </c>
      <c r="I253" s="105" t="s">
        <v>119</v>
      </c>
      <c r="J253" s="61" t="s">
        <v>120</v>
      </c>
      <c r="K253" s="61" t="s">
        <v>121</v>
      </c>
      <c r="L253" s="6"/>
      <c r="M253" s="8"/>
    </row>
    <row r="254" spans="1:22" ht="15.75" customHeight="1" x14ac:dyDescent="0.25">
      <c r="B254" s="14" t="s">
        <v>122</v>
      </c>
      <c r="C254" s="571" t="s">
        <v>123</v>
      </c>
      <c r="D254" s="537"/>
      <c r="E254" s="537"/>
      <c r="F254" s="537"/>
      <c r="G254" s="538"/>
      <c r="H254" s="3">
        <v>180</v>
      </c>
      <c r="I254" s="14" t="s">
        <v>126</v>
      </c>
      <c r="J254" s="66">
        <f>K254/H254</f>
        <v>11.8125</v>
      </c>
      <c r="K254" s="86">
        <f>'6 - DADOS CC MO'!E91</f>
        <v>2126.25</v>
      </c>
      <c r="L254" s="6"/>
      <c r="M254" s="8"/>
    </row>
    <row r="255" spans="1:22" ht="15.75" customHeight="1" x14ac:dyDescent="0.25">
      <c r="B255" s="14" t="s">
        <v>195</v>
      </c>
      <c r="C255" s="63" t="s">
        <v>130</v>
      </c>
      <c r="D255" s="68"/>
      <c r="E255" s="68"/>
      <c r="F255" s="68"/>
      <c r="G255" s="69"/>
      <c r="H255" s="71">
        <f>7+1/3</f>
        <v>7.333333333333333</v>
      </c>
      <c r="I255" s="14" t="s">
        <v>126</v>
      </c>
      <c r="J255" s="66">
        <f>J254*2</f>
        <v>23.625</v>
      </c>
      <c r="K255" s="67">
        <f>H255*J255</f>
        <v>173.25</v>
      </c>
      <c r="L255" s="6"/>
      <c r="M255" s="8"/>
    </row>
    <row r="256" spans="1:22" ht="15.75" customHeight="1" x14ac:dyDescent="0.25">
      <c r="B256" s="14" t="s">
        <v>198</v>
      </c>
      <c r="C256" s="63" t="s">
        <v>135</v>
      </c>
      <c r="D256" s="68"/>
      <c r="E256" s="68"/>
      <c r="F256" s="68"/>
      <c r="G256" s="69"/>
      <c r="H256" s="71"/>
      <c r="I256" s="14"/>
      <c r="J256" s="66">
        <f>61/304*(SUM(K255))</f>
        <v>34.763980263157897</v>
      </c>
      <c r="K256" s="67">
        <f>J256</f>
        <v>34.763980263157897</v>
      </c>
      <c r="L256" s="6"/>
      <c r="M256" s="8"/>
    </row>
    <row r="257" spans="2:13" ht="15.75" customHeight="1" x14ac:dyDescent="0.25">
      <c r="B257" s="14" t="s">
        <v>129</v>
      </c>
      <c r="C257" s="571" t="s">
        <v>139</v>
      </c>
      <c r="D257" s="537"/>
      <c r="E257" s="537"/>
      <c r="F257" s="537"/>
      <c r="G257" s="538"/>
      <c r="H257" s="3">
        <v>40</v>
      </c>
      <c r="I257" s="14" t="s">
        <v>141</v>
      </c>
      <c r="J257" s="74"/>
      <c r="K257" s="86">
        <f>K254*40%</f>
        <v>850.5</v>
      </c>
      <c r="L257" s="6"/>
      <c r="M257" s="8"/>
    </row>
    <row r="258" spans="2:13" ht="15.75" customHeight="1" x14ac:dyDescent="0.25">
      <c r="B258" s="3"/>
      <c r="C258" s="570" t="s">
        <v>142</v>
      </c>
      <c r="D258" s="537"/>
      <c r="E258" s="537"/>
      <c r="F258" s="537"/>
      <c r="G258" s="537"/>
      <c r="H258" s="537"/>
      <c r="I258" s="538"/>
      <c r="J258" s="75"/>
      <c r="K258" s="90">
        <f>SUM(K254:K257)</f>
        <v>3184.7639802631579</v>
      </c>
      <c r="L258" s="6"/>
      <c r="M258" s="8"/>
    </row>
    <row r="259" spans="2:13" ht="15.75" customHeight="1" x14ac:dyDescent="0.25">
      <c r="B259" s="61" t="s">
        <v>145</v>
      </c>
      <c r="C259" s="569" t="s">
        <v>146</v>
      </c>
      <c r="D259" s="537"/>
      <c r="E259" s="537"/>
      <c r="F259" s="537"/>
      <c r="G259" s="537"/>
      <c r="H259" s="537"/>
      <c r="I259" s="538"/>
      <c r="J259" s="61" t="s">
        <v>141</v>
      </c>
      <c r="K259" s="61" t="s">
        <v>121</v>
      </c>
      <c r="L259" s="6"/>
      <c r="M259" s="8"/>
    </row>
    <row r="260" spans="2:13" ht="15.75" customHeight="1" x14ac:dyDescent="0.25">
      <c r="B260" s="14" t="s">
        <v>147</v>
      </c>
      <c r="C260" s="571" t="s">
        <v>148</v>
      </c>
      <c r="D260" s="537"/>
      <c r="E260" s="537"/>
      <c r="F260" s="537"/>
      <c r="G260" s="537"/>
      <c r="H260" s="537"/>
      <c r="I260" s="538"/>
      <c r="J260" s="78">
        <f>'7 - ENCARGOS SOCIAIS'!$D$13</f>
        <v>0.36800000000000005</v>
      </c>
      <c r="K260" s="86">
        <f t="shared" ref="K260:K263" si="26">J260*$K$258</f>
        <v>1171.9931447368422</v>
      </c>
      <c r="L260" s="6"/>
      <c r="M260" s="8"/>
    </row>
    <row r="261" spans="2:13" ht="15.75" customHeight="1" x14ac:dyDescent="0.25">
      <c r="B261" s="14" t="s">
        <v>150</v>
      </c>
      <c r="C261" s="571" t="s">
        <v>151</v>
      </c>
      <c r="D261" s="537"/>
      <c r="E261" s="537"/>
      <c r="F261" s="537"/>
      <c r="G261" s="537"/>
      <c r="H261" s="537"/>
      <c r="I261" s="538"/>
      <c r="J261" s="78">
        <f>'7 - ENCARGOS SOCIAIS'!$D$21</f>
        <v>0.15387245147090212</v>
      </c>
      <c r="K261" s="86">
        <f t="shared" si="26"/>
        <v>490.0474409993198</v>
      </c>
      <c r="L261" s="6"/>
      <c r="M261" s="8"/>
    </row>
    <row r="262" spans="2:13" ht="15.75" customHeight="1" x14ac:dyDescent="0.25">
      <c r="B262" s="14" t="s">
        <v>152</v>
      </c>
      <c r="C262" s="571" t="s">
        <v>153</v>
      </c>
      <c r="D262" s="537"/>
      <c r="E262" s="537"/>
      <c r="F262" s="537"/>
      <c r="G262" s="537"/>
      <c r="H262" s="537"/>
      <c r="I262" s="538"/>
      <c r="J262" s="78">
        <f>'7 - ENCARGOS SOCIAIS'!$D$28</f>
        <v>0.12666581537651095</v>
      </c>
      <c r="K262" s="86">
        <f t="shared" si="26"/>
        <v>403.40072634177534</v>
      </c>
      <c r="L262" s="6"/>
      <c r="M262" s="8"/>
    </row>
    <row r="263" spans="2:13" ht="15.75" customHeight="1" x14ac:dyDescent="0.25">
      <c r="B263" s="14" t="s">
        <v>155</v>
      </c>
      <c r="C263" s="571" t="s">
        <v>156</v>
      </c>
      <c r="D263" s="537"/>
      <c r="E263" s="537"/>
      <c r="F263" s="537"/>
      <c r="G263" s="537"/>
      <c r="H263" s="537"/>
      <c r="I263" s="538"/>
      <c r="J263" s="78">
        <f>'7 - ENCARGOS SOCIAIS'!$D$32</f>
        <v>5.9231502118822603E-2</v>
      </c>
      <c r="K263" s="86">
        <f t="shared" si="26"/>
        <v>188.63835444490715</v>
      </c>
      <c r="L263" s="6"/>
      <c r="M263" s="8"/>
    </row>
    <row r="264" spans="2:13" ht="15" customHeight="1" x14ac:dyDescent="0.25">
      <c r="B264" s="17"/>
      <c r="C264" s="552" t="s">
        <v>157</v>
      </c>
      <c r="D264" s="537"/>
      <c r="E264" s="537"/>
      <c r="F264" s="537"/>
      <c r="G264" s="537"/>
      <c r="H264" s="537"/>
      <c r="I264" s="538"/>
      <c r="J264" s="83">
        <f t="shared" ref="J264:K264" si="27">SUM(J260:J263)</f>
        <v>0.70776976896623567</v>
      </c>
      <c r="K264" s="98">
        <f t="shared" si="27"/>
        <v>2254.0796665228445</v>
      </c>
      <c r="L264" s="6"/>
      <c r="M264" s="8"/>
    </row>
    <row r="265" spans="2:13" ht="30" customHeight="1" x14ac:dyDescent="0.25">
      <c r="B265" s="61" t="s">
        <v>158</v>
      </c>
      <c r="C265" s="572" t="s">
        <v>159</v>
      </c>
      <c r="D265" s="537"/>
      <c r="E265" s="537"/>
      <c r="F265" s="537"/>
      <c r="G265" s="538"/>
      <c r="H265" s="59" t="s">
        <v>160</v>
      </c>
      <c r="I265" s="61" t="s">
        <v>120</v>
      </c>
      <c r="J265" s="61" t="s">
        <v>161</v>
      </c>
      <c r="K265" s="61" t="s">
        <v>121</v>
      </c>
      <c r="L265" s="6"/>
      <c r="M265" s="8"/>
    </row>
    <row r="266" spans="2:13" ht="15" customHeight="1" x14ac:dyDescent="0.25">
      <c r="B266" s="14" t="s">
        <v>162</v>
      </c>
      <c r="C266" s="561" t="s">
        <v>163</v>
      </c>
      <c r="D266" s="537"/>
      <c r="E266" s="537"/>
      <c r="F266" s="537"/>
      <c r="G266" s="538"/>
      <c r="H266" s="14">
        <v>15</v>
      </c>
      <c r="I266" s="88">
        <v>27.15</v>
      </c>
      <c r="J266" s="89">
        <v>0.19</v>
      </c>
      <c r="K266" s="44">
        <f>(H266*I266)-((H266*I266)*J266)</f>
        <v>329.8725</v>
      </c>
      <c r="L266" s="6"/>
      <c r="M266" s="8"/>
    </row>
    <row r="267" spans="2:13" ht="15" customHeight="1" x14ac:dyDescent="0.25">
      <c r="B267" s="14" t="s">
        <v>164</v>
      </c>
      <c r="C267" s="571" t="s">
        <v>165</v>
      </c>
      <c r="D267" s="537"/>
      <c r="E267" s="537"/>
      <c r="F267" s="537"/>
      <c r="G267" s="538"/>
      <c r="H267" s="14">
        <f>H266*4</f>
        <v>60</v>
      </c>
      <c r="I267" s="93">
        <v>6.25</v>
      </c>
      <c r="J267" s="89">
        <v>0.06</v>
      </c>
      <c r="K267" s="44">
        <f>(H267*I267)-(K254*J267)</f>
        <v>247.42500000000001</v>
      </c>
      <c r="L267" s="6"/>
      <c r="M267" s="8"/>
    </row>
    <row r="268" spans="2:13" ht="15.75" customHeight="1" x14ac:dyDescent="0.25">
      <c r="B268" s="14" t="s">
        <v>166</v>
      </c>
      <c r="C268" s="571" t="s">
        <v>167</v>
      </c>
      <c r="D268" s="537"/>
      <c r="E268" s="537"/>
      <c r="F268" s="537"/>
      <c r="G268" s="538"/>
      <c r="H268" s="3">
        <v>1</v>
      </c>
      <c r="I268" s="88">
        <v>25.52</v>
      </c>
      <c r="J268" s="26"/>
      <c r="K268" s="131">
        <f t="shared" ref="K268:K269" si="28">I268</f>
        <v>25.52</v>
      </c>
      <c r="L268" s="6"/>
      <c r="M268" s="8"/>
    </row>
    <row r="269" spans="2:13" ht="15" customHeight="1" x14ac:dyDescent="0.25">
      <c r="B269" s="14" t="s">
        <v>168</v>
      </c>
      <c r="C269" s="580" t="s">
        <v>207</v>
      </c>
      <c r="D269" s="537"/>
      <c r="E269" s="537"/>
      <c r="F269" s="537"/>
      <c r="G269" s="538"/>
      <c r="H269" s="3">
        <v>1</v>
      </c>
      <c r="I269" s="88">
        <v>80</v>
      </c>
      <c r="J269" s="26"/>
      <c r="K269" s="94">
        <f t="shared" si="28"/>
        <v>80</v>
      </c>
      <c r="L269" s="6"/>
      <c r="M269" s="8"/>
    </row>
    <row r="270" spans="2:13" ht="15.75" customHeight="1" x14ac:dyDescent="0.25">
      <c r="B270" s="26"/>
      <c r="C270" s="570" t="s">
        <v>170</v>
      </c>
      <c r="D270" s="537"/>
      <c r="E270" s="537"/>
      <c r="F270" s="537"/>
      <c r="G270" s="537"/>
      <c r="H270" s="537"/>
      <c r="I270" s="538"/>
      <c r="J270" s="75"/>
      <c r="K270" s="108">
        <f>SUM(K266:K269)</f>
        <v>682.8175</v>
      </c>
      <c r="L270" s="6"/>
      <c r="M270" s="8"/>
    </row>
    <row r="271" spans="2:13" ht="15.75" customHeight="1" x14ac:dyDescent="0.25">
      <c r="B271" s="573" t="s">
        <v>424</v>
      </c>
      <c r="C271" s="564"/>
      <c r="D271" s="564"/>
      <c r="E271" s="564"/>
      <c r="F271" s="564"/>
      <c r="G271" s="564"/>
      <c r="H271" s="564"/>
      <c r="I271" s="564"/>
      <c r="J271" s="565"/>
      <c r="K271" s="111">
        <f>K270+K264+K258</f>
        <v>6121.6611467860021</v>
      </c>
      <c r="L271" s="6"/>
      <c r="M271" s="8"/>
    </row>
    <row r="272" spans="2:13" ht="15.75" customHeight="1" x14ac:dyDescent="0.25">
      <c r="B272" s="574" t="s">
        <v>172</v>
      </c>
      <c r="C272" s="535"/>
      <c r="D272" s="535"/>
      <c r="E272" s="535"/>
      <c r="F272" s="535"/>
      <c r="G272" s="535"/>
      <c r="H272" s="575"/>
      <c r="I272" s="99">
        <v>2</v>
      </c>
      <c r="J272" s="99" t="s">
        <v>173</v>
      </c>
      <c r="K272" s="112">
        <f>K271*I272</f>
        <v>12243.322293572004</v>
      </c>
      <c r="L272" s="6"/>
      <c r="M272" s="8"/>
    </row>
    <row r="273" spans="2:13" ht="15.75" customHeight="1" x14ac:dyDescent="0.25">
      <c r="B273" s="56"/>
      <c r="C273" s="56"/>
      <c r="D273" s="56"/>
      <c r="E273" s="56"/>
      <c r="F273" s="56"/>
      <c r="G273" s="56"/>
      <c r="H273" s="56"/>
      <c r="I273" s="56"/>
      <c r="J273" s="56"/>
      <c r="K273" s="211"/>
      <c r="L273" s="6"/>
      <c r="M273" s="8"/>
    </row>
    <row r="274" spans="2:13" ht="15.75" customHeight="1" x14ac:dyDescent="0.25">
      <c r="B274" s="568" t="s">
        <v>428</v>
      </c>
      <c r="C274" s="537"/>
      <c r="D274" s="537"/>
      <c r="E274" s="537"/>
      <c r="F274" s="537"/>
      <c r="G274" s="537"/>
      <c r="H274" s="537"/>
      <c r="I274" s="537"/>
      <c r="J274" s="537"/>
      <c r="K274" s="538"/>
      <c r="L274" s="6"/>
      <c r="M274" s="8"/>
    </row>
    <row r="275" spans="2:13" ht="15.75" customHeight="1" x14ac:dyDescent="0.25">
      <c r="B275" s="58" t="s">
        <v>116</v>
      </c>
      <c r="C275" s="569" t="s">
        <v>117</v>
      </c>
      <c r="D275" s="537"/>
      <c r="E275" s="537"/>
      <c r="F275" s="537"/>
      <c r="G275" s="538"/>
      <c r="H275" s="59" t="s">
        <v>118</v>
      </c>
      <c r="I275" s="105" t="s">
        <v>119</v>
      </c>
      <c r="J275" s="61" t="s">
        <v>120</v>
      </c>
      <c r="K275" s="61" t="s">
        <v>121</v>
      </c>
      <c r="L275" s="6"/>
      <c r="M275" s="8"/>
    </row>
    <row r="276" spans="2:13" ht="15" customHeight="1" x14ac:dyDescent="0.25">
      <c r="B276" s="14" t="s">
        <v>122</v>
      </c>
      <c r="C276" s="571" t="s">
        <v>123</v>
      </c>
      <c r="D276" s="537"/>
      <c r="E276" s="537"/>
      <c r="F276" s="537"/>
      <c r="G276" s="538"/>
      <c r="H276" s="3">
        <v>180</v>
      </c>
      <c r="I276" s="14" t="s">
        <v>126</v>
      </c>
      <c r="J276" s="66">
        <f>K276/H276</f>
        <v>11.8125</v>
      </c>
      <c r="K276" s="86">
        <f>'6 - DADOS CC MO'!E91</f>
        <v>2126.25</v>
      </c>
      <c r="L276" s="6"/>
      <c r="M276" s="8"/>
    </row>
    <row r="277" spans="2:13" ht="15.75" customHeight="1" x14ac:dyDescent="0.25">
      <c r="B277" s="548" t="s">
        <v>129</v>
      </c>
      <c r="C277" s="576" t="s">
        <v>178</v>
      </c>
      <c r="D277" s="542"/>
      <c r="E277" s="542"/>
      <c r="F277" s="542"/>
      <c r="G277" s="577"/>
      <c r="H277" s="3">
        <v>105</v>
      </c>
      <c r="I277" s="14" t="s">
        <v>180</v>
      </c>
      <c r="J277" s="66"/>
      <c r="K277" s="86"/>
      <c r="L277" s="6"/>
      <c r="M277" s="8"/>
    </row>
    <row r="278" spans="2:13" ht="15.75" customHeight="1" x14ac:dyDescent="0.25">
      <c r="B278" s="550"/>
      <c r="C278" s="578"/>
      <c r="D278" s="544"/>
      <c r="E278" s="544"/>
      <c r="F278" s="544"/>
      <c r="G278" s="579"/>
      <c r="H278" s="212">
        <f>H277*8/7</f>
        <v>120</v>
      </c>
      <c r="I278" s="14" t="s">
        <v>181</v>
      </c>
      <c r="J278" s="66">
        <f>J276*0.2</f>
        <v>2.3625000000000003</v>
      </c>
      <c r="K278" s="86">
        <f t="shared" ref="K278:K279" si="29">H278*J278</f>
        <v>283.50000000000006</v>
      </c>
      <c r="L278" s="6"/>
      <c r="M278" s="8"/>
    </row>
    <row r="279" spans="2:13" ht="15.75" customHeight="1" x14ac:dyDescent="0.25">
      <c r="B279" s="14" t="s">
        <v>183</v>
      </c>
      <c r="C279" s="63" t="s">
        <v>130</v>
      </c>
      <c r="D279" s="68"/>
      <c r="E279" s="68"/>
      <c r="F279" s="68"/>
      <c r="G279" s="69"/>
      <c r="H279" s="71">
        <f>7+1/3-H280</f>
        <v>3</v>
      </c>
      <c r="I279" s="14" t="s">
        <v>126</v>
      </c>
      <c r="J279" s="66">
        <f>J276*2</f>
        <v>23.625</v>
      </c>
      <c r="K279" s="67">
        <f t="shared" si="29"/>
        <v>70.875</v>
      </c>
      <c r="L279" s="6"/>
      <c r="M279" s="8"/>
    </row>
    <row r="280" spans="2:13" ht="15.75" customHeight="1" x14ac:dyDescent="0.25">
      <c r="B280" s="14" t="s">
        <v>185</v>
      </c>
      <c r="C280" s="63" t="s">
        <v>186</v>
      </c>
      <c r="D280" s="68"/>
      <c r="E280" s="68"/>
      <c r="F280" s="68"/>
      <c r="G280" s="69"/>
      <c r="H280" s="71">
        <f>4+1/3</f>
        <v>4.333333333333333</v>
      </c>
      <c r="I280" s="14" t="s">
        <v>126</v>
      </c>
      <c r="J280" s="66"/>
      <c r="K280" s="67"/>
      <c r="L280" s="6"/>
      <c r="M280" s="8"/>
    </row>
    <row r="281" spans="2:13" ht="15.75" customHeight="1" x14ac:dyDescent="0.25">
      <c r="B281" s="14" t="s">
        <v>188</v>
      </c>
      <c r="C281" s="63" t="s">
        <v>189</v>
      </c>
      <c r="D281" s="68"/>
      <c r="E281" s="68"/>
      <c r="F281" s="68"/>
      <c r="G281" s="69"/>
      <c r="H281" s="71">
        <f>H280*8/7</f>
        <v>4.9523809523809517</v>
      </c>
      <c r="I281" s="14" t="s">
        <v>126</v>
      </c>
      <c r="J281" s="66">
        <f>J276*2*1.2</f>
        <v>28.349999999999998</v>
      </c>
      <c r="K281" s="67">
        <f>H281*J281</f>
        <v>140.39999999999998</v>
      </c>
      <c r="L281" s="6"/>
      <c r="M281" s="8"/>
    </row>
    <row r="282" spans="2:13" ht="15.75" customHeight="1" x14ac:dyDescent="0.25">
      <c r="B282" s="14" t="s">
        <v>192</v>
      </c>
      <c r="C282" s="63" t="s">
        <v>135</v>
      </c>
      <c r="D282" s="68"/>
      <c r="E282" s="68"/>
      <c r="F282" s="68"/>
      <c r="G282" s="69"/>
      <c r="H282" s="71"/>
      <c r="I282" s="14"/>
      <c r="J282" s="66">
        <f>61/304*(SUM(K278:K281))</f>
        <v>99.280509868421063</v>
      </c>
      <c r="K282" s="67">
        <f>J282</f>
        <v>99.280509868421063</v>
      </c>
      <c r="L282" s="6"/>
      <c r="M282" s="8"/>
    </row>
    <row r="283" spans="2:13" ht="15.75" customHeight="1" x14ac:dyDescent="0.25">
      <c r="B283" s="14" t="s">
        <v>134</v>
      </c>
      <c r="C283" s="571" t="s">
        <v>139</v>
      </c>
      <c r="D283" s="537"/>
      <c r="E283" s="537"/>
      <c r="F283" s="537"/>
      <c r="G283" s="538"/>
      <c r="H283" s="3">
        <v>40</v>
      </c>
      <c r="I283" s="14" t="s">
        <v>141</v>
      </c>
      <c r="J283" s="74"/>
      <c r="K283" s="86">
        <f>K276*40%</f>
        <v>850.5</v>
      </c>
      <c r="L283" s="6"/>
      <c r="M283" s="8"/>
    </row>
    <row r="284" spans="2:13" ht="15.75" customHeight="1" x14ac:dyDescent="0.25">
      <c r="B284" s="3"/>
      <c r="C284" s="570" t="s">
        <v>142</v>
      </c>
      <c r="D284" s="537"/>
      <c r="E284" s="537"/>
      <c r="F284" s="537"/>
      <c r="G284" s="537"/>
      <c r="H284" s="537"/>
      <c r="I284" s="538"/>
      <c r="J284" s="75"/>
      <c r="K284" s="90">
        <f>SUM(K276:K283)</f>
        <v>3570.8055098684213</v>
      </c>
      <c r="L284" s="6"/>
      <c r="M284" s="8"/>
    </row>
    <row r="285" spans="2:13" ht="15.75" customHeight="1" x14ac:dyDescent="0.25">
      <c r="B285" s="61" t="s">
        <v>145</v>
      </c>
      <c r="C285" s="569" t="s">
        <v>146</v>
      </c>
      <c r="D285" s="537"/>
      <c r="E285" s="537"/>
      <c r="F285" s="537"/>
      <c r="G285" s="537"/>
      <c r="H285" s="537"/>
      <c r="I285" s="538"/>
      <c r="J285" s="61" t="s">
        <v>141</v>
      </c>
      <c r="K285" s="61" t="s">
        <v>121</v>
      </c>
      <c r="L285" s="6"/>
      <c r="M285" s="8"/>
    </row>
    <row r="286" spans="2:13" ht="15.75" customHeight="1" x14ac:dyDescent="0.25">
      <c r="B286" s="14" t="s">
        <v>147</v>
      </c>
      <c r="C286" s="571" t="s">
        <v>148</v>
      </c>
      <c r="D286" s="537"/>
      <c r="E286" s="537"/>
      <c r="F286" s="537"/>
      <c r="G286" s="537"/>
      <c r="H286" s="537"/>
      <c r="I286" s="538"/>
      <c r="J286" s="78">
        <f>'7 - ENCARGOS SOCIAIS'!$D$13</f>
        <v>0.36800000000000005</v>
      </c>
      <c r="K286" s="86">
        <f>K284*J286</f>
        <v>1314.0564276315793</v>
      </c>
      <c r="L286" s="6"/>
      <c r="M286" s="8"/>
    </row>
    <row r="287" spans="2:13" ht="15.75" customHeight="1" x14ac:dyDescent="0.25">
      <c r="B287" s="14" t="s">
        <v>150</v>
      </c>
      <c r="C287" s="571" t="s">
        <v>151</v>
      </c>
      <c r="D287" s="537"/>
      <c r="E287" s="537"/>
      <c r="F287" s="537"/>
      <c r="G287" s="537"/>
      <c r="H287" s="537"/>
      <c r="I287" s="538"/>
      <c r="J287" s="78">
        <f>'7 - ENCARGOS SOCIAIS'!$D$21</f>
        <v>0.15387245147090212</v>
      </c>
      <c r="K287" s="86">
        <f>K284*J287</f>
        <v>549.44859752925856</v>
      </c>
      <c r="L287" s="6"/>
      <c r="M287" s="8"/>
    </row>
    <row r="288" spans="2:13" ht="15" customHeight="1" x14ac:dyDescent="0.25">
      <c r="B288" s="14" t="s">
        <v>152</v>
      </c>
      <c r="C288" s="571" t="s">
        <v>153</v>
      </c>
      <c r="D288" s="537"/>
      <c r="E288" s="537"/>
      <c r="F288" s="537"/>
      <c r="G288" s="537"/>
      <c r="H288" s="537"/>
      <c r="I288" s="538"/>
      <c r="J288" s="78">
        <f>'7 - ENCARGOS SOCIAIS'!$D$28</f>
        <v>0.12666581537651095</v>
      </c>
      <c r="K288" s="86">
        <f>K284*J288</f>
        <v>452.29899145842148</v>
      </c>
      <c r="L288" s="6"/>
      <c r="M288" s="8"/>
    </row>
    <row r="289" spans="2:13" ht="15.75" customHeight="1" x14ac:dyDescent="0.25">
      <c r="B289" s="14" t="s">
        <v>155</v>
      </c>
      <c r="C289" s="571" t="s">
        <v>156</v>
      </c>
      <c r="D289" s="537"/>
      <c r="E289" s="537"/>
      <c r="F289" s="537"/>
      <c r="G289" s="537"/>
      <c r="H289" s="537"/>
      <c r="I289" s="538"/>
      <c r="J289" s="78">
        <f>'7 - ENCARGOS SOCIAIS'!$D$32</f>
        <v>5.9231502118822603E-2</v>
      </c>
      <c r="K289" s="86">
        <f>K284*J289</f>
        <v>211.50417412367483</v>
      </c>
      <c r="L289" s="6"/>
      <c r="M289" s="8"/>
    </row>
    <row r="290" spans="2:13" ht="15.75" customHeight="1" x14ac:dyDescent="0.25">
      <c r="B290" s="17"/>
      <c r="C290" s="552" t="s">
        <v>157</v>
      </c>
      <c r="D290" s="537"/>
      <c r="E290" s="537"/>
      <c r="F290" s="537"/>
      <c r="G290" s="537"/>
      <c r="H290" s="537"/>
      <c r="I290" s="538"/>
      <c r="J290" s="83">
        <f t="shared" ref="J290:K290" si="30">SUM(J286:J289)</f>
        <v>0.70776976896623567</v>
      </c>
      <c r="K290" s="98">
        <f t="shared" si="30"/>
        <v>2527.3081907429341</v>
      </c>
      <c r="L290" s="6"/>
      <c r="M290" s="8"/>
    </row>
    <row r="291" spans="2:13" ht="34.5" customHeight="1" x14ac:dyDescent="0.25">
      <c r="B291" s="61" t="s">
        <v>158</v>
      </c>
      <c r="C291" s="572" t="s">
        <v>159</v>
      </c>
      <c r="D291" s="537"/>
      <c r="E291" s="537"/>
      <c r="F291" s="537"/>
      <c r="G291" s="538"/>
      <c r="H291" s="59" t="s">
        <v>160</v>
      </c>
      <c r="I291" s="61" t="s">
        <v>120</v>
      </c>
      <c r="J291" s="61" t="s">
        <v>161</v>
      </c>
      <c r="K291" s="61" t="s">
        <v>121</v>
      </c>
      <c r="L291" s="6"/>
      <c r="M291" s="8"/>
    </row>
    <row r="292" spans="2:13" ht="15" customHeight="1" x14ac:dyDescent="0.25">
      <c r="B292" s="14" t="s">
        <v>162</v>
      </c>
      <c r="C292" s="561" t="s">
        <v>163</v>
      </c>
      <c r="D292" s="537"/>
      <c r="E292" s="537"/>
      <c r="F292" s="537"/>
      <c r="G292" s="538"/>
      <c r="H292" s="14">
        <v>15</v>
      </c>
      <c r="I292" s="88">
        <v>27.15</v>
      </c>
      <c r="J292" s="89">
        <v>0.19</v>
      </c>
      <c r="K292" s="44">
        <f>(H292*I292)-((H292*I292)*J292)</f>
        <v>329.8725</v>
      </c>
      <c r="L292" s="6"/>
      <c r="M292" s="8"/>
    </row>
    <row r="293" spans="2:13" ht="15.75" customHeight="1" x14ac:dyDescent="0.25">
      <c r="B293" s="14" t="s">
        <v>164</v>
      </c>
      <c r="C293" s="571" t="s">
        <v>165</v>
      </c>
      <c r="D293" s="537"/>
      <c r="E293" s="537"/>
      <c r="F293" s="537"/>
      <c r="G293" s="538"/>
      <c r="H293" s="14">
        <f>H292*4</f>
        <v>60</v>
      </c>
      <c r="I293" s="93">
        <v>6.25</v>
      </c>
      <c r="J293" s="89">
        <v>0.06</v>
      </c>
      <c r="K293" s="44">
        <f>(H293*I293)-(K276*J293)</f>
        <v>247.42500000000001</v>
      </c>
      <c r="L293" s="6"/>
      <c r="M293" s="8"/>
    </row>
    <row r="294" spans="2:13" ht="15.75" customHeight="1" x14ac:dyDescent="0.25">
      <c r="B294" s="14" t="s">
        <v>166</v>
      </c>
      <c r="C294" s="571" t="s">
        <v>167</v>
      </c>
      <c r="D294" s="537"/>
      <c r="E294" s="537"/>
      <c r="F294" s="537"/>
      <c r="G294" s="538"/>
      <c r="H294" s="3">
        <v>1</v>
      </c>
      <c r="I294" s="88">
        <v>25.52</v>
      </c>
      <c r="J294" s="26"/>
      <c r="K294" s="131">
        <f t="shared" ref="K294:K295" si="31">I294</f>
        <v>25.52</v>
      </c>
      <c r="L294" s="6"/>
      <c r="M294" s="8"/>
    </row>
    <row r="295" spans="2:13" ht="15.75" customHeight="1" x14ac:dyDescent="0.25">
      <c r="B295" s="14" t="s">
        <v>168</v>
      </c>
      <c r="C295" s="580" t="s">
        <v>207</v>
      </c>
      <c r="D295" s="537"/>
      <c r="E295" s="537"/>
      <c r="F295" s="537"/>
      <c r="G295" s="538"/>
      <c r="H295" s="3">
        <v>1</v>
      </c>
      <c r="I295" s="88">
        <v>80</v>
      </c>
      <c r="J295" s="26"/>
      <c r="K295" s="94">
        <f t="shared" si="31"/>
        <v>80</v>
      </c>
      <c r="L295" s="6"/>
      <c r="M295" s="8"/>
    </row>
    <row r="296" spans="2:13" ht="15.75" customHeight="1" x14ac:dyDescent="0.25">
      <c r="B296" s="26"/>
      <c r="C296" s="570" t="s">
        <v>170</v>
      </c>
      <c r="D296" s="537"/>
      <c r="E296" s="537"/>
      <c r="F296" s="537"/>
      <c r="G296" s="537"/>
      <c r="H296" s="537"/>
      <c r="I296" s="538"/>
      <c r="J296" s="75"/>
      <c r="K296" s="108">
        <f>SUM(K292:K295)</f>
        <v>682.8175</v>
      </c>
      <c r="L296" s="6"/>
      <c r="M296" s="8"/>
    </row>
    <row r="297" spans="2:13" ht="15.75" customHeight="1" x14ac:dyDescent="0.25">
      <c r="B297" s="573" t="s">
        <v>424</v>
      </c>
      <c r="C297" s="564"/>
      <c r="D297" s="564"/>
      <c r="E297" s="564"/>
      <c r="F297" s="564"/>
      <c r="G297" s="564"/>
      <c r="H297" s="564"/>
      <c r="I297" s="564"/>
      <c r="J297" s="565"/>
      <c r="K297" s="111">
        <f>K296+K290+K284</f>
        <v>6780.931200611356</v>
      </c>
      <c r="L297" s="6"/>
      <c r="M297" s="8"/>
    </row>
    <row r="298" spans="2:13" ht="15.75" customHeight="1" x14ac:dyDescent="0.25">
      <c r="B298" s="574" t="s">
        <v>172</v>
      </c>
      <c r="C298" s="535"/>
      <c r="D298" s="535"/>
      <c r="E298" s="535"/>
      <c r="F298" s="535"/>
      <c r="G298" s="535"/>
      <c r="H298" s="575"/>
      <c r="I298" s="99">
        <v>2</v>
      </c>
      <c r="J298" s="99" t="s">
        <v>173</v>
      </c>
      <c r="K298" s="112">
        <f>K297*I298</f>
        <v>13561.862401222712</v>
      </c>
      <c r="L298" s="6"/>
      <c r="M298" s="8"/>
    </row>
    <row r="299" spans="2:13" ht="15.75" customHeight="1" x14ac:dyDescent="0.25">
      <c r="K299" s="1"/>
      <c r="L299" s="6"/>
      <c r="M299" s="8"/>
    </row>
    <row r="300" spans="2:13" ht="15" customHeight="1" x14ac:dyDescent="0.25">
      <c r="B300" s="589" t="s">
        <v>449</v>
      </c>
      <c r="C300" s="537"/>
      <c r="D300" s="537"/>
      <c r="E300" s="537"/>
      <c r="F300" s="537"/>
      <c r="G300" s="537"/>
      <c r="H300" s="537"/>
      <c r="I300" s="537"/>
      <c r="J300" s="538"/>
      <c r="K300" s="135">
        <f>SUM(K298,K272,K250,K228,K181,K135,K114,K95,K70,K49+K160+K206)</f>
        <v>102202.31778285673</v>
      </c>
      <c r="L300" s="6"/>
      <c r="M300" s="8"/>
    </row>
    <row r="301" spans="2:13" ht="15.75" customHeight="1" x14ac:dyDescent="0.25">
      <c r="K301" s="1"/>
      <c r="L301" s="6"/>
      <c r="M301" s="8"/>
    </row>
    <row r="302" spans="2:13" ht="15.75" customHeight="1" x14ac:dyDescent="0.25">
      <c r="K302" s="1"/>
      <c r="L302" s="6"/>
      <c r="M302" s="8"/>
    </row>
    <row r="303" spans="2:13" ht="15.75" customHeight="1" x14ac:dyDescent="0.25">
      <c r="B303" s="566" t="s">
        <v>444</v>
      </c>
      <c r="C303" s="537"/>
      <c r="D303" s="537"/>
      <c r="E303" s="537"/>
      <c r="F303" s="537"/>
      <c r="G303" s="537"/>
      <c r="H303" s="537"/>
      <c r="I303" s="537"/>
      <c r="J303" s="537"/>
      <c r="K303" s="538"/>
      <c r="L303" s="6"/>
      <c r="M303" s="8"/>
    </row>
    <row r="304" spans="2:13" ht="30" customHeight="1" x14ac:dyDescent="0.25">
      <c r="K304" s="1"/>
      <c r="L304" s="6"/>
      <c r="M304" s="8"/>
    </row>
    <row r="305" spans="2:13" ht="15.75" customHeight="1" x14ac:dyDescent="0.25">
      <c r="B305" s="568" t="s">
        <v>445</v>
      </c>
      <c r="C305" s="537"/>
      <c r="D305" s="537"/>
      <c r="E305" s="537"/>
      <c r="F305" s="537"/>
      <c r="G305" s="537"/>
      <c r="H305" s="537"/>
      <c r="I305" s="537"/>
      <c r="J305" s="537"/>
      <c r="K305" s="538"/>
      <c r="L305" s="6"/>
      <c r="M305" s="8"/>
    </row>
    <row r="306" spans="2:13" ht="15.75" customHeight="1" x14ac:dyDescent="0.25">
      <c r="B306" s="552" t="s">
        <v>239</v>
      </c>
      <c r="C306" s="537"/>
      <c r="D306" s="537"/>
      <c r="E306" s="537"/>
      <c r="F306" s="538"/>
      <c r="G306" s="18" t="s">
        <v>318</v>
      </c>
      <c r="H306" s="18" t="s">
        <v>241</v>
      </c>
      <c r="I306" s="553" t="s">
        <v>242</v>
      </c>
      <c r="J306" s="538"/>
      <c r="K306" s="17" t="s">
        <v>243</v>
      </c>
      <c r="L306" s="6"/>
      <c r="M306" s="8"/>
    </row>
    <row r="307" spans="2:13" ht="15.75" customHeight="1" x14ac:dyDescent="0.25">
      <c r="B307" s="545" t="s">
        <v>263</v>
      </c>
      <c r="C307" s="537"/>
      <c r="D307" s="537"/>
      <c r="E307" s="537"/>
      <c r="F307" s="538"/>
      <c r="G307" s="3">
        <v>2</v>
      </c>
      <c r="H307" s="44">
        <f>'10 - CUSTOS UN'!J36</f>
        <v>21.349999999999998</v>
      </c>
      <c r="I307" s="590">
        <f t="shared" ref="I307:I308" si="32">H307/6</f>
        <v>3.5583333333333331</v>
      </c>
      <c r="J307" s="538"/>
      <c r="K307" s="44">
        <f t="shared" ref="K307:K308" si="33">I307*G307</f>
        <v>7.1166666666666663</v>
      </c>
      <c r="L307" s="6"/>
      <c r="M307" s="8"/>
    </row>
    <row r="308" spans="2:13" ht="15.75" customHeight="1" x14ac:dyDescent="0.25">
      <c r="B308" s="591" t="s">
        <v>447</v>
      </c>
      <c r="C308" s="564"/>
      <c r="D308" s="564"/>
      <c r="E308" s="564"/>
      <c r="F308" s="565"/>
      <c r="G308" s="142">
        <v>1</v>
      </c>
      <c r="H308" s="216">
        <f>'10 - CUSTOS UN'!J63</f>
        <v>111.56333333333333</v>
      </c>
      <c r="I308" s="592">
        <f t="shared" si="32"/>
        <v>18.593888888888888</v>
      </c>
      <c r="J308" s="565"/>
      <c r="K308" s="216">
        <f t="shared" si="33"/>
        <v>18.593888888888888</v>
      </c>
      <c r="L308" s="6"/>
      <c r="M308" s="8"/>
    </row>
    <row r="309" spans="2:13" ht="15.75" customHeight="1" x14ac:dyDescent="0.25">
      <c r="B309" s="593" t="s">
        <v>454</v>
      </c>
      <c r="C309" s="535"/>
      <c r="D309" s="535"/>
      <c r="E309" s="535"/>
      <c r="F309" s="575"/>
      <c r="G309" s="145"/>
      <c r="H309" s="145"/>
      <c r="I309" s="594"/>
      <c r="J309" s="575"/>
      <c r="K309" s="220">
        <f>SUM(K307:K308)</f>
        <v>25.710555555555555</v>
      </c>
      <c r="L309" s="6"/>
      <c r="M309" s="8"/>
    </row>
    <row r="310" spans="2:13" ht="15.75" customHeight="1" x14ac:dyDescent="0.25">
      <c r="B310" s="570" t="s">
        <v>261</v>
      </c>
      <c r="C310" s="537"/>
      <c r="D310" s="537"/>
      <c r="E310" s="537"/>
      <c r="F310" s="538"/>
      <c r="G310" s="3">
        <f>H7+H10</f>
        <v>2</v>
      </c>
      <c r="H310" s="3" t="s">
        <v>173</v>
      </c>
      <c r="I310" s="556">
        <f>K309</f>
        <v>25.710555555555555</v>
      </c>
      <c r="J310" s="538"/>
      <c r="K310" s="108">
        <f>I310*G310</f>
        <v>51.421111111111109</v>
      </c>
      <c r="L310" s="6"/>
      <c r="M310" s="8"/>
    </row>
    <row r="311" spans="2:13" ht="15.75" customHeight="1" x14ac:dyDescent="0.25">
      <c r="K311" s="1"/>
      <c r="L311" s="6"/>
      <c r="M311" s="8"/>
    </row>
    <row r="312" spans="2:13" ht="15.75" customHeight="1" x14ac:dyDescent="0.25">
      <c r="B312" s="568" t="s">
        <v>455</v>
      </c>
      <c r="C312" s="537"/>
      <c r="D312" s="537"/>
      <c r="E312" s="537"/>
      <c r="F312" s="537"/>
      <c r="G312" s="537"/>
      <c r="H312" s="537"/>
      <c r="I312" s="537"/>
      <c r="J312" s="537"/>
      <c r="K312" s="538"/>
      <c r="L312" s="6"/>
      <c r="M312" s="8"/>
    </row>
    <row r="313" spans="2:13" ht="15.75" customHeight="1" x14ac:dyDescent="0.25">
      <c r="B313" s="552" t="s">
        <v>239</v>
      </c>
      <c r="C313" s="537"/>
      <c r="D313" s="537"/>
      <c r="E313" s="537"/>
      <c r="F313" s="538"/>
      <c r="G313" s="18" t="s">
        <v>318</v>
      </c>
      <c r="H313" s="18" t="s">
        <v>241</v>
      </c>
      <c r="I313" s="553" t="s">
        <v>242</v>
      </c>
      <c r="J313" s="538"/>
      <c r="K313" s="17" t="s">
        <v>243</v>
      </c>
      <c r="L313" s="6"/>
      <c r="M313" s="8"/>
    </row>
    <row r="314" spans="2:13" ht="15.75" customHeight="1" x14ac:dyDescent="0.25">
      <c r="B314" s="545" t="s">
        <v>263</v>
      </c>
      <c r="C314" s="537"/>
      <c r="D314" s="537"/>
      <c r="E314" s="537"/>
      <c r="F314" s="538"/>
      <c r="G314" s="3">
        <v>2</v>
      </c>
      <c r="H314" s="60">
        <f>'10 - CUSTOS UN'!$J$36</f>
        <v>21.349999999999998</v>
      </c>
      <c r="I314" s="556">
        <f t="shared" ref="I314:I320" si="34">H314/6</f>
        <v>3.5583333333333331</v>
      </c>
      <c r="J314" s="538"/>
      <c r="K314" s="60">
        <f t="shared" ref="K314:K320" si="35">I314*G314</f>
        <v>7.1166666666666663</v>
      </c>
      <c r="L314" s="6"/>
      <c r="M314" s="8"/>
    </row>
    <row r="315" spans="2:13" ht="15.75" customHeight="1" x14ac:dyDescent="0.25">
      <c r="B315" s="545" t="s">
        <v>264</v>
      </c>
      <c r="C315" s="537"/>
      <c r="D315" s="537"/>
      <c r="E315" s="537"/>
      <c r="F315" s="538"/>
      <c r="G315" s="3">
        <v>1</v>
      </c>
      <c r="H315" s="60">
        <f>'10 - CUSTOS UN'!$J$27</f>
        <v>67.736666666666665</v>
      </c>
      <c r="I315" s="556">
        <f t="shared" si="34"/>
        <v>11.289444444444444</v>
      </c>
      <c r="J315" s="538"/>
      <c r="K315" s="60">
        <f t="shared" si="35"/>
        <v>11.289444444444444</v>
      </c>
      <c r="L315" s="6"/>
      <c r="M315" s="8"/>
    </row>
    <row r="316" spans="2:13" ht="15.75" customHeight="1" x14ac:dyDescent="0.25">
      <c r="B316" s="545" t="s">
        <v>250</v>
      </c>
      <c r="C316" s="537"/>
      <c r="D316" s="537"/>
      <c r="E316" s="537"/>
      <c r="F316" s="538"/>
      <c r="G316" s="3">
        <v>1</v>
      </c>
      <c r="H316" s="60">
        <f>'10 - CUSTOS UN'!$J$66</f>
        <v>156.05666666666664</v>
      </c>
      <c r="I316" s="556">
        <f t="shared" si="34"/>
        <v>26.009444444444441</v>
      </c>
      <c r="J316" s="538"/>
      <c r="K316" s="60">
        <f t="shared" si="35"/>
        <v>26.009444444444441</v>
      </c>
      <c r="L316" s="6"/>
      <c r="M316" s="8"/>
    </row>
    <row r="317" spans="2:13" ht="15.75" customHeight="1" x14ac:dyDescent="0.25">
      <c r="B317" s="545" t="s">
        <v>265</v>
      </c>
      <c r="C317" s="537"/>
      <c r="D317" s="537"/>
      <c r="E317" s="537"/>
      <c r="F317" s="538"/>
      <c r="G317" s="3">
        <v>1</v>
      </c>
      <c r="H317" s="60">
        <f>'10 - CUSTOS UN'!$J$30</f>
        <v>84.38</v>
      </c>
      <c r="I317" s="556">
        <f t="shared" si="34"/>
        <v>14.063333333333333</v>
      </c>
      <c r="J317" s="538"/>
      <c r="K317" s="60">
        <f t="shared" si="35"/>
        <v>14.063333333333333</v>
      </c>
      <c r="L317" s="6"/>
      <c r="M317" s="8"/>
    </row>
    <row r="318" spans="2:13" ht="15.75" customHeight="1" x14ac:dyDescent="0.25">
      <c r="B318" s="545" t="s">
        <v>258</v>
      </c>
      <c r="C318" s="537"/>
      <c r="D318" s="537"/>
      <c r="E318" s="537"/>
      <c r="F318" s="538"/>
      <c r="G318" s="3">
        <v>2</v>
      </c>
      <c r="H318" s="60">
        <f>'10 - CUSTOS UN'!$J$72</f>
        <v>8.2700000000000014</v>
      </c>
      <c r="I318" s="556">
        <f t="shared" si="34"/>
        <v>1.3783333333333336</v>
      </c>
      <c r="J318" s="538"/>
      <c r="K318" s="60">
        <f t="shared" si="35"/>
        <v>2.7566666666666673</v>
      </c>
      <c r="L318" s="6"/>
      <c r="M318" s="8"/>
    </row>
    <row r="319" spans="2:13" ht="15.75" customHeight="1" x14ac:dyDescent="0.25">
      <c r="B319" s="545" t="s">
        <v>256</v>
      </c>
      <c r="C319" s="537"/>
      <c r="D319" s="537"/>
      <c r="E319" s="537"/>
      <c r="F319" s="538"/>
      <c r="G319" s="3">
        <v>1</v>
      </c>
      <c r="H319" s="60">
        <f>'10 - CUSTOS UN'!$J$51</f>
        <v>212.1933333333333</v>
      </c>
      <c r="I319" s="556">
        <f t="shared" si="34"/>
        <v>35.365555555555552</v>
      </c>
      <c r="J319" s="538"/>
      <c r="K319" s="60">
        <f t="shared" si="35"/>
        <v>35.365555555555552</v>
      </c>
      <c r="L319" s="6"/>
      <c r="M319" s="8"/>
    </row>
    <row r="320" spans="2:13" ht="15.75" customHeight="1" x14ac:dyDescent="0.25">
      <c r="B320" s="591" t="s">
        <v>457</v>
      </c>
      <c r="C320" s="564"/>
      <c r="D320" s="564"/>
      <c r="E320" s="564"/>
      <c r="F320" s="565"/>
      <c r="G320" s="142">
        <v>1</v>
      </c>
      <c r="H320" s="223">
        <f>'10 - CUSTOS UN'!$J$48</f>
        <v>18.52</v>
      </c>
      <c r="I320" s="609">
        <f t="shared" si="34"/>
        <v>3.0866666666666664</v>
      </c>
      <c r="J320" s="565"/>
      <c r="K320" s="223">
        <f t="shared" si="35"/>
        <v>3.0866666666666664</v>
      </c>
      <c r="L320" s="6"/>
      <c r="M320" s="8"/>
    </row>
    <row r="321" spans="2:22" ht="15.75" customHeight="1" x14ac:dyDescent="0.25">
      <c r="B321" s="603" t="s">
        <v>454</v>
      </c>
      <c r="C321" s="544"/>
      <c r="D321" s="544"/>
      <c r="E321" s="544"/>
      <c r="F321" s="579"/>
      <c r="G321" s="145"/>
      <c r="H321" s="145"/>
      <c r="I321" s="653"/>
      <c r="J321" s="579"/>
      <c r="K321" s="220">
        <f>SUM(K314:K320)</f>
        <v>99.687777777777768</v>
      </c>
      <c r="L321" s="6"/>
      <c r="M321" s="8"/>
    </row>
    <row r="322" spans="2:22" ht="15.75" customHeight="1" x14ac:dyDescent="0.25">
      <c r="B322" s="570" t="s">
        <v>261</v>
      </c>
      <c r="C322" s="537"/>
      <c r="D322" s="537"/>
      <c r="E322" s="537"/>
      <c r="F322" s="538"/>
      <c r="G322" s="3">
        <v>2</v>
      </c>
      <c r="H322" s="3" t="s">
        <v>173</v>
      </c>
      <c r="I322" s="556">
        <f>K321</f>
        <v>99.687777777777768</v>
      </c>
      <c r="J322" s="538"/>
      <c r="K322" s="108">
        <f>I322*G322</f>
        <v>199.37555555555554</v>
      </c>
      <c r="L322" s="6"/>
      <c r="M322" s="8"/>
    </row>
    <row r="323" spans="2:22" ht="15.75" customHeight="1" x14ac:dyDescent="0.25">
      <c r="K323" s="1"/>
      <c r="L323" s="6"/>
      <c r="M323" s="8"/>
    </row>
    <row r="324" spans="2:22" ht="15.75" customHeight="1" x14ac:dyDescent="0.25">
      <c r="B324" s="568" t="s">
        <v>460</v>
      </c>
      <c r="C324" s="537"/>
      <c r="D324" s="537"/>
      <c r="E324" s="537"/>
      <c r="F324" s="537"/>
      <c r="G324" s="537"/>
      <c r="H324" s="537"/>
      <c r="I324" s="537"/>
      <c r="J324" s="537"/>
      <c r="K324" s="538"/>
      <c r="L324" s="6"/>
      <c r="M324" s="8"/>
    </row>
    <row r="325" spans="2:22" ht="15.75" customHeight="1" x14ac:dyDescent="0.25">
      <c r="B325" s="552" t="s">
        <v>239</v>
      </c>
      <c r="C325" s="537"/>
      <c r="D325" s="537"/>
      <c r="E325" s="537"/>
      <c r="F325" s="538"/>
      <c r="G325" s="18" t="s">
        <v>318</v>
      </c>
      <c r="H325" s="18" t="s">
        <v>241</v>
      </c>
      <c r="I325" s="553" t="s">
        <v>242</v>
      </c>
      <c r="J325" s="538"/>
      <c r="K325" s="17" t="s">
        <v>243</v>
      </c>
      <c r="L325" s="6"/>
      <c r="M325" s="8"/>
    </row>
    <row r="326" spans="2:22" ht="15" customHeight="1" x14ac:dyDescent="0.25">
      <c r="B326" s="605" t="s">
        <v>263</v>
      </c>
      <c r="C326" s="537"/>
      <c r="D326" s="537"/>
      <c r="E326" s="537"/>
      <c r="F326" s="538"/>
      <c r="G326" s="194">
        <v>4</v>
      </c>
      <c r="H326" s="60">
        <f>'10 - CUSTOS UN'!$J$36</f>
        <v>21.349999999999998</v>
      </c>
      <c r="I326" s="556">
        <f t="shared" ref="I326:I334" si="36">H326/6</f>
        <v>3.5583333333333331</v>
      </c>
      <c r="J326" s="538"/>
      <c r="K326" s="60">
        <f t="shared" ref="K326:K334" si="37">I326*G326</f>
        <v>14.233333333333333</v>
      </c>
      <c r="L326" s="6"/>
      <c r="M326" s="8"/>
    </row>
    <row r="327" spans="2:22" ht="15" customHeight="1" x14ac:dyDescent="0.25">
      <c r="B327" s="605" t="s">
        <v>447</v>
      </c>
      <c r="C327" s="537"/>
      <c r="D327" s="537"/>
      <c r="E327" s="537"/>
      <c r="F327" s="538"/>
      <c r="G327" s="194">
        <v>1</v>
      </c>
      <c r="H327" s="226">
        <f>'10 - CUSTOS UN'!$J$63</f>
        <v>111.56333333333333</v>
      </c>
      <c r="I327" s="648">
        <f t="shared" si="36"/>
        <v>18.593888888888888</v>
      </c>
      <c r="J327" s="538"/>
      <c r="K327" s="60">
        <f t="shared" si="37"/>
        <v>18.593888888888888</v>
      </c>
      <c r="L327" s="6"/>
      <c r="M327" s="8"/>
    </row>
    <row r="328" spans="2:22" ht="15" customHeight="1" x14ac:dyDescent="0.25">
      <c r="B328" s="605" t="s">
        <v>461</v>
      </c>
      <c r="C328" s="537"/>
      <c r="D328" s="537"/>
      <c r="E328" s="537"/>
      <c r="F328" s="538"/>
      <c r="G328" s="194">
        <v>1</v>
      </c>
      <c r="H328" s="226">
        <f>'10 - CUSTOS UN'!J78</f>
        <v>146.51999999999998</v>
      </c>
      <c r="I328" s="648">
        <f t="shared" si="36"/>
        <v>24.419999999999998</v>
      </c>
      <c r="J328" s="538"/>
      <c r="K328" s="60">
        <f t="shared" si="37"/>
        <v>24.419999999999998</v>
      </c>
      <c r="L328" s="6"/>
      <c r="M328" s="8"/>
    </row>
    <row r="329" spans="2:22" ht="15.75" customHeight="1" x14ac:dyDescent="0.25">
      <c r="B329" s="545" t="s">
        <v>462</v>
      </c>
      <c r="C329" s="537"/>
      <c r="D329" s="537"/>
      <c r="E329" s="537"/>
      <c r="F329" s="538"/>
      <c r="G329" s="3">
        <v>1</v>
      </c>
      <c r="H329" s="60">
        <f>'10 - CUSTOS UN'!J81</f>
        <v>134.89000000000001</v>
      </c>
      <c r="I329" s="648">
        <f t="shared" si="36"/>
        <v>22.481666666666669</v>
      </c>
      <c r="J329" s="538"/>
      <c r="K329" s="60">
        <f t="shared" si="37"/>
        <v>22.481666666666669</v>
      </c>
      <c r="L329" s="6"/>
      <c r="M329" s="8"/>
    </row>
    <row r="330" spans="2:22" ht="15" customHeight="1" x14ac:dyDescent="0.25">
      <c r="B330" s="545" t="s">
        <v>463</v>
      </c>
      <c r="C330" s="537"/>
      <c r="D330" s="537"/>
      <c r="E330" s="537"/>
      <c r="F330" s="538"/>
      <c r="G330" s="3">
        <v>2</v>
      </c>
      <c r="H330" s="60">
        <f>'10 - CUSTOS UN'!J54</f>
        <v>10.023333333333333</v>
      </c>
      <c r="I330" s="648">
        <f t="shared" si="36"/>
        <v>1.6705555555555556</v>
      </c>
      <c r="J330" s="538"/>
      <c r="K330" s="60">
        <f t="shared" si="37"/>
        <v>3.3411111111111111</v>
      </c>
      <c r="L330" s="6"/>
      <c r="M330" s="8"/>
    </row>
    <row r="331" spans="2:22" ht="15.75" customHeight="1" x14ac:dyDescent="0.25">
      <c r="B331" s="545" t="s">
        <v>466</v>
      </c>
      <c r="C331" s="537"/>
      <c r="D331" s="537"/>
      <c r="E331" s="537"/>
      <c r="F331" s="538"/>
      <c r="G331" s="3">
        <v>1</v>
      </c>
      <c r="H331" s="60">
        <f>'10 - CUSTOS UN'!$J$90</f>
        <v>3.0066666666666664</v>
      </c>
      <c r="I331" s="648">
        <f t="shared" si="36"/>
        <v>0.50111111111111106</v>
      </c>
      <c r="J331" s="538"/>
      <c r="K331" s="60">
        <f t="shared" si="37"/>
        <v>0.50111111111111106</v>
      </c>
      <c r="L331" s="6"/>
      <c r="M331" s="147"/>
      <c r="N331" s="148"/>
      <c r="O331" s="148"/>
      <c r="P331" s="148"/>
      <c r="Q331" s="148"/>
      <c r="R331" s="148"/>
      <c r="S331" s="148"/>
      <c r="T331" s="148"/>
      <c r="U331" s="148"/>
      <c r="V331" s="148"/>
    </row>
    <row r="332" spans="2:22" ht="15.75" customHeight="1" x14ac:dyDescent="0.25">
      <c r="B332" s="545" t="s">
        <v>467</v>
      </c>
      <c r="C332" s="537"/>
      <c r="D332" s="537"/>
      <c r="E332" s="537"/>
      <c r="F332" s="538"/>
      <c r="G332" s="3">
        <v>2</v>
      </c>
      <c r="H332" s="60">
        <f>'10 - CUSTOS UN'!J75</f>
        <v>2.8833333333333333</v>
      </c>
      <c r="I332" s="648">
        <f t="shared" si="36"/>
        <v>0.48055555555555557</v>
      </c>
      <c r="J332" s="538"/>
      <c r="K332" s="60">
        <f t="shared" si="37"/>
        <v>0.96111111111111114</v>
      </c>
      <c r="L332" s="6"/>
      <c r="M332" s="64"/>
      <c r="N332" s="148"/>
      <c r="O332" s="148"/>
      <c r="P332" s="148"/>
      <c r="Q332" s="148"/>
      <c r="R332" s="148"/>
      <c r="S332" s="65"/>
      <c r="T332" s="148"/>
      <c r="U332" s="148"/>
      <c r="V332" s="65"/>
    </row>
    <row r="333" spans="2:22" ht="15.75" customHeight="1" x14ac:dyDescent="0.25">
      <c r="B333" s="545" t="s">
        <v>265</v>
      </c>
      <c r="C333" s="537"/>
      <c r="D333" s="537"/>
      <c r="E333" s="537"/>
      <c r="F333" s="538"/>
      <c r="G333" s="3">
        <v>1</v>
      </c>
      <c r="H333" s="60">
        <f>'10 - CUSTOS UN'!$J$30</f>
        <v>84.38</v>
      </c>
      <c r="I333" s="648">
        <f t="shared" si="36"/>
        <v>14.063333333333333</v>
      </c>
      <c r="J333" s="538"/>
      <c r="K333" s="60">
        <f t="shared" si="37"/>
        <v>14.063333333333333</v>
      </c>
      <c r="L333" s="6"/>
      <c r="M333" s="150"/>
      <c r="S333" s="1"/>
      <c r="T333" s="149"/>
      <c r="U333" s="149"/>
      <c r="V333" s="230"/>
    </row>
    <row r="334" spans="2:22" ht="15.75" customHeight="1" x14ac:dyDescent="0.25">
      <c r="B334" s="591" t="s">
        <v>266</v>
      </c>
      <c r="C334" s="564"/>
      <c r="D334" s="564"/>
      <c r="E334" s="564"/>
      <c r="F334" s="565"/>
      <c r="G334" s="142">
        <v>1</v>
      </c>
      <c r="H334" s="223">
        <f>'10 - CUSTOS UN'!$J$42</f>
        <v>16.393333333333334</v>
      </c>
      <c r="I334" s="649">
        <f t="shared" si="36"/>
        <v>2.7322222222222226</v>
      </c>
      <c r="J334" s="565"/>
      <c r="K334" s="223">
        <f t="shared" si="37"/>
        <v>2.7322222222222226</v>
      </c>
      <c r="L334" s="6"/>
      <c r="M334" s="8"/>
      <c r="N334" s="151"/>
      <c r="O334" s="151"/>
      <c r="P334" s="151"/>
      <c r="Q334" s="151"/>
      <c r="R334" s="151"/>
      <c r="S334" s="151"/>
      <c r="T334" s="151"/>
      <c r="U334" s="151"/>
      <c r="V334" s="152"/>
    </row>
    <row r="335" spans="2:22" ht="15.75" customHeight="1" x14ac:dyDescent="0.25">
      <c r="B335" s="603" t="s">
        <v>454</v>
      </c>
      <c r="C335" s="544"/>
      <c r="D335" s="544"/>
      <c r="E335" s="544"/>
      <c r="F335" s="579"/>
      <c r="G335" s="145"/>
      <c r="H335" s="145"/>
      <c r="I335" s="650"/>
      <c r="J335" s="579"/>
      <c r="K335" s="231">
        <f>SUM(K326:K334)</f>
        <v>101.32777777777777</v>
      </c>
      <c r="L335" s="6"/>
      <c r="M335" s="8"/>
      <c r="S335" s="1"/>
      <c r="T335" s="149"/>
      <c r="U335" s="149"/>
      <c r="V335" s="230"/>
    </row>
    <row r="336" spans="2:22" ht="15.75" customHeight="1" x14ac:dyDescent="0.25">
      <c r="B336" s="570" t="s">
        <v>261</v>
      </c>
      <c r="C336" s="537"/>
      <c r="D336" s="537"/>
      <c r="E336" s="537"/>
      <c r="F336" s="538"/>
      <c r="G336" s="3">
        <v>4</v>
      </c>
      <c r="H336" s="3" t="s">
        <v>173</v>
      </c>
      <c r="I336" s="556">
        <f>K335</f>
        <v>101.32777777777777</v>
      </c>
      <c r="J336" s="538"/>
      <c r="K336" s="193">
        <f>K335*G336</f>
        <v>405.31111111111107</v>
      </c>
      <c r="L336" s="6"/>
      <c r="M336" s="147"/>
      <c r="N336" s="148"/>
      <c r="O336" s="148"/>
      <c r="P336" s="148"/>
      <c r="Q336" s="148"/>
      <c r="R336" s="148"/>
      <c r="S336" s="148"/>
      <c r="T336" s="148"/>
      <c r="U336" s="148"/>
      <c r="V336" s="148"/>
    </row>
    <row r="337" spans="2:22" ht="15.75" customHeight="1" x14ac:dyDescent="0.25">
      <c r="K337" s="1"/>
      <c r="L337" s="6"/>
      <c r="M337" s="64"/>
      <c r="N337" s="148"/>
      <c r="O337" s="148"/>
      <c r="P337" s="148"/>
      <c r="Q337" s="148"/>
      <c r="R337" s="148"/>
      <c r="S337" s="148"/>
      <c r="T337" s="148"/>
      <c r="U337" s="148"/>
      <c r="V337" s="65"/>
    </row>
    <row r="338" spans="2:22" ht="15.75" customHeight="1" x14ac:dyDescent="0.25">
      <c r="B338" s="568" t="s">
        <v>470</v>
      </c>
      <c r="C338" s="537"/>
      <c r="D338" s="537"/>
      <c r="E338" s="537"/>
      <c r="F338" s="537"/>
      <c r="G338" s="537"/>
      <c r="H338" s="537"/>
      <c r="I338" s="537"/>
      <c r="J338" s="537"/>
      <c r="K338" s="538"/>
      <c r="L338" s="6"/>
      <c r="M338" s="233"/>
      <c r="N338" s="148"/>
      <c r="O338" s="148"/>
      <c r="P338" s="148"/>
      <c r="Q338" s="148"/>
      <c r="R338" s="65"/>
      <c r="S338" s="65"/>
      <c r="T338" s="235"/>
      <c r="U338" s="235"/>
      <c r="V338" s="189"/>
    </row>
    <row r="339" spans="2:22" ht="15.75" customHeight="1" x14ac:dyDescent="0.25">
      <c r="B339" s="552" t="s">
        <v>239</v>
      </c>
      <c r="C339" s="537"/>
      <c r="D339" s="537"/>
      <c r="E339" s="537"/>
      <c r="F339" s="538"/>
      <c r="G339" s="18" t="s">
        <v>318</v>
      </c>
      <c r="H339" s="18" t="s">
        <v>241</v>
      </c>
      <c r="I339" s="553" t="s">
        <v>242</v>
      </c>
      <c r="J339" s="538"/>
      <c r="K339" s="17" t="s">
        <v>243</v>
      </c>
      <c r="L339" s="6"/>
      <c r="M339" s="237"/>
      <c r="N339" s="179"/>
      <c r="O339" s="179"/>
      <c r="P339" s="179"/>
      <c r="Q339" s="179"/>
      <c r="R339" s="179"/>
      <c r="S339" s="179"/>
      <c r="T339" s="179"/>
      <c r="U339" s="179"/>
      <c r="V339" s="179"/>
    </row>
    <row r="340" spans="2:22" ht="15.75" customHeight="1" x14ac:dyDescent="0.25">
      <c r="B340" s="545" t="s">
        <v>263</v>
      </c>
      <c r="C340" s="537"/>
      <c r="D340" s="537"/>
      <c r="E340" s="537"/>
      <c r="F340" s="538"/>
      <c r="G340" s="3">
        <v>2</v>
      </c>
      <c r="H340" s="60">
        <f>'10 - CUSTOS UN'!$J$36</f>
        <v>21.349999999999998</v>
      </c>
      <c r="I340" s="590">
        <f t="shared" ref="I340:I347" si="38">H340/6</f>
        <v>3.5583333333333331</v>
      </c>
      <c r="J340" s="538"/>
      <c r="K340" s="44">
        <f t="shared" ref="K340:K347" si="39">I340*G340</f>
        <v>7.1166666666666663</v>
      </c>
      <c r="L340" s="6"/>
      <c r="M340" s="238"/>
      <c r="N340" s="179"/>
      <c r="O340" s="179"/>
      <c r="P340" s="179"/>
      <c r="Q340" s="179"/>
      <c r="R340" s="38"/>
      <c r="S340" s="38"/>
      <c r="T340" s="179"/>
      <c r="U340" s="179"/>
      <c r="V340" s="38"/>
    </row>
    <row r="341" spans="2:22" ht="15.75" customHeight="1" x14ac:dyDescent="0.25">
      <c r="B341" s="545" t="s">
        <v>447</v>
      </c>
      <c r="C341" s="537"/>
      <c r="D341" s="537"/>
      <c r="E341" s="537"/>
      <c r="F341" s="538"/>
      <c r="G341" s="3">
        <v>1</v>
      </c>
      <c r="H341" s="226">
        <f>'10 - CUSTOS UN'!$J$63</f>
        <v>111.56333333333333</v>
      </c>
      <c r="I341" s="590">
        <f t="shared" si="38"/>
        <v>18.593888888888888</v>
      </c>
      <c r="J341" s="538"/>
      <c r="K341" s="44">
        <f t="shared" si="39"/>
        <v>18.593888888888888</v>
      </c>
      <c r="L341" s="6"/>
      <c r="M341" s="238"/>
      <c r="N341" s="179"/>
      <c r="O341" s="179"/>
      <c r="P341" s="179"/>
      <c r="Q341" s="179"/>
      <c r="R341" s="38"/>
      <c r="S341" s="38"/>
      <c r="T341" s="239"/>
      <c r="U341" s="239"/>
      <c r="V341" s="189"/>
    </row>
    <row r="342" spans="2:22" ht="15.75" customHeight="1" x14ac:dyDescent="0.25">
      <c r="B342" s="545" t="s">
        <v>264</v>
      </c>
      <c r="C342" s="537"/>
      <c r="D342" s="537"/>
      <c r="E342" s="537"/>
      <c r="F342" s="538"/>
      <c r="G342" s="3">
        <v>2</v>
      </c>
      <c r="H342" s="60">
        <f>'10 - CUSTOS UN'!$J$27</f>
        <v>67.736666666666665</v>
      </c>
      <c r="I342" s="590">
        <f t="shared" si="38"/>
        <v>11.289444444444444</v>
      </c>
      <c r="J342" s="538"/>
      <c r="K342" s="44">
        <f t="shared" si="39"/>
        <v>22.578888888888887</v>
      </c>
      <c r="L342" s="6"/>
      <c r="M342" s="238"/>
      <c r="N342" s="148"/>
      <c r="O342" s="148"/>
      <c r="P342" s="148"/>
      <c r="Q342" s="148"/>
      <c r="R342" s="148"/>
      <c r="S342" s="148"/>
      <c r="T342" s="148"/>
      <c r="U342" s="148"/>
      <c r="V342" s="189"/>
    </row>
    <row r="343" spans="2:22" ht="15.75" customHeight="1" x14ac:dyDescent="0.25">
      <c r="B343" s="545" t="s">
        <v>265</v>
      </c>
      <c r="C343" s="537"/>
      <c r="D343" s="537"/>
      <c r="E343" s="537"/>
      <c r="F343" s="538"/>
      <c r="G343" s="3">
        <v>1</v>
      </c>
      <c r="H343" s="60">
        <f>'10 - CUSTOS UN'!$J$30</f>
        <v>84.38</v>
      </c>
      <c r="I343" s="590">
        <f t="shared" si="38"/>
        <v>14.063333333333333</v>
      </c>
      <c r="J343" s="538"/>
      <c r="K343" s="44">
        <f t="shared" si="39"/>
        <v>14.063333333333333</v>
      </c>
      <c r="L343" s="6"/>
      <c r="M343" s="238"/>
      <c r="N343" s="179"/>
      <c r="O343" s="179"/>
      <c r="P343" s="179"/>
      <c r="Q343" s="179"/>
      <c r="R343" s="38"/>
      <c r="S343" s="38"/>
      <c r="T343" s="169"/>
      <c r="U343" s="38"/>
      <c r="V343" s="169"/>
    </row>
    <row r="344" spans="2:22" ht="15.75" customHeight="1" x14ac:dyDescent="0.25">
      <c r="B344" s="545" t="s">
        <v>474</v>
      </c>
      <c r="C344" s="537"/>
      <c r="D344" s="537"/>
      <c r="E344" s="537"/>
      <c r="F344" s="538"/>
      <c r="G344" s="3">
        <v>12</v>
      </c>
      <c r="H344" s="31">
        <f>'10 - CUSTOS UN'!J69</f>
        <v>5.1333333333333337</v>
      </c>
      <c r="I344" s="590">
        <f t="shared" si="38"/>
        <v>0.85555555555555562</v>
      </c>
      <c r="J344" s="538"/>
      <c r="K344" s="44">
        <f t="shared" si="39"/>
        <v>10.266666666666667</v>
      </c>
      <c r="L344" s="6"/>
      <c r="M344" s="238"/>
      <c r="N344" s="179"/>
      <c r="O344" s="179"/>
      <c r="P344" s="179"/>
      <c r="Q344" s="179"/>
      <c r="R344" s="38"/>
      <c r="S344" s="38"/>
      <c r="T344" s="169"/>
      <c r="U344" s="38"/>
      <c r="V344" s="169"/>
    </row>
    <row r="345" spans="2:22" ht="15.75" customHeight="1" x14ac:dyDescent="0.25">
      <c r="B345" s="545" t="s">
        <v>466</v>
      </c>
      <c r="C345" s="537"/>
      <c r="D345" s="537"/>
      <c r="E345" s="537"/>
      <c r="F345" s="538"/>
      <c r="G345" s="3">
        <v>1</v>
      </c>
      <c r="H345" s="60">
        <f>'10 - CUSTOS UN'!$J$90</f>
        <v>3.0066666666666664</v>
      </c>
      <c r="I345" s="590">
        <f t="shared" si="38"/>
        <v>0.50111111111111106</v>
      </c>
      <c r="J345" s="538"/>
      <c r="K345" s="44">
        <f t="shared" si="39"/>
        <v>0.50111111111111106</v>
      </c>
      <c r="L345" s="6"/>
      <c r="M345" s="238"/>
      <c r="N345" s="179"/>
      <c r="O345" s="179"/>
      <c r="P345" s="179"/>
      <c r="Q345" s="179"/>
      <c r="R345" s="38"/>
      <c r="S345" s="38"/>
      <c r="T345" s="169"/>
      <c r="U345" s="38"/>
      <c r="V345" s="169"/>
    </row>
    <row r="346" spans="2:22" ht="15.75" customHeight="1" x14ac:dyDescent="0.25">
      <c r="B346" s="545" t="s">
        <v>475</v>
      </c>
      <c r="C346" s="537"/>
      <c r="D346" s="537"/>
      <c r="E346" s="537"/>
      <c r="F346" s="538"/>
      <c r="G346" s="3">
        <v>1</v>
      </c>
      <c r="H346" s="31">
        <f>'10 - CUSTOS UN'!J9</f>
        <v>8.4966666666666661</v>
      </c>
      <c r="I346" s="590">
        <f t="shared" si="38"/>
        <v>1.4161111111111111</v>
      </c>
      <c r="J346" s="538"/>
      <c r="K346" s="44">
        <f t="shared" si="39"/>
        <v>1.4161111111111111</v>
      </c>
      <c r="L346" s="6"/>
      <c r="M346" s="147"/>
      <c r="N346" s="148"/>
      <c r="O346" s="148"/>
      <c r="P346" s="148"/>
      <c r="Q346" s="148"/>
      <c r="R346" s="65"/>
      <c r="S346" s="65"/>
      <c r="T346" s="189"/>
      <c r="U346" s="65"/>
      <c r="V346" s="189"/>
    </row>
    <row r="347" spans="2:22" ht="15.75" customHeight="1" x14ac:dyDescent="0.25">
      <c r="B347" s="591" t="s">
        <v>266</v>
      </c>
      <c r="C347" s="564"/>
      <c r="D347" s="564"/>
      <c r="E347" s="564"/>
      <c r="F347" s="565"/>
      <c r="G347" s="142">
        <v>1</v>
      </c>
      <c r="H347" s="223">
        <f>'10 - CUSTOS UN'!$J$42</f>
        <v>16.393333333333334</v>
      </c>
      <c r="I347" s="592">
        <f t="shared" si="38"/>
        <v>2.7322222222222226</v>
      </c>
      <c r="J347" s="565"/>
      <c r="K347" s="216">
        <f t="shared" si="39"/>
        <v>2.7322222222222226</v>
      </c>
      <c r="L347" s="6"/>
      <c r="M347" s="238"/>
      <c r="N347" s="179"/>
      <c r="O347" s="179"/>
      <c r="P347" s="179"/>
      <c r="Q347" s="179"/>
      <c r="R347" s="38"/>
      <c r="S347" s="38"/>
      <c r="T347" s="38"/>
      <c r="U347" s="38"/>
      <c r="V347" s="38"/>
    </row>
    <row r="348" spans="2:22" ht="15.75" customHeight="1" x14ac:dyDescent="0.25">
      <c r="B348" s="603" t="s">
        <v>454</v>
      </c>
      <c r="C348" s="544"/>
      <c r="D348" s="544"/>
      <c r="E348" s="544"/>
      <c r="F348" s="579"/>
      <c r="G348" s="145"/>
      <c r="H348" s="145"/>
      <c r="I348" s="651"/>
      <c r="J348" s="579"/>
      <c r="K348" s="231">
        <f>SUM(K340:K347)</f>
        <v>77.268888888888881</v>
      </c>
      <c r="L348" s="6"/>
      <c r="M348" s="238"/>
      <c r="N348" s="179"/>
      <c r="O348" s="179"/>
      <c r="P348" s="179"/>
      <c r="Q348" s="179"/>
      <c r="R348" s="38"/>
      <c r="S348" s="38"/>
      <c r="T348" s="38"/>
      <c r="U348" s="38"/>
      <c r="V348" s="38"/>
    </row>
    <row r="349" spans="2:22" ht="15.75" customHeight="1" x14ac:dyDescent="0.25">
      <c r="B349" s="570" t="s">
        <v>261</v>
      </c>
      <c r="C349" s="537"/>
      <c r="D349" s="537"/>
      <c r="E349" s="537"/>
      <c r="F349" s="538"/>
      <c r="G349" s="3">
        <f>H15+H16</f>
        <v>2</v>
      </c>
      <c r="H349" s="3" t="s">
        <v>173</v>
      </c>
      <c r="I349" s="556">
        <f>K348</f>
        <v>77.268888888888881</v>
      </c>
      <c r="J349" s="538"/>
      <c r="K349" s="231">
        <f>I349*G349</f>
        <v>154.53777777777776</v>
      </c>
      <c r="L349" s="6"/>
      <c r="M349" s="238"/>
      <c r="N349" s="179"/>
      <c r="O349" s="179"/>
      <c r="P349" s="179"/>
      <c r="Q349" s="179"/>
      <c r="R349" s="38"/>
      <c r="S349" s="38"/>
      <c r="T349" s="38"/>
      <c r="U349" s="38"/>
      <c r="V349" s="38"/>
    </row>
    <row r="350" spans="2:22" ht="15.75" customHeight="1" x14ac:dyDescent="0.25">
      <c r="B350" s="652"/>
      <c r="C350" s="537"/>
      <c r="D350" s="537"/>
      <c r="E350" s="537"/>
      <c r="F350" s="537"/>
      <c r="I350" s="652"/>
      <c r="J350" s="537"/>
      <c r="K350" s="242"/>
      <c r="L350" s="6"/>
      <c r="M350" s="238"/>
      <c r="N350" s="179"/>
      <c r="O350" s="179"/>
      <c r="P350" s="179"/>
      <c r="Q350" s="179"/>
      <c r="R350" s="38"/>
      <c r="S350" s="38"/>
      <c r="T350" s="169"/>
      <c r="U350" s="38"/>
      <c r="V350" s="169"/>
    </row>
    <row r="351" spans="2:22" ht="15.75" customHeight="1" x14ac:dyDescent="0.25">
      <c r="B351" s="568" t="s">
        <v>476</v>
      </c>
      <c r="C351" s="537"/>
      <c r="D351" s="537"/>
      <c r="E351" s="537"/>
      <c r="F351" s="537"/>
      <c r="G351" s="537"/>
      <c r="H351" s="537"/>
      <c r="I351" s="537"/>
      <c r="J351" s="537"/>
      <c r="K351" s="538"/>
      <c r="L351" s="6"/>
      <c r="M351" s="238"/>
      <c r="N351" s="179"/>
      <c r="O351" s="179"/>
      <c r="P351" s="179"/>
      <c r="Q351" s="179"/>
      <c r="R351" s="38"/>
      <c r="S351" s="38"/>
      <c r="T351" s="169"/>
      <c r="U351" s="169"/>
      <c r="V351" s="189"/>
    </row>
    <row r="352" spans="2:22" ht="15.75" customHeight="1" x14ac:dyDescent="0.25">
      <c r="B352" s="552" t="s">
        <v>239</v>
      </c>
      <c r="C352" s="537"/>
      <c r="D352" s="537"/>
      <c r="E352" s="537"/>
      <c r="F352" s="538"/>
      <c r="G352" s="18" t="s">
        <v>318</v>
      </c>
      <c r="H352" s="18" t="s">
        <v>241</v>
      </c>
      <c r="I352" s="553" t="s">
        <v>242</v>
      </c>
      <c r="J352" s="538"/>
      <c r="K352" s="17" t="s">
        <v>243</v>
      </c>
      <c r="L352" s="6"/>
      <c r="M352" s="238"/>
      <c r="N352" s="148"/>
      <c r="O352" s="148"/>
      <c r="P352" s="148"/>
      <c r="Q352" s="148"/>
      <c r="R352" s="65"/>
      <c r="S352" s="65"/>
      <c r="T352" s="189"/>
      <c r="U352" s="65"/>
      <c r="V352" s="189"/>
    </row>
    <row r="353" spans="2:22" ht="15.75" customHeight="1" x14ac:dyDescent="0.25">
      <c r="B353" s="545" t="s">
        <v>263</v>
      </c>
      <c r="C353" s="537"/>
      <c r="D353" s="537"/>
      <c r="E353" s="537"/>
      <c r="F353" s="538"/>
      <c r="G353" s="3">
        <v>2</v>
      </c>
      <c r="H353" s="60">
        <f>'10 - CUSTOS UN'!$J$36</f>
        <v>21.349999999999998</v>
      </c>
      <c r="I353" s="556">
        <f t="shared" ref="I353:I357" si="40">H353/6</f>
        <v>3.5583333333333331</v>
      </c>
      <c r="J353" s="538"/>
      <c r="K353" s="60">
        <f t="shared" ref="K353:K357" si="41">I353*G353</f>
        <v>7.1166666666666663</v>
      </c>
      <c r="L353" s="6"/>
      <c r="M353" s="238"/>
      <c r="N353" s="179"/>
      <c r="O353" s="179"/>
      <c r="P353" s="179"/>
      <c r="Q353" s="179"/>
      <c r="R353" s="38"/>
      <c r="S353" s="38"/>
      <c r="T353" s="179"/>
      <c r="U353" s="179"/>
      <c r="V353" s="38"/>
    </row>
    <row r="354" spans="2:22" ht="15.75" customHeight="1" x14ac:dyDescent="0.25">
      <c r="B354" s="545" t="s">
        <v>264</v>
      </c>
      <c r="C354" s="537"/>
      <c r="D354" s="537"/>
      <c r="E354" s="537"/>
      <c r="F354" s="538"/>
      <c r="G354" s="3">
        <v>2</v>
      </c>
      <c r="H354" s="60">
        <f>'10 - CUSTOS UN'!$J$27</f>
        <v>67.736666666666665</v>
      </c>
      <c r="I354" s="556">
        <f t="shared" si="40"/>
        <v>11.289444444444444</v>
      </c>
      <c r="J354" s="538"/>
      <c r="K354" s="60">
        <f t="shared" si="41"/>
        <v>22.578888888888887</v>
      </c>
      <c r="L354" s="6"/>
      <c r="M354" s="238"/>
      <c r="N354" s="179"/>
      <c r="O354" s="179"/>
      <c r="P354" s="179"/>
      <c r="Q354" s="179"/>
      <c r="R354" s="38"/>
      <c r="S354" s="38"/>
      <c r="T354" s="179"/>
      <c r="U354" s="179"/>
      <c r="V354" s="38"/>
    </row>
    <row r="355" spans="2:22" ht="15.75" customHeight="1" x14ac:dyDescent="0.25">
      <c r="B355" s="559" t="s">
        <v>447</v>
      </c>
      <c r="C355" s="537"/>
      <c r="D355" s="537"/>
      <c r="E355" s="537"/>
      <c r="F355" s="538"/>
      <c r="G355" s="3">
        <v>1</v>
      </c>
      <c r="H355" s="226">
        <f>'10 - CUSTOS UN'!$J$63</f>
        <v>111.56333333333333</v>
      </c>
      <c r="I355" s="556">
        <f t="shared" si="40"/>
        <v>18.593888888888888</v>
      </c>
      <c r="J355" s="538"/>
      <c r="K355" s="60">
        <f t="shared" si="41"/>
        <v>18.593888888888888</v>
      </c>
      <c r="L355" s="6"/>
      <c r="M355" s="238"/>
      <c r="N355" s="179"/>
      <c r="O355" s="179"/>
      <c r="P355" s="179"/>
      <c r="Q355" s="179"/>
      <c r="R355" s="38"/>
      <c r="S355" s="38"/>
      <c r="T355" s="243"/>
      <c r="U355" s="243"/>
      <c r="V355" s="169"/>
    </row>
    <row r="356" spans="2:22" ht="15.75" customHeight="1" x14ac:dyDescent="0.25">
      <c r="B356" s="545" t="s">
        <v>478</v>
      </c>
      <c r="C356" s="537"/>
      <c r="D356" s="537"/>
      <c r="E356" s="537"/>
      <c r="F356" s="538"/>
      <c r="G356" s="3">
        <v>1</v>
      </c>
      <c r="H356" s="60">
        <f>'10 - CUSTOS UN'!$J$30</f>
        <v>84.38</v>
      </c>
      <c r="I356" s="556">
        <f t="shared" si="40"/>
        <v>14.063333333333333</v>
      </c>
      <c r="J356" s="538"/>
      <c r="K356" s="60">
        <f t="shared" si="41"/>
        <v>14.063333333333333</v>
      </c>
      <c r="L356" s="6"/>
      <c r="M356" s="238"/>
      <c r="N356" s="179"/>
      <c r="O356" s="179"/>
      <c r="P356" s="179"/>
      <c r="Q356" s="179"/>
      <c r="R356" s="38"/>
      <c r="S356" s="38"/>
      <c r="T356" s="239"/>
      <c r="U356" s="239"/>
      <c r="V356" s="189"/>
    </row>
    <row r="357" spans="2:22" ht="15.75" customHeight="1" x14ac:dyDescent="0.25">
      <c r="B357" s="591" t="s">
        <v>479</v>
      </c>
      <c r="C357" s="564"/>
      <c r="D357" s="564"/>
      <c r="E357" s="564"/>
      <c r="F357" s="565"/>
      <c r="G357" s="142">
        <v>1</v>
      </c>
      <c r="H357" s="143">
        <f>'10 - CUSTOS UN'!J48</f>
        <v>18.52</v>
      </c>
      <c r="I357" s="609">
        <f t="shared" si="40"/>
        <v>3.0866666666666664</v>
      </c>
      <c r="J357" s="565"/>
      <c r="K357" s="223">
        <f t="shared" si="41"/>
        <v>3.0866666666666664</v>
      </c>
      <c r="L357" s="6"/>
      <c r="M357" s="147"/>
      <c r="N357" s="148"/>
      <c r="O357" s="148"/>
      <c r="P357" s="148"/>
      <c r="Q357" s="148"/>
      <c r="R357" s="148"/>
      <c r="S357" s="148"/>
      <c r="T357" s="148"/>
      <c r="U357" s="148"/>
      <c r="V357" s="189"/>
    </row>
    <row r="358" spans="2:22" ht="15.75" customHeight="1" x14ac:dyDescent="0.25">
      <c r="B358" s="603" t="s">
        <v>495</v>
      </c>
      <c r="C358" s="544"/>
      <c r="D358" s="544"/>
      <c r="E358" s="544"/>
      <c r="F358" s="579"/>
      <c r="G358" s="145"/>
      <c r="H358" s="145"/>
      <c r="I358" s="651"/>
      <c r="J358" s="579"/>
      <c r="K358" s="231">
        <f>SUM(K353:K357)</f>
        <v>65.439444444444447</v>
      </c>
      <c r="L358" s="6"/>
      <c r="M358" s="233"/>
      <c r="N358" s="148"/>
      <c r="O358" s="148"/>
      <c r="P358" s="148"/>
      <c r="Q358" s="148"/>
      <c r="R358" s="148"/>
      <c r="S358" s="148"/>
      <c r="T358" s="148"/>
      <c r="U358" s="148"/>
      <c r="V358" s="189"/>
    </row>
    <row r="359" spans="2:22" ht="15.75" customHeight="1" x14ac:dyDescent="0.25">
      <c r="B359" s="570" t="s">
        <v>261</v>
      </c>
      <c r="C359" s="537"/>
      <c r="D359" s="537"/>
      <c r="E359" s="537"/>
      <c r="F359" s="538"/>
      <c r="G359" s="3">
        <v>4</v>
      </c>
      <c r="H359" s="3" t="s">
        <v>173</v>
      </c>
      <c r="I359" s="556">
        <f>K358</f>
        <v>65.439444444444447</v>
      </c>
      <c r="J359" s="538"/>
      <c r="K359" s="193">
        <f>K358*G359</f>
        <v>261.75777777777779</v>
      </c>
      <c r="L359" s="6"/>
      <c r="M359" s="8"/>
    </row>
    <row r="360" spans="2:22" ht="15.75" customHeight="1" x14ac:dyDescent="0.25">
      <c r="B360" s="151"/>
      <c r="C360" s="151"/>
      <c r="D360" s="151"/>
      <c r="E360" s="151"/>
      <c r="F360" s="151"/>
      <c r="K360" s="1"/>
      <c r="L360" s="6"/>
      <c r="M360" s="8"/>
    </row>
    <row r="361" spans="2:22" ht="15" customHeight="1" x14ac:dyDescent="0.25">
      <c r="B361" s="589" t="s">
        <v>500</v>
      </c>
      <c r="C361" s="537"/>
      <c r="D361" s="537"/>
      <c r="E361" s="537"/>
      <c r="F361" s="537"/>
      <c r="G361" s="537"/>
      <c r="H361" s="537"/>
      <c r="I361" s="537"/>
      <c r="J361" s="538"/>
      <c r="K361" s="135">
        <f>SUM(K359+K349+K336+K322+K310)</f>
        <v>1072.4033333333332</v>
      </c>
      <c r="L361" s="6"/>
      <c r="M361" s="8"/>
    </row>
    <row r="362" spans="2:22" ht="15.75" customHeight="1" x14ac:dyDescent="0.25">
      <c r="K362" s="1"/>
      <c r="L362" s="6"/>
      <c r="M362" s="202"/>
    </row>
    <row r="363" spans="2:22" ht="15.75" customHeight="1" x14ac:dyDescent="0.25">
      <c r="K363" s="1"/>
      <c r="L363" s="6"/>
      <c r="M363" s="147"/>
      <c r="N363" s="148"/>
      <c r="O363" s="148"/>
      <c r="P363" s="148"/>
      <c r="Q363" s="148"/>
      <c r="R363" s="148"/>
      <c r="S363" s="148"/>
      <c r="T363" s="148"/>
      <c r="U363" s="148"/>
      <c r="V363" s="148"/>
    </row>
    <row r="364" spans="2:22" ht="15.75" customHeight="1" x14ac:dyDescent="0.25">
      <c r="B364" s="566" t="s">
        <v>485</v>
      </c>
      <c r="C364" s="537"/>
      <c r="D364" s="537"/>
      <c r="E364" s="537"/>
      <c r="F364" s="537"/>
      <c r="G364" s="537"/>
      <c r="H364" s="537"/>
      <c r="I364" s="537"/>
      <c r="J364" s="537"/>
      <c r="K364" s="538"/>
      <c r="L364" s="6"/>
      <c r="M364" s="147"/>
      <c r="N364" s="148"/>
      <c r="O364" s="148"/>
      <c r="P364" s="148"/>
      <c r="Q364" s="148"/>
      <c r="R364" s="148"/>
      <c r="S364" s="148"/>
      <c r="T364" s="148"/>
      <c r="U364" s="148"/>
      <c r="V364" s="65"/>
    </row>
    <row r="365" spans="2:22" ht="15.75" customHeight="1" x14ac:dyDescent="0.25">
      <c r="K365" s="1"/>
      <c r="L365" s="6"/>
      <c r="M365" s="150"/>
      <c r="N365" s="151"/>
      <c r="O365" s="151"/>
      <c r="P365" s="151"/>
      <c r="Q365" s="151"/>
      <c r="R365" s="56"/>
      <c r="S365" s="56"/>
      <c r="T365" s="152"/>
      <c r="U365" s="151"/>
      <c r="V365" s="211"/>
    </row>
    <row r="366" spans="2:22" ht="15.75" customHeight="1" x14ac:dyDescent="0.25">
      <c r="B366" s="604" t="s">
        <v>272</v>
      </c>
      <c r="C366" s="537"/>
      <c r="D366" s="537"/>
      <c r="E366" s="537"/>
      <c r="F366" s="537"/>
      <c r="G366" s="537"/>
      <c r="H366" s="537"/>
      <c r="I366" s="537"/>
      <c r="J366" s="537"/>
      <c r="K366" s="538"/>
      <c r="L366" s="6"/>
      <c r="M366" s="599"/>
      <c r="R366" s="1"/>
      <c r="S366" s="1"/>
      <c r="T366" s="21"/>
      <c r="V366" s="1"/>
    </row>
    <row r="367" spans="2:22" ht="15.75" customHeight="1" x14ac:dyDescent="0.25">
      <c r="B367" s="154" t="s">
        <v>273</v>
      </c>
      <c r="C367" s="637" t="s">
        <v>239</v>
      </c>
      <c r="D367" s="564"/>
      <c r="E367" s="564"/>
      <c r="F367" s="564"/>
      <c r="G367" s="564"/>
      <c r="H367" s="565"/>
      <c r="I367" s="654" t="s">
        <v>274</v>
      </c>
      <c r="J367" s="565"/>
      <c r="K367" s="155" t="s">
        <v>275</v>
      </c>
      <c r="L367" s="6"/>
      <c r="M367" s="600"/>
      <c r="R367" s="1"/>
      <c r="S367" s="38"/>
      <c r="V367" s="1"/>
    </row>
    <row r="368" spans="2:22" ht="15.75" customHeight="1" x14ac:dyDescent="0.25">
      <c r="B368" s="156" t="s">
        <v>136</v>
      </c>
      <c r="C368" s="655" t="s">
        <v>507</v>
      </c>
      <c r="D368" s="535"/>
      <c r="E368" s="535"/>
      <c r="F368" s="535"/>
      <c r="G368" s="535"/>
      <c r="H368" s="575"/>
      <c r="I368" s="656">
        <f>K449</f>
        <v>1795.3592987726097</v>
      </c>
      <c r="J368" s="575"/>
      <c r="K368" s="157">
        <f>K450</f>
        <v>1795.3592987726097</v>
      </c>
      <c r="L368" s="6"/>
      <c r="M368" s="600"/>
      <c r="R368" s="1"/>
      <c r="S368" s="1"/>
      <c r="T368" s="21"/>
      <c r="V368" s="1"/>
    </row>
    <row r="369" spans="2:22" ht="15.75" customHeight="1" x14ac:dyDescent="0.25">
      <c r="B369" s="26" t="s">
        <v>510</v>
      </c>
      <c r="C369" s="545" t="s">
        <v>278</v>
      </c>
      <c r="D369" s="537"/>
      <c r="E369" s="537"/>
      <c r="F369" s="537"/>
      <c r="G369" s="537"/>
      <c r="H369" s="538"/>
      <c r="I369" s="602">
        <f>I387</f>
        <v>572.14666666666676</v>
      </c>
      <c r="J369" s="538"/>
      <c r="K369" s="159">
        <f>K387</f>
        <v>572.14666666666676</v>
      </c>
      <c r="L369" s="6"/>
      <c r="M369" s="600"/>
      <c r="N369" s="151"/>
      <c r="O369" s="151"/>
      <c r="P369" s="151"/>
      <c r="Q369" s="151"/>
      <c r="R369" s="56"/>
      <c r="S369" s="56"/>
      <c r="T369" s="152"/>
      <c r="U369" s="151"/>
      <c r="V369" s="211"/>
    </row>
    <row r="370" spans="2:22" ht="15.75" customHeight="1" x14ac:dyDescent="0.25">
      <c r="B370" s="26" t="s">
        <v>513</v>
      </c>
      <c r="C370" s="545" t="s">
        <v>281</v>
      </c>
      <c r="D370" s="537"/>
      <c r="E370" s="537"/>
      <c r="F370" s="537"/>
      <c r="G370" s="537"/>
      <c r="H370" s="538"/>
      <c r="I370" s="602">
        <f>I396</f>
        <v>98.337708333333296</v>
      </c>
      <c r="J370" s="538"/>
      <c r="K370" s="159">
        <f>K396</f>
        <v>98.337708333333296</v>
      </c>
      <c r="L370" s="6"/>
      <c r="M370" s="600"/>
      <c r="N370" s="151"/>
      <c r="O370" s="151"/>
      <c r="P370" s="151"/>
      <c r="Q370" s="151"/>
      <c r="R370" s="56"/>
      <c r="S370" s="56"/>
      <c r="T370" s="152"/>
      <c r="U370" s="151"/>
      <c r="V370" s="211"/>
    </row>
    <row r="371" spans="2:22" ht="15.75" customHeight="1" x14ac:dyDescent="0.25">
      <c r="B371" s="26" t="s">
        <v>515</v>
      </c>
      <c r="C371" s="545" t="s">
        <v>283</v>
      </c>
      <c r="D371" s="537"/>
      <c r="E371" s="537"/>
      <c r="F371" s="537"/>
      <c r="G371" s="537"/>
      <c r="H371" s="538"/>
      <c r="I371" s="602">
        <f>I409</f>
        <v>120.44638888888889</v>
      </c>
      <c r="J371" s="538"/>
      <c r="K371" s="159">
        <f>K409</f>
        <v>120.44638888888889</v>
      </c>
      <c r="L371" s="6"/>
      <c r="M371" s="600"/>
      <c r="R371" s="1"/>
      <c r="S371" s="1"/>
      <c r="T371" s="21"/>
      <c r="V371" s="1"/>
    </row>
    <row r="372" spans="2:22" ht="15.75" customHeight="1" x14ac:dyDescent="0.25">
      <c r="B372" s="26" t="s">
        <v>518</v>
      </c>
      <c r="C372" s="545" t="s">
        <v>519</v>
      </c>
      <c r="D372" s="537"/>
      <c r="E372" s="537"/>
      <c r="F372" s="537"/>
      <c r="G372" s="537"/>
      <c r="H372" s="538"/>
      <c r="I372" s="602">
        <f>I423</f>
        <v>770.50853488372081</v>
      </c>
      <c r="J372" s="538"/>
      <c r="K372" s="159">
        <f>K423</f>
        <v>770.50853488372081</v>
      </c>
      <c r="L372" s="6"/>
      <c r="M372" s="600"/>
      <c r="R372" s="1"/>
      <c r="S372" s="38"/>
      <c r="V372" s="1"/>
    </row>
    <row r="373" spans="2:22" ht="15.75" customHeight="1" x14ac:dyDescent="0.25">
      <c r="B373" s="26" t="s">
        <v>521</v>
      </c>
      <c r="C373" s="545" t="s">
        <v>290</v>
      </c>
      <c r="D373" s="537"/>
      <c r="E373" s="537"/>
      <c r="F373" s="537"/>
      <c r="G373" s="537"/>
      <c r="H373" s="538"/>
      <c r="I373" s="602">
        <f>I434</f>
        <v>68.92</v>
      </c>
      <c r="J373" s="538"/>
      <c r="K373" s="159">
        <f>K434</f>
        <v>68.92</v>
      </c>
      <c r="L373" s="6"/>
      <c r="M373" s="600"/>
      <c r="R373" s="1"/>
      <c r="S373" s="1"/>
      <c r="T373" s="21"/>
      <c r="V373" s="1"/>
    </row>
    <row r="374" spans="2:22" ht="15.75" customHeight="1" x14ac:dyDescent="0.25">
      <c r="B374" s="26" t="s">
        <v>523</v>
      </c>
      <c r="C374" s="545" t="s">
        <v>292</v>
      </c>
      <c r="D374" s="537"/>
      <c r="E374" s="537"/>
      <c r="F374" s="537"/>
      <c r="G374" s="537"/>
      <c r="H374" s="538"/>
      <c r="I374" s="602">
        <f>I447</f>
        <v>165</v>
      </c>
      <c r="J374" s="538"/>
      <c r="K374" s="159">
        <f>K447</f>
        <v>165</v>
      </c>
      <c r="L374" s="6"/>
      <c r="M374" s="600"/>
      <c r="N374" s="151"/>
      <c r="O374" s="151"/>
      <c r="P374" s="151"/>
      <c r="Q374" s="151"/>
      <c r="R374" s="56"/>
      <c r="S374" s="56"/>
      <c r="T374" s="152"/>
      <c r="U374" s="151"/>
      <c r="V374" s="211"/>
    </row>
    <row r="375" spans="2:22" ht="15.75" customHeight="1" x14ac:dyDescent="0.25">
      <c r="B375" s="167"/>
      <c r="C375" s="595" t="s">
        <v>312</v>
      </c>
      <c r="D375" s="537"/>
      <c r="E375" s="537"/>
      <c r="F375" s="537"/>
      <c r="G375" s="537"/>
      <c r="H375" s="538"/>
      <c r="I375" s="595"/>
      <c r="J375" s="538"/>
      <c r="K375" s="168">
        <f>SUM(K369:K374)</f>
        <v>1795.3592987726097</v>
      </c>
      <c r="L375" s="6"/>
      <c r="M375" s="601"/>
      <c r="N375" s="151"/>
      <c r="O375" s="151"/>
      <c r="P375" s="151"/>
      <c r="Q375" s="151"/>
      <c r="R375" s="56"/>
      <c r="S375" s="56"/>
      <c r="T375" s="152"/>
      <c r="U375" s="151"/>
      <c r="V375" s="211"/>
    </row>
    <row r="376" spans="2:22" ht="15.75" customHeight="1" x14ac:dyDescent="0.25">
      <c r="K376" s="1"/>
      <c r="L376" s="6"/>
      <c r="M376" s="8"/>
      <c r="R376" s="1"/>
      <c r="S376" s="1"/>
      <c r="T376" s="21"/>
      <c r="V376" s="1"/>
    </row>
    <row r="377" spans="2:22" ht="15.75" customHeight="1" x14ac:dyDescent="0.25">
      <c r="K377" s="1"/>
      <c r="L377" s="6"/>
      <c r="M377" s="8"/>
      <c r="R377" s="1"/>
      <c r="S377" s="38"/>
      <c r="V377" s="1"/>
    </row>
    <row r="378" spans="2:22" ht="15.75" customHeight="1" x14ac:dyDescent="0.25">
      <c r="B378" s="596" t="s">
        <v>525</v>
      </c>
      <c r="C378" s="537"/>
      <c r="D378" s="537"/>
      <c r="E378" s="537"/>
      <c r="F378" s="537"/>
      <c r="G378" s="537"/>
      <c r="H378" s="537"/>
      <c r="I378" s="537"/>
      <c r="J378" s="537"/>
      <c r="K378" s="538"/>
      <c r="L378" s="6"/>
      <c r="M378" s="8"/>
      <c r="R378" s="1"/>
      <c r="S378" s="1"/>
      <c r="T378" s="21"/>
      <c r="V378" s="1"/>
    </row>
    <row r="379" spans="2:22" ht="15.75" customHeight="1" x14ac:dyDescent="0.25">
      <c r="B379" s="597"/>
      <c r="C379" s="537"/>
      <c r="D379" s="537"/>
      <c r="E379" s="537"/>
      <c r="F379" s="537"/>
      <c r="G379" s="537"/>
      <c r="H379" s="537"/>
      <c r="I379" s="537"/>
      <c r="J379" s="537"/>
      <c r="K379" s="537"/>
      <c r="L379" s="6"/>
      <c r="M379" s="150"/>
      <c r="N379" s="151"/>
      <c r="O379" s="151"/>
      <c r="P379" s="151"/>
      <c r="Q379" s="151"/>
      <c r="R379" s="56"/>
      <c r="S379" s="56"/>
      <c r="T379" s="152"/>
      <c r="U379" s="151"/>
      <c r="V379" s="211"/>
    </row>
    <row r="380" spans="2:22" ht="15.75" customHeight="1" x14ac:dyDescent="0.25">
      <c r="B380" s="598" t="s">
        <v>489</v>
      </c>
      <c r="C380" s="537"/>
      <c r="D380" s="537"/>
      <c r="E380" s="537"/>
      <c r="F380" s="537"/>
      <c r="G380" s="537"/>
      <c r="H380" s="537"/>
      <c r="I380" s="537"/>
      <c r="J380" s="537"/>
      <c r="K380" s="538"/>
      <c r="L380" s="6"/>
      <c r="M380" s="599"/>
      <c r="N380" s="151"/>
      <c r="O380" s="151"/>
      <c r="P380" s="151"/>
      <c r="Q380" s="151"/>
      <c r="R380" s="56"/>
      <c r="S380" s="56"/>
      <c r="T380" s="152"/>
      <c r="U380" s="151"/>
      <c r="V380" s="211"/>
    </row>
    <row r="381" spans="2:22" ht="15.75" customHeight="1" x14ac:dyDescent="0.25">
      <c r="B381" s="569" t="s">
        <v>239</v>
      </c>
      <c r="C381" s="537"/>
      <c r="D381" s="537"/>
      <c r="E381" s="537"/>
      <c r="F381" s="538"/>
      <c r="G381" s="61" t="s">
        <v>118</v>
      </c>
      <c r="H381" s="61" t="s">
        <v>119</v>
      </c>
      <c r="I381" s="569" t="s">
        <v>319</v>
      </c>
      <c r="J381" s="538"/>
      <c r="K381" s="61" t="s">
        <v>320</v>
      </c>
      <c r="L381" s="6"/>
      <c r="M381" s="600"/>
      <c r="R381" s="1"/>
      <c r="S381" s="1"/>
      <c r="T381" s="21"/>
      <c r="V381" s="1"/>
    </row>
    <row r="382" spans="2:22" ht="15.75" customHeight="1" x14ac:dyDescent="0.25">
      <c r="B382" s="571" t="s">
        <v>488</v>
      </c>
      <c r="C382" s="537"/>
      <c r="D382" s="537"/>
      <c r="E382" s="537"/>
      <c r="F382" s="538"/>
      <c r="G382" s="73">
        <v>1</v>
      </c>
      <c r="H382" s="14" t="s">
        <v>335</v>
      </c>
      <c r="I382" s="556">
        <v>42911</v>
      </c>
      <c r="J382" s="538"/>
      <c r="K382" s="60">
        <f>G382*I382</f>
        <v>42911</v>
      </c>
      <c r="L382" s="6"/>
      <c r="M382" s="600"/>
      <c r="R382" s="1"/>
      <c r="S382" s="38"/>
      <c r="V382" s="1"/>
    </row>
    <row r="383" spans="2:22" ht="15.75" customHeight="1" x14ac:dyDescent="0.25">
      <c r="B383" s="571" t="s">
        <v>490</v>
      </c>
      <c r="C383" s="537"/>
      <c r="D383" s="537"/>
      <c r="E383" s="537"/>
      <c r="F383" s="538"/>
      <c r="G383" s="14">
        <v>5</v>
      </c>
      <c r="H383" s="14" t="s">
        <v>323</v>
      </c>
      <c r="I383" s="556"/>
      <c r="J383" s="538"/>
      <c r="K383" s="60"/>
      <c r="L383" s="6"/>
      <c r="M383" s="600"/>
      <c r="R383" s="1"/>
      <c r="S383" s="38"/>
      <c r="V383" s="1"/>
    </row>
    <row r="384" spans="2:22" ht="15.75" customHeight="1" x14ac:dyDescent="0.25">
      <c r="B384" s="605" t="s">
        <v>324</v>
      </c>
      <c r="C384" s="537"/>
      <c r="D384" s="537"/>
      <c r="E384" s="537"/>
      <c r="F384" s="538"/>
      <c r="G384" s="14">
        <v>5</v>
      </c>
      <c r="H384" s="14" t="s">
        <v>323</v>
      </c>
      <c r="I384" s="556"/>
      <c r="J384" s="538"/>
      <c r="K384" s="60"/>
      <c r="L384" s="6"/>
      <c r="M384" s="600"/>
      <c r="R384" s="1"/>
      <c r="S384" s="1"/>
      <c r="T384" s="21"/>
      <c r="V384" s="1"/>
    </row>
    <row r="385" spans="2:22" ht="15.75" customHeight="1" x14ac:dyDescent="0.25">
      <c r="B385" s="606" t="s">
        <v>491</v>
      </c>
      <c r="C385" s="542"/>
      <c r="D385" s="542"/>
      <c r="E385" s="542"/>
      <c r="F385" s="577"/>
      <c r="G385" s="13">
        <v>80</v>
      </c>
      <c r="H385" s="13" t="s">
        <v>141</v>
      </c>
      <c r="I385" s="607">
        <f>I382</f>
        <v>42911</v>
      </c>
      <c r="J385" s="577"/>
      <c r="K385" s="260">
        <f>I385*G385/100</f>
        <v>34328.800000000003</v>
      </c>
      <c r="L385" s="6"/>
      <c r="M385" s="600"/>
      <c r="N385" s="151"/>
      <c r="O385" s="151"/>
      <c r="P385" s="151"/>
      <c r="Q385" s="151"/>
      <c r="R385" s="56"/>
      <c r="S385" s="56"/>
      <c r="T385" s="152"/>
      <c r="U385" s="151"/>
      <c r="V385" s="211"/>
    </row>
    <row r="386" spans="2:22" ht="15.75" customHeight="1" x14ac:dyDescent="0.25">
      <c r="B386" s="608" t="s">
        <v>492</v>
      </c>
      <c r="C386" s="564"/>
      <c r="D386" s="564"/>
      <c r="E386" s="564"/>
      <c r="F386" s="565"/>
      <c r="G386" s="178">
        <v>60</v>
      </c>
      <c r="H386" s="178" t="s">
        <v>327</v>
      </c>
      <c r="I386" s="609">
        <f t="shared" ref="I386:I387" si="42">K385</f>
        <v>34328.800000000003</v>
      </c>
      <c r="J386" s="565"/>
      <c r="K386" s="175">
        <f>I386/G386</f>
        <v>572.14666666666676</v>
      </c>
      <c r="L386" s="6"/>
      <c r="M386" s="600"/>
      <c r="N386" s="151"/>
      <c r="O386" s="151"/>
      <c r="P386" s="151"/>
      <c r="Q386" s="151"/>
      <c r="R386" s="151"/>
      <c r="S386" s="151"/>
      <c r="T386" s="151"/>
      <c r="U386" s="151"/>
      <c r="V386" s="211"/>
    </row>
    <row r="387" spans="2:22" ht="15.75" customHeight="1" x14ac:dyDescent="0.25">
      <c r="B387" s="610" t="s">
        <v>542</v>
      </c>
      <c r="C387" s="611"/>
      <c r="D387" s="611"/>
      <c r="E387" s="611"/>
      <c r="F387" s="612"/>
      <c r="G387" s="262">
        <v>1</v>
      </c>
      <c r="H387" s="262" t="s">
        <v>335</v>
      </c>
      <c r="I387" s="613">
        <f t="shared" si="42"/>
        <v>572.14666666666676</v>
      </c>
      <c r="J387" s="612"/>
      <c r="K387" s="184">
        <f>I387*G387</f>
        <v>572.14666666666676</v>
      </c>
      <c r="L387" s="6"/>
      <c r="M387" s="601"/>
    </row>
    <row r="388" spans="2:22" ht="15.75" customHeight="1" x14ac:dyDescent="0.25">
      <c r="B388" s="597"/>
      <c r="C388" s="537"/>
      <c r="D388" s="537"/>
      <c r="E388" s="537"/>
      <c r="F388" s="537"/>
      <c r="G388" s="537"/>
      <c r="H388" s="537"/>
      <c r="I388" s="537"/>
      <c r="J388" s="537"/>
      <c r="K388" s="537"/>
      <c r="L388" s="6"/>
      <c r="M388" s="147"/>
      <c r="N388" s="148"/>
      <c r="O388" s="148"/>
      <c r="P388" s="148"/>
      <c r="Q388" s="148"/>
      <c r="R388" s="148"/>
      <c r="S388" s="148"/>
      <c r="T388" s="148"/>
      <c r="U388" s="148"/>
      <c r="V388" s="148"/>
    </row>
    <row r="389" spans="2:22" ht="15.75" customHeight="1" x14ac:dyDescent="0.25">
      <c r="B389" s="598" t="s">
        <v>503</v>
      </c>
      <c r="C389" s="537"/>
      <c r="D389" s="537"/>
      <c r="E389" s="537"/>
      <c r="F389" s="537"/>
      <c r="G389" s="537"/>
      <c r="H389" s="537"/>
      <c r="I389" s="537"/>
      <c r="J389" s="537"/>
      <c r="K389" s="538"/>
      <c r="L389" s="6"/>
      <c r="M389" s="599"/>
      <c r="N389" s="148"/>
      <c r="O389" s="148"/>
      <c r="P389" s="148"/>
      <c r="Q389" s="148"/>
      <c r="R389" s="148"/>
      <c r="S389" s="65"/>
      <c r="T389" s="148"/>
      <c r="U389" s="148"/>
      <c r="V389" s="65"/>
    </row>
    <row r="390" spans="2:22" ht="15.75" customHeight="1" x14ac:dyDescent="0.25">
      <c r="B390" s="569" t="s">
        <v>239</v>
      </c>
      <c r="C390" s="537"/>
      <c r="D390" s="537"/>
      <c r="E390" s="537"/>
      <c r="F390" s="538"/>
      <c r="G390" s="105" t="s">
        <v>118</v>
      </c>
      <c r="H390" s="61" t="s">
        <v>119</v>
      </c>
      <c r="I390" s="569" t="s">
        <v>319</v>
      </c>
      <c r="J390" s="538"/>
      <c r="K390" s="61" t="s">
        <v>320</v>
      </c>
      <c r="L390" s="6"/>
      <c r="M390" s="600"/>
      <c r="N390" s="148"/>
      <c r="O390" s="148"/>
      <c r="P390" s="148"/>
      <c r="Q390" s="148"/>
      <c r="R390" s="266"/>
      <c r="S390" s="266"/>
      <c r="T390" s="267"/>
      <c r="U390" s="267"/>
      <c r="V390" s="268"/>
    </row>
    <row r="391" spans="2:22" ht="15.75" customHeight="1" x14ac:dyDescent="0.25">
      <c r="B391" s="605" t="s">
        <v>498</v>
      </c>
      <c r="C391" s="537"/>
      <c r="D391" s="537"/>
      <c r="E391" s="537"/>
      <c r="F391" s="538"/>
      <c r="G391" s="14">
        <v>1</v>
      </c>
      <c r="H391" s="14" t="s">
        <v>335</v>
      </c>
      <c r="I391" s="556">
        <f>I382</f>
        <v>42911</v>
      </c>
      <c r="J391" s="538"/>
      <c r="K391" s="60">
        <f>I391*G391</f>
        <v>42911</v>
      </c>
      <c r="L391" s="6"/>
      <c r="M391" s="600"/>
      <c r="N391" s="269"/>
      <c r="O391" s="269"/>
      <c r="P391" s="269"/>
      <c r="Q391" s="269"/>
      <c r="R391" s="270"/>
      <c r="S391" s="270"/>
      <c r="T391" s="271"/>
      <c r="U391" s="271"/>
      <c r="V391" s="272"/>
    </row>
    <row r="392" spans="2:22" ht="15.75" customHeight="1" x14ac:dyDescent="0.25">
      <c r="B392" s="605" t="s">
        <v>338</v>
      </c>
      <c r="C392" s="537"/>
      <c r="D392" s="537"/>
      <c r="E392" s="537"/>
      <c r="F392" s="538"/>
      <c r="G392" s="73">
        <v>13.75</v>
      </c>
      <c r="H392" s="14" t="s">
        <v>141</v>
      </c>
      <c r="I392" s="617"/>
      <c r="J392" s="538"/>
      <c r="K392" s="60"/>
      <c r="L392" s="6"/>
      <c r="M392" s="600"/>
      <c r="N392" s="269"/>
      <c r="O392" s="269"/>
      <c r="P392" s="269"/>
      <c r="Q392" s="269"/>
      <c r="R392" s="270"/>
      <c r="S392" s="270"/>
      <c r="T392" s="271"/>
      <c r="U392" s="271"/>
      <c r="V392" s="272"/>
    </row>
    <row r="393" spans="2:22" ht="15.75" customHeight="1" x14ac:dyDescent="0.25">
      <c r="B393" s="605" t="s">
        <v>553</v>
      </c>
      <c r="C393" s="537"/>
      <c r="D393" s="537"/>
      <c r="E393" s="537"/>
      <c r="F393" s="538"/>
      <c r="G393" s="14"/>
      <c r="H393" s="14"/>
      <c r="I393" s="556">
        <f>IFERROR(IF(G384&lt;=G383,I382-(G385/(100*G383)*G384)*I382,I382-K385),0)</f>
        <v>8582.1999999999971</v>
      </c>
      <c r="J393" s="538"/>
      <c r="K393" s="60"/>
      <c r="L393" s="6"/>
      <c r="M393" s="600"/>
      <c r="N393" s="269"/>
      <c r="O393" s="269"/>
      <c r="P393" s="269"/>
      <c r="Q393" s="269"/>
      <c r="R393" s="270"/>
      <c r="S393" s="270"/>
      <c r="T393" s="269"/>
      <c r="U393" s="269"/>
      <c r="V393" s="270"/>
    </row>
    <row r="394" spans="2:22" ht="15.75" customHeight="1" x14ac:dyDescent="0.25">
      <c r="B394" s="605" t="s">
        <v>504</v>
      </c>
      <c r="C394" s="537"/>
      <c r="D394" s="537"/>
      <c r="E394" s="537"/>
      <c r="F394" s="538"/>
      <c r="G394" s="14"/>
      <c r="H394" s="14"/>
      <c r="I394" s="556">
        <f>IFERROR(IF(G384&gt;=G383,I393,((((I393)-(I382-K385))*(((G383-G384)+1)/(2*(G383-G384))))+(I382-K385))),0)</f>
        <v>8582.1999999999971</v>
      </c>
      <c r="J394" s="538"/>
      <c r="K394" s="60"/>
      <c r="L394" s="6"/>
      <c r="M394" s="600"/>
      <c r="N394" s="269"/>
      <c r="O394" s="269"/>
      <c r="P394" s="269"/>
      <c r="Q394" s="269"/>
      <c r="R394" s="270"/>
      <c r="S394" s="270"/>
      <c r="T394" s="269"/>
      <c r="U394" s="269"/>
      <c r="V394" s="270"/>
    </row>
    <row r="395" spans="2:22" ht="15.75" customHeight="1" x14ac:dyDescent="0.25">
      <c r="B395" s="608" t="s">
        <v>506</v>
      </c>
      <c r="C395" s="564"/>
      <c r="D395" s="564"/>
      <c r="E395" s="564"/>
      <c r="F395" s="565"/>
      <c r="G395" s="178"/>
      <c r="H395" s="178"/>
      <c r="I395" s="657">
        <f>G392*I394/12/100</f>
        <v>98.337708333333296</v>
      </c>
      <c r="J395" s="565"/>
      <c r="K395" s="175">
        <f>I395</f>
        <v>98.337708333333296</v>
      </c>
      <c r="L395" s="6"/>
      <c r="M395" s="600"/>
      <c r="N395" s="269"/>
      <c r="O395" s="269"/>
      <c r="P395" s="269"/>
      <c r="Q395" s="269"/>
      <c r="R395" s="270"/>
      <c r="S395" s="270"/>
      <c r="T395" s="269"/>
      <c r="U395" s="269"/>
      <c r="V395" s="270"/>
    </row>
    <row r="396" spans="2:22" ht="15.75" customHeight="1" x14ac:dyDescent="0.25">
      <c r="B396" s="658" t="s">
        <v>349</v>
      </c>
      <c r="C396" s="537"/>
      <c r="D396" s="537"/>
      <c r="E396" s="537"/>
      <c r="F396" s="538"/>
      <c r="G396" s="61">
        <v>1</v>
      </c>
      <c r="H396" s="61" t="s">
        <v>335</v>
      </c>
      <c r="I396" s="659">
        <f>K395</f>
        <v>98.337708333333296</v>
      </c>
      <c r="J396" s="538"/>
      <c r="K396" s="51">
        <f>I396*G396</f>
        <v>98.337708333333296</v>
      </c>
      <c r="L396" s="6"/>
      <c r="M396" s="600"/>
      <c r="N396" s="148"/>
      <c r="O396" s="148"/>
      <c r="P396" s="148"/>
      <c r="Q396" s="148"/>
      <c r="R396" s="266"/>
      <c r="S396" s="266"/>
      <c r="T396" s="267"/>
      <c r="U396" s="267"/>
      <c r="V396" s="268"/>
    </row>
    <row r="397" spans="2:22" ht="15" customHeight="1" x14ac:dyDescent="0.25">
      <c r="B397" s="623" t="s">
        <v>565</v>
      </c>
      <c r="C397" s="542"/>
      <c r="D397" s="542"/>
      <c r="E397" s="542"/>
      <c r="F397" s="542"/>
      <c r="G397" s="542"/>
      <c r="H397" s="542"/>
      <c r="I397" s="542"/>
      <c r="J397" s="542"/>
      <c r="K397" s="577"/>
      <c r="L397" s="6"/>
      <c r="M397" s="600"/>
      <c r="N397" s="269"/>
      <c r="O397" s="269"/>
      <c r="P397" s="269"/>
      <c r="Q397" s="269"/>
      <c r="R397" s="270"/>
      <c r="S397" s="270"/>
      <c r="T397" s="271"/>
      <c r="U397" s="271"/>
      <c r="V397" s="272"/>
    </row>
    <row r="398" spans="2:22" ht="15.75" customHeight="1" x14ac:dyDescent="0.25">
      <c r="B398" s="624"/>
      <c r="C398" s="625"/>
      <c r="D398" s="625"/>
      <c r="E398" s="625"/>
      <c r="F398" s="625"/>
      <c r="G398" s="625"/>
      <c r="H398" s="625"/>
      <c r="I398" s="625"/>
      <c r="J398" s="625"/>
      <c r="K398" s="626"/>
      <c r="L398" s="6"/>
      <c r="M398" s="600"/>
      <c r="N398" s="269"/>
      <c r="O398" s="269"/>
      <c r="P398" s="269"/>
      <c r="Q398" s="269"/>
      <c r="R398" s="270"/>
      <c r="S398" s="270"/>
      <c r="T398" s="271"/>
      <c r="U398" s="271"/>
      <c r="V398" s="272"/>
    </row>
    <row r="399" spans="2:22" ht="27.75" customHeight="1" x14ac:dyDescent="0.25">
      <c r="B399" s="578"/>
      <c r="C399" s="544"/>
      <c r="D399" s="544"/>
      <c r="E399" s="544"/>
      <c r="F399" s="544"/>
      <c r="G399" s="544"/>
      <c r="H399" s="544"/>
      <c r="I399" s="544"/>
      <c r="J399" s="544"/>
      <c r="K399" s="579"/>
      <c r="L399" s="6"/>
      <c r="M399" s="601"/>
      <c r="N399" s="269"/>
      <c r="O399" s="269"/>
      <c r="P399" s="269"/>
      <c r="Q399" s="269"/>
      <c r="R399" s="270"/>
      <c r="S399" s="270"/>
      <c r="T399" s="271"/>
      <c r="U399" s="271"/>
      <c r="V399" s="272"/>
    </row>
    <row r="400" spans="2:22" ht="15.75" customHeight="1" x14ac:dyDescent="0.25">
      <c r="B400" s="597"/>
      <c r="C400" s="537"/>
      <c r="D400" s="537"/>
      <c r="E400" s="537"/>
      <c r="F400" s="537"/>
      <c r="G400" s="537"/>
      <c r="H400" s="537"/>
      <c r="I400" s="537"/>
      <c r="J400" s="537"/>
      <c r="K400" s="537"/>
      <c r="L400" s="6"/>
      <c r="M400" s="279"/>
      <c r="N400" s="269"/>
      <c r="O400" s="269"/>
      <c r="P400" s="269"/>
      <c r="Q400" s="269"/>
      <c r="R400" s="270"/>
      <c r="S400" s="270"/>
      <c r="T400" s="269"/>
      <c r="U400" s="269"/>
      <c r="V400" s="270"/>
    </row>
    <row r="401" spans="2:22" ht="15" customHeight="1" x14ac:dyDescent="0.25">
      <c r="B401" s="598" t="s">
        <v>516</v>
      </c>
      <c r="C401" s="537"/>
      <c r="D401" s="537"/>
      <c r="E401" s="537"/>
      <c r="F401" s="537"/>
      <c r="G401" s="537"/>
      <c r="H401" s="537"/>
      <c r="I401" s="537"/>
      <c r="J401" s="537"/>
      <c r="K401" s="538"/>
      <c r="L401" s="6"/>
      <c r="M401" s="627"/>
      <c r="N401" s="269"/>
      <c r="O401" s="269"/>
      <c r="P401" s="269"/>
      <c r="Q401" s="269"/>
      <c r="R401" s="270"/>
      <c r="S401" s="270"/>
      <c r="T401" s="269"/>
      <c r="U401" s="269"/>
      <c r="V401" s="270"/>
    </row>
    <row r="402" spans="2:22" ht="15.75" customHeight="1" x14ac:dyDescent="0.25">
      <c r="B402" s="569" t="s">
        <v>239</v>
      </c>
      <c r="C402" s="537"/>
      <c r="D402" s="537"/>
      <c r="E402" s="537"/>
      <c r="F402" s="538"/>
      <c r="G402" s="105" t="s">
        <v>118</v>
      </c>
      <c r="H402" s="61" t="s">
        <v>119</v>
      </c>
      <c r="I402" s="569" t="s">
        <v>319</v>
      </c>
      <c r="J402" s="538"/>
      <c r="K402" s="61" t="s">
        <v>354</v>
      </c>
      <c r="L402" s="6"/>
      <c r="M402" s="600"/>
      <c r="N402" s="148"/>
      <c r="O402" s="148"/>
      <c r="P402" s="148"/>
      <c r="Q402" s="148"/>
      <c r="R402" s="266"/>
      <c r="S402" s="266"/>
      <c r="T402" s="267"/>
      <c r="U402" s="267"/>
      <c r="V402" s="268"/>
    </row>
    <row r="403" spans="2:22" ht="15.75" customHeight="1" x14ac:dyDescent="0.25">
      <c r="B403" s="571" t="s">
        <v>355</v>
      </c>
      <c r="C403" s="537"/>
      <c r="D403" s="537"/>
      <c r="E403" s="537"/>
      <c r="F403" s="538"/>
      <c r="G403" s="73">
        <v>1</v>
      </c>
      <c r="H403" s="14" t="s">
        <v>335</v>
      </c>
      <c r="I403" s="614">
        <f>I382*0.03</f>
        <v>1287.33</v>
      </c>
      <c r="J403" s="538"/>
      <c r="K403" s="60">
        <f t="shared" ref="K403:K404" si="43">(I403*G403)/12</f>
        <v>107.27749999999999</v>
      </c>
      <c r="L403" s="6"/>
      <c r="M403" s="600"/>
      <c r="N403" s="269"/>
      <c r="O403" s="269"/>
      <c r="P403" s="269"/>
      <c r="Q403" s="269"/>
      <c r="R403" s="270"/>
      <c r="S403" s="270"/>
      <c r="T403" s="271"/>
      <c r="U403" s="271"/>
      <c r="V403" s="272"/>
    </row>
    <row r="404" spans="2:22" ht="15.75" customHeight="1" x14ac:dyDescent="0.25">
      <c r="B404" s="571" t="s">
        <v>356</v>
      </c>
      <c r="C404" s="537"/>
      <c r="D404" s="537"/>
      <c r="E404" s="537"/>
      <c r="F404" s="538"/>
      <c r="G404" s="73">
        <v>1</v>
      </c>
      <c r="H404" s="14" t="s">
        <v>335</v>
      </c>
      <c r="I404" s="614">
        <v>109.27</v>
      </c>
      <c r="J404" s="538"/>
      <c r="K404" s="60">
        <f t="shared" si="43"/>
        <v>9.105833333333333</v>
      </c>
      <c r="L404" s="6"/>
      <c r="M404" s="600"/>
      <c r="N404" s="269"/>
      <c r="O404" s="269"/>
      <c r="P404" s="269"/>
      <c r="Q404" s="269"/>
      <c r="R404" s="270"/>
      <c r="S404" s="270"/>
      <c r="T404" s="271"/>
      <c r="U404" s="271"/>
      <c r="V404" s="272"/>
    </row>
    <row r="405" spans="2:22" ht="15.75" customHeight="1" x14ac:dyDescent="0.25">
      <c r="B405" s="605" t="s">
        <v>524</v>
      </c>
      <c r="C405" s="537"/>
      <c r="D405" s="537"/>
      <c r="E405" s="537"/>
      <c r="F405" s="538"/>
      <c r="G405" s="73">
        <v>1</v>
      </c>
      <c r="H405" s="14" t="s">
        <v>335</v>
      </c>
      <c r="I405" s="614">
        <v>0</v>
      </c>
      <c r="J405" s="538"/>
      <c r="K405" s="60">
        <f>(I405*G405)/60</f>
        <v>0</v>
      </c>
      <c r="L405" s="6"/>
      <c r="M405" s="600"/>
      <c r="N405" s="269"/>
      <c r="O405" s="269"/>
      <c r="P405" s="269"/>
      <c r="Q405" s="269"/>
      <c r="R405" s="270"/>
      <c r="S405" s="270"/>
      <c r="T405" s="271"/>
      <c r="U405" s="271"/>
      <c r="V405" s="272"/>
    </row>
    <row r="406" spans="2:22" ht="15.75" customHeight="1" x14ac:dyDescent="0.25">
      <c r="B406" s="571" t="s">
        <v>358</v>
      </c>
      <c r="C406" s="537"/>
      <c r="D406" s="537"/>
      <c r="E406" s="537"/>
      <c r="F406" s="538"/>
      <c r="G406" s="73">
        <v>1</v>
      </c>
      <c r="H406" s="14" t="s">
        <v>335</v>
      </c>
      <c r="I406" s="614">
        <f>'10 - CUSTOS UN'!J252</f>
        <v>858.83333333333337</v>
      </c>
      <c r="J406" s="538"/>
      <c r="K406" s="60">
        <f>(I406/12)*G406</f>
        <v>71.569444444444443</v>
      </c>
      <c r="L406" s="6"/>
      <c r="M406" s="600"/>
      <c r="N406" s="269"/>
      <c r="O406" s="269"/>
      <c r="P406" s="269"/>
      <c r="Q406" s="269"/>
      <c r="R406" s="270"/>
      <c r="S406" s="270"/>
      <c r="T406" s="269"/>
      <c r="U406" s="269"/>
      <c r="V406" s="270"/>
    </row>
    <row r="407" spans="2:22" ht="15.75" customHeight="1" x14ac:dyDescent="0.25">
      <c r="B407" s="615" t="s">
        <v>574</v>
      </c>
      <c r="C407" s="564"/>
      <c r="D407" s="564"/>
      <c r="E407" s="564"/>
      <c r="F407" s="565"/>
      <c r="G407" s="285">
        <v>1</v>
      </c>
      <c r="H407" s="178" t="s">
        <v>335</v>
      </c>
      <c r="I407" s="616">
        <v>52.94</v>
      </c>
      <c r="J407" s="565"/>
      <c r="K407" s="223">
        <f>I407*G407</f>
        <v>52.94</v>
      </c>
      <c r="L407" s="6"/>
      <c r="M407" s="600"/>
      <c r="N407" s="269"/>
      <c r="O407" s="269"/>
      <c r="P407" s="269"/>
      <c r="Q407" s="269"/>
      <c r="R407" s="270"/>
      <c r="S407" s="270"/>
      <c r="T407" s="269"/>
      <c r="U407" s="269"/>
      <c r="V407" s="270"/>
    </row>
    <row r="408" spans="2:22" ht="15.75" customHeight="1" x14ac:dyDescent="0.25">
      <c r="B408" s="571" t="s">
        <v>527</v>
      </c>
      <c r="C408" s="537"/>
      <c r="D408" s="537"/>
      <c r="E408" s="537"/>
      <c r="F408" s="538"/>
      <c r="G408" s="14"/>
      <c r="H408" s="14"/>
      <c r="I408" s="617"/>
      <c r="J408" s="538"/>
      <c r="K408" s="60">
        <f>SUM(K403:K407)/2</f>
        <v>120.44638888888889</v>
      </c>
      <c r="L408" s="6"/>
      <c r="M408" s="600"/>
      <c r="N408" s="289"/>
      <c r="O408" s="289"/>
      <c r="P408" s="289"/>
      <c r="Q408" s="289"/>
      <c r="R408" s="266"/>
      <c r="S408" s="266"/>
      <c r="T408" s="267"/>
      <c r="U408" s="267"/>
      <c r="V408" s="268"/>
    </row>
    <row r="409" spans="2:22" ht="15.75" customHeight="1" x14ac:dyDescent="0.25">
      <c r="B409" s="628" t="s">
        <v>360</v>
      </c>
      <c r="C409" s="611"/>
      <c r="D409" s="611"/>
      <c r="E409" s="611"/>
      <c r="F409" s="612"/>
      <c r="G409" s="181">
        <v>1</v>
      </c>
      <c r="H409" s="181" t="s">
        <v>119</v>
      </c>
      <c r="I409" s="629">
        <f>K408</f>
        <v>120.44638888888889</v>
      </c>
      <c r="J409" s="612"/>
      <c r="K409" s="184">
        <f>I409*G409</f>
        <v>120.44638888888889</v>
      </c>
      <c r="L409" s="6"/>
      <c r="M409" s="601"/>
      <c r="N409" s="269"/>
      <c r="O409" s="269"/>
      <c r="P409" s="269"/>
      <c r="Q409" s="269"/>
      <c r="R409" s="270"/>
      <c r="S409" s="270"/>
      <c r="T409" s="271"/>
      <c r="U409" s="271"/>
      <c r="V409" s="272"/>
    </row>
    <row r="410" spans="2:22" ht="15" customHeight="1" x14ac:dyDescent="0.25">
      <c r="B410" s="567"/>
      <c r="C410" s="537"/>
      <c r="D410" s="537"/>
      <c r="E410" s="537"/>
      <c r="F410" s="537"/>
      <c r="G410" s="537"/>
      <c r="H410" s="537"/>
      <c r="I410" s="537"/>
      <c r="J410" s="537"/>
      <c r="K410" s="537"/>
      <c r="L410" s="6"/>
      <c r="M410" s="279"/>
      <c r="N410" s="269"/>
      <c r="O410" s="269"/>
      <c r="P410" s="269"/>
      <c r="Q410" s="269"/>
      <c r="R410" s="270"/>
      <c r="S410" s="270"/>
      <c r="T410" s="271"/>
      <c r="U410" s="271"/>
      <c r="V410" s="272"/>
    </row>
    <row r="411" spans="2:22" ht="15" customHeight="1" x14ac:dyDescent="0.25">
      <c r="B411" s="598" t="s">
        <v>532</v>
      </c>
      <c r="C411" s="537"/>
      <c r="D411" s="537"/>
      <c r="E411" s="537"/>
      <c r="F411" s="537"/>
      <c r="G411" s="537"/>
      <c r="H411" s="537"/>
      <c r="I411" s="537"/>
      <c r="J411" s="537"/>
      <c r="K411" s="538"/>
      <c r="L411" s="6"/>
      <c r="M411" s="627"/>
      <c r="N411" s="269"/>
      <c r="O411" s="269"/>
      <c r="P411" s="269"/>
      <c r="Q411" s="269"/>
      <c r="R411" s="270"/>
      <c r="S411" s="270"/>
      <c r="T411" s="271"/>
      <c r="U411" s="271"/>
      <c r="V411" s="272"/>
    </row>
    <row r="412" spans="2:22" ht="15.75" customHeight="1" x14ac:dyDescent="0.25">
      <c r="B412" s="569" t="s">
        <v>239</v>
      </c>
      <c r="C412" s="537"/>
      <c r="D412" s="537"/>
      <c r="E412" s="537"/>
      <c r="F412" s="538"/>
      <c r="G412" s="61" t="s">
        <v>118</v>
      </c>
      <c r="H412" s="61" t="s">
        <v>119</v>
      </c>
      <c r="I412" s="569" t="s">
        <v>319</v>
      </c>
      <c r="J412" s="538"/>
      <c r="K412" s="61" t="s">
        <v>534</v>
      </c>
      <c r="L412" s="6"/>
      <c r="M412" s="600"/>
      <c r="N412" s="269"/>
      <c r="O412" s="269"/>
      <c r="P412" s="269"/>
      <c r="Q412" s="269"/>
      <c r="R412" s="270"/>
      <c r="S412" s="270"/>
      <c r="T412" s="269"/>
      <c r="U412" s="269"/>
      <c r="V412" s="270"/>
    </row>
    <row r="413" spans="2:22" ht="15.75" customHeight="1" x14ac:dyDescent="0.25">
      <c r="B413" s="545" t="s">
        <v>363</v>
      </c>
      <c r="C413" s="537"/>
      <c r="D413" s="537"/>
      <c r="E413" s="537"/>
      <c r="F413" s="538"/>
      <c r="G413" s="296">
        <v>1500</v>
      </c>
      <c r="H413" s="3" t="s">
        <v>364</v>
      </c>
      <c r="I413" s="546"/>
      <c r="J413" s="538"/>
      <c r="K413" s="16"/>
      <c r="L413" s="6"/>
      <c r="M413" s="600"/>
      <c r="N413" s="151"/>
      <c r="O413" s="151"/>
      <c r="P413" s="151"/>
      <c r="Q413" s="151"/>
      <c r="R413" s="151"/>
      <c r="S413" s="151"/>
      <c r="T413" s="151"/>
      <c r="U413" s="151"/>
      <c r="V413" s="211"/>
    </row>
    <row r="414" spans="2:22" ht="15.75" customHeight="1" x14ac:dyDescent="0.25">
      <c r="B414" s="559" t="s">
        <v>536</v>
      </c>
      <c r="C414" s="537"/>
      <c r="D414" s="537"/>
      <c r="E414" s="537"/>
      <c r="F414" s="538"/>
      <c r="G414" s="47">
        <v>1</v>
      </c>
      <c r="H414" s="3" t="s">
        <v>335</v>
      </c>
      <c r="I414" s="546"/>
      <c r="J414" s="538"/>
      <c r="K414" s="16"/>
      <c r="L414" s="6"/>
      <c r="M414" s="600"/>
      <c r="N414" s="148"/>
      <c r="O414" s="148"/>
      <c r="P414" s="148"/>
      <c r="Q414" s="148"/>
      <c r="R414" s="148"/>
      <c r="S414" s="148"/>
      <c r="T414" s="148"/>
      <c r="U414" s="148"/>
      <c r="V414" s="148"/>
    </row>
    <row r="415" spans="2:22" ht="15.75" customHeight="1" x14ac:dyDescent="0.25">
      <c r="B415" s="545" t="s">
        <v>597</v>
      </c>
      <c r="C415" s="537"/>
      <c r="D415" s="537"/>
      <c r="E415" s="537"/>
      <c r="F415" s="538"/>
      <c r="G415" s="3">
        <v>12.9</v>
      </c>
      <c r="H415" s="3" t="s">
        <v>540</v>
      </c>
      <c r="I415" s="546"/>
      <c r="J415" s="538"/>
      <c r="K415" s="16"/>
      <c r="L415" s="6"/>
      <c r="M415" s="600"/>
      <c r="N415" s="148"/>
      <c r="O415" s="148"/>
      <c r="P415" s="148"/>
      <c r="Q415" s="148"/>
      <c r="R415" s="148"/>
      <c r="S415" s="148"/>
      <c r="T415" s="148"/>
      <c r="U415" s="148"/>
      <c r="V415" s="148"/>
    </row>
    <row r="416" spans="2:22" ht="15.75" customHeight="1" x14ac:dyDescent="0.25">
      <c r="B416" s="559" t="s">
        <v>601</v>
      </c>
      <c r="C416" s="537"/>
      <c r="D416" s="537"/>
      <c r="E416" s="537"/>
      <c r="F416" s="538"/>
      <c r="G416" s="3">
        <v>1</v>
      </c>
      <c r="H416" s="3" t="s">
        <v>369</v>
      </c>
      <c r="I416" s="618">
        <v>6.52</v>
      </c>
      <c r="J416" s="538"/>
      <c r="K416" s="16"/>
      <c r="L416" s="6"/>
      <c r="M416" s="600"/>
      <c r="N416" s="148"/>
      <c r="O416" s="148"/>
      <c r="P416" s="148"/>
      <c r="Q416" s="148"/>
      <c r="R416" s="65"/>
      <c r="S416" s="65"/>
      <c r="T416" s="235"/>
      <c r="U416" s="235"/>
      <c r="V416" s="189"/>
    </row>
    <row r="417" spans="2:22" ht="15.75" customHeight="1" x14ac:dyDescent="0.25">
      <c r="B417" s="545" t="s">
        <v>543</v>
      </c>
      <c r="C417" s="537"/>
      <c r="D417" s="537"/>
      <c r="E417" s="537"/>
      <c r="F417" s="538"/>
      <c r="G417" s="71">
        <f>G413/G415</f>
        <v>116.27906976744185</v>
      </c>
      <c r="H417" s="3" t="s">
        <v>413</v>
      </c>
      <c r="I417" s="590"/>
      <c r="J417" s="538"/>
      <c r="K417" s="60">
        <f>G417*I416</f>
        <v>758.13953488372078</v>
      </c>
      <c r="L417" s="6"/>
      <c r="M417" s="600"/>
      <c r="N417" s="179"/>
      <c r="O417" s="179"/>
      <c r="P417" s="179"/>
      <c r="Q417" s="179"/>
      <c r="R417" s="298"/>
      <c r="S417" s="38"/>
      <c r="T417" s="239"/>
      <c r="U417" s="239"/>
      <c r="V417" s="169"/>
    </row>
    <row r="418" spans="2:22" ht="15.75" customHeight="1" x14ac:dyDescent="0.25">
      <c r="B418" s="619" t="s">
        <v>544</v>
      </c>
      <c r="C418" s="564"/>
      <c r="D418" s="564"/>
      <c r="E418" s="564"/>
      <c r="F418" s="565"/>
      <c r="G418" s="300">
        <f>G417*G414</f>
        <v>116.27906976744185</v>
      </c>
      <c r="H418" s="142" t="s">
        <v>413</v>
      </c>
      <c r="I418" s="620"/>
      <c r="J418" s="565"/>
      <c r="K418" s="175">
        <f>G418*I416</f>
        <v>758.13953488372078</v>
      </c>
      <c r="L418" s="6"/>
      <c r="M418" s="600"/>
      <c r="N418" s="179"/>
      <c r="O418" s="179"/>
      <c r="P418" s="179"/>
      <c r="Q418" s="179"/>
      <c r="R418" s="38"/>
      <c r="S418" s="38"/>
      <c r="T418" s="235"/>
      <c r="U418" s="235"/>
      <c r="V418" s="189"/>
    </row>
    <row r="419" spans="2:22" ht="15" customHeight="1" x14ac:dyDescent="0.25">
      <c r="B419" s="621" t="s">
        <v>545</v>
      </c>
      <c r="C419" s="544"/>
      <c r="D419" s="544"/>
      <c r="E419" s="544"/>
      <c r="F419" s="579"/>
      <c r="G419" s="302">
        <v>0.2</v>
      </c>
      <c r="H419" s="291" t="s">
        <v>546</v>
      </c>
      <c r="I419" s="622"/>
      <c r="J419" s="579"/>
      <c r="K419" s="303"/>
      <c r="L419" s="6"/>
      <c r="M419" s="600"/>
      <c r="N419" s="179"/>
      <c r="O419" s="179"/>
      <c r="P419" s="179"/>
      <c r="Q419" s="179"/>
      <c r="R419" s="38"/>
      <c r="S419" s="38"/>
      <c r="T419" s="239"/>
      <c r="U419" s="239"/>
      <c r="V419" s="169"/>
    </row>
    <row r="420" spans="2:22" ht="15.75" customHeight="1" x14ac:dyDescent="0.25">
      <c r="B420" s="545" t="s">
        <v>548</v>
      </c>
      <c r="C420" s="537"/>
      <c r="D420" s="537"/>
      <c r="E420" s="537"/>
      <c r="F420" s="538"/>
      <c r="G420" s="71">
        <v>1</v>
      </c>
      <c r="H420" s="3" t="s">
        <v>369</v>
      </c>
      <c r="I420" s="590">
        <v>41.23</v>
      </c>
      <c r="J420" s="538"/>
      <c r="K420" s="193"/>
      <c r="L420" s="6"/>
      <c r="M420" s="600"/>
      <c r="N420" s="148"/>
      <c r="O420" s="148"/>
      <c r="P420" s="148"/>
      <c r="Q420" s="148"/>
      <c r="R420" s="305"/>
      <c r="S420" s="65"/>
      <c r="T420" s="235"/>
      <c r="U420" s="235"/>
      <c r="V420" s="189"/>
    </row>
    <row r="421" spans="2:22" ht="15.75" customHeight="1" x14ac:dyDescent="0.25">
      <c r="B421" s="545" t="s">
        <v>550</v>
      </c>
      <c r="C421" s="537"/>
      <c r="D421" s="537"/>
      <c r="E421" s="537"/>
      <c r="F421" s="538"/>
      <c r="G421" s="71">
        <f>G419*(G413/1000)</f>
        <v>0.30000000000000004</v>
      </c>
      <c r="H421" s="3" t="s">
        <v>551</v>
      </c>
      <c r="I421" s="590"/>
      <c r="J421" s="538"/>
      <c r="K421" s="60">
        <f>G421*I420</f>
        <v>12.369000000000002</v>
      </c>
      <c r="L421" s="6"/>
      <c r="M421" s="600"/>
      <c r="N421" s="148"/>
      <c r="O421" s="148"/>
      <c r="P421" s="148"/>
      <c r="Q421" s="148"/>
      <c r="R421" s="305"/>
      <c r="S421" s="65"/>
      <c r="T421" s="235"/>
      <c r="U421" s="235"/>
      <c r="V421" s="189"/>
    </row>
    <row r="422" spans="2:22" ht="15.75" customHeight="1" x14ac:dyDescent="0.25">
      <c r="B422" s="619" t="s">
        <v>552</v>
      </c>
      <c r="C422" s="564"/>
      <c r="D422" s="564"/>
      <c r="E422" s="564"/>
      <c r="F422" s="565"/>
      <c r="G422" s="300">
        <f>G419*(G413/1000)*G414</f>
        <v>0.30000000000000004</v>
      </c>
      <c r="H422" s="142" t="s">
        <v>551</v>
      </c>
      <c r="I422" s="620"/>
      <c r="J422" s="565"/>
      <c r="K422" s="175">
        <f>G422*I420</f>
        <v>12.369000000000002</v>
      </c>
      <c r="L422" s="6"/>
      <c r="M422" s="600"/>
      <c r="N422" s="148"/>
      <c r="O422" s="148"/>
      <c r="P422" s="148"/>
      <c r="Q422" s="148"/>
      <c r="R422" s="65"/>
      <c r="S422" s="65"/>
      <c r="T422" s="235"/>
      <c r="U422" s="235"/>
      <c r="V422" s="189"/>
    </row>
    <row r="423" spans="2:22" ht="15.75" customHeight="1" x14ac:dyDescent="0.25">
      <c r="B423" s="628" t="s">
        <v>557</v>
      </c>
      <c r="C423" s="611"/>
      <c r="D423" s="611"/>
      <c r="E423" s="611"/>
      <c r="F423" s="612"/>
      <c r="G423" s="308">
        <v>1</v>
      </c>
      <c r="H423" s="181" t="s">
        <v>119</v>
      </c>
      <c r="I423" s="629">
        <f>K421+K417</f>
        <v>770.50853488372081</v>
      </c>
      <c r="J423" s="612"/>
      <c r="K423" s="184">
        <f>I423*G423</f>
        <v>770.50853488372081</v>
      </c>
      <c r="L423" s="6"/>
      <c r="M423" s="601"/>
      <c r="N423" s="179"/>
      <c r="O423" s="179"/>
      <c r="P423" s="179"/>
      <c r="Q423" s="179"/>
      <c r="R423" s="298"/>
      <c r="S423" s="38"/>
      <c r="T423" s="239"/>
      <c r="U423" s="239"/>
      <c r="V423" s="169"/>
    </row>
    <row r="424" spans="2:22" ht="15" customHeight="1" x14ac:dyDescent="0.25">
      <c r="B424" s="623" t="s">
        <v>626</v>
      </c>
      <c r="C424" s="542"/>
      <c r="D424" s="542"/>
      <c r="E424" s="542"/>
      <c r="F424" s="542"/>
      <c r="G424" s="542"/>
      <c r="H424" s="542"/>
      <c r="I424" s="542"/>
      <c r="J424" s="542"/>
      <c r="K424" s="577"/>
      <c r="L424" s="6"/>
      <c r="M424" s="238"/>
      <c r="N424" s="179"/>
      <c r="O424" s="179"/>
      <c r="P424" s="179"/>
      <c r="Q424" s="179"/>
      <c r="R424" s="38"/>
      <c r="S424" s="38"/>
      <c r="T424" s="235"/>
      <c r="U424" s="235"/>
      <c r="V424" s="189"/>
    </row>
    <row r="425" spans="2:22" ht="15.75" customHeight="1" x14ac:dyDescent="0.25">
      <c r="B425" s="624"/>
      <c r="C425" s="625"/>
      <c r="D425" s="625"/>
      <c r="E425" s="625"/>
      <c r="F425" s="625"/>
      <c r="G425" s="625"/>
      <c r="H425" s="625"/>
      <c r="I425" s="625"/>
      <c r="J425" s="625"/>
      <c r="K425" s="626"/>
      <c r="L425" s="6"/>
      <c r="M425" s="238"/>
      <c r="N425" s="179"/>
      <c r="O425" s="179"/>
      <c r="P425" s="179"/>
      <c r="Q425" s="179"/>
      <c r="R425" s="38"/>
      <c r="S425" s="38"/>
      <c r="T425" s="239"/>
      <c r="U425" s="239"/>
      <c r="V425" s="169"/>
    </row>
    <row r="426" spans="2:22" ht="15.75" customHeight="1" x14ac:dyDescent="0.25">
      <c r="B426" s="578"/>
      <c r="C426" s="544"/>
      <c r="D426" s="544"/>
      <c r="E426" s="544"/>
      <c r="F426" s="544"/>
      <c r="G426" s="544"/>
      <c r="H426" s="544"/>
      <c r="I426" s="544"/>
      <c r="J426" s="544"/>
      <c r="K426" s="579"/>
      <c r="L426" s="6"/>
      <c r="M426" s="238"/>
      <c r="N426" s="148"/>
      <c r="O426" s="148"/>
      <c r="P426" s="148"/>
      <c r="Q426" s="148"/>
      <c r="R426" s="305"/>
      <c r="S426" s="65"/>
      <c r="T426" s="235"/>
      <c r="U426" s="235"/>
      <c r="V426" s="189"/>
    </row>
    <row r="427" spans="2:22" ht="15.75" customHeight="1" x14ac:dyDescent="0.25">
      <c r="B427" s="567"/>
      <c r="C427" s="537"/>
      <c r="D427" s="537"/>
      <c r="E427" s="537"/>
      <c r="F427" s="537"/>
      <c r="G427" s="537"/>
      <c r="H427" s="537"/>
      <c r="I427" s="537"/>
      <c r="J427" s="537"/>
      <c r="K427" s="537"/>
      <c r="L427" s="6"/>
      <c r="M427" s="238"/>
      <c r="N427" s="179"/>
      <c r="O427" s="179"/>
      <c r="P427" s="179"/>
      <c r="Q427" s="179"/>
      <c r="R427" s="298"/>
      <c r="S427" s="38"/>
      <c r="T427" s="239"/>
      <c r="U427" s="239"/>
      <c r="V427" s="169"/>
    </row>
    <row r="428" spans="2:22" ht="15.75" customHeight="1" x14ac:dyDescent="0.25">
      <c r="B428" s="598" t="s">
        <v>560</v>
      </c>
      <c r="C428" s="537"/>
      <c r="D428" s="537"/>
      <c r="E428" s="537"/>
      <c r="F428" s="537"/>
      <c r="G428" s="537"/>
      <c r="H428" s="537"/>
      <c r="I428" s="537"/>
      <c r="J428" s="537"/>
      <c r="K428" s="538"/>
      <c r="L428" s="6"/>
      <c r="M428" s="599"/>
      <c r="N428" s="179"/>
      <c r="O428" s="179"/>
      <c r="P428" s="179"/>
      <c r="Q428" s="179"/>
      <c r="R428" s="38"/>
      <c r="S428" s="38"/>
      <c r="T428" s="235"/>
      <c r="U428" s="235"/>
      <c r="V428" s="189"/>
    </row>
    <row r="429" spans="2:22" ht="15.75" customHeight="1" x14ac:dyDescent="0.25">
      <c r="B429" s="569" t="s">
        <v>239</v>
      </c>
      <c r="C429" s="537"/>
      <c r="D429" s="537"/>
      <c r="E429" s="537"/>
      <c r="F429" s="538"/>
      <c r="G429" s="61" t="s">
        <v>118</v>
      </c>
      <c r="H429" s="61" t="s">
        <v>119</v>
      </c>
      <c r="I429" s="569" t="s">
        <v>319</v>
      </c>
      <c r="J429" s="538"/>
      <c r="K429" s="61" t="s">
        <v>534</v>
      </c>
      <c r="L429" s="6"/>
      <c r="M429" s="600"/>
      <c r="N429" s="179"/>
      <c r="O429" s="179"/>
      <c r="P429" s="179"/>
      <c r="Q429" s="179"/>
      <c r="R429" s="38"/>
      <c r="S429" s="38"/>
      <c r="T429" s="239"/>
      <c r="U429" s="239"/>
      <c r="V429" s="169"/>
    </row>
    <row r="430" spans="2:22" ht="15.75" customHeight="1" x14ac:dyDescent="0.25">
      <c r="B430" s="545" t="s">
        <v>628</v>
      </c>
      <c r="C430" s="537"/>
      <c r="D430" s="537"/>
      <c r="E430" s="537"/>
      <c r="F430" s="538"/>
      <c r="G430" s="212">
        <v>4</v>
      </c>
      <c r="H430" s="3" t="s">
        <v>335</v>
      </c>
      <c r="I430" s="590">
        <f>'10 - CUSTOS UN'!J195</f>
        <v>287.16666666666669</v>
      </c>
      <c r="J430" s="538"/>
      <c r="K430" s="193">
        <f>I430*G430</f>
        <v>1148.6666666666667</v>
      </c>
      <c r="L430" s="6"/>
      <c r="M430" s="600"/>
      <c r="N430" s="148"/>
      <c r="O430" s="148"/>
      <c r="P430" s="148"/>
      <c r="Q430" s="148"/>
      <c r="R430" s="305"/>
      <c r="S430" s="65"/>
      <c r="T430" s="235"/>
      <c r="U430" s="235"/>
      <c r="V430" s="189"/>
    </row>
    <row r="431" spans="2:22" ht="15.75" customHeight="1" x14ac:dyDescent="0.25">
      <c r="B431" s="559" t="s">
        <v>411</v>
      </c>
      <c r="C431" s="537"/>
      <c r="D431" s="537"/>
      <c r="E431" s="537"/>
      <c r="F431" s="538"/>
      <c r="G431" s="293">
        <v>50000</v>
      </c>
      <c r="H431" s="3" t="s">
        <v>413</v>
      </c>
      <c r="I431" s="590"/>
      <c r="J431" s="538"/>
      <c r="K431" s="193"/>
      <c r="L431" s="6"/>
      <c r="M431" s="600"/>
      <c r="N431" s="148"/>
      <c r="O431" s="148"/>
      <c r="P431" s="148"/>
      <c r="Q431" s="148"/>
      <c r="R431" s="65"/>
      <c r="S431" s="65"/>
      <c r="T431" s="235"/>
      <c r="U431" s="235"/>
      <c r="V431" s="189"/>
    </row>
    <row r="432" spans="2:22" ht="15.75" customHeight="1" x14ac:dyDescent="0.25">
      <c r="B432" s="545" t="s">
        <v>630</v>
      </c>
      <c r="C432" s="537"/>
      <c r="D432" s="537"/>
      <c r="E432" s="537"/>
      <c r="F432" s="538"/>
      <c r="G432" s="293">
        <f>G431</f>
        <v>50000</v>
      </c>
      <c r="H432" s="3" t="s">
        <v>417</v>
      </c>
      <c r="I432" s="590">
        <f>K430</f>
        <v>1148.6666666666667</v>
      </c>
      <c r="J432" s="538"/>
      <c r="K432" s="193">
        <f>I432/G432</f>
        <v>2.2973333333333335E-2</v>
      </c>
      <c r="L432" s="6"/>
      <c r="M432" s="600"/>
      <c r="N432" s="179"/>
      <c r="O432" s="179"/>
      <c r="P432" s="179"/>
      <c r="Q432" s="179"/>
      <c r="R432" s="298"/>
      <c r="S432" s="38"/>
      <c r="T432" s="239"/>
      <c r="U432" s="239"/>
      <c r="V432" s="169"/>
    </row>
    <row r="433" spans="2:22" ht="15.75" customHeight="1" x14ac:dyDescent="0.25">
      <c r="B433" s="630" t="s">
        <v>418</v>
      </c>
      <c r="C433" s="564"/>
      <c r="D433" s="564"/>
      <c r="E433" s="564"/>
      <c r="F433" s="565"/>
      <c r="G433" s="322">
        <v>3000</v>
      </c>
      <c r="H433" s="323" t="s">
        <v>413</v>
      </c>
      <c r="I433" s="620">
        <f t="shared" ref="I433:I434" si="44">K432</f>
        <v>2.2973333333333335E-2</v>
      </c>
      <c r="J433" s="565"/>
      <c r="K433" s="175">
        <f t="shared" ref="K433:K434" si="45">I433*G433</f>
        <v>68.92</v>
      </c>
      <c r="L433" s="6"/>
      <c r="M433" s="600"/>
      <c r="N433" s="179"/>
      <c r="O433" s="179"/>
      <c r="P433" s="179"/>
      <c r="Q433" s="179"/>
      <c r="R433" s="38"/>
      <c r="S433" s="38"/>
      <c r="T433" s="235"/>
      <c r="U433" s="235"/>
      <c r="V433" s="189"/>
    </row>
    <row r="434" spans="2:22" ht="15.75" customHeight="1" x14ac:dyDescent="0.25">
      <c r="B434" s="634" t="s">
        <v>420</v>
      </c>
      <c r="C434" s="611"/>
      <c r="D434" s="611"/>
      <c r="E434" s="611"/>
      <c r="F434" s="612"/>
      <c r="G434" s="308">
        <v>1</v>
      </c>
      <c r="H434" s="181" t="s">
        <v>335</v>
      </c>
      <c r="I434" s="635">
        <f t="shared" si="44"/>
        <v>68.92</v>
      </c>
      <c r="J434" s="612"/>
      <c r="K434" s="184">
        <f t="shared" si="45"/>
        <v>68.92</v>
      </c>
      <c r="L434" s="6"/>
      <c r="M434" s="601"/>
      <c r="N434" s="179"/>
      <c r="O434" s="179"/>
      <c r="P434" s="179"/>
      <c r="Q434" s="179"/>
      <c r="R434" s="38"/>
      <c r="S434" s="38"/>
      <c r="T434" s="239"/>
      <c r="U434" s="239"/>
      <c r="V434" s="169"/>
    </row>
    <row r="435" spans="2:22" ht="15.75" customHeight="1" x14ac:dyDescent="0.25">
      <c r="B435" s="567"/>
      <c r="C435" s="537"/>
      <c r="D435" s="537"/>
      <c r="E435" s="537"/>
      <c r="F435" s="537"/>
      <c r="G435" s="537"/>
      <c r="H435" s="537"/>
      <c r="I435" s="537"/>
      <c r="J435" s="537"/>
      <c r="K435" s="537"/>
      <c r="L435" s="6"/>
      <c r="M435" s="238"/>
      <c r="N435" s="148"/>
      <c r="O435" s="148"/>
      <c r="P435" s="148"/>
      <c r="Q435" s="148"/>
      <c r="R435" s="305"/>
      <c r="S435" s="65"/>
      <c r="T435" s="235"/>
      <c r="U435" s="235"/>
      <c r="V435" s="189"/>
    </row>
    <row r="436" spans="2:22" ht="15.75" customHeight="1" x14ac:dyDescent="0.25">
      <c r="B436" s="598" t="s">
        <v>572</v>
      </c>
      <c r="C436" s="537"/>
      <c r="D436" s="537"/>
      <c r="E436" s="537"/>
      <c r="F436" s="537"/>
      <c r="G436" s="537"/>
      <c r="H436" s="537"/>
      <c r="I436" s="537"/>
      <c r="J436" s="537"/>
      <c r="K436" s="538"/>
      <c r="L436" s="6"/>
      <c r="M436" s="599"/>
      <c r="N436" s="151"/>
      <c r="O436" s="151"/>
      <c r="P436" s="151"/>
      <c r="Q436" s="151"/>
      <c r="R436" s="151"/>
      <c r="S436" s="151"/>
      <c r="T436" s="151"/>
      <c r="U436" s="151"/>
      <c r="V436" s="211"/>
    </row>
    <row r="437" spans="2:22" ht="15.75" customHeight="1" x14ac:dyDescent="0.25">
      <c r="B437" s="569" t="s">
        <v>239</v>
      </c>
      <c r="C437" s="537"/>
      <c r="D437" s="537"/>
      <c r="E437" s="537"/>
      <c r="F437" s="538"/>
      <c r="G437" s="61" t="s">
        <v>118</v>
      </c>
      <c r="H437" s="61" t="s">
        <v>119</v>
      </c>
      <c r="I437" s="569" t="s">
        <v>319</v>
      </c>
      <c r="J437" s="538"/>
      <c r="K437" s="61" t="s">
        <v>534</v>
      </c>
      <c r="L437" s="6"/>
      <c r="M437" s="600"/>
      <c r="N437" s="151"/>
      <c r="O437" s="151"/>
      <c r="P437" s="151"/>
      <c r="Q437" s="151"/>
      <c r="R437" s="151"/>
      <c r="S437" s="151"/>
      <c r="T437" s="151"/>
      <c r="U437" s="151"/>
      <c r="V437" s="151"/>
    </row>
    <row r="438" spans="2:22" ht="15.75" customHeight="1" x14ac:dyDescent="0.25">
      <c r="B438" s="545" t="s">
        <v>363</v>
      </c>
      <c r="C438" s="537"/>
      <c r="D438" s="537"/>
      <c r="E438" s="537"/>
      <c r="F438" s="538"/>
      <c r="G438" s="296">
        <v>1500</v>
      </c>
      <c r="H438" s="3" t="s">
        <v>413</v>
      </c>
      <c r="I438" s="631"/>
      <c r="J438" s="538"/>
      <c r="K438" s="187"/>
      <c r="L438" s="6"/>
      <c r="M438" s="600"/>
      <c r="N438" s="148"/>
      <c r="O438" s="148"/>
      <c r="P438" s="148"/>
      <c r="Q438" s="148"/>
      <c r="R438" s="148"/>
      <c r="S438" s="148"/>
      <c r="T438" s="148"/>
      <c r="U438" s="148"/>
      <c r="V438" s="148"/>
    </row>
    <row r="439" spans="2:22" ht="15.75" customHeight="1" x14ac:dyDescent="0.25">
      <c r="B439" s="559" t="s">
        <v>568</v>
      </c>
      <c r="C439" s="537"/>
      <c r="D439" s="537"/>
      <c r="E439" s="537"/>
      <c r="F439" s="538"/>
      <c r="G439" s="296">
        <v>1</v>
      </c>
      <c r="H439" s="3" t="s">
        <v>335</v>
      </c>
      <c r="I439" s="631"/>
      <c r="J439" s="538"/>
      <c r="K439" s="187"/>
      <c r="L439" s="6"/>
      <c r="M439" s="600"/>
      <c r="N439" s="65"/>
      <c r="O439" s="65"/>
      <c r="P439" s="65"/>
      <c r="Q439" s="65"/>
      <c r="R439" s="65"/>
      <c r="S439" s="65"/>
      <c r="T439" s="148"/>
      <c r="U439" s="148"/>
      <c r="V439" s="65"/>
    </row>
    <row r="440" spans="2:22" ht="15.75" customHeight="1" x14ac:dyDescent="0.25">
      <c r="B440" s="545" t="s">
        <v>576</v>
      </c>
      <c r="C440" s="537"/>
      <c r="D440" s="537"/>
      <c r="E440" s="537"/>
      <c r="F440" s="538"/>
      <c r="G440" s="293">
        <v>10000</v>
      </c>
      <c r="H440" s="3" t="s">
        <v>413</v>
      </c>
      <c r="I440" s="631"/>
      <c r="J440" s="538"/>
      <c r="K440" s="187"/>
      <c r="L440" s="6"/>
      <c r="M440" s="600"/>
      <c r="N440" s="148"/>
      <c r="O440" s="148"/>
      <c r="P440" s="148"/>
      <c r="Q440" s="148"/>
      <c r="R440" s="65"/>
      <c r="S440" s="65"/>
      <c r="T440" s="235"/>
      <c r="U440" s="148"/>
      <c r="V440" s="189"/>
    </row>
    <row r="441" spans="2:22" ht="15.75" customHeight="1" x14ac:dyDescent="0.25">
      <c r="B441" s="545" t="s">
        <v>577</v>
      </c>
      <c r="C441" s="537"/>
      <c r="D441" s="537"/>
      <c r="E441" s="537"/>
      <c r="F441" s="538"/>
      <c r="G441" s="212">
        <v>1</v>
      </c>
      <c r="H441" s="3" t="s">
        <v>579</v>
      </c>
      <c r="I441" s="590">
        <v>1000</v>
      </c>
      <c r="J441" s="538"/>
      <c r="K441" s="193"/>
      <c r="L441" s="6"/>
      <c r="M441" s="600"/>
      <c r="N441" s="179"/>
      <c r="O441" s="179"/>
      <c r="P441" s="179"/>
      <c r="Q441" s="179"/>
      <c r="R441" s="38"/>
      <c r="S441" s="38"/>
      <c r="T441" s="239"/>
      <c r="U441" s="239"/>
      <c r="V441" s="169"/>
    </row>
    <row r="442" spans="2:22" ht="15.75" customHeight="1" x14ac:dyDescent="0.25">
      <c r="B442" s="646" t="s">
        <v>583</v>
      </c>
      <c r="C442" s="537"/>
      <c r="D442" s="537"/>
      <c r="E442" s="537"/>
      <c r="F442" s="538"/>
      <c r="G442" s="324">
        <f>G438/G440</f>
        <v>0.15</v>
      </c>
      <c r="H442" s="75" t="s">
        <v>141</v>
      </c>
      <c r="I442" s="647">
        <v>1000</v>
      </c>
      <c r="J442" s="538"/>
      <c r="K442" s="193">
        <f>G442*I442</f>
        <v>150</v>
      </c>
      <c r="L442" s="6"/>
      <c r="M442" s="600"/>
      <c r="N442" s="148"/>
      <c r="O442" s="148"/>
      <c r="P442" s="148"/>
      <c r="Q442" s="148"/>
      <c r="R442" s="305"/>
      <c r="S442" s="65"/>
      <c r="T442" s="235"/>
      <c r="U442" s="235"/>
      <c r="V442" s="189"/>
    </row>
    <row r="443" spans="2:22" ht="15.75" customHeight="1" x14ac:dyDescent="0.25">
      <c r="B443" s="545" t="s">
        <v>584</v>
      </c>
      <c r="C443" s="537"/>
      <c r="D443" s="537"/>
      <c r="E443" s="537"/>
      <c r="F443" s="538"/>
      <c r="G443" s="293">
        <v>10000</v>
      </c>
      <c r="H443" s="3" t="s">
        <v>413</v>
      </c>
      <c r="I443" s="590"/>
      <c r="J443" s="538"/>
      <c r="K443" s="193"/>
      <c r="L443" s="6"/>
      <c r="M443" s="600"/>
      <c r="N443" s="179"/>
      <c r="O443" s="179"/>
      <c r="P443" s="179"/>
      <c r="Q443" s="179"/>
      <c r="R443" s="38"/>
      <c r="S443" s="38"/>
      <c r="T443" s="239"/>
      <c r="U443" s="239"/>
      <c r="V443" s="169"/>
    </row>
    <row r="444" spans="2:22" ht="15.75" customHeight="1" x14ac:dyDescent="0.25">
      <c r="B444" s="545" t="s">
        <v>587</v>
      </c>
      <c r="C444" s="537"/>
      <c r="D444" s="537"/>
      <c r="E444" s="537"/>
      <c r="F444" s="538"/>
      <c r="G444" s="293">
        <v>1</v>
      </c>
      <c r="H444" s="3" t="s">
        <v>579</v>
      </c>
      <c r="I444" s="590">
        <v>100</v>
      </c>
      <c r="J444" s="538"/>
      <c r="K444" s="193"/>
      <c r="L444" s="6"/>
      <c r="M444" s="600"/>
      <c r="N444" s="148"/>
      <c r="O444" s="148"/>
      <c r="P444" s="148"/>
      <c r="Q444" s="148"/>
      <c r="R444" s="305"/>
      <c r="S444" s="65"/>
      <c r="T444" s="235"/>
      <c r="U444" s="235"/>
      <c r="V444" s="189"/>
    </row>
    <row r="445" spans="2:22" ht="15.75" customHeight="1" x14ac:dyDescent="0.25">
      <c r="B445" s="619" t="s">
        <v>588</v>
      </c>
      <c r="C445" s="564"/>
      <c r="D445" s="564"/>
      <c r="E445" s="564"/>
      <c r="F445" s="565"/>
      <c r="G445" s="325">
        <f>G438/G443</f>
        <v>0.15</v>
      </c>
      <c r="H445" s="323" t="s">
        <v>141</v>
      </c>
      <c r="I445" s="620">
        <f>I444</f>
        <v>100</v>
      </c>
      <c r="J445" s="565"/>
      <c r="K445" s="175">
        <f>G445*I445</f>
        <v>15</v>
      </c>
      <c r="L445" s="6"/>
      <c r="M445" s="600"/>
      <c r="N445" s="179"/>
      <c r="O445" s="179"/>
      <c r="P445" s="179"/>
      <c r="Q445" s="179"/>
      <c r="R445" s="38"/>
      <c r="S445" s="38"/>
      <c r="T445" s="239"/>
      <c r="U445" s="239"/>
      <c r="V445" s="169"/>
    </row>
    <row r="446" spans="2:22" ht="15.75" customHeight="1" x14ac:dyDescent="0.25">
      <c r="B446" s="632" t="s">
        <v>593</v>
      </c>
      <c r="C446" s="544"/>
      <c r="D446" s="544"/>
      <c r="E446" s="544"/>
      <c r="F446" s="579"/>
      <c r="G446" s="302"/>
      <c r="H446" s="291"/>
      <c r="I446" s="633"/>
      <c r="J446" s="579"/>
      <c r="K446" s="231">
        <f>K445+K442</f>
        <v>165</v>
      </c>
      <c r="L446" s="6"/>
      <c r="M446" s="600"/>
      <c r="N446" s="148"/>
      <c r="O446" s="148"/>
      <c r="P446" s="148"/>
      <c r="Q446" s="148"/>
      <c r="R446" s="305"/>
      <c r="S446" s="65"/>
      <c r="T446" s="235"/>
      <c r="U446" s="235"/>
      <c r="V446" s="189"/>
    </row>
    <row r="447" spans="2:22" ht="15.75" customHeight="1" x14ac:dyDescent="0.25">
      <c r="B447" s="634" t="s">
        <v>594</v>
      </c>
      <c r="C447" s="611"/>
      <c r="D447" s="611"/>
      <c r="E447" s="611"/>
      <c r="F447" s="612"/>
      <c r="G447" s="308">
        <v>1</v>
      </c>
      <c r="H447" s="181" t="s">
        <v>335</v>
      </c>
      <c r="I447" s="635">
        <f>K446</f>
        <v>165</v>
      </c>
      <c r="J447" s="612"/>
      <c r="K447" s="184">
        <f>I447*G447</f>
        <v>165</v>
      </c>
      <c r="L447" s="6"/>
      <c r="M447" s="601"/>
      <c r="N447" s="179"/>
      <c r="O447" s="179"/>
      <c r="P447" s="179"/>
      <c r="Q447" s="179"/>
      <c r="R447" s="38"/>
      <c r="S447" s="38"/>
      <c r="T447" s="239"/>
      <c r="U447" s="239"/>
      <c r="V447" s="169"/>
    </row>
    <row r="448" spans="2:22" ht="15.75" customHeight="1" x14ac:dyDescent="0.25">
      <c r="B448" s="636"/>
      <c r="C448" s="537"/>
      <c r="D448" s="537"/>
      <c r="E448" s="537"/>
      <c r="F448" s="537"/>
      <c r="G448" s="537"/>
      <c r="H448" s="537"/>
      <c r="I448" s="537"/>
      <c r="J448" s="537"/>
      <c r="K448" s="537"/>
      <c r="L448" s="6"/>
      <c r="M448" s="147"/>
      <c r="N448" s="148"/>
      <c r="O448" s="148"/>
      <c r="P448" s="148"/>
      <c r="Q448" s="148"/>
      <c r="R448" s="305"/>
      <c r="S448" s="65"/>
      <c r="T448" s="235"/>
      <c r="U448" s="235"/>
      <c r="V448" s="189"/>
    </row>
    <row r="449" spans="2:22" ht="15.75" customHeight="1" x14ac:dyDescent="0.25">
      <c r="B449" s="552" t="s">
        <v>633</v>
      </c>
      <c r="C449" s="537"/>
      <c r="D449" s="537"/>
      <c r="E449" s="537"/>
      <c r="F449" s="537"/>
      <c r="G449" s="537"/>
      <c r="H449" s="537"/>
      <c r="I449" s="537"/>
      <c r="J449" s="538"/>
      <c r="K449" s="209">
        <f>SUM(I447,I434,I423,I409,I396,I387)</f>
        <v>1795.3592987726097</v>
      </c>
      <c r="L449" s="6"/>
      <c r="M449" s="147"/>
      <c r="N449" s="148"/>
      <c r="O449" s="148"/>
      <c r="P449" s="148"/>
      <c r="Q449" s="148"/>
      <c r="R449" s="65"/>
      <c r="S449" s="65"/>
      <c r="T449" s="235"/>
      <c r="U449" s="148"/>
      <c r="V449" s="189"/>
    </row>
    <row r="450" spans="2:22" ht="15.75" customHeight="1" x14ac:dyDescent="0.25">
      <c r="B450" s="552" t="s">
        <v>433</v>
      </c>
      <c r="C450" s="537"/>
      <c r="D450" s="537"/>
      <c r="E450" s="537"/>
      <c r="F450" s="537"/>
      <c r="G450" s="537"/>
      <c r="H450" s="537"/>
      <c r="I450" s="537"/>
      <c r="J450" s="538"/>
      <c r="K450" s="209">
        <f>SUM(K447,K434,K423,K409,K396,K387)</f>
        <v>1795.3592987726097</v>
      </c>
      <c r="L450" s="6"/>
      <c r="M450" s="162"/>
      <c r="N450" s="179"/>
      <c r="O450" s="179"/>
      <c r="P450" s="179"/>
      <c r="Q450" s="179"/>
      <c r="R450" s="38"/>
      <c r="S450" s="38"/>
      <c r="T450" s="239"/>
      <c r="U450" s="239"/>
      <c r="V450" s="169"/>
    </row>
    <row r="451" spans="2:22" ht="15.75" customHeight="1" x14ac:dyDescent="0.25">
      <c r="B451" s="326"/>
      <c r="C451" s="326"/>
      <c r="D451" s="326"/>
      <c r="E451" s="326"/>
      <c r="F451" s="326"/>
      <c r="G451" s="326"/>
      <c r="H451" s="326"/>
      <c r="I451" s="326"/>
      <c r="J451" s="326"/>
      <c r="K451" s="326"/>
      <c r="L451" s="6"/>
      <c r="M451" s="147"/>
      <c r="N451" s="148"/>
      <c r="O451" s="148"/>
      <c r="P451" s="148"/>
      <c r="Q451" s="148"/>
      <c r="R451" s="305"/>
      <c r="S451" s="65"/>
      <c r="T451" s="235"/>
      <c r="U451" s="235"/>
      <c r="V451" s="189"/>
    </row>
    <row r="452" spans="2:22" ht="15" customHeight="1" x14ac:dyDescent="0.25">
      <c r="B452" s="589" t="s">
        <v>573</v>
      </c>
      <c r="C452" s="537"/>
      <c r="D452" s="537"/>
      <c r="E452" s="537"/>
      <c r="F452" s="537"/>
      <c r="G452" s="537"/>
      <c r="H452" s="537"/>
      <c r="I452" s="537"/>
      <c r="J452" s="538"/>
      <c r="K452" s="135">
        <f>K450</f>
        <v>1795.3592987726097</v>
      </c>
      <c r="L452" s="6"/>
      <c r="M452" s="238"/>
      <c r="N452" s="179"/>
      <c r="O452" s="179"/>
      <c r="P452" s="179"/>
      <c r="Q452" s="179"/>
      <c r="R452" s="38"/>
      <c r="S452" s="38"/>
      <c r="T452" s="239"/>
      <c r="U452" s="239"/>
      <c r="V452" s="169"/>
    </row>
    <row r="453" spans="2:22" ht="15.75" customHeight="1" x14ac:dyDescent="0.25">
      <c r="K453" s="1"/>
      <c r="L453" s="6"/>
      <c r="M453" s="147"/>
      <c r="N453" s="148"/>
      <c r="O453" s="148"/>
      <c r="P453" s="148"/>
      <c r="Q453" s="148"/>
      <c r="R453" s="305"/>
      <c r="S453" s="65"/>
      <c r="T453" s="235"/>
      <c r="U453" s="235"/>
      <c r="V453" s="189"/>
    </row>
    <row r="454" spans="2:22" ht="15" customHeight="1" x14ac:dyDescent="0.25">
      <c r="B454" s="589" t="s">
        <v>611</v>
      </c>
      <c r="C454" s="537"/>
      <c r="D454" s="537"/>
      <c r="E454" s="537"/>
      <c r="F454" s="537"/>
      <c r="G454" s="537"/>
      <c r="H454" s="537"/>
      <c r="I454" s="537"/>
      <c r="J454" s="538"/>
      <c r="K454" s="135">
        <f>SUM(K452,K361,K300)</f>
        <v>105070.08041496266</v>
      </c>
      <c r="L454" s="6"/>
      <c r="M454" s="147"/>
      <c r="N454" s="179"/>
      <c r="O454" s="179"/>
      <c r="P454" s="179"/>
      <c r="Q454" s="179"/>
      <c r="R454" s="38"/>
      <c r="S454" s="38"/>
      <c r="T454" s="239"/>
      <c r="U454" s="239"/>
      <c r="V454" s="169"/>
    </row>
    <row r="455" spans="2:22" ht="15.75" customHeight="1" x14ac:dyDescent="0.25">
      <c r="K455" s="1"/>
      <c r="L455" s="6"/>
      <c r="M455" s="147"/>
      <c r="N455" s="148"/>
      <c r="O455" s="148"/>
      <c r="P455" s="148"/>
      <c r="Q455" s="148"/>
      <c r="R455" s="305"/>
      <c r="S455" s="65"/>
      <c r="T455" s="235"/>
      <c r="U455" s="235"/>
      <c r="V455" s="189"/>
    </row>
    <row r="456" spans="2:22" ht="15.75" customHeight="1" x14ac:dyDescent="0.25">
      <c r="K456" s="1"/>
      <c r="L456" s="6"/>
      <c r="M456" s="238"/>
      <c r="N456" s="179"/>
      <c r="O456" s="179"/>
      <c r="P456" s="179"/>
      <c r="Q456" s="179"/>
      <c r="R456" s="38"/>
      <c r="S456" s="38"/>
      <c r="T456" s="239"/>
      <c r="U456" s="239"/>
      <c r="V456" s="169"/>
    </row>
    <row r="457" spans="2:22" ht="15.75" customHeight="1" x14ac:dyDescent="0.25">
      <c r="B457" s="566" t="s">
        <v>606</v>
      </c>
      <c r="C457" s="537"/>
      <c r="D457" s="537"/>
      <c r="E457" s="537"/>
      <c r="F457" s="537"/>
      <c r="G457" s="537"/>
      <c r="H457" s="537"/>
      <c r="I457" s="537"/>
      <c r="J457" s="537"/>
      <c r="K457" s="538"/>
      <c r="L457" s="6"/>
      <c r="M457" s="147"/>
      <c r="N457" s="148"/>
      <c r="O457" s="148"/>
      <c r="P457" s="148"/>
      <c r="Q457" s="148"/>
      <c r="R457" s="305"/>
      <c r="S457" s="65"/>
      <c r="T457" s="235"/>
      <c r="U457" s="235"/>
      <c r="V457" s="189"/>
    </row>
    <row r="458" spans="2:22" ht="15.75" customHeight="1" x14ac:dyDescent="0.25">
      <c r="B458" s="567"/>
      <c r="C458" s="537"/>
      <c r="D458" s="537"/>
      <c r="E458" s="537"/>
      <c r="F458" s="537"/>
      <c r="G458" s="537"/>
      <c r="H458" s="537"/>
      <c r="I458" s="537"/>
      <c r="J458" s="537"/>
      <c r="K458" s="537"/>
      <c r="L458" s="6"/>
      <c r="M458" s="147"/>
      <c r="N458" s="148"/>
      <c r="O458" s="148"/>
      <c r="P458" s="148"/>
      <c r="Q458" s="148"/>
      <c r="R458" s="65"/>
      <c r="S458" s="65"/>
      <c r="T458" s="235"/>
      <c r="U458" s="148"/>
      <c r="V458" s="189"/>
    </row>
    <row r="459" spans="2:22" ht="15.75" customHeight="1" x14ac:dyDescent="0.25">
      <c r="B459" s="637" t="s">
        <v>239</v>
      </c>
      <c r="C459" s="564"/>
      <c r="D459" s="564"/>
      <c r="E459" s="564"/>
      <c r="F459" s="565"/>
      <c r="G459" s="155" t="s">
        <v>118</v>
      </c>
      <c r="H459" s="155" t="s">
        <v>119</v>
      </c>
      <c r="I459" s="637" t="s">
        <v>319</v>
      </c>
      <c r="J459" s="565"/>
      <c r="K459" s="155" t="s">
        <v>609</v>
      </c>
      <c r="L459" s="6"/>
      <c r="M459" s="238"/>
      <c r="N459" s="179"/>
      <c r="O459" s="179"/>
      <c r="P459" s="179"/>
      <c r="Q459" s="179"/>
      <c r="R459" s="38"/>
      <c r="S459" s="38"/>
      <c r="T459" s="239"/>
      <c r="U459" s="239"/>
      <c r="V459" s="169"/>
    </row>
    <row r="460" spans="2:22" ht="15.75" customHeight="1" x14ac:dyDescent="0.25">
      <c r="B460" s="638" t="s">
        <v>610</v>
      </c>
      <c r="C460" s="544"/>
      <c r="D460" s="544"/>
      <c r="E460" s="544"/>
      <c r="F460" s="579"/>
      <c r="G460" s="145"/>
      <c r="H460" s="145"/>
      <c r="I460" s="639"/>
      <c r="J460" s="579"/>
      <c r="K460" s="177">
        <v>10000</v>
      </c>
      <c r="L460" s="6"/>
      <c r="M460" s="147"/>
      <c r="N460" s="148"/>
      <c r="O460" s="148"/>
      <c r="P460" s="148"/>
      <c r="Q460" s="148"/>
      <c r="R460" s="305"/>
      <c r="S460" s="65"/>
      <c r="T460" s="235"/>
      <c r="U460" s="235"/>
      <c r="V460" s="189"/>
    </row>
    <row r="461" spans="2:22" ht="15.75" customHeight="1" x14ac:dyDescent="0.25">
      <c r="B461" s="559" t="s">
        <v>612</v>
      </c>
      <c r="C461" s="537"/>
      <c r="D461" s="537"/>
      <c r="E461" s="537"/>
      <c r="F461" s="538"/>
      <c r="G461" s="26"/>
      <c r="H461" s="26"/>
      <c r="I461" s="546"/>
      <c r="J461" s="538"/>
      <c r="K461" s="44">
        <v>5000</v>
      </c>
      <c r="L461" s="6"/>
      <c r="M461" s="238"/>
      <c r="N461" s="179"/>
      <c r="O461" s="179"/>
      <c r="P461" s="179"/>
      <c r="Q461" s="179"/>
      <c r="R461" s="38"/>
      <c r="S461" s="38"/>
      <c r="T461" s="239"/>
      <c r="U461" s="239"/>
      <c r="V461" s="169"/>
    </row>
    <row r="462" spans="2:22" ht="15.75" customHeight="1" x14ac:dyDescent="0.25">
      <c r="B462" s="640" t="s">
        <v>614</v>
      </c>
      <c r="C462" s="564"/>
      <c r="D462" s="564"/>
      <c r="E462" s="564"/>
      <c r="F462" s="565"/>
      <c r="G462" s="165"/>
      <c r="H462" s="165"/>
      <c r="I462" s="644"/>
      <c r="J462" s="565"/>
      <c r="K462" s="216">
        <v>2000</v>
      </c>
      <c r="L462" s="6"/>
      <c r="M462" s="147"/>
      <c r="N462" s="148"/>
      <c r="O462" s="148"/>
      <c r="P462" s="148"/>
      <c r="Q462" s="148"/>
      <c r="R462" s="305"/>
      <c r="S462" s="65"/>
      <c r="T462" s="235"/>
      <c r="U462" s="235"/>
      <c r="V462" s="189"/>
    </row>
    <row r="463" spans="2:22" ht="15.75" customHeight="1" x14ac:dyDescent="0.25">
      <c r="B463" s="645" t="s">
        <v>636</v>
      </c>
      <c r="C463" s="611"/>
      <c r="D463" s="611"/>
      <c r="E463" s="611"/>
      <c r="F463" s="611"/>
      <c r="G463" s="611"/>
      <c r="H463" s="611"/>
      <c r="I463" s="611"/>
      <c r="J463" s="612"/>
      <c r="K463" s="329">
        <f>SUM(K460:K462)</f>
        <v>17000</v>
      </c>
      <c r="L463" s="6"/>
      <c r="M463" s="238"/>
      <c r="N463" s="179"/>
      <c r="O463" s="179"/>
      <c r="P463" s="179"/>
      <c r="Q463" s="179"/>
      <c r="R463" s="38"/>
      <c r="S463" s="38"/>
      <c r="T463" s="239"/>
      <c r="U463" s="239"/>
      <c r="V463" s="169"/>
    </row>
    <row r="464" spans="2:22" ht="15.75" customHeight="1" x14ac:dyDescent="0.25">
      <c r="B464" s="311"/>
      <c r="C464" s="311"/>
      <c r="D464" s="311"/>
      <c r="E464" s="311"/>
      <c r="F464" s="311"/>
      <c r="I464" s="1"/>
      <c r="J464" s="1"/>
      <c r="K464" s="211"/>
      <c r="L464" s="6"/>
      <c r="M464" s="147"/>
      <c r="N464" s="148"/>
      <c r="O464" s="148"/>
      <c r="P464" s="148"/>
      <c r="Q464" s="148"/>
      <c r="R464" s="305"/>
      <c r="S464" s="65"/>
      <c r="T464" s="235"/>
      <c r="U464" s="235"/>
      <c r="V464" s="189"/>
    </row>
    <row r="465" spans="1:22" ht="15.75" customHeight="1" x14ac:dyDescent="0.25">
      <c r="B465" s="311"/>
      <c r="C465" s="311"/>
      <c r="D465" s="311"/>
      <c r="E465" s="311"/>
      <c r="F465" s="311"/>
      <c r="I465" s="1"/>
      <c r="J465" s="1"/>
      <c r="K465" s="211"/>
      <c r="L465" s="6"/>
      <c r="M465" s="238"/>
      <c r="N465" s="179"/>
      <c r="O465" s="179"/>
      <c r="P465" s="179"/>
      <c r="Q465" s="179"/>
      <c r="R465" s="38"/>
      <c r="S465" s="38"/>
      <c r="T465" s="239"/>
      <c r="U465" s="239"/>
      <c r="V465" s="169"/>
    </row>
    <row r="466" spans="1:22" ht="15" customHeight="1" x14ac:dyDescent="0.25">
      <c r="B466" s="589" t="s">
        <v>638</v>
      </c>
      <c r="C466" s="537"/>
      <c r="D466" s="537"/>
      <c r="E466" s="537"/>
      <c r="F466" s="537"/>
      <c r="G466" s="537"/>
      <c r="H466" s="537"/>
      <c r="I466" s="537"/>
      <c r="J466" s="538"/>
      <c r="K466" s="135">
        <f>K454+K463</f>
        <v>122070.08041496266</v>
      </c>
      <c r="L466" s="6"/>
      <c r="M466" s="147"/>
      <c r="N466" s="148"/>
      <c r="O466" s="148"/>
      <c r="P466" s="148"/>
      <c r="Q466" s="148"/>
      <c r="R466" s="305"/>
      <c r="S466" s="65"/>
      <c r="T466" s="235"/>
      <c r="U466" s="235"/>
      <c r="V466" s="189"/>
    </row>
    <row r="467" spans="1:22" ht="15.75" customHeight="1" x14ac:dyDescent="0.25">
      <c r="B467" s="311"/>
      <c r="C467" s="311"/>
      <c r="D467" s="311"/>
      <c r="E467" s="311"/>
      <c r="F467" s="311"/>
      <c r="I467" s="1"/>
      <c r="J467" s="1"/>
      <c r="K467" s="211"/>
      <c r="L467" s="6"/>
      <c r="M467" s="147"/>
      <c r="N467" s="148"/>
      <c r="O467" s="148"/>
      <c r="P467" s="148"/>
      <c r="Q467" s="148"/>
      <c r="R467" s="65"/>
      <c r="S467" s="65"/>
      <c r="T467" s="235"/>
      <c r="U467" s="148"/>
      <c r="V467" s="189"/>
    </row>
    <row r="468" spans="1:22" ht="15.75" customHeight="1" x14ac:dyDescent="0.25">
      <c r="B468" s="151"/>
      <c r="C468" s="151"/>
      <c r="D468" s="151"/>
      <c r="E468" s="151"/>
      <c r="F468" s="151"/>
      <c r="G468" s="151"/>
      <c r="H468" s="151"/>
      <c r="I468" s="151"/>
      <c r="J468" s="151"/>
      <c r="K468" s="151"/>
      <c r="L468" s="6"/>
      <c r="M468" s="238"/>
      <c r="N468" s="179"/>
      <c r="O468" s="179"/>
      <c r="P468" s="179"/>
      <c r="Q468" s="179"/>
      <c r="R468" s="38"/>
      <c r="S468" s="38"/>
      <c r="T468" s="179"/>
      <c r="U468" s="179"/>
      <c r="V468" s="169"/>
    </row>
    <row r="469" spans="1:22" ht="15.75" customHeight="1" x14ac:dyDescent="0.25">
      <c r="B469" s="566" t="s">
        <v>623</v>
      </c>
      <c r="C469" s="537"/>
      <c r="D469" s="537"/>
      <c r="E469" s="537"/>
      <c r="F469" s="537"/>
      <c r="G469" s="537"/>
      <c r="H469" s="537"/>
      <c r="I469" s="537"/>
      <c r="J469" s="537"/>
      <c r="K469" s="538"/>
      <c r="L469" s="6"/>
      <c r="M469" s="147"/>
      <c r="N469" s="148"/>
      <c r="O469" s="148"/>
      <c r="P469" s="148"/>
      <c r="Q469" s="148"/>
      <c r="R469" s="65"/>
      <c r="S469" s="65"/>
      <c r="T469" s="235"/>
      <c r="U469" s="148"/>
      <c r="V469" s="189"/>
    </row>
    <row r="470" spans="1:22" ht="15.75" customHeight="1" x14ac:dyDescent="0.25">
      <c r="B470" s="151"/>
      <c r="C470" s="151"/>
      <c r="D470" s="151"/>
      <c r="E470" s="151"/>
      <c r="F470" s="151"/>
      <c r="G470" s="151"/>
      <c r="H470" s="151"/>
      <c r="I470" s="151"/>
      <c r="J470" s="151"/>
      <c r="K470" s="151"/>
      <c r="L470" s="6"/>
      <c r="M470" s="238"/>
      <c r="N470" s="179"/>
      <c r="O470" s="179"/>
      <c r="P470" s="179"/>
      <c r="Q470" s="179"/>
      <c r="R470" s="38"/>
      <c r="S470" s="38"/>
      <c r="T470" s="239"/>
      <c r="U470" s="239"/>
      <c r="V470" s="169"/>
    </row>
    <row r="471" spans="1:22" ht="15.75" customHeight="1" x14ac:dyDescent="0.25">
      <c r="B471" s="569" t="s">
        <v>239</v>
      </c>
      <c r="C471" s="537"/>
      <c r="D471" s="537"/>
      <c r="E471" s="537"/>
      <c r="F471" s="538"/>
      <c r="G471" s="105" t="s">
        <v>118</v>
      </c>
      <c r="H471" s="61" t="s">
        <v>119</v>
      </c>
      <c r="I471" s="569" t="s">
        <v>640</v>
      </c>
      <c r="J471" s="538"/>
      <c r="K471" s="61" t="s">
        <v>616</v>
      </c>
      <c r="L471" s="6"/>
      <c r="M471" s="147"/>
      <c r="N471" s="148"/>
      <c r="O471" s="148"/>
      <c r="P471" s="148"/>
      <c r="Q471" s="148"/>
      <c r="R471" s="65"/>
      <c r="S471" s="65"/>
      <c r="T471" s="330"/>
      <c r="U471" s="330"/>
      <c r="V471" s="189"/>
    </row>
    <row r="472" spans="1:22" ht="15.75" customHeight="1" x14ac:dyDescent="0.25">
      <c r="B472" s="640" t="s">
        <v>102</v>
      </c>
      <c r="C472" s="564"/>
      <c r="D472" s="564"/>
      <c r="E472" s="564"/>
      <c r="F472" s="564"/>
      <c r="G472" s="331">
        <f>'9 - BDI'!D15</f>
        <v>0.27689893995634196</v>
      </c>
      <c r="H472" s="331" t="s">
        <v>141</v>
      </c>
      <c r="I472" s="641">
        <f>K466</f>
        <v>122070.08041496266</v>
      </c>
      <c r="J472" s="565"/>
      <c r="K472" s="143">
        <f>I472*G472</f>
        <v>33801.075867288579</v>
      </c>
      <c r="L472" s="6"/>
      <c r="M472" s="238"/>
      <c r="N472" s="179"/>
      <c r="O472" s="179"/>
      <c r="P472" s="179"/>
      <c r="Q472" s="179"/>
      <c r="R472" s="38"/>
      <c r="S472" s="38"/>
      <c r="T472" s="239"/>
      <c r="U472" s="239"/>
      <c r="V472" s="169"/>
    </row>
    <row r="473" spans="1:22" ht="15.75" customHeight="1" x14ac:dyDescent="0.25">
      <c r="B473" s="642" t="s">
        <v>641</v>
      </c>
      <c r="C473" s="611"/>
      <c r="D473" s="611"/>
      <c r="E473" s="611"/>
      <c r="F473" s="611"/>
      <c r="G473" s="611"/>
      <c r="H473" s="611"/>
      <c r="I473" s="611"/>
      <c r="J473" s="612"/>
      <c r="K473" s="332">
        <f>SUM(K472)</f>
        <v>33801.075867288579</v>
      </c>
      <c r="L473" s="6"/>
      <c r="M473" s="147"/>
      <c r="N473" s="148"/>
      <c r="O473" s="148"/>
      <c r="P473" s="148"/>
      <c r="Q473" s="148"/>
      <c r="R473" s="65"/>
      <c r="S473" s="65"/>
      <c r="T473" s="330"/>
      <c r="U473" s="330"/>
      <c r="V473" s="189"/>
    </row>
    <row r="474" spans="1:22" ht="15.75" customHeight="1" x14ac:dyDescent="0.25">
      <c r="G474" s="21"/>
      <c r="H474" s="21"/>
      <c r="I474" s="333"/>
      <c r="J474" s="333"/>
      <c r="K474" s="27"/>
      <c r="L474" s="6"/>
      <c r="M474" s="150"/>
      <c r="N474" s="151"/>
      <c r="O474" s="151"/>
      <c r="P474" s="151"/>
      <c r="Q474" s="151"/>
      <c r="R474" s="151"/>
      <c r="S474" s="151"/>
      <c r="T474" s="151"/>
      <c r="U474" s="151"/>
      <c r="V474" s="152"/>
    </row>
    <row r="475" spans="1:22" ht="15.75" customHeight="1" x14ac:dyDescent="0.25">
      <c r="B475" s="151"/>
      <c r="C475" s="151"/>
      <c r="D475" s="151"/>
      <c r="E475" s="151"/>
      <c r="F475" s="151"/>
      <c r="G475" s="21"/>
      <c r="H475" s="21"/>
      <c r="I475" s="333"/>
      <c r="J475" s="333"/>
      <c r="K475" s="211"/>
      <c r="L475" s="6"/>
      <c r="M475" s="150"/>
      <c r="N475" s="151"/>
      <c r="O475" s="151"/>
      <c r="P475" s="151"/>
      <c r="Q475" s="151"/>
      <c r="R475" s="151"/>
      <c r="S475" s="151"/>
      <c r="T475" s="151"/>
      <c r="U475" s="151"/>
      <c r="V475" s="151"/>
    </row>
    <row r="476" spans="1:22" ht="15" customHeight="1" x14ac:dyDescent="0.25">
      <c r="B476" s="589" t="s">
        <v>642</v>
      </c>
      <c r="C476" s="537"/>
      <c r="D476" s="537"/>
      <c r="E476" s="537"/>
      <c r="F476" s="537"/>
      <c r="G476" s="537"/>
      <c r="H476" s="537"/>
      <c r="I476" s="537"/>
      <c r="J476" s="538"/>
      <c r="K476" s="135">
        <f>K466+K473</f>
        <v>155871.15628225124</v>
      </c>
      <c r="L476" s="6"/>
      <c r="M476" s="147"/>
      <c r="N476" s="148"/>
      <c r="O476" s="148"/>
      <c r="P476" s="148"/>
      <c r="Q476" s="148"/>
      <c r="R476" s="148"/>
      <c r="S476" s="148"/>
      <c r="T476" s="148"/>
      <c r="U476" s="148"/>
      <c r="V476" s="148"/>
    </row>
    <row r="477" spans="1:22" ht="15.75" customHeight="1" x14ac:dyDescent="0.25">
      <c r="K477" s="1"/>
      <c r="L477" s="6"/>
      <c r="M477" s="64"/>
      <c r="N477" s="148"/>
      <c r="O477" s="148"/>
      <c r="P477" s="148"/>
      <c r="Q477" s="148"/>
      <c r="R477" s="65"/>
      <c r="S477" s="65"/>
      <c r="T477" s="148"/>
      <c r="U477" s="148"/>
      <c r="V477" s="65"/>
    </row>
    <row r="478" spans="1:22" ht="15.75" customHeight="1" x14ac:dyDescent="0.25">
      <c r="B478" s="314"/>
      <c r="K478" s="316"/>
      <c r="L478" s="6"/>
      <c r="M478" s="238"/>
      <c r="N478" s="179"/>
      <c r="O478" s="179"/>
      <c r="P478" s="179"/>
      <c r="Q478" s="179"/>
      <c r="R478" s="38"/>
      <c r="S478" s="38"/>
      <c r="T478" s="334"/>
      <c r="U478" s="334"/>
      <c r="V478" s="169"/>
    </row>
    <row r="479" spans="1:22" ht="15.75" customHeight="1" x14ac:dyDescent="0.25">
      <c r="B479" s="314"/>
      <c r="K479" s="1"/>
      <c r="L479" s="6"/>
      <c r="M479" s="238"/>
      <c r="N479" s="179"/>
      <c r="O479" s="179"/>
      <c r="P479" s="179"/>
      <c r="Q479" s="179"/>
      <c r="R479" s="298"/>
      <c r="S479" s="38"/>
      <c r="T479" s="179"/>
      <c r="U479" s="179"/>
      <c r="V479" s="38"/>
    </row>
    <row r="480" spans="1:22" ht="21.75" customHeight="1" x14ac:dyDescent="0.25">
      <c r="A480" s="179"/>
      <c r="B480" s="643"/>
      <c r="C480" s="625"/>
      <c r="D480" s="625"/>
      <c r="E480" s="625"/>
      <c r="F480" s="625"/>
      <c r="G480" s="625"/>
      <c r="H480" s="625"/>
      <c r="I480" s="625"/>
      <c r="J480" s="625"/>
      <c r="K480" s="317"/>
      <c r="L480" s="6"/>
      <c r="M480" s="238"/>
      <c r="N480" s="179"/>
      <c r="O480" s="179"/>
      <c r="P480" s="179"/>
      <c r="Q480" s="179"/>
      <c r="R480" s="298"/>
      <c r="S480" s="38"/>
      <c r="T480" s="179"/>
      <c r="U480" s="179"/>
      <c r="V480" s="38"/>
    </row>
    <row r="481" spans="11:22" ht="15.75" customHeight="1" x14ac:dyDescent="0.25">
      <c r="K481" s="1"/>
      <c r="L481" s="6"/>
      <c r="M481" s="238"/>
      <c r="N481" s="179"/>
      <c r="O481" s="179"/>
      <c r="P481" s="179"/>
      <c r="Q481" s="179"/>
      <c r="R481" s="298"/>
      <c r="S481" s="38"/>
      <c r="T481" s="239"/>
      <c r="U481" s="179"/>
      <c r="V481" s="169"/>
    </row>
    <row r="482" spans="11:22" ht="15.75" customHeight="1" x14ac:dyDescent="0.25">
      <c r="K482" s="1"/>
      <c r="L482" s="6"/>
      <c r="M482" s="238"/>
      <c r="N482" s="179"/>
      <c r="O482" s="179"/>
      <c r="P482" s="179"/>
      <c r="Q482" s="179"/>
      <c r="R482" s="305"/>
      <c r="S482" s="65"/>
      <c r="T482" s="235"/>
      <c r="U482" s="148"/>
      <c r="V482" s="189"/>
    </row>
    <row r="483" spans="11:22" ht="15.75" customHeight="1" x14ac:dyDescent="0.25">
      <c r="K483" s="1"/>
      <c r="L483" s="6"/>
      <c r="M483" s="147"/>
      <c r="N483" s="148"/>
      <c r="O483" s="148"/>
      <c r="P483" s="148"/>
      <c r="Q483" s="148"/>
      <c r="R483" s="65"/>
      <c r="S483" s="65"/>
      <c r="T483" s="235"/>
      <c r="U483" s="148"/>
      <c r="V483" s="189"/>
    </row>
    <row r="484" spans="11:22" ht="15.75" customHeight="1" x14ac:dyDescent="0.25">
      <c r="K484" s="1"/>
      <c r="L484" s="6"/>
      <c r="M484" s="238"/>
      <c r="N484" s="179"/>
      <c r="O484" s="179"/>
      <c r="P484" s="179"/>
      <c r="Q484" s="179"/>
      <c r="R484" s="38"/>
      <c r="S484" s="38"/>
      <c r="T484" s="243"/>
      <c r="U484" s="243"/>
      <c r="V484" s="335"/>
    </row>
    <row r="485" spans="11:22" ht="15.75" customHeight="1" x14ac:dyDescent="0.25">
      <c r="K485" s="1"/>
      <c r="L485" s="6"/>
      <c r="M485" s="238"/>
      <c r="N485" s="179"/>
      <c r="O485" s="179"/>
      <c r="P485" s="179"/>
      <c r="Q485" s="179"/>
      <c r="R485" s="38"/>
      <c r="S485" s="38"/>
      <c r="T485" s="179"/>
      <c r="U485" s="179"/>
      <c r="V485" s="38"/>
    </row>
    <row r="486" spans="11:22" ht="15.75" customHeight="1" x14ac:dyDescent="0.25">
      <c r="K486" s="1"/>
      <c r="L486" s="6"/>
      <c r="M486" s="238"/>
      <c r="N486" s="179"/>
      <c r="O486" s="179"/>
      <c r="P486" s="179"/>
      <c r="Q486" s="179"/>
      <c r="R486" s="38"/>
      <c r="S486" s="38"/>
      <c r="T486" s="334"/>
      <c r="U486" s="334"/>
      <c r="V486" s="169"/>
    </row>
    <row r="487" spans="11:22" ht="15.75" customHeight="1" x14ac:dyDescent="0.25">
      <c r="K487" s="1"/>
      <c r="L487" s="6"/>
      <c r="M487" s="238"/>
      <c r="N487" s="179"/>
      <c r="O487" s="179"/>
      <c r="P487" s="179"/>
      <c r="Q487" s="179"/>
      <c r="R487" s="298"/>
      <c r="S487" s="38"/>
      <c r="T487" s="179"/>
      <c r="U487" s="179"/>
      <c r="V487" s="38"/>
    </row>
    <row r="488" spans="11:22" ht="15.75" customHeight="1" x14ac:dyDescent="0.25">
      <c r="K488" s="1"/>
      <c r="L488" s="6"/>
      <c r="M488" s="238"/>
      <c r="N488" s="179"/>
      <c r="O488" s="179"/>
      <c r="P488" s="179"/>
      <c r="Q488" s="179"/>
      <c r="R488" s="298"/>
      <c r="S488" s="38"/>
      <c r="T488" s="179"/>
      <c r="U488" s="179"/>
      <c r="V488" s="38"/>
    </row>
    <row r="489" spans="11:22" ht="15.75" customHeight="1" x14ac:dyDescent="0.25">
      <c r="K489" s="1"/>
      <c r="L489" s="6"/>
      <c r="M489" s="238"/>
      <c r="N489" s="179"/>
      <c r="O489" s="179"/>
      <c r="P489" s="179"/>
      <c r="Q489" s="179"/>
      <c r="R489" s="298"/>
      <c r="S489" s="38"/>
      <c r="T489" s="239"/>
      <c r="U489" s="179"/>
      <c r="V489" s="169"/>
    </row>
    <row r="490" spans="11:22" ht="15.75" customHeight="1" x14ac:dyDescent="0.25">
      <c r="K490" s="1"/>
      <c r="L490" s="6"/>
      <c r="M490" s="238"/>
      <c r="N490" s="179"/>
      <c r="O490" s="179"/>
      <c r="P490" s="179"/>
      <c r="Q490" s="179"/>
      <c r="R490" s="305"/>
      <c r="S490" s="65"/>
      <c r="T490" s="235"/>
      <c r="U490" s="148"/>
      <c r="V490" s="189"/>
    </row>
    <row r="491" spans="11:22" ht="15.75" customHeight="1" x14ac:dyDescent="0.25">
      <c r="K491" s="1"/>
      <c r="L491" s="6"/>
      <c r="M491" s="150"/>
      <c r="N491" s="151"/>
      <c r="O491" s="151"/>
      <c r="P491" s="151"/>
      <c r="Q491" s="151"/>
      <c r="R491" s="65"/>
      <c r="S491" s="65"/>
      <c r="T491" s="235"/>
      <c r="U491" s="148"/>
      <c r="V491" s="189"/>
    </row>
    <row r="492" spans="11:22" ht="15.75" customHeight="1" x14ac:dyDescent="0.25">
      <c r="K492" s="1"/>
      <c r="L492" s="6"/>
      <c r="M492" s="8"/>
      <c r="R492" s="38"/>
      <c r="S492" s="38"/>
      <c r="T492" s="243"/>
      <c r="U492" s="243"/>
      <c r="V492" s="335"/>
    </row>
    <row r="493" spans="11:22" ht="15.75" customHeight="1" x14ac:dyDescent="0.25">
      <c r="K493" s="1"/>
      <c r="L493" s="6"/>
      <c r="M493" s="8"/>
      <c r="R493" s="298"/>
      <c r="S493" s="65"/>
      <c r="T493" s="148"/>
      <c r="U493" s="148"/>
      <c r="V493" s="65"/>
    </row>
    <row r="494" spans="11:22" ht="15.75" customHeight="1" x14ac:dyDescent="0.25">
      <c r="K494" s="1"/>
      <c r="L494" s="6"/>
      <c r="M494" s="8"/>
      <c r="R494" s="298"/>
      <c r="S494" s="65"/>
      <c r="T494" s="336"/>
      <c r="U494" s="148"/>
      <c r="V494" s="337"/>
    </row>
    <row r="495" spans="11:22" ht="15.75" customHeight="1" x14ac:dyDescent="0.25">
      <c r="K495" s="1"/>
      <c r="L495" s="6"/>
      <c r="M495" s="8"/>
      <c r="R495" s="305"/>
      <c r="S495" s="38"/>
      <c r="T495" s="336"/>
      <c r="U495" s="148"/>
      <c r="V495" s="337"/>
    </row>
    <row r="496" spans="11:22" ht="15.75" customHeight="1" x14ac:dyDescent="0.25">
      <c r="K496" s="1"/>
      <c r="L496" s="6"/>
      <c r="M496" s="150"/>
      <c r="N496" s="151"/>
      <c r="O496" s="151"/>
      <c r="P496" s="151"/>
      <c r="Q496" s="151"/>
      <c r="R496" s="151"/>
      <c r="S496" s="151"/>
      <c r="T496" s="151"/>
      <c r="U496" s="151"/>
      <c r="V496" s="189"/>
    </row>
    <row r="497" spans="11:22" ht="15.75" customHeight="1" x14ac:dyDescent="0.25">
      <c r="K497" s="1"/>
      <c r="L497" s="6"/>
      <c r="M497" s="8"/>
    </row>
    <row r="498" spans="11:22" ht="15.75" customHeight="1" x14ac:dyDescent="0.25">
      <c r="K498" s="1"/>
      <c r="L498" s="6"/>
      <c r="M498" s="147"/>
      <c r="N498" s="148"/>
      <c r="O498" s="148"/>
      <c r="P498" s="148"/>
      <c r="Q498" s="148"/>
      <c r="R498" s="148"/>
      <c r="S498" s="148"/>
      <c r="T498" s="148"/>
      <c r="U498" s="148"/>
      <c r="V498" s="148"/>
    </row>
    <row r="499" spans="11:22" ht="15.75" customHeight="1" x14ac:dyDescent="0.25">
      <c r="K499" s="1"/>
      <c r="L499" s="6"/>
      <c r="M499" s="64"/>
      <c r="N499" s="148"/>
      <c r="O499" s="148"/>
      <c r="P499" s="148"/>
      <c r="Q499" s="148"/>
      <c r="R499" s="65"/>
      <c r="S499" s="65"/>
      <c r="T499" s="148"/>
      <c r="U499" s="148"/>
      <c r="V499" s="65"/>
    </row>
    <row r="500" spans="11:22" ht="15.75" customHeight="1" x14ac:dyDescent="0.25">
      <c r="K500" s="1"/>
      <c r="L500" s="6"/>
      <c r="M500" s="8"/>
      <c r="R500" s="338"/>
      <c r="S500" s="1"/>
      <c r="T500" s="149"/>
      <c r="U500" s="149"/>
      <c r="V500" s="27"/>
    </row>
    <row r="501" spans="11:22" ht="15.75" customHeight="1" x14ac:dyDescent="0.25">
      <c r="K501" s="1"/>
      <c r="L501" s="6"/>
      <c r="M501" s="8"/>
      <c r="R501" s="338"/>
      <c r="S501" s="1"/>
      <c r="T501" s="149"/>
      <c r="U501" s="149"/>
      <c r="V501" s="27"/>
    </row>
    <row r="502" spans="11:22" ht="15.75" customHeight="1" x14ac:dyDescent="0.25">
      <c r="K502" s="1"/>
      <c r="L502" s="6"/>
      <c r="M502" s="8"/>
      <c r="R502" s="338"/>
      <c r="S502" s="1"/>
      <c r="T502" s="149"/>
      <c r="U502" s="149"/>
      <c r="V502" s="27"/>
    </row>
    <row r="503" spans="11:22" ht="15.75" customHeight="1" x14ac:dyDescent="0.25">
      <c r="K503" s="1"/>
      <c r="L503" s="6"/>
      <c r="M503" s="8"/>
      <c r="R503" s="338"/>
      <c r="S503" s="1"/>
      <c r="T503" s="149"/>
      <c r="U503" s="149"/>
      <c r="V503" s="27"/>
    </row>
    <row r="504" spans="11:22" ht="15.75" customHeight="1" x14ac:dyDescent="0.25">
      <c r="K504" s="1"/>
      <c r="L504" s="6"/>
      <c r="M504" s="150"/>
      <c r="N504" s="151"/>
      <c r="O504" s="151"/>
      <c r="P504" s="151"/>
      <c r="Q504" s="151"/>
      <c r="R504" s="151"/>
      <c r="S504" s="151"/>
      <c r="T504" s="151"/>
      <c r="U504" s="151"/>
      <c r="V504" s="189"/>
    </row>
    <row r="505" spans="11:22" ht="15.75" customHeight="1" x14ac:dyDescent="0.25">
      <c r="K505" s="1"/>
      <c r="L505" s="6"/>
      <c r="M505" s="8"/>
    </row>
    <row r="506" spans="11:22" ht="15.75" customHeight="1" x14ac:dyDescent="0.25">
      <c r="K506" s="1"/>
      <c r="L506" s="6"/>
      <c r="M506" s="8"/>
    </row>
    <row r="507" spans="11:22" ht="15.75" customHeight="1" x14ac:dyDescent="0.25">
      <c r="K507" s="1"/>
      <c r="L507" s="6"/>
      <c r="M507" s="8"/>
    </row>
    <row r="508" spans="11:22" ht="15.75" customHeight="1" x14ac:dyDescent="0.25">
      <c r="K508" s="1"/>
      <c r="L508" s="6"/>
      <c r="M508" s="8"/>
    </row>
    <row r="509" spans="11:22" ht="15.75" customHeight="1" x14ac:dyDescent="0.25">
      <c r="K509" s="1"/>
      <c r="L509" s="6"/>
      <c r="M509" s="8"/>
    </row>
    <row r="510" spans="11:22" ht="15.75" customHeight="1" x14ac:dyDescent="0.25">
      <c r="K510" s="1"/>
      <c r="L510" s="6"/>
      <c r="M510" s="8"/>
    </row>
    <row r="511" spans="11:22" ht="15.75" customHeight="1" x14ac:dyDescent="0.25">
      <c r="K511" s="1"/>
      <c r="L511" s="6"/>
      <c r="M511" s="8"/>
    </row>
    <row r="512" spans="11:22" ht="15.75" customHeight="1" x14ac:dyDescent="0.25">
      <c r="K512" s="1"/>
      <c r="L512" s="6"/>
      <c r="M512" s="8"/>
    </row>
    <row r="513" spans="11:13" ht="15.75" customHeight="1" x14ac:dyDescent="0.25">
      <c r="K513" s="1"/>
      <c r="L513" s="6"/>
      <c r="M513" s="8"/>
    </row>
    <row r="514" spans="11:13" ht="15.75" customHeight="1" x14ac:dyDescent="0.25">
      <c r="K514" s="1"/>
      <c r="L514" s="6"/>
      <c r="M514" s="8"/>
    </row>
    <row r="515" spans="11:13" ht="15.75" customHeight="1" x14ac:dyDescent="0.25">
      <c r="K515" s="1"/>
      <c r="L515" s="6"/>
      <c r="M515" s="8"/>
    </row>
    <row r="516" spans="11:13" ht="15.75" customHeight="1" x14ac:dyDescent="0.25">
      <c r="K516" s="1"/>
      <c r="L516" s="6"/>
      <c r="M516" s="8"/>
    </row>
    <row r="517" spans="11:13" ht="15.75" customHeight="1" x14ac:dyDescent="0.25">
      <c r="K517" s="1"/>
      <c r="L517" s="6"/>
      <c r="M517" s="8"/>
    </row>
    <row r="518" spans="11:13" ht="15.75" customHeight="1" x14ac:dyDescent="0.25">
      <c r="K518" s="1"/>
      <c r="L518" s="6"/>
      <c r="M518" s="8"/>
    </row>
    <row r="519" spans="11:13" ht="15.75" customHeight="1" x14ac:dyDescent="0.25">
      <c r="K519" s="1"/>
      <c r="L519" s="6"/>
      <c r="M519" s="8"/>
    </row>
    <row r="520" spans="11:13" ht="15.75" customHeight="1" x14ac:dyDescent="0.25">
      <c r="K520" s="1"/>
      <c r="L520" s="6"/>
      <c r="M520" s="8"/>
    </row>
    <row r="521" spans="11:13" ht="15.75" customHeight="1" x14ac:dyDescent="0.25">
      <c r="K521" s="1"/>
      <c r="L521" s="6"/>
      <c r="M521" s="8"/>
    </row>
    <row r="522" spans="11:13" ht="15.75" customHeight="1" x14ac:dyDescent="0.25">
      <c r="K522" s="1"/>
      <c r="L522" s="6"/>
      <c r="M522" s="8"/>
    </row>
    <row r="523" spans="11:13" ht="15.75" customHeight="1" x14ac:dyDescent="0.25">
      <c r="K523" s="1"/>
      <c r="L523" s="6"/>
      <c r="M523" s="8"/>
    </row>
    <row r="524" spans="11:13" ht="15.75" customHeight="1" x14ac:dyDescent="0.25">
      <c r="K524" s="1"/>
      <c r="L524" s="6"/>
      <c r="M524" s="8"/>
    </row>
    <row r="525" spans="11:13" ht="15.75" customHeight="1" x14ac:dyDescent="0.25">
      <c r="K525" s="1"/>
      <c r="L525" s="6"/>
      <c r="M525" s="8"/>
    </row>
    <row r="526" spans="11:13" ht="15.75" customHeight="1" x14ac:dyDescent="0.25">
      <c r="K526" s="1"/>
      <c r="L526" s="6"/>
      <c r="M526" s="8"/>
    </row>
    <row r="527" spans="11:13" ht="15.75" customHeight="1" x14ac:dyDescent="0.25">
      <c r="K527" s="1"/>
      <c r="L527" s="6"/>
      <c r="M527" s="8"/>
    </row>
    <row r="528" spans="11:13" ht="15.75" customHeight="1" x14ac:dyDescent="0.25">
      <c r="K528" s="1"/>
      <c r="L528" s="6"/>
      <c r="M528" s="8"/>
    </row>
    <row r="529" spans="11:13" ht="15.75" customHeight="1" x14ac:dyDescent="0.25">
      <c r="K529" s="1"/>
      <c r="L529" s="6"/>
      <c r="M529" s="8"/>
    </row>
    <row r="530" spans="11:13" ht="15.75" customHeight="1" x14ac:dyDescent="0.25">
      <c r="K530" s="1"/>
      <c r="L530" s="6"/>
      <c r="M530" s="8"/>
    </row>
    <row r="531" spans="11:13" ht="15.75" customHeight="1" x14ac:dyDescent="0.25">
      <c r="K531" s="1"/>
      <c r="L531" s="6"/>
      <c r="M531" s="8"/>
    </row>
    <row r="532" spans="11:13" ht="15.75" customHeight="1" x14ac:dyDescent="0.25">
      <c r="K532" s="1"/>
      <c r="L532" s="6"/>
      <c r="M532" s="8"/>
    </row>
    <row r="533" spans="11:13" ht="15.75" customHeight="1" x14ac:dyDescent="0.25">
      <c r="K533" s="1"/>
      <c r="L533" s="6"/>
      <c r="M533" s="8"/>
    </row>
    <row r="534" spans="11:13" ht="15.75" customHeight="1" x14ac:dyDescent="0.25">
      <c r="K534" s="1"/>
      <c r="L534" s="6"/>
      <c r="M534" s="8"/>
    </row>
    <row r="535" spans="11:13" ht="15.75" customHeight="1" x14ac:dyDescent="0.25">
      <c r="K535" s="1"/>
      <c r="L535" s="6"/>
      <c r="M535" s="8"/>
    </row>
    <row r="536" spans="11:13" ht="15.75" customHeight="1" x14ac:dyDescent="0.25">
      <c r="K536" s="1"/>
      <c r="L536" s="6"/>
      <c r="M536" s="8"/>
    </row>
    <row r="537" spans="11:13" ht="15.75" customHeight="1" x14ac:dyDescent="0.25">
      <c r="K537" s="1"/>
      <c r="L537" s="6"/>
      <c r="M537" s="8"/>
    </row>
    <row r="538" spans="11:13" ht="15.75" customHeight="1" x14ac:dyDescent="0.25">
      <c r="K538" s="1"/>
      <c r="L538" s="6"/>
      <c r="M538" s="8"/>
    </row>
    <row r="539" spans="11:13" ht="15.75" customHeight="1" x14ac:dyDescent="0.25">
      <c r="K539" s="1"/>
      <c r="L539" s="6"/>
      <c r="M539" s="8"/>
    </row>
    <row r="540" spans="11:13" ht="15.75" customHeight="1" x14ac:dyDescent="0.25">
      <c r="K540" s="1"/>
      <c r="L540" s="6"/>
      <c r="M540" s="8"/>
    </row>
    <row r="541" spans="11:13" ht="15.75" customHeight="1" x14ac:dyDescent="0.25">
      <c r="K541" s="1"/>
      <c r="L541" s="6"/>
      <c r="M541" s="8"/>
    </row>
    <row r="542" spans="11:13" ht="15.75" customHeight="1" x14ac:dyDescent="0.25">
      <c r="K542" s="1"/>
      <c r="L542" s="6"/>
      <c r="M542" s="8"/>
    </row>
    <row r="543" spans="11:13" ht="15.75" customHeight="1" x14ac:dyDescent="0.25">
      <c r="K543" s="1"/>
      <c r="L543" s="6"/>
      <c r="M543" s="8"/>
    </row>
    <row r="544" spans="11:13" ht="15.75" customHeight="1" x14ac:dyDescent="0.25">
      <c r="K544" s="1"/>
      <c r="L544" s="6"/>
      <c r="M544" s="8"/>
    </row>
    <row r="545" spans="11:13" ht="15.75" customHeight="1" x14ac:dyDescent="0.25">
      <c r="K545" s="1"/>
      <c r="L545" s="6"/>
      <c r="M545" s="8"/>
    </row>
    <row r="546" spans="11:13" ht="15.75" customHeight="1" x14ac:dyDescent="0.25">
      <c r="K546" s="1"/>
      <c r="L546" s="6"/>
      <c r="M546" s="8"/>
    </row>
    <row r="547" spans="11:13" ht="15.75" customHeight="1" x14ac:dyDescent="0.25">
      <c r="K547" s="1"/>
      <c r="L547" s="6"/>
      <c r="M547" s="8"/>
    </row>
    <row r="548" spans="11:13" ht="15.75" customHeight="1" x14ac:dyDescent="0.25">
      <c r="K548" s="1"/>
      <c r="L548" s="6"/>
      <c r="M548" s="8"/>
    </row>
    <row r="549" spans="11:13" ht="15.75" customHeight="1" x14ac:dyDescent="0.25">
      <c r="K549" s="1"/>
      <c r="L549" s="6"/>
      <c r="M549" s="8"/>
    </row>
    <row r="550" spans="11:13" ht="15.75" customHeight="1" x14ac:dyDescent="0.25">
      <c r="K550" s="1"/>
      <c r="L550" s="6"/>
      <c r="M550" s="8"/>
    </row>
    <row r="551" spans="11:13" ht="15.75" customHeight="1" x14ac:dyDescent="0.25">
      <c r="K551" s="1"/>
      <c r="L551" s="6"/>
      <c r="M551" s="8"/>
    </row>
    <row r="552" spans="11:13" ht="15.75" customHeight="1" x14ac:dyDescent="0.25">
      <c r="K552" s="1"/>
      <c r="L552" s="6"/>
      <c r="M552" s="8"/>
    </row>
    <row r="553" spans="11:13" ht="15.75" customHeight="1" x14ac:dyDescent="0.25">
      <c r="K553" s="1"/>
      <c r="L553" s="6"/>
      <c r="M553" s="8"/>
    </row>
    <row r="554" spans="11:13" ht="15.75" customHeight="1" x14ac:dyDescent="0.25">
      <c r="K554" s="1"/>
      <c r="L554" s="6"/>
      <c r="M554" s="8"/>
    </row>
    <row r="555" spans="11:13" ht="15.75" customHeight="1" x14ac:dyDescent="0.25">
      <c r="K555" s="1"/>
      <c r="L555" s="6"/>
      <c r="M555" s="8"/>
    </row>
    <row r="556" spans="11:13" ht="15.75" customHeight="1" x14ac:dyDescent="0.25">
      <c r="K556" s="1"/>
      <c r="L556" s="6"/>
      <c r="M556" s="8"/>
    </row>
    <row r="557" spans="11:13" ht="15.75" customHeight="1" x14ac:dyDescent="0.25">
      <c r="K557" s="1"/>
      <c r="L557" s="6"/>
      <c r="M557" s="8"/>
    </row>
    <row r="558" spans="11:13" ht="15.75" customHeight="1" x14ac:dyDescent="0.25">
      <c r="K558" s="1"/>
      <c r="L558" s="6"/>
      <c r="M558" s="8"/>
    </row>
    <row r="559" spans="11:13" ht="15.75" customHeight="1" x14ac:dyDescent="0.25">
      <c r="K559" s="1"/>
      <c r="L559" s="6"/>
      <c r="M559" s="8"/>
    </row>
    <row r="560" spans="11:13" ht="15.75" customHeight="1" x14ac:dyDescent="0.25">
      <c r="K560" s="1"/>
      <c r="L560" s="6"/>
      <c r="M560" s="8"/>
    </row>
    <row r="561" spans="11:13" ht="15.75" customHeight="1" x14ac:dyDescent="0.25">
      <c r="K561" s="1"/>
      <c r="L561" s="6"/>
      <c r="M561" s="8"/>
    </row>
    <row r="562" spans="11:13" ht="15.75" customHeight="1" x14ac:dyDescent="0.25">
      <c r="K562" s="1"/>
      <c r="L562" s="6"/>
      <c r="M562" s="8"/>
    </row>
    <row r="563" spans="11:13" ht="15.75" customHeight="1" x14ac:dyDescent="0.25">
      <c r="K563" s="1"/>
      <c r="L563" s="6"/>
      <c r="M563" s="8"/>
    </row>
    <row r="564" spans="11:13" ht="15.75" customHeight="1" x14ac:dyDescent="0.25">
      <c r="K564" s="1"/>
      <c r="L564" s="6"/>
      <c r="M564" s="8"/>
    </row>
    <row r="565" spans="11:13" ht="15.75" customHeight="1" x14ac:dyDescent="0.25">
      <c r="K565" s="1"/>
      <c r="L565" s="6"/>
      <c r="M565" s="8"/>
    </row>
    <row r="566" spans="11:13" ht="15.75" customHeight="1" x14ac:dyDescent="0.25">
      <c r="K566" s="1"/>
      <c r="L566" s="6"/>
      <c r="M566" s="8"/>
    </row>
    <row r="567" spans="11:13" ht="15.75" customHeight="1" x14ac:dyDescent="0.25">
      <c r="K567" s="1"/>
      <c r="L567" s="6"/>
      <c r="M567" s="8"/>
    </row>
    <row r="568" spans="11:13" ht="15.75" customHeight="1" x14ac:dyDescent="0.25">
      <c r="K568" s="1"/>
      <c r="L568" s="6"/>
      <c r="M568" s="8"/>
    </row>
    <row r="569" spans="11:13" ht="15.75" customHeight="1" x14ac:dyDescent="0.25">
      <c r="K569" s="1"/>
      <c r="L569" s="6"/>
      <c r="M569" s="8"/>
    </row>
    <row r="570" spans="11:13" ht="15.75" customHeight="1" x14ac:dyDescent="0.25">
      <c r="K570" s="1"/>
      <c r="L570" s="6"/>
      <c r="M570" s="8"/>
    </row>
    <row r="571" spans="11:13" ht="15.75" customHeight="1" x14ac:dyDescent="0.25">
      <c r="K571" s="1"/>
      <c r="L571" s="6"/>
      <c r="M571" s="8"/>
    </row>
    <row r="572" spans="11:13" ht="15.75" customHeight="1" x14ac:dyDescent="0.25">
      <c r="K572" s="1"/>
      <c r="L572" s="6"/>
      <c r="M572" s="8"/>
    </row>
    <row r="573" spans="11:13" ht="15.75" customHeight="1" x14ac:dyDescent="0.25">
      <c r="K573" s="1"/>
      <c r="L573" s="6"/>
      <c r="M573" s="8"/>
    </row>
    <row r="574" spans="11:13" ht="15.75" customHeight="1" x14ac:dyDescent="0.25">
      <c r="K574" s="1"/>
      <c r="L574" s="6"/>
      <c r="M574" s="8"/>
    </row>
    <row r="575" spans="11:13" ht="15.75" customHeight="1" x14ac:dyDescent="0.25">
      <c r="K575" s="1"/>
      <c r="L575" s="6"/>
      <c r="M575" s="8"/>
    </row>
    <row r="576" spans="11:13" ht="15.75" customHeight="1" x14ac:dyDescent="0.25">
      <c r="K576" s="1"/>
      <c r="L576" s="6"/>
      <c r="M576" s="8"/>
    </row>
    <row r="577" spans="11:13" ht="15.75" customHeight="1" x14ac:dyDescent="0.25">
      <c r="K577" s="1"/>
      <c r="L577" s="6"/>
      <c r="M577" s="8"/>
    </row>
    <row r="578" spans="11:13" ht="15.75" customHeight="1" x14ac:dyDescent="0.25">
      <c r="K578" s="1"/>
      <c r="L578" s="6"/>
      <c r="M578" s="8"/>
    </row>
    <row r="579" spans="11:13" ht="15.75" customHeight="1" x14ac:dyDescent="0.25">
      <c r="K579" s="1"/>
      <c r="L579" s="6"/>
      <c r="M579" s="8"/>
    </row>
    <row r="580" spans="11:13" ht="15.75" customHeight="1" x14ac:dyDescent="0.25">
      <c r="K580" s="1"/>
      <c r="L580" s="6"/>
      <c r="M580" s="8"/>
    </row>
    <row r="581" spans="11:13" ht="15.75" customHeight="1" x14ac:dyDescent="0.25">
      <c r="K581" s="1"/>
      <c r="L581" s="6"/>
      <c r="M581" s="8"/>
    </row>
    <row r="582" spans="11:13" ht="15.75" customHeight="1" x14ac:dyDescent="0.25">
      <c r="K582" s="1"/>
      <c r="L582" s="6"/>
      <c r="M582" s="8"/>
    </row>
    <row r="583" spans="11:13" ht="15.75" customHeight="1" x14ac:dyDescent="0.25">
      <c r="K583" s="1"/>
      <c r="L583" s="6"/>
      <c r="M583" s="8"/>
    </row>
    <row r="584" spans="11:13" ht="15.75" customHeight="1" x14ac:dyDescent="0.25">
      <c r="K584" s="1"/>
      <c r="L584" s="6"/>
      <c r="M584" s="8"/>
    </row>
    <row r="585" spans="11:13" ht="15.75" customHeight="1" x14ac:dyDescent="0.25">
      <c r="K585" s="1"/>
      <c r="L585" s="6"/>
      <c r="M585" s="8"/>
    </row>
    <row r="586" spans="11:13" ht="15.75" customHeight="1" x14ac:dyDescent="0.25">
      <c r="K586" s="1"/>
      <c r="L586" s="6"/>
      <c r="M586" s="8"/>
    </row>
    <row r="587" spans="11:13" ht="15.75" customHeight="1" x14ac:dyDescent="0.25">
      <c r="K587" s="1"/>
      <c r="L587" s="6"/>
      <c r="M587" s="8"/>
    </row>
    <row r="588" spans="11:13" ht="15.75" customHeight="1" x14ac:dyDescent="0.25">
      <c r="K588" s="1"/>
      <c r="L588" s="6"/>
      <c r="M588" s="8"/>
    </row>
    <row r="589" spans="11:13" ht="15.75" customHeight="1" x14ac:dyDescent="0.25">
      <c r="K589" s="1"/>
      <c r="L589" s="6"/>
      <c r="M589" s="8"/>
    </row>
    <row r="590" spans="11:13" ht="15.75" customHeight="1" x14ac:dyDescent="0.25">
      <c r="K590" s="1"/>
      <c r="L590" s="6"/>
      <c r="M590" s="8"/>
    </row>
    <row r="591" spans="11:13" ht="15.75" customHeight="1" x14ac:dyDescent="0.25">
      <c r="K591" s="1"/>
      <c r="L591" s="6"/>
      <c r="M591" s="8"/>
    </row>
    <row r="592" spans="11:13" ht="15.75" customHeight="1" x14ac:dyDescent="0.25">
      <c r="K592" s="1"/>
      <c r="L592" s="6"/>
      <c r="M592" s="8"/>
    </row>
    <row r="593" spans="11:13" ht="15.75" customHeight="1" x14ac:dyDescent="0.25">
      <c r="K593" s="1"/>
      <c r="L593" s="6"/>
      <c r="M593" s="8"/>
    </row>
    <row r="594" spans="11:13" ht="15.75" customHeight="1" x14ac:dyDescent="0.25">
      <c r="K594" s="1"/>
      <c r="L594" s="6"/>
      <c r="M594" s="8"/>
    </row>
    <row r="595" spans="11:13" ht="15.75" customHeight="1" x14ac:dyDescent="0.25">
      <c r="K595" s="1"/>
      <c r="L595" s="6"/>
      <c r="M595" s="8"/>
    </row>
    <row r="596" spans="11:13" ht="15.75" customHeight="1" x14ac:dyDescent="0.25">
      <c r="K596" s="1"/>
      <c r="L596" s="6"/>
      <c r="M596" s="8"/>
    </row>
    <row r="597" spans="11:13" ht="15.75" customHeight="1" x14ac:dyDescent="0.25">
      <c r="K597" s="1"/>
      <c r="L597" s="6"/>
      <c r="M597" s="8"/>
    </row>
    <row r="598" spans="11:13" ht="15.75" customHeight="1" x14ac:dyDescent="0.25">
      <c r="K598" s="1"/>
      <c r="L598" s="6"/>
      <c r="M598" s="8"/>
    </row>
    <row r="599" spans="11:13" ht="15.75" customHeight="1" x14ac:dyDescent="0.25">
      <c r="K599" s="1"/>
      <c r="L599" s="6"/>
      <c r="M599" s="8"/>
    </row>
    <row r="600" spans="11:13" ht="15.75" customHeight="1" x14ac:dyDescent="0.25">
      <c r="K600" s="1"/>
      <c r="L600" s="6"/>
      <c r="M600" s="8"/>
    </row>
    <row r="601" spans="11:13" ht="15.75" customHeight="1" x14ac:dyDescent="0.25">
      <c r="K601" s="1"/>
      <c r="L601" s="6"/>
      <c r="M601" s="8"/>
    </row>
    <row r="602" spans="11:13" ht="15.75" customHeight="1" x14ac:dyDescent="0.25">
      <c r="K602" s="1"/>
      <c r="L602" s="6"/>
      <c r="M602" s="8"/>
    </row>
    <row r="603" spans="11:13" ht="15.75" customHeight="1" x14ac:dyDescent="0.25">
      <c r="K603" s="1"/>
      <c r="L603" s="6"/>
      <c r="M603" s="8"/>
    </row>
    <row r="604" spans="11:13" ht="15.75" customHeight="1" x14ac:dyDescent="0.25">
      <c r="K604" s="1"/>
      <c r="L604" s="6"/>
      <c r="M604" s="8"/>
    </row>
    <row r="605" spans="11:13" ht="15.75" customHeight="1" x14ac:dyDescent="0.25">
      <c r="K605" s="1"/>
      <c r="L605" s="6"/>
      <c r="M605" s="8"/>
    </row>
    <row r="606" spans="11:13" ht="15.75" customHeight="1" x14ac:dyDescent="0.25">
      <c r="K606" s="1"/>
      <c r="L606" s="6"/>
      <c r="M606" s="8"/>
    </row>
    <row r="607" spans="11:13" ht="15.75" customHeight="1" x14ac:dyDescent="0.25">
      <c r="K607" s="1"/>
      <c r="L607" s="6"/>
      <c r="M607" s="8"/>
    </row>
    <row r="608" spans="11:13" ht="15.75" customHeight="1" x14ac:dyDescent="0.25">
      <c r="K608" s="1"/>
      <c r="L608" s="6"/>
      <c r="M608" s="8"/>
    </row>
    <row r="609" spans="11:13" ht="15.75" customHeight="1" x14ac:dyDescent="0.25">
      <c r="K609" s="1"/>
      <c r="L609" s="6"/>
      <c r="M609" s="8"/>
    </row>
    <row r="610" spans="11:13" ht="15.75" customHeight="1" x14ac:dyDescent="0.25">
      <c r="K610" s="1"/>
      <c r="L610" s="6"/>
      <c r="M610" s="8"/>
    </row>
    <row r="611" spans="11:13" ht="15.75" customHeight="1" x14ac:dyDescent="0.25">
      <c r="K611" s="1"/>
      <c r="L611" s="6"/>
      <c r="M611" s="8"/>
    </row>
    <row r="612" spans="11:13" ht="15.75" customHeight="1" x14ac:dyDescent="0.25">
      <c r="K612" s="1"/>
      <c r="L612" s="6"/>
      <c r="M612" s="8"/>
    </row>
    <row r="613" spans="11:13" ht="15.75" customHeight="1" x14ac:dyDescent="0.25">
      <c r="K613" s="1"/>
      <c r="L613" s="6"/>
      <c r="M613" s="8"/>
    </row>
    <row r="614" spans="11:13" ht="15.75" customHeight="1" x14ac:dyDescent="0.25">
      <c r="K614" s="1"/>
      <c r="L614" s="6"/>
      <c r="M614" s="8"/>
    </row>
    <row r="615" spans="11:13" ht="15.75" customHeight="1" x14ac:dyDescent="0.25">
      <c r="K615" s="1"/>
      <c r="L615" s="6"/>
      <c r="M615" s="8"/>
    </row>
    <row r="616" spans="11:13" ht="15.75" customHeight="1" x14ac:dyDescent="0.25">
      <c r="K616" s="1"/>
      <c r="L616" s="6"/>
      <c r="M616" s="8"/>
    </row>
    <row r="617" spans="11:13" ht="15.75" customHeight="1" x14ac:dyDescent="0.25">
      <c r="K617" s="1"/>
      <c r="L617" s="6"/>
      <c r="M617" s="8"/>
    </row>
    <row r="618" spans="11:13" ht="15.75" customHeight="1" x14ac:dyDescent="0.25">
      <c r="K618" s="1"/>
      <c r="L618" s="6"/>
      <c r="M618" s="8"/>
    </row>
    <row r="619" spans="11:13" ht="15.75" customHeight="1" x14ac:dyDescent="0.25">
      <c r="K619" s="1"/>
      <c r="L619" s="6"/>
      <c r="M619" s="8"/>
    </row>
    <row r="620" spans="11:13" ht="15.75" customHeight="1" x14ac:dyDescent="0.25">
      <c r="K620" s="1"/>
      <c r="L620" s="6"/>
      <c r="M620" s="8"/>
    </row>
    <row r="621" spans="11:13" ht="15.75" customHeight="1" x14ac:dyDescent="0.25">
      <c r="K621" s="1"/>
      <c r="L621" s="6"/>
      <c r="M621" s="8"/>
    </row>
    <row r="622" spans="11:13" ht="15.75" customHeight="1" x14ac:dyDescent="0.25">
      <c r="K622" s="1"/>
      <c r="L622" s="6"/>
      <c r="M622" s="8"/>
    </row>
    <row r="623" spans="11:13" ht="15.75" customHeight="1" x14ac:dyDescent="0.25">
      <c r="K623" s="1"/>
      <c r="L623" s="6"/>
      <c r="M623" s="8"/>
    </row>
    <row r="624" spans="11:13" ht="15.75" customHeight="1" x14ac:dyDescent="0.25">
      <c r="K624" s="1"/>
      <c r="L624" s="6"/>
      <c r="M624" s="8"/>
    </row>
    <row r="625" spans="11:13" ht="15.75" customHeight="1" x14ac:dyDescent="0.25">
      <c r="K625" s="1"/>
      <c r="L625" s="6"/>
      <c r="M625" s="8"/>
    </row>
    <row r="626" spans="11:13" ht="15.75" customHeight="1" x14ac:dyDescent="0.25">
      <c r="K626" s="1"/>
      <c r="L626" s="6"/>
      <c r="M626" s="8"/>
    </row>
    <row r="627" spans="11:13" ht="15.75" customHeight="1" x14ac:dyDescent="0.25">
      <c r="K627" s="1"/>
      <c r="L627" s="6"/>
      <c r="M627" s="8"/>
    </row>
    <row r="628" spans="11:13" ht="15.75" customHeight="1" x14ac:dyDescent="0.25">
      <c r="K628" s="1"/>
      <c r="L628" s="6"/>
      <c r="M628" s="8"/>
    </row>
    <row r="629" spans="11:13" ht="15.75" customHeight="1" x14ac:dyDescent="0.25">
      <c r="K629" s="1"/>
      <c r="L629" s="6"/>
      <c r="M629" s="8"/>
    </row>
    <row r="630" spans="11:13" ht="15.75" customHeight="1" x14ac:dyDescent="0.25">
      <c r="K630" s="1"/>
      <c r="L630" s="6"/>
      <c r="M630" s="8"/>
    </row>
    <row r="631" spans="11:13" ht="15.75" customHeight="1" x14ac:dyDescent="0.25">
      <c r="K631" s="1"/>
      <c r="L631" s="6"/>
      <c r="M631" s="8"/>
    </row>
    <row r="632" spans="11:13" ht="15.75" customHeight="1" x14ac:dyDescent="0.25">
      <c r="K632" s="1"/>
      <c r="L632" s="6"/>
      <c r="M632" s="8"/>
    </row>
    <row r="633" spans="11:13" ht="15.75" customHeight="1" x14ac:dyDescent="0.25">
      <c r="K633" s="1"/>
      <c r="L633" s="6"/>
      <c r="M633" s="8"/>
    </row>
    <row r="634" spans="11:13" ht="15.75" customHeight="1" x14ac:dyDescent="0.25">
      <c r="K634" s="1"/>
      <c r="L634" s="6"/>
      <c r="M634" s="8"/>
    </row>
    <row r="635" spans="11:13" ht="15.75" customHeight="1" x14ac:dyDescent="0.25">
      <c r="K635" s="1"/>
      <c r="L635" s="6"/>
      <c r="M635" s="8"/>
    </row>
    <row r="636" spans="11:13" ht="15.75" customHeight="1" x14ac:dyDescent="0.25">
      <c r="K636" s="1"/>
      <c r="L636" s="6"/>
      <c r="M636" s="8"/>
    </row>
    <row r="637" spans="11:13" ht="15.75" customHeight="1" x14ac:dyDescent="0.25">
      <c r="K637" s="1"/>
      <c r="L637" s="6"/>
      <c r="M637" s="8"/>
    </row>
    <row r="638" spans="11:13" ht="15.75" customHeight="1" x14ac:dyDescent="0.25">
      <c r="K638" s="1"/>
      <c r="L638" s="6"/>
      <c r="M638" s="8"/>
    </row>
    <row r="639" spans="11:13" ht="15.75" customHeight="1" x14ac:dyDescent="0.25">
      <c r="K639" s="1"/>
      <c r="L639" s="6"/>
      <c r="M639" s="8"/>
    </row>
    <row r="640" spans="11:13" ht="15.75" customHeight="1" x14ac:dyDescent="0.25">
      <c r="K640" s="1"/>
      <c r="L640" s="6"/>
      <c r="M640" s="8"/>
    </row>
    <row r="641" spans="11:13" ht="15.75" customHeight="1" x14ac:dyDescent="0.25">
      <c r="K641" s="1"/>
      <c r="L641" s="6"/>
      <c r="M641" s="8"/>
    </row>
    <row r="642" spans="11:13" ht="15.75" customHeight="1" x14ac:dyDescent="0.25">
      <c r="K642" s="1"/>
      <c r="L642" s="6"/>
      <c r="M642" s="8"/>
    </row>
    <row r="643" spans="11:13" ht="15.75" customHeight="1" x14ac:dyDescent="0.25">
      <c r="K643" s="1"/>
      <c r="L643" s="6"/>
      <c r="M643" s="8"/>
    </row>
    <row r="644" spans="11:13" ht="15.75" customHeight="1" x14ac:dyDescent="0.25">
      <c r="K644" s="1"/>
      <c r="L644" s="6"/>
      <c r="M644" s="8"/>
    </row>
    <row r="645" spans="11:13" ht="15.75" customHeight="1" x14ac:dyDescent="0.25">
      <c r="K645" s="1"/>
      <c r="L645" s="6"/>
      <c r="M645" s="8"/>
    </row>
    <row r="646" spans="11:13" ht="15.75" customHeight="1" x14ac:dyDescent="0.25">
      <c r="K646" s="1"/>
      <c r="L646" s="6"/>
      <c r="M646" s="8"/>
    </row>
    <row r="647" spans="11:13" ht="15.75" customHeight="1" x14ac:dyDescent="0.25">
      <c r="K647" s="1"/>
      <c r="L647" s="6"/>
      <c r="M647" s="8"/>
    </row>
    <row r="648" spans="11:13" ht="15.75" customHeight="1" x14ac:dyDescent="0.25">
      <c r="K648" s="1"/>
      <c r="L648" s="6"/>
      <c r="M648" s="8"/>
    </row>
    <row r="649" spans="11:13" ht="15.75" customHeight="1" x14ac:dyDescent="0.25">
      <c r="K649" s="1"/>
      <c r="L649" s="6"/>
      <c r="M649" s="8"/>
    </row>
    <row r="650" spans="11:13" ht="15.75" customHeight="1" x14ac:dyDescent="0.25">
      <c r="K650" s="1"/>
      <c r="L650" s="6"/>
      <c r="M650" s="8"/>
    </row>
    <row r="651" spans="11:13" ht="15.75" customHeight="1" x14ac:dyDescent="0.25">
      <c r="K651" s="1"/>
      <c r="L651" s="6"/>
      <c r="M651" s="8"/>
    </row>
    <row r="652" spans="11:13" ht="15.75" customHeight="1" x14ac:dyDescent="0.25">
      <c r="K652" s="1"/>
      <c r="L652" s="6"/>
      <c r="M652" s="8"/>
    </row>
    <row r="653" spans="11:13" ht="15.75" customHeight="1" x14ac:dyDescent="0.25">
      <c r="K653" s="1"/>
      <c r="L653" s="6"/>
      <c r="M653" s="8"/>
    </row>
    <row r="654" spans="11:13" ht="15.75" customHeight="1" x14ac:dyDescent="0.25">
      <c r="K654" s="1"/>
      <c r="L654" s="6"/>
      <c r="M654" s="8"/>
    </row>
    <row r="655" spans="11:13" ht="15.75" customHeight="1" x14ac:dyDescent="0.25">
      <c r="K655" s="1"/>
      <c r="L655" s="6"/>
      <c r="M655" s="8"/>
    </row>
    <row r="656" spans="11:13" ht="15.75" customHeight="1" x14ac:dyDescent="0.25">
      <c r="K656" s="1"/>
      <c r="L656" s="6"/>
      <c r="M656" s="8"/>
    </row>
    <row r="657" spans="11:13" ht="15.75" customHeight="1" x14ac:dyDescent="0.25">
      <c r="K657" s="1"/>
      <c r="L657" s="6"/>
      <c r="M657" s="8"/>
    </row>
    <row r="658" spans="11:13" ht="15.75" customHeight="1" x14ac:dyDescent="0.25">
      <c r="K658" s="1"/>
      <c r="L658" s="6"/>
      <c r="M658" s="8"/>
    </row>
    <row r="659" spans="11:13" ht="15.75" customHeight="1" x14ac:dyDescent="0.25">
      <c r="K659" s="1"/>
      <c r="L659" s="6"/>
      <c r="M659" s="8"/>
    </row>
    <row r="660" spans="11:13" ht="15.75" customHeight="1" x14ac:dyDescent="0.25">
      <c r="K660" s="1"/>
      <c r="L660" s="6"/>
      <c r="M660" s="8"/>
    </row>
    <row r="661" spans="11:13" ht="15.75" customHeight="1" x14ac:dyDescent="0.25">
      <c r="K661" s="1"/>
      <c r="L661" s="6"/>
      <c r="M661" s="8"/>
    </row>
    <row r="662" spans="11:13" ht="15.75" customHeight="1" x14ac:dyDescent="0.25">
      <c r="K662" s="1"/>
      <c r="L662" s="6"/>
      <c r="M662" s="8"/>
    </row>
    <row r="663" spans="11:13" ht="15.75" customHeight="1" x14ac:dyDescent="0.25">
      <c r="K663" s="1"/>
      <c r="L663" s="6"/>
      <c r="M663" s="8"/>
    </row>
    <row r="664" spans="11:13" ht="15.75" customHeight="1" x14ac:dyDescent="0.25">
      <c r="K664" s="1"/>
      <c r="L664" s="6"/>
      <c r="M664" s="8"/>
    </row>
    <row r="665" spans="11:13" ht="15.75" customHeight="1" x14ac:dyDescent="0.25">
      <c r="K665" s="1"/>
      <c r="L665" s="6"/>
      <c r="M665" s="8"/>
    </row>
    <row r="666" spans="11:13" ht="15.75" customHeight="1" x14ac:dyDescent="0.25">
      <c r="K666" s="1"/>
      <c r="L666" s="6"/>
      <c r="M666" s="8"/>
    </row>
    <row r="667" spans="11:13" ht="15.75" customHeight="1" x14ac:dyDescent="0.25">
      <c r="K667" s="1"/>
      <c r="L667" s="6"/>
      <c r="M667" s="8"/>
    </row>
    <row r="668" spans="11:13" ht="15.75" customHeight="1" x14ac:dyDescent="0.25">
      <c r="K668" s="1"/>
      <c r="L668" s="6"/>
      <c r="M668" s="8"/>
    </row>
    <row r="669" spans="11:13" ht="15.75" customHeight="1" x14ac:dyDescent="0.25">
      <c r="K669" s="1"/>
      <c r="L669" s="6"/>
      <c r="M669" s="8"/>
    </row>
    <row r="670" spans="11:13" ht="15.75" customHeight="1" x14ac:dyDescent="0.25">
      <c r="K670" s="1"/>
      <c r="L670" s="6"/>
      <c r="M670" s="8"/>
    </row>
    <row r="671" spans="11:13" ht="15.75" customHeight="1" x14ac:dyDescent="0.25">
      <c r="K671" s="1"/>
      <c r="L671" s="6"/>
      <c r="M671" s="8"/>
    </row>
    <row r="672" spans="11:13" ht="15.75" customHeight="1" x14ac:dyDescent="0.25">
      <c r="K672" s="1"/>
      <c r="L672" s="6"/>
      <c r="M672" s="8"/>
    </row>
    <row r="673" spans="11:13" ht="15.75" customHeight="1" x14ac:dyDescent="0.25">
      <c r="K673" s="1"/>
      <c r="L673" s="6"/>
      <c r="M673" s="8"/>
    </row>
    <row r="674" spans="11:13" ht="15.75" customHeight="1" x14ac:dyDescent="0.25">
      <c r="K674" s="1"/>
      <c r="L674" s="6"/>
      <c r="M674" s="8"/>
    </row>
    <row r="675" spans="11:13" ht="15.75" customHeight="1" x14ac:dyDescent="0.25">
      <c r="K675" s="1"/>
      <c r="L675" s="6"/>
      <c r="M675" s="8"/>
    </row>
    <row r="676" spans="11:13" ht="15.75" customHeight="1" x14ac:dyDescent="0.25">
      <c r="K676" s="1"/>
      <c r="L676" s="6"/>
      <c r="M676" s="8"/>
    </row>
    <row r="677" spans="11:13" ht="15.75" customHeight="1" x14ac:dyDescent="0.25">
      <c r="K677" s="1"/>
      <c r="L677" s="6"/>
      <c r="M677" s="8"/>
    </row>
    <row r="678" spans="11:13" ht="15.75" customHeight="1" x14ac:dyDescent="0.25">
      <c r="K678" s="1"/>
      <c r="L678" s="6"/>
      <c r="M678" s="8"/>
    </row>
    <row r="679" spans="11:13" ht="15.75" customHeight="1" x14ac:dyDescent="0.25">
      <c r="K679" s="1"/>
      <c r="L679" s="6"/>
      <c r="M679" s="8"/>
    </row>
    <row r="680" spans="11:13" ht="15.75" customHeight="1" x14ac:dyDescent="0.25">
      <c r="K680" s="1"/>
      <c r="L680" s="6"/>
      <c r="M680" s="8"/>
    </row>
    <row r="681" spans="11:13" ht="15.75" customHeight="1" x14ac:dyDescent="0.25">
      <c r="K681" s="1"/>
      <c r="L681" s="6"/>
      <c r="M681" s="8"/>
    </row>
    <row r="682" spans="11:13" ht="15.75" customHeight="1" x14ac:dyDescent="0.25">
      <c r="K682" s="1"/>
      <c r="L682" s="6"/>
      <c r="M682" s="8"/>
    </row>
    <row r="683" spans="11:13" ht="15.75" customHeight="1" x14ac:dyDescent="0.25">
      <c r="K683" s="1"/>
      <c r="L683" s="6"/>
      <c r="M683" s="8"/>
    </row>
    <row r="684" spans="11:13" ht="15.75" customHeight="1" x14ac:dyDescent="0.25">
      <c r="K684" s="1"/>
      <c r="L684" s="6"/>
      <c r="M684" s="8"/>
    </row>
    <row r="685" spans="11:13" ht="15.75" customHeight="1" x14ac:dyDescent="0.25">
      <c r="K685" s="1"/>
      <c r="L685" s="6"/>
      <c r="M685" s="8"/>
    </row>
    <row r="686" spans="11:13" ht="15.75" customHeight="1" x14ac:dyDescent="0.25">
      <c r="K686" s="1"/>
      <c r="L686" s="6"/>
      <c r="M686" s="8"/>
    </row>
    <row r="687" spans="11:13" ht="15.75" customHeight="1" x14ac:dyDescent="0.25">
      <c r="K687" s="1"/>
      <c r="L687" s="6"/>
      <c r="M687" s="8"/>
    </row>
    <row r="688" spans="11:13" ht="15.75" customHeight="1" x14ac:dyDescent="0.25">
      <c r="K688" s="1"/>
      <c r="L688" s="6"/>
      <c r="M688" s="8"/>
    </row>
    <row r="689" spans="11:13" ht="15.75" customHeight="1" x14ac:dyDescent="0.25">
      <c r="K689" s="1"/>
      <c r="L689" s="6"/>
      <c r="M689" s="8"/>
    </row>
    <row r="690" spans="11:13" ht="15.75" customHeight="1" x14ac:dyDescent="0.25">
      <c r="K690" s="1"/>
      <c r="L690" s="6"/>
      <c r="M690" s="8"/>
    </row>
    <row r="691" spans="11:13" ht="15.75" customHeight="1" x14ac:dyDescent="0.25">
      <c r="K691" s="1"/>
      <c r="L691" s="6"/>
      <c r="M691" s="8"/>
    </row>
    <row r="692" spans="11:13" ht="15.75" customHeight="1" x14ac:dyDescent="0.25">
      <c r="K692" s="1"/>
      <c r="L692" s="6"/>
      <c r="M692" s="8"/>
    </row>
    <row r="693" spans="11:13" ht="15.75" customHeight="1" x14ac:dyDescent="0.25">
      <c r="K693" s="1"/>
      <c r="L693" s="6"/>
      <c r="M693" s="8"/>
    </row>
    <row r="694" spans="11:13" ht="15.75" customHeight="1" x14ac:dyDescent="0.25">
      <c r="K694" s="1"/>
      <c r="L694" s="6"/>
      <c r="M694" s="8"/>
    </row>
    <row r="695" spans="11:13" ht="15.75" customHeight="1" x14ac:dyDescent="0.25">
      <c r="K695" s="1"/>
      <c r="L695" s="6"/>
      <c r="M695" s="8"/>
    </row>
    <row r="696" spans="11:13" ht="15.75" customHeight="1" x14ac:dyDescent="0.25">
      <c r="K696" s="1"/>
      <c r="L696" s="6"/>
      <c r="M696" s="8"/>
    </row>
    <row r="697" spans="11:13" ht="15.75" customHeight="1" x14ac:dyDescent="0.25">
      <c r="K697" s="1"/>
      <c r="L697" s="6"/>
      <c r="M697" s="8"/>
    </row>
    <row r="698" spans="11:13" ht="15.75" customHeight="1" x14ac:dyDescent="0.25">
      <c r="K698" s="1"/>
      <c r="L698" s="6"/>
      <c r="M698" s="8"/>
    </row>
    <row r="699" spans="11:13" ht="15.75" customHeight="1" x14ac:dyDescent="0.25">
      <c r="K699" s="1"/>
      <c r="L699" s="6"/>
      <c r="M699" s="8"/>
    </row>
    <row r="700" spans="11:13" ht="15.75" customHeight="1" x14ac:dyDescent="0.25">
      <c r="K700" s="1"/>
      <c r="L700" s="6"/>
      <c r="M700" s="8"/>
    </row>
    <row r="701" spans="11:13" ht="15.75" customHeight="1" x14ac:dyDescent="0.25">
      <c r="K701" s="1"/>
      <c r="L701" s="6"/>
      <c r="M701" s="8"/>
    </row>
    <row r="702" spans="11:13" ht="15.75" customHeight="1" x14ac:dyDescent="0.25">
      <c r="K702" s="1"/>
      <c r="L702" s="6"/>
      <c r="M702" s="8"/>
    </row>
    <row r="703" spans="11:13" ht="15.75" customHeight="1" x14ac:dyDescent="0.25">
      <c r="K703" s="1"/>
      <c r="L703" s="6"/>
      <c r="M703" s="8"/>
    </row>
    <row r="704" spans="11:13" ht="15.75" customHeight="1" x14ac:dyDescent="0.25">
      <c r="K704" s="1"/>
      <c r="L704" s="6"/>
      <c r="M704" s="8"/>
    </row>
    <row r="705" spans="11:13" ht="15.75" customHeight="1" x14ac:dyDescent="0.25">
      <c r="K705" s="1"/>
      <c r="L705" s="6"/>
      <c r="M705" s="8"/>
    </row>
    <row r="706" spans="11:13" ht="15.75" customHeight="1" x14ac:dyDescent="0.25">
      <c r="K706" s="1"/>
      <c r="L706" s="6"/>
      <c r="M706" s="8"/>
    </row>
    <row r="707" spans="11:13" ht="15.75" customHeight="1" x14ac:dyDescent="0.25">
      <c r="K707" s="1"/>
      <c r="L707" s="6"/>
      <c r="M707" s="8"/>
    </row>
    <row r="708" spans="11:13" ht="15.75" customHeight="1" x14ac:dyDescent="0.25">
      <c r="K708" s="1"/>
      <c r="L708" s="6"/>
      <c r="M708" s="8"/>
    </row>
    <row r="709" spans="11:13" ht="15.75" customHeight="1" x14ac:dyDescent="0.25">
      <c r="K709" s="1"/>
      <c r="L709" s="6"/>
      <c r="M709" s="8"/>
    </row>
    <row r="710" spans="11:13" ht="15.75" customHeight="1" x14ac:dyDescent="0.25">
      <c r="K710" s="1"/>
      <c r="L710" s="6"/>
      <c r="M710" s="8"/>
    </row>
    <row r="711" spans="11:13" ht="15.75" customHeight="1" x14ac:dyDescent="0.25">
      <c r="K711" s="1"/>
      <c r="L711" s="6"/>
      <c r="M711" s="8"/>
    </row>
    <row r="712" spans="11:13" ht="15.75" customHeight="1" x14ac:dyDescent="0.25">
      <c r="K712" s="1"/>
      <c r="L712" s="6"/>
      <c r="M712" s="8"/>
    </row>
    <row r="713" spans="11:13" ht="15.75" customHeight="1" x14ac:dyDescent="0.25">
      <c r="K713" s="1"/>
      <c r="L713" s="6"/>
      <c r="M713" s="8"/>
    </row>
    <row r="714" spans="11:13" ht="15.75" customHeight="1" x14ac:dyDescent="0.25">
      <c r="K714" s="1"/>
      <c r="L714" s="6"/>
      <c r="M714" s="8"/>
    </row>
    <row r="715" spans="11:13" ht="15.75" customHeight="1" x14ac:dyDescent="0.25">
      <c r="K715" s="1"/>
      <c r="L715" s="6"/>
      <c r="M715" s="8"/>
    </row>
    <row r="716" spans="11:13" ht="15.75" customHeight="1" x14ac:dyDescent="0.25">
      <c r="K716" s="1"/>
      <c r="L716" s="6"/>
      <c r="M716" s="8"/>
    </row>
    <row r="717" spans="11:13" ht="15.75" customHeight="1" x14ac:dyDescent="0.25">
      <c r="K717" s="1"/>
      <c r="L717" s="6"/>
      <c r="M717" s="8"/>
    </row>
    <row r="718" spans="11:13" ht="15.75" customHeight="1" x14ac:dyDescent="0.25">
      <c r="K718" s="1"/>
      <c r="L718" s="6"/>
      <c r="M718" s="8"/>
    </row>
    <row r="719" spans="11:13" ht="15.75" customHeight="1" x14ac:dyDescent="0.25">
      <c r="K719" s="1"/>
      <c r="L719" s="6"/>
      <c r="M719" s="8"/>
    </row>
    <row r="720" spans="11:13" ht="15.75" customHeight="1" x14ac:dyDescent="0.25">
      <c r="K720" s="1"/>
      <c r="L720" s="6"/>
      <c r="M720" s="8"/>
    </row>
    <row r="721" spans="11:13" ht="15.75" customHeight="1" x14ac:dyDescent="0.25">
      <c r="K721" s="1"/>
      <c r="L721" s="6"/>
      <c r="M721" s="8"/>
    </row>
    <row r="722" spans="11:13" ht="15.75" customHeight="1" x14ac:dyDescent="0.25">
      <c r="K722" s="1"/>
      <c r="L722" s="6"/>
      <c r="M722" s="8"/>
    </row>
    <row r="723" spans="11:13" ht="15.75" customHeight="1" x14ac:dyDescent="0.25">
      <c r="K723" s="1"/>
      <c r="L723" s="6"/>
      <c r="M723" s="8"/>
    </row>
    <row r="724" spans="11:13" ht="15.75" customHeight="1" x14ac:dyDescent="0.25">
      <c r="K724" s="1"/>
      <c r="L724" s="6"/>
      <c r="M724" s="8"/>
    </row>
    <row r="725" spans="11:13" ht="15.75" customHeight="1" x14ac:dyDescent="0.25">
      <c r="K725" s="1"/>
      <c r="L725" s="6"/>
      <c r="M725" s="8"/>
    </row>
    <row r="726" spans="11:13" ht="15.75" customHeight="1" x14ac:dyDescent="0.25">
      <c r="K726" s="1"/>
      <c r="L726" s="6"/>
      <c r="M726" s="8"/>
    </row>
    <row r="727" spans="11:13" ht="15.75" customHeight="1" x14ac:dyDescent="0.25">
      <c r="K727" s="1"/>
      <c r="L727" s="6"/>
      <c r="M727" s="8"/>
    </row>
    <row r="728" spans="11:13" ht="15.75" customHeight="1" x14ac:dyDescent="0.25">
      <c r="K728" s="1"/>
      <c r="L728" s="6"/>
      <c r="M728" s="8"/>
    </row>
    <row r="729" spans="11:13" ht="15.75" customHeight="1" x14ac:dyDescent="0.25">
      <c r="K729" s="1"/>
      <c r="L729" s="6"/>
      <c r="M729" s="8"/>
    </row>
    <row r="730" spans="11:13" ht="15.75" customHeight="1" x14ac:dyDescent="0.25">
      <c r="K730" s="1"/>
      <c r="L730" s="6"/>
      <c r="M730" s="8"/>
    </row>
    <row r="731" spans="11:13" ht="15.75" customHeight="1" x14ac:dyDescent="0.25">
      <c r="K731" s="1"/>
      <c r="L731" s="6"/>
      <c r="M731" s="8"/>
    </row>
    <row r="732" spans="11:13" ht="15.75" customHeight="1" x14ac:dyDescent="0.25">
      <c r="K732" s="1"/>
      <c r="L732" s="6"/>
      <c r="M732" s="8"/>
    </row>
    <row r="733" spans="11:13" ht="15.75" customHeight="1" x14ac:dyDescent="0.25">
      <c r="K733" s="1"/>
      <c r="L733" s="6"/>
      <c r="M733" s="8"/>
    </row>
    <row r="734" spans="11:13" ht="15.75" customHeight="1" x14ac:dyDescent="0.25">
      <c r="K734" s="1"/>
      <c r="L734" s="6"/>
      <c r="M734" s="8"/>
    </row>
    <row r="735" spans="11:13" ht="15.75" customHeight="1" x14ac:dyDescent="0.25">
      <c r="K735" s="1"/>
      <c r="L735" s="6"/>
      <c r="M735" s="8"/>
    </row>
    <row r="736" spans="11:13" ht="15.75" customHeight="1" x14ac:dyDescent="0.25">
      <c r="K736" s="1"/>
      <c r="L736" s="6"/>
      <c r="M736" s="8"/>
    </row>
    <row r="737" spans="11:13" ht="15.75" customHeight="1" x14ac:dyDescent="0.25">
      <c r="K737" s="1"/>
      <c r="L737" s="6"/>
      <c r="M737" s="8"/>
    </row>
    <row r="738" spans="11:13" ht="15.75" customHeight="1" x14ac:dyDescent="0.25">
      <c r="K738" s="1"/>
      <c r="L738" s="6"/>
      <c r="M738" s="8"/>
    </row>
    <row r="739" spans="11:13" ht="15.75" customHeight="1" x14ac:dyDescent="0.25">
      <c r="K739" s="1"/>
      <c r="L739" s="6"/>
      <c r="M739" s="8"/>
    </row>
    <row r="740" spans="11:13" ht="15.75" customHeight="1" x14ac:dyDescent="0.25">
      <c r="K740" s="1"/>
      <c r="L740" s="6"/>
      <c r="M740" s="8"/>
    </row>
    <row r="741" spans="11:13" ht="15.75" customHeight="1" x14ac:dyDescent="0.25">
      <c r="K741" s="1"/>
      <c r="L741" s="6"/>
      <c r="M741" s="8"/>
    </row>
    <row r="742" spans="11:13" ht="15.75" customHeight="1" x14ac:dyDescent="0.25">
      <c r="K742" s="1"/>
      <c r="L742" s="6"/>
      <c r="M742" s="8"/>
    </row>
    <row r="743" spans="11:13" ht="15.75" customHeight="1" x14ac:dyDescent="0.25">
      <c r="K743" s="1"/>
      <c r="L743" s="6"/>
      <c r="M743" s="8"/>
    </row>
    <row r="744" spans="11:13" ht="15.75" customHeight="1" x14ac:dyDescent="0.25">
      <c r="K744" s="1"/>
      <c r="L744" s="6"/>
      <c r="M744" s="8"/>
    </row>
    <row r="745" spans="11:13" ht="15.75" customHeight="1" x14ac:dyDescent="0.25">
      <c r="K745" s="1"/>
      <c r="L745" s="6"/>
      <c r="M745" s="8"/>
    </row>
    <row r="746" spans="11:13" ht="15.75" customHeight="1" x14ac:dyDescent="0.25">
      <c r="K746" s="1"/>
      <c r="L746" s="6"/>
      <c r="M746" s="8"/>
    </row>
    <row r="747" spans="11:13" ht="15.75" customHeight="1" x14ac:dyDescent="0.25">
      <c r="K747" s="1"/>
      <c r="L747" s="6"/>
      <c r="M747" s="8"/>
    </row>
    <row r="748" spans="11:13" ht="15.75" customHeight="1" x14ac:dyDescent="0.25">
      <c r="K748" s="1"/>
      <c r="L748" s="6"/>
      <c r="M748" s="8"/>
    </row>
    <row r="749" spans="11:13" ht="15.75" customHeight="1" x14ac:dyDescent="0.25">
      <c r="K749" s="1"/>
      <c r="L749" s="6"/>
      <c r="M749" s="8"/>
    </row>
    <row r="750" spans="11:13" ht="15.75" customHeight="1" x14ac:dyDescent="0.25">
      <c r="K750" s="1"/>
      <c r="L750" s="6"/>
      <c r="M750" s="8"/>
    </row>
    <row r="751" spans="11:13" ht="15.75" customHeight="1" x14ac:dyDescent="0.25">
      <c r="K751" s="1"/>
      <c r="L751" s="6"/>
      <c r="M751" s="8"/>
    </row>
    <row r="752" spans="11:13" ht="15.75" customHeight="1" x14ac:dyDescent="0.25">
      <c r="K752" s="1"/>
      <c r="L752" s="6"/>
      <c r="M752" s="8"/>
    </row>
    <row r="753" spans="11:13" ht="15.75" customHeight="1" x14ac:dyDescent="0.25">
      <c r="K753" s="1"/>
      <c r="L753" s="6"/>
      <c r="M753" s="8"/>
    </row>
    <row r="754" spans="11:13" ht="15.75" customHeight="1" x14ac:dyDescent="0.25">
      <c r="K754" s="1"/>
      <c r="L754" s="6"/>
      <c r="M754" s="8"/>
    </row>
    <row r="755" spans="11:13" ht="15.75" customHeight="1" x14ac:dyDescent="0.25">
      <c r="K755" s="1"/>
      <c r="L755" s="6"/>
      <c r="M755" s="8"/>
    </row>
    <row r="756" spans="11:13" ht="15.75" customHeight="1" x14ac:dyDescent="0.25">
      <c r="K756" s="1"/>
      <c r="L756" s="6"/>
      <c r="M756" s="8"/>
    </row>
    <row r="757" spans="11:13" ht="15.75" customHeight="1" x14ac:dyDescent="0.25">
      <c r="K757" s="1"/>
      <c r="L757" s="6"/>
      <c r="M757" s="8"/>
    </row>
    <row r="758" spans="11:13" ht="15.75" customHeight="1" x14ac:dyDescent="0.25">
      <c r="K758" s="1"/>
      <c r="L758" s="6"/>
      <c r="M758" s="8"/>
    </row>
    <row r="759" spans="11:13" ht="15.75" customHeight="1" x14ac:dyDescent="0.25">
      <c r="K759" s="1"/>
      <c r="L759" s="6"/>
      <c r="M759" s="8"/>
    </row>
    <row r="760" spans="11:13" ht="15.75" customHeight="1" x14ac:dyDescent="0.25">
      <c r="K760" s="1"/>
      <c r="L760" s="6"/>
      <c r="M760" s="8"/>
    </row>
    <row r="761" spans="11:13" ht="15.75" customHeight="1" x14ac:dyDescent="0.25">
      <c r="K761" s="1"/>
      <c r="L761" s="6"/>
      <c r="M761" s="8"/>
    </row>
    <row r="762" spans="11:13" ht="15.75" customHeight="1" x14ac:dyDescent="0.25">
      <c r="K762" s="1"/>
      <c r="L762" s="6"/>
      <c r="M762" s="8"/>
    </row>
    <row r="763" spans="11:13" ht="15.75" customHeight="1" x14ac:dyDescent="0.25">
      <c r="K763" s="1"/>
      <c r="L763" s="6"/>
      <c r="M763" s="8"/>
    </row>
    <row r="764" spans="11:13" ht="15.75" customHeight="1" x14ac:dyDescent="0.25">
      <c r="K764" s="1"/>
      <c r="L764" s="6"/>
      <c r="M764" s="8"/>
    </row>
    <row r="765" spans="11:13" ht="15.75" customHeight="1" x14ac:dyDescent="0.25">
      <c r="K765" s="1"/>
      <c r="L765" s="6"/>
      <c r="M765" s="8"/>
    </row>
    <row r="766" spans="11:13" ht="15.75" customHeight="1" x14ac:dyDescent="0.25">
      <c r="K766" s="1"/>
      <c r="L766" s="6"/>
      <c r="M766" s="8"/>
    </row>
    <row r="767" spans="11:13" ht="15.75" customHeight="1" x14ac:dyDescent="0.25">
      <c r="K767" s="1"/>
      <c r="L767" s="6"/>
      <c r="M767" s="8"/>
    </row>
    <row r="768" spans="11:13" ht="15.75" customHeight="1" x14ac:dyDescent="0.25">
      <c r="K768" s="1"/>
      <c r="L768" s="6"/>
      <c r="M768" s="8"/>
    </row>
    <row r="769" spans="11:13" ht="15.75" customHeight="1" x14ac:dyDescent="0.25">
      <c r="K769" s="1"/>
      <c r="L769" s="6"/>
      <c r="M769" s="8"/>
    </row>
    <row r="770" spans="11:13" ht="15.75" customHeight="1" x14ac:dyDescent="0.25">
      <c r="K770" s="1"/>
      <c r="L770" s="6"/>
      <c r="M770" s="8"/>
    </row>
    <row r="771" spans="11:13" ht="15.75" customHeight="1" x14ac:dyDescent="0.25">
      <c r="K771" s="1"/>
      <c r="L771" s="6"/>
      <c r="M771" s="8"/>
    </row>
    <row r="772" spans="11:13" ht="15.75" customHeight="1" x14ac:dyDescent="0.25">
      <c r="K772" s="1"/>
      <c r="L772" s="6"/>
      <c r="M772" s="8"/>
    </row>
    <row r="773" spans="11:13" ht="15.75" customHeight="1" x14ac:dyDescent="0.25">
      <c r="K773" s="1"/>
      <c r="L773" s="6"/>
      <c r="M773" s="8"/>
    </row>
    <row r="774" spans="11:13" ht="15.75" customHeight="1" x14ac:dyDescent="0.25">
      <c r="K774" s="1"/>
      <c r="L774" s="6"/>
      <c r="M774" s="8"/>
    </row>
    <row r="775" spans="11:13" ht="15.75" customHeight="1" x14ac:dyDescent="0.25">
      <c r="K775" s="1"/>
      <c r="L775" s="6"/>
      <c r="M775" s="8"/>
    </row>
    <row r="776" spans="11:13" ht="15.75" customHeight="1" x14ac:dyDescent="0.25">
      <c r="K776" s="1"/>
      <c r="L776" s="6"/>
      <c r="M776" s="8"/>
    </row>
    <row r="777" spans="11:13" ht="15.75" customHeight="1" x14ac:dyDescent="0.25">
      <c r="K777" s="1"/>
      <c r="L777" s="6"/>
      <c r="M777" s="8"/>
    </row>
    <row r="778" spans="11:13" ht="15.75" customHeight="1" x14ac:dyDescent="0.25">
      <c r="K778" s="1"/>
      <c r="L778" s="6"/>
      <c r="M778" s="8"/>
    </row>
    <row r="779" spans="11:13" ht="15.75" customHeight="1" x14ac:dyDescent="0.25">
      <c r="K779" s="1"/>
      <c r="L779" s="6"/>
      <c r="M779" s="8"/>
    </row>
    <row r="780" spans="11:13" ht="15.75" customHeight="1" x14ac:dyDescent="0.25">
      <c r="K780" s="1"/>
      <c r="L780" s="6"/>
      <c r="M780" s="8"/>
    </row>
    <row r="781" spans="11:13" ht="15.75" customHeight="1" x14ac:dyDescent="0.25">
      <c r="K781" s="1"/>
      <c r="L781" s="6"/>
      <c r="M781" s="8"/>
    </row>
    <row r="782" spans="11:13" ht="15.75" customHeight="1" x14ac:dyDescent="0.25">
      <c r="K782" s="1"/>
      <c r="L782" s="6"/>
      <c r="M782" s="8"/>
    </row>
    <row r="783" spans="11:13" ht="15.75" customHeight="1" x14ac:dyDescent="0.25">
      <c r="K783" s="1"/>
      <c r="L783" s="6"/>
      <c r="M783" s="8"/>
    </row>
    <row r="784" spans="11:13" ht="15.75" customHeight="1" x14ac:dyDescent="0.25">
      <c r="K784" s="1"/>
      <c r="L784" s="6"/>
      <c r="M784" s="8"/>
    </row>
    <row r="785" spans="11:13" ht="15.75" customHeight="1" x14ac:dyDescent="0.25">
      <c r="K785" s="1"/>
      <c r="L785" s="6"/>
      <c r="M785" s="8"/>
    </row>
    <row r="786" spans="11:13" ht="15.75" customHeight="1" x14ac:dyDescent="0.25">
      <c r="K786" s="1"/>
      <c r="L786" s="6"/>
      <c r="M786" s="8"/>
    </row>
    <row r="787" spans="11:13" ht="15.75" customHeight="1" x14ac:dyDescent="0.25">
      <c r="K787" s="1"/>
      <c r="L787" s="6"/>
      <c r="M787" s="8"/>
    </row>
    <row r="788" spans="11:13" ht="15.75" customHeight="1" x14ac:dyDescent="0.25">
      <c r="K788" s="1"/>
      <c r="L788" s="6"/>
      <c r="M788" s="8"/>
    </row>
    <row r="789" spans="11:13" ht="15.75" customHeight="1" x14ac:dyDescent="0.25">
      <c r="K789" s="1"/>
      <c r="L789" s="6"/>
      <c r="M789" s="8"/>
    </row>
    <row r="790" spans="11:13" ht="15.75" customHeight="1" x14ac:dyDescent="0.25">
      <c r="K790" s="1"/>
      <c r="L790" s="6"/>
      <c r="M790" s="8"/>
    </row>
    <row r="791" spans="11:13" ht="15.75" customHeight="1" x14ac:dyDescent="0.25">
      <c r="K791" s="1"/>
      <c r="L791" s="6"/>
      <c r="M791" s="8"/>
    </row>
    <row r="792" spans="11:13" ht="15.75" customHeight="1" x14ac:dyDescent="0.25">
      <c r="K792" s="1"/>
      <c r="L792" s="6"/>
      <c r="M792" s="8"/>
    </row>
    <row r="793" spans="11:13" ht="15.75" customHeight="1" x14ac:dyDescent="0.25">
      <c r="K793" s="1"/>
      <c r="L793" s="6"/>
      <c r="M793" s="8"/>
    </row>
    <row r="794" spans="11:13" ht="15.75" customHeight="1" x14ac:dyDescent="0.25">
      <c r="K794" s="1"/>
      <c r="L794" s="6"/>
      <c r="M794" s="8"/>
    </row>
    <row r="795" spans="11:13" ht="15.75" customHeight="1" x14ac:dyDescent="0.25">
      <c r="K795" s="1"/>
      <c r="L795" s="6"/>
      <c r="M795" s="8"/>
    </row>
    <row r="796" spans="11:13" ht="15.75" customHeight="1" x14ac:dyDescent="0.25">
      <c r="K796" s="1"/>
      <c r="L796" s="6"/>
      <c r="M796" s="8"/>
    </row>
    <row r="797" spans="11:13" ht="15.75" customHeight="1" x14ac:dyDescent="0.25">
      <c r="K797" s="1"/>
      <c r="L797" s="6"/>
      <c r="M797" s="8"/>
    </row>
    <row r="798" spans="11:13" ht="15.75" customHeight="1" x14ac:dyDescent="0.25">
      <c r="K798" s="1"/>
      <c r="L798" s="6"/>
      <c r="M798" s="8"/>
    </row>
    <row r="799" spans="11:13" ht="15.75" customHeight="1" x14ac:dyDescent="0.25">
      <c r="K799" s="1"/>
      <c r="L799" s="6"/>
      <c r="M799" s="8"/>
    </row>
    <row r="800" spans="11:13" ht="15.75" customHeight="1" x14ac:dyDescent="0.25">
      <c r="K800" s="1"/>
      <c r="L800" s="6"/>
      <c r="M800" s="8"/>
    </row>
    <row r="801" spans="11:13" ht="15.75" customHeight="1" x14ac:dyDescent="0.25">
      <c r="K801" s="1"/>
      <c r="L801" s="6"/>
      <c r="M801" s="8"/>
    </row>
    <row r="802" spans="11:13" ht="15.75" customHeight="1" x14ac:dyDescent="0.25">
      <c r="K802" s="1"/>
      <c r="L802" s="6"/>
      <c r="M802" s="8"/>
    </row>
    <row r="803" spans="11:13" ht="15.75" customHeight="1" x14ac:dyDescent="0.25">
      <c r="K803" s="1"/>
      <c r="L803" s="6"/>
      <c r="M803" s="8"/>
    </row>
    <row r="804" spans="11:13" ht="15.75" customHeight="1" x14ac:dyDescent="0.25">
      <c r="K804" s="1"/>
      <c r="L804" s="6"/>
      <c r="M804" s="8"/>
    </row>
    <row r="805" spans="11:13" ht="15.75" customHeight="1" x14ac:dyDescent="0.25">
      <c r="K805" s="1"/>
      <c r="L805" s="6"/>
      <c r="M805" s="8"/>
    </row>
    <row r="806" spans="11:13" ht="15.75" customHeight="1" x14ac:dyDescent="0.25">
      <c r="K806" s="1"/>
      <c r="L806" s="6"/>
      <c r="M806" s="8"/>
    </row>
    <row r="807" spans="11:13" ht="15.75" customHeight="1" x14ac:dyDescent="0.25">
      <c r="K807" s="1"/>
      <c r="L807" s="6"/>
      <c r="M807" s="8"/>
    </row>
    <row r="808" spans="11:13" ht="15.75" customHeight="1" x14ac:dyDescent="0.25">
      <c r="K808" s="1"/>
      <c r="L808" s="6"/>
      <c r="M808" s="8"/>
    </row>
    <row r="809" spans="11:13" ht="15.75" customHeight="1" x14ac:dyDescent="0.25">
      <c r="K809" s="1"/>
      <c r="L809" s="6"/>
      <c r="M809" s="8"/>
    </row>
    <row r="810" spans="11:13" ht="15.75" customHeight="1" x14ac:dyDescent="0.25">
      <c r="K810" s="1"/>
      <c r="L810" s="6"/>
      <c r="M810" s="8"/>
    </row>
    <row r="811" spans="11:13" ht="15.75" customHeight="1" x14ac:dyDescent="0.25">
      <c r="K811" s="1"/>
      <c r="L811" s="6"/>
      <c r="M811" s="8"/>
    </row>
    <row r="812" spans="11:13" ht="15.75" customHeight="1" x14ac:dyDescent="0.25">
      <c r="K812" s="1"/>
      <c r="L812" s="6"/>
      <c r="M812" s="8"/>
    </row>
    <row r="813" spans="11:13" ht="15.75" customHeight="1" x14ac:dyDescent="0.25">
      <c r="K813" s="1"/>
      <c r="L813" s="6"/>
      <c r="M813" s="8"/>
    </row>
    <row r="814" spans="11:13" ht="15.75" customHeight="1" x14ac:dyDescent="0.25">
      <c r="K814" s="1"/>
      <c r="L814" s="6"/>
      <c r="M814" s="8"/>
    </row>
    <row r="815" spans="11:13" ht="15.75" customHeight="1" x14ac:dyDescent="0.25">
      <c r="K815" s="1"/>
      <c r="L815" s="6"/>
      <c r="M815" s="8"/>
    </row>
    <row r="816" spans="11:13" ht="15.75" customHeight="1" x14ac:dyDescent="0.25">
      <c r="K816" s="1"/>
      <c r="L816" s="6"/>
      <c r="M816" s="8"/>
    </row>
    <row r="817" spans="11:13" ht="15.75" customHeight="1" x14ac:dyDescent="0.25">
      <c r="K817" s="1"/>
      <c r="L817" s="6"/>
      <c r="M817" s="8"/>
    </row>
    <row r="818" spans="11:13" ht="15.75" customHeight="1" x14ac:dyDescent="0.25">
      <c r="K818" s="1"/>
      <c r="L818" s="6"/>
      <c r="M818" s="8"/>
    </row>
    <row r="819" spans="11:13" ht="15.75" customHeight="1" x14ac:dyDescent="0.25">
      <c r="K819" s="1"/>
      <c r="L819" s="6"/>
      <c r="M819" s="8"/>
    </row>
    <row r="820" spans="11:13" ht="15.75" customHeight="1" x14ac:dyDescent="0.25">
      <c r="K820" s="1"/>
      <c r="L820" s="6"/>
      <c r="M820" s="8"/>
    </row>
    <row r="821" spans="11:13" ht="15.75" customHeight="1" x14ac:dyDescent="0.25">
      <c r="K821" s="1"/>
      <c r="L821" s="6"/>
      <c r="M821" s="8"/>
    </row>
    <row r="822" spans="11:13" ht="15.75" customHeight="1" x14ac:dyDescent="0.25">
      <c r="K822" s="1"/>
      <c r="L822" s="6"/>
      <c r="M822" s="8"/>
    </row>
    <row r="823" spans="11:13" ht="15.75" customHeight="1" x14ac:dyDescent="0.25">
      <c r="K823" s="1"/>
      <c r="L823" s="6"/>
      <c r="M823" s="8"/>
    </row>
    <row r="824" spans="11:13" ht="15.75" customHeight="1" x14ac:dyDescent="0.25">
      <c r="K824" s="1"/>
      <c r="L824" s="6"/>
      <c r="M824" s="8"/>
    </row>
    <row r="825" spans="11:13" ht="15.75" customHeight="1" x14ac:dyDescent="0.25">
      <c r="K825" s="1"/>
      <c r="L825" s="6"/>
      <c r="M825" s="8"/>
    </row>
    <row r="826" spans="11:13" ht="15.75" customHeight="1" x14ac:dyDescent="0.25">
      <c r="K826" s="1"/>
      <c r="L826" s="6"/>
      <c r="M826" s="8"/>
    </row>
    <row r="827" spans="11:13" ht="15.75" customHeight="1" x14ac:dyDescent="0.25">
      <c r="K827" s="1"/>
      <c r="L827" s="6"/>
      <c r="M827" s="8"/>
    </row>
    <row r="828" spans="11:13" ht="15.75" customHeight="1" x14ac:dyDescent="0.25">
      <c r="K828" s="1"/>
      <c r="L828" s="6"/>
      <c r="M828" s="8"/>
    </row>
    <row r="829" spans="11:13" ht="15.75" customHeight="1" x14ac:dyDescent="0.25">
      <c r="K829" s="1"/>
      <c r="L829" s="6"/>
      <c r="M829" s="8"/>
    </row>
    <row r="830" spans="11:13" ht="15.75" customHeight="1" x14ac:dyDescent="0.25">
      <c r="K830" s="1"/>
      <c r="L830" s="6"/>
      <c r="M830" s="8"/>
    </row>
    <row r="831" spans="11:13" ht="15.75" customHeight="1" x14ac:dyDescent="0.25">
      <c r="K831" s="1"/>
      <c r="L831" s="6"/>
      <c r="M831" s="8"/>
    </row>
    <row r="832" spans="11:13" ht="15.75" customHeight="1" x14ac:dyDescent="0.25">
      <c r="K832" s="1"/>
      <c r="L832" s="6"/>
      <c r="M832" s="8"/>
    </row>
    <row r="833" spans="11:13" ht="15.75" customHeight="1" x14ac:dyDescent="0.25">
      <c r="K833" s="1"/>
      <c r="L833" s="6"/>
      <c r="M833" s="8"/>
    </row>
    <row r="834" spans="11:13" ht="15.75" customHeight="1" x14ac:dyDescent="0.25">
      <c r="K834" s="1"/>
      <c r="L834" s="6"/>
      <c r="M834" s="8"/>
    </row>
    <row r="835" spans="11:13" ht="15.75" customHeight="1" x14ac:dyDescent="0.25">
      <c r="K835" s="1"/>
      <c r="L835" s="6"/>
      <c r="M835" s="8"/>
    </row>
    <row r="836" spans="11:13" ht="15.75" customHeight="1" x14ac:dyDescent="0.25">
      <c r="K836" s="1"/>
      <c r="L836" s="6"/>
      <c r="M836" s="8"/>
    </row>
    <row r="837" spans="11:13" ht="15.75" customHeight="1" x14ac:dyDescent="0.25">
      <c r="K837" s="1"/>
      <c r="L837" s="6"/>
      <c r="M837" s="8"/>
    </row>
    <row r="838" spans="11:13" ht="15.75" customHeight="1" x14ac:dyDescent="0.25">
      <c r="K838" s="1"/>
      <c r="L838" s="6"/>
      <c r="M838" s="8"/>
    </row>
    <row r="839" spans="11:13" ht="15.75" customHeight="1" x14ac:dyDescent="0.25">
      <c r="K839" s="1"/>
      <c r="L839" s="6"/>
      <c r="M839" s="8"/>
    </row>
    <row r="840" spans="11:13" ht="15.75" customHeight="1" x14ac:dyDescent="0.25">
      <c r="K840" s="1"/>
      <c r="L840" s="6"/>
      <c r="M840" s="8"/>
    </row>
    <row r="841" spans="11:13" ht="15.75" customHeight="1" x14ac:dyDescent="0.25">
      <c r="K841" s="1"/>
      <c r="L841" s="6"/>
      <c r="M841" s="8"/>
    </row>
    <row r="842" spans="11:13" ht="15.75" customHeight="1" x14ac:dyDescent="0.25">
      <c r="K842" s="1"/>
      <c r="L842" s="6"/>
      <c r="M842" s="8"/>
    </row>
    <row r="843" spans="11:13" ht="15.75" customHeight="1" x14ac:dyDescent="0.25">
      <c r="K843" s="1"/>
      <c r="L843" s="6"/>
      <c r="M843" s="8"/>
    </row>
    <row r="844" spans="11:13" ht="15.75" customHeight="1" x14ac:dyDescent="0.25">
      <c r="K844" s="1"/>
      <c r="L844" s="6"/>
      <c r="M844" s="8"/>
    </row>
    <row r="845" spans="11:13" ht="15.75" customHeight="1" x14ac:dyDescent="0.25">
      <c r="K845" s="1"/>
      <c r="L845" s="6"/>
      <c r="M845" s="8"/>
    </row>
    <row r="846" spans="11:13" ht="15.75" customHeight="1" x14ac:dyDescent="0.25">
      <c r="K846" s="1"/>
      <c r="L846" s="6"/>
      <c r="M846" s="8"/>
    </row>
    <row r="847" spans="11:13" ht="15.75" customHeight="1" x14ac:dyDescent="0.25">
      <c r="K847" s="1"/>
      <c r="L847" s="6"/>
      <c r="M847" s="8"/>
    </row>
    <row r="848" spans="11:13" ht="15.75" customHeight="1" x14ac:dyDescent="0.25">
      <c r="K848" s="1"/>
      <c r="L848" s="6"/>
      <c r="M848" s="8"/>
    </row>
    <row r="849" spans="11:13" ht="15.75" customHeight="1" x14ac:dyDescent="0.25">
      <c r="K849" s="1"/>
      <c r="L849" s="6"/>
      <c r="M849" s="8"/>
    </row>
    <row r="850" spans="11:13" ht="15.75" customHeight="1" x14ac:dyDescent="0.25">
      <c r="K850" s="1"/>
      <c r="L850" s="6"/>
      <c r="M850" s="8"/>
    </row>
    <row r="851" spans="11:13" ht="15.75" customHeight="1" x14ac:dyDescent="0.25">
      <c r="K851" s="1"/>
      <c r="L851" s="6"/>
      <c r="M851" s="8"/>
    </row>
    <row r="852" spans="11:13" ht="15.75" customHeight="1" x14ac:dyDescent="0.25">
      <c r="K852" s="1"/>
      <c r="L852" s="6"/>
      <c r="M852" s="8"/>
    </row>
    <row r="853" spans="11:13" ht="15.75" customHeight="1" x14ac:dyDescent="0.25">
      <c r="K853" s="1"/>
      <c r="L853" s="6"/>
      <c r="M853" s="8"/>
    </row>
    <row r="854" spans="11:13" ht="15.75" customHeight="1" x14ac:dyDescent="0.25">
      <c r="K854" s="1"/>
      <c r="L854" s="6"/>
      <c r="M854" s="8"/>
    </row>
    <row r="855" spans="11:13" ht="15.75" customHeight="1" x14ac:dyDescent="0.25">
      <c r="K855" s="1"/>
      <c r="L855" s="6"/>
      <c r="M855" s="8"/>
    </row>
    <row r="856" spans="11:13" ht="15.75" customHeight="1" x14ac:dyDescent="0.25">
      <c r="K856" s="1"/>
      <c r="L856" s="6"/>
      <c r="M856" s="8"/>
    </row>
    <row r="857" spans="11:13" ht="15.75" customHeight="1" x14ac:dyDescent="0.25">
      <c r="K857" s="1"/>
      <c r="L857" s="6"/>
      <c r="M857" s="8"/>
    </row>
    <row r="858" spans="11:13" ht="15.75" customHeight="1" x14ac:dyDescent="0.25">
      <c r="K858" s="1"/>
      <c r="L858" s="6"/>
      <c r="M858" s="8"/>
    </row>
    <row r="859" spans="11:13" ht="15.75" customHeight="1" x14ac:dyDescent="0.25">
      <c r="K859" s="1"/>
      <c r="L859" s="6"/>
      <c r="M859" s="8"/>
    </row>
    <row r="860" spans="11:13" ht="15.75" customHeight="1" x14ac:dyDescent="0.25">
      <c r="K860" s="1"/>
      <c r="L860" s="6"/>
      <c r="M860" s="8"/>
    </row>
    <row r="861" spans="11:13" ht="15.75" customHeight="1" x14ac:dyDescent="0.25">
      <c r="K861" s="1"/>
      <c r="L861" s="6"/>
      <c r="M861" s="8"/>
    </row>
    <row r="862" spans="11:13" ht="15.75" customHeight="1" x14ac:dyDescent="0.25">
      <c r="K862" s="1"/>
      <c r="L862" s="6"/>
      <c r="M862" s="8"/>
    </row>
    <row r="863" spans="11:13" ht="15.75" customHeight="1" x14ac:dyDescent="0.25">
      <c r="K863" s="1"/>
      <c r="L863" s="6"/>
      <c r="M863" s="8"/>
    </row>
    <row r="864" spans="11:13" ht="15.75" customHeight="1" x14ac:dyDescent="0.25">
      <c r="K864" s="1"/>
      <c r="L864" s="6"/>
      <c r="M864" s="8"/>
    </row>
    <row r="865" spans="11:13" ht="15.75" customHeight="1" x14ac:dyDescent="0.25">
      <c r="K865" s="1"/>
      <c r="L865" s="6"/>
      <c r="M865" s="8"/>
    </row>
    <row r="866" spans="11:13" ht="15.75" customHeight="1" x14ac:dyDescent="0.25">
      <c r="K866" s="1"/>
      <c r="L866" s="6"/>
      <c r="M866" s="8"/>
    </row>
    <row r="867" spans="11:13" ht="15.75" customHeight="1" x14ac:dyDescent="0.25">
      <c r="K867" s="1"/>
      <c r="L867" s="6"/>
      <c r="M867" s="8"/>
    </row>
    <row r="868" spans="11:13" ht="15.75" customHeight="1" x14ac:dyDescent="0.25">
      <c r="K868" s="1"/>
      <c r="L868" s="6"/>
      <c r="M868" s="8"/>
    </row>
    <row r="869" spans="11:13" ht="15.75" customHeight="1" x14ac:dyDescent="0.25">
      <c r="K869" s="1"/>
      <c r="L869" s="6"/>
      <c r="M869" s="8"/>
    </row>
    <row r="870" spans="11:13" ht="15.75" customHeight="1" x14ac:dyDescent="0.25">
      <c r="K870" s="1"/>
      <c r="L870" s="6"/>
      <c r="M870" s="8"/>
    </row>
    <row r="871" spans="11:13" ht="15.75" customHeight="1" x14ac:dyDescent="0.25">
      <c r="K871" s="1"/>
      <c r="L871" s="6"/>
      <c r="M871" s="8"/>
    </row>
    <row r="872" spans="11:13" ht="15.75" customHeight="1" x14ac:dyDescent="0.25">
      <c r="K872" s="1"/>
      <c r="L872" s="6"/>
      <c r="M872" s="8"/>
    </row>
    <row r="873" spans="11:13" ht="15.75" customHeight="1" x14ac:dyDescent="0.25">
      <c r="K873" s="1"/>
      <c r="L873" s="6"/>
      <c r="M873" s="8"/>
    </row>
    <row r="874" spans="11:13" ht="15.75" customHeight="1" x14ac:dyDescent="0.25">
      <c r="K874" s="1"/>
      <c r="L874" s="6"/>
      <c r="M874" s="8"/>
    </row>
    <row r="875" spans="11:13" ht="15.75" customHeight="1" x14ac:dyDescent="0.25">
      <c r="K875" s="1"/>
      <c r="L875" s="6"/>
      <c r="M875" s="8"/>
    </row>
    <row r="876" spans="11:13" ht="15.75" customHeight="1" x14ac:dyDescent="0.25">
      <c r="K876" s="1"/>
      <c r="L876" s="6"/>
      <c r="M876" s="8"/>
    </row>
    <row r="877" spans="11:13" ht="15.75" customHeight="1" x14ac:dyDescent="0.25">
      <c r="K877" s="1"/>
      <c r="L877" s="6"/>
      <c r="M877" s="8"/>
    </row>
    <row r="878" spans="11:13" ht="15.75" customHeight="1" x14ac:dyDescent="0.25">
      <c r="K878" s="1"/>
      <c r="L878" s="6"/>
      <c r="M878" s="8"/>
    </row>
    <row r="879" spans="11:13" ht="15.75" customHeight="1" x14ac:dyDescent="0.25">
      <c r="K879" s="1"/>
      <c r="L879" s="6"/>
      <c r="M879" s="8"/>
    </row>
    <row r="880" spans="11:13" ht="15.75" customHeight="1" x14ac:dyDescent="0.25">
      <c r="K880" s="1"/>
      <c r="L880" s="6"/>
      <c r="M880" s="8"/>
    </row>
    <row r="881" spans="11:13" ht="15.75" customHeight="1" x14ac:dyDescent="0.25">
      <c r="K881" s="1"/>
      <c r="L881" s="6"/>
      <c r="M881" s="8"/>
    </row>
    <row r="882" spans="11:13" ht="15.75" customHeight="1" x14ac:dyDescent="0.25">
      <c r="K882" s="1"/>
      <c r="L882" s="6"/>
      <c r="M882" s="8"/>
    </row>
    <row r="883" spans="11:13" ht="15.75" customHeight="1" x14ac:dyDescent="0.25">
      <c r="K883" s="1"/>
      <c r="L883" s="6"/>
      <c r="M883" s="8"/>
    </row>
    <row r="884" spans="11:13" ht="15.75" customHeight="1" x14ac:dyDescent="0.25">
      <c r="K884" s="1"/>
      <c r="L884" s="6"/>
      <c r="M884" s="8"/>
    </row>
    <row r="885" spans="11:13" ht="15.75" customHeight="1" x14ac:dyDescent="0.25">
      <c r="K885" s="1"/>
      <c r="L885" s="6"/>
      <c r="M885" s="8"/>
    </row>
    <row r="886" spans="11:13" ht="15.75" customHeight="1" x14ac:dyDescent="0.25">
      <c r="K886" s="1"/>
      <c r="L886" s="6"/>
      <c r="M886" s="8"/>
    </row>
    <row r="887" spans="11:13" ht="15.75" customHeight="1" x14ac:dyDescent="0.25">
      <c r="K887" s="1"/>
      <c r="L887" s="6"/>
      <c r="M887" s="8"/>
    </row>
    <row r="888" spans="11:13" ht="15.75" customHeight="1" x14ac:dyDescent="0.25">
      <c r="K888" s="1"/>
      <c r="L888" s="6"/>
      <c r="M888" s="8"/>
    </row>
    <row r="889" spans="11:13" ht="15.75" customHeight="1" x14ac:dyDescent="0.25">
      <c r="K889" s="1"/>
      <c r="L889" s="6"/>
      <c r="M889" s="8"/>
    </row>
    <row r="890" spans="11:13" ht="15.75" customHeight="1" x14ac:dyDescent="0.25">
      <c r="K890" s="1"/>
      <c r="L890" s="6"/>
      <c r="M890" s="8"/>
    </row>
    <row r="891" spans="11:13" ht="15.75" customHeight="1" x14ac:dyDescent="0.25">
      <c r="K891" s="1"/>
      <c r="L891" s="6"/>
      <c r="M891" s="8"/>
    </row>
    <row r="892" spans="11:13" ht="15.75" customHeight="1" x14ac:dyDescent="0.25">
      <c r="K892" s="1"/>
      <c r="L892" s="6"/>
      <c r="M892" s="8"/>
    </row>
    <row r="893" spans="11:13" ht="15.75" customHeight="1" x14ac:dyDescent="0.25">
      <c r="K893" s="1"/>
      <c r="L893" s="6"/>
      <c r="M893" s="8"/>
    </row>
    <row r="894" spans="11:13" ht="15.75" customHeight="1" x14ac:dyDescent="0.25">
      <c r="K894" s="1"/>
      <c r="L894" s="6"/>
      <c r="M894" s="8"/>
    </row>
    <row r="895" spans="11:13" ht="15.75" customHeight="1" x14ac:dyDescent="0.25">
      <c r="K895" s="1"/>
      <c r="L895" s="6"/>
      <c r="M895" s="8"/>
    </row>
    <row r="896" spans="11:13" ht="15.75" customHeight="1" x14ac:dyDescent="0.25">
      <c r="K896" s="1"/>
      <c r="L896" s="6"/>
      <c r="M896" s="8"/>
    </row>
    <row r="897" spans="11:13" ht="15.75" customHeight="1" x14ac:dyDescent="0.25">
      <c r="K897" s="1"/>
      <c r="L897" s="6"/>
      <c r="M897" s="8"/>
    </row>
    <row r="898" spans="11:13" ht="15.75" customHeight="1" x14ac:dyDescent="0.25">
      <c r="K898" s="1"/>
      <c r="L898" s="6"/>
      <c r="M898" s="8"/>
    </row>
    <row r="899" spans="11:13" ht="15.75" customHeight="1" x14ac:dyDescent="0.25">
      <c r="K899" s="1"/>
      <c r="L899" s="6"/>
      <c r="M899" s="8"/>
    </row>
    <row r="900" spans="11:13" ht="15.75" customHeight="1" x14ac:dyDescent="0.25">
      <c r="K900" s="1"/>
      <c r="L900" s="6"/>
      <c r="M900" s="8"/>
    </row>
    <row r="901" spans="11:13" ht="15.75" customHeight="1" x14ac:dyDescent="0.25">
      <c r="K901" s="1"/>
      <c r="L901" s="6"/>
      <c r="M901" s="8"/>
    </row>
    <row r="902" spans="11:13" ht="15.75" customHeight="1" x14ac:dyDescent="0.25">
      <c r="K902" s="1"/>
      <c r="L902" s="6"/>
      <c r="M902" s="8"/>
    </row>
    <row r="903" spans="11:13" ht="15.75" customHeight="1" x14ac:dyDescent="0.25">
      <c r="K903" s="1"/>
      <c r="L903" s="6"/>
      <c r="M903" s="8"/>
    </row>
    <row r="904" spans="11:13" ht="15.75" customHeight="1" x14ac:dyDescent="0.25">
      <c r="K904" s="1"/>
      <c r="L904" s="6"/>
      <c r="M904" s="8"/>
    </row>
    <row r="905" spans="11:13" ht="15.75" customHeight="1" x14ac:dyDescent="0.25">
      <c r="K905" s="1"/>
      <c r="L905" s="6"/>
      <c r="M905" s="8"/>
    </row>
    <row r="906" spans="11:13" ht="15.75" customHeight="1" x14ac:dyDescent="0.25">
      <c r="K906" s="1"/>
      <c r="L906" s="6"/>
      <c r="M906" s="8"/>
    </row>
    <row r="907" spans="11:13" ht="15.75" customHeight="1" x14ac:dyDescent="0.25">
      <c r="K907" s="1"/>
      <c r="L907" s="6"/>
      <c r="M907" s="8"/>
    </row>
    <row r="908" spans="11:13" ht="15.75" customHeight="1" x14ac:dyDescent="0.25">
      <c r="K908" s="1"/>
      <c r="L908" s="6"/>
      <c r="M908" s="8"/>
    </row>
    <row r="909" spans="11:13" ht="15.75" customHeight="1" x14ac:dyDescent="0.25">
      <c r="K909" s="1"/>
      <c r="L909" s="6"/>
      <c r="M909" s="8"/>
    </row>
    <row r="910" spans="11:13" ht="15.75" customHeight="1" x14ac:dyDescent="0.25">
      <c r="K910" s="1"/>
      <c r="L910" s="6"/>
      <c r="M910" s="8"/>
    </row>
    <row r="911" spans="11:13" ht="15.75" customHeight="1" x14ac:dyDescent="0.25">
      <c r="K911" s="1"/>
      <c r="L911" s="6"/>
      <c r="M911" s="8"/>
    </row>
    <row r="912" spans="11:13" ht="15.75" customHeight="1" x14ac:dyDescent="0.25">
      <c r="K912" s="1"/>
      <c r="L912" s="6"/>
      <c r="M912" s="8"/>
    </row>
    <row r="913" spans="11:13" ht="15.75" customHeight="1" x14ac:dyDescent="0.25">
      <c r="K913" s="1"/>
      <c r="L913" s="6"/>
      <c r="M913" s="8"/>
    </row>
    <row r="914" spans="11:13" ht="15.75" customHeight="1" x14ac:dyDescent="0.25">
      <c r="K914" s="1"/>
      <c r="L914" s="6"/>
      <c r="M914" s="8"/>
    </row>
    <row r="915" spans="11:13" ht="15.75" customHeight="1" x14ac:dyDescent="0.25">
      <c r="K915" s="1"/>
      <c r="L915" s="6"/>
      <c r="M915" s="8"/>
    </row>
    <row r="916" spans="11:13" ht="15.75" customHeight="1" x14ac:dyDescent="0.25">
      <c r="K916" s="1"/>
      <c r="L916" s="6"/>
      <c r="M916" s="8"/>
    </row>
    <row r="917" spans="11:13" ht="15.75" customHeight="1" x14ac:dyDescent="0.25">
      <c r="K917" s="1"/>
      <c r="L917" s="6"/>
      <c r="M917" s="8"/>
    </row>
    <row r="918" spans="11:13" ht="15.75" customHeight="1" x14ac:dyDescent="0.25">
      <c r="K918" s="1"/>
      <c r="L918" s="6"/>
      <c r="M918" s="8"/>
    </row>
    <row r="919" spans="11:13" ht="15.75" customHeight="1" x14ac:dyDescent="0.25">
      <c r="K919" s="1"/>
      <c r="L919" s="6"/>
      <c r="M919" s="8"/>
    </row>
    <row r="920" spans="11:13" ht="15.75" customHeight="1" x14ac:dyDescent="0.25">
      <c r="K920" s="1"/>
      <c r="L920" s="6"/>
      <c r="M920" s="8"/>
    </row>
    <row r="921" spans="11:13" ht="15.75" customHeight="1" x14ac:dyDescent="0.25">
      <c r="K921" s="1"/>
      <c r="L921" s="6"/>
      <c r="M921" s="8"/>
    </row>
    <row r="922" spans="11:13" ht="15.75" customHeight="1" x14ac:dyDescent="0.25">
      <c r="K922" s="1"/>
      <c r="L922" s="6"/>
      <c r="M922" s="8"/>
    </row>
    <row r="923" spans="11:13" ht="15.75" customHeight="1" x14ac:dyDescent="0.25">
      <c r="K923" s="1"/>
      <c r="L923" s="6"/>
      <c r="M923" s="8"/>
    </row>
    <row r="924" spans="11:13" ht="15.75" customHeight="1" x14ac:dyDescent="0.25">
      <c r="K924" s="1"/>
      <c r="L924" s="6"/>
      <c r="M924" s="8"/>
    </row>
    <row r="925" spans="11:13" ht="15.75" customHeight="1" x14ac:dyDescent="0.25">
      <c r="K925" s="1"/>
      <c r="L925" s="6"/>
      <c r="M925" s="8"/>
    </row>
    <row r="926" spans="11:13" ht="15.75" customHeight="1" x14ac:dyDescent="0.25">
      <c r="K926" s="1"/>
      <c r="L926" s="6"/>
      <c r="M926" s="8"/>
    </row>
    <row r="927" spans="11:13" ht="15.75" customHeight="1" x14ac:dyDescent="0.25">
      <c r="K927" s="1"/>
      <c r="L927" s="6"/>
      <c r="M927" s="8"/>
    </row>
    <row r="928" spans="11:13" ht="15.75" customHeight="1" x14ac:dyDescent="0.25">
      <c r="K928" s="1"/>
      <c r="L928" s="6"/>
      <c r="M928" s="8"/>
    </row>
    <row r="929" spans="11:13" ht="15.75" customHeight="1" x14ac:dyDescent="0.25">
      <c r="K929" s="1"/>
      <c r="L929" s="6"/>
      <c r="M929" s="8"/>
    </row>
    <row r="930" spans="11:13" ht="15.75" customHeight="1" x14ac:dyDescent="0.25">
      <c r="K930" s="1"/>
      <c r="L930" s="6"/>
      <c r="M930" s="8"/>
    </row>
    <row r="931" spans="11:13" ht="15.75" customHeight="1" x14ac:dyDescent="0.25">
      <c r="K931" s="1"/>
      <c r="L931" s="6"/>
      <c r="M931" s="8"/>
    </row>
    <row r="932" spans="11:13" ht="15.75" customHeight="1" x14ac:dyDescent="0.25">
      <c r="K932" s="1"/>
      <c r="L932" s="6"/>
      <c r="M932" s="8"/>
    </row>
    <row r="933" spans="11:13" ht="15.75" customHeight="1" x14ac:dyDescent="0.25">
      <c r="K933" s="1"/>
      <c r="L933" s="6"/>
      <c r="M933" s="8"/>
    </row>
    <row r="934" spans="11:13" ht="15.75" customHeight="1" x14ac:dyDescent="0.25">
      <c r="K934" s="1"/>
      <c r="L934" s="6"/>
      <c r="M934" s="8"/>
    </row>
    <row r="935" spans="11:13" ht="15.75" customHeight="1" x14ac:dyDescent="0.25">
      <c r="K935" s="1"/>
      <c r="L935" s="6"/>
      <c r="M935" s="8"/>
    </row>
    <row r="936" spans="11:13" ht="15.75" customHeight="1" x14ac:dyDescent="0.25">
      <c r="K936" s="1"/>
      <c r="L936" s="6"/>
      <c r="M936" s="8"/>
    </row>
    <row r="937" spans="11:13" ht="15.75" customHeight="1" x14ac:dyDescent="0.25">
      <c r="K937" s="1"/>
      <c r="L937" s="6"/>
      <c r="M937" s="8"/>
    </row>
    <row r="938" spans="11:13" ht="15.75" customHeight="1" x14ac:dyDescent="0.25">
      <c r="K938" s="1"/>
      <c r="L938" s="6"/>
      <c r="M938" s="8"/>
    </row>
    <row r="939" spans="11:13" ht="15.75" customHeight="1" x14ac:dyDescent="0.25">
      <c r="K939" s="1"/>
      <c r="L939" s="6"/>
      <c r="M939" s="8"/>
    </row>
    <row r="940" spans="11:13" ht="15.75" customHeight="1" x14ac:dyDescent="0.25">
      <c r="K940" s="1"/>
      <c r="L940" s="6"/>
      <c r="M940" s="8"/>
    </row>
    <row r="941" spans="11:13" ht="15.75" customHeight="1" x14ac:dyDescent="0.25">
      <c r="K941" s="1"/>
      <c r="L941" s="6"/>
      <c r="M941" s="8"/>
    </row>
    <row r="942" spans="11:13" ht="15.75" customHeight="1" x14ac:dyDescent="0.25">
      <c r="K942" s="1"/>
      <c r="L942" s="6"/>
      <c r="M942" s="8"/>
    </row>
    <row r="943" spans="11:13" ht="15.75" customHeight="1" x14ac:dyDescent="0.25">
      <c r="K943" s="1"/>
      <c r="L943" s="6"/>
      <c r="M943" s="8"/>
    </row>
    <row r="944" spans="11:13" ht="15.75" customHeight="1" x14ac:dyDescent="0.25">
      <c r="K944" s="1"/>
      <c r="L944" s="6"/>
      <c r="M944" s="8"/>
    </row>
    <row r="945" spans="11:13" ht="15.75" customHeight="1" x14ac:dyDescent="0.25">
      <c r="K945" s="1"/>
      <c r="L945" s="6"/>
      <c r="M945" s="8"/>
    </row>
    <row r="946" spans="11:13" ht="15.75" customHeight="1" x14ac:dyDescent="0.25">
      <c r="K946" s="1"/>
      <c r="L946" s="6"/>
      <c r="M946" s="8"/>
    </row>
    <row r="947" spans="11:13" ht="15.75" customHeight="1" x14ac:dyDescent="0.25">
      <c r="K947" s="1"/>
      <c r="L947" s="6"/>
      <c r="M947" s="8"/>
    </row>
    <row r="948" spans="11:13" ht="15.75" customHeight="1" x14ac:dyDescent="0.25">
      <c r="K948" s="1"/>
      <c r="L948" s="6"/>
      <c r="M948" s="8"/>
    </row>
    <row r="949" spans="11:13" ht="15.75" customHeight="1" x14ac:dyDescent="0.25">
      <c r="K949" s="1"/>
      <c r="L949" s="6"/>
      <c r="M949" s="8"/>
    </row>
    <row r="950" spans="11:13" ht="15.75" customHeight="1" x14ac:dyDescent="0.25">
      <c r="K950" s="1"/>
      <c r="L950" s="6"/>
      <c r="M950" s="8"/>
    </row>
    <row r="951" spans="11:13" ht="15.75" customHeight="1" x14ac:dyDescent="0.25">
      <c r="K951" s="1"/>
      <c r="L951" s="6"/>
      <c r="M951" s="8"/>
    </row>
    <row r="952" spans="11:13" ht="15.75" customHeight="1" x14ac:dyDescent="0.25">
      <c r="K952" s="1"/>
      <c r="L952" s="6"/>
      <c r="M952" s="8"/>
    </row>
    <row r="953" spans="11:13" ht="15.75" customHeight="1" x14ac:dyDescent="0.25">
      <c r="K953" s="1"/>
      <c r="L953" s="6"/>
      <c r="M953" s="8"/>
    </row>
    <row r="954" spans="11:13" ht="15.75" customHeight="1" x14ac:dyDescent="0.25">
      <c r="K954" s="1"/>
      <c r="L954" s="6"/>
      <c r="M954" s="8"/>
    </row>
    <row r="955" spans="11:13" ht="15.75" customHeight="1" x14ac:dyDescent="0.25">
      <c r="K955" s="1"/>
      <c r="L955" s="6"/>
      <c r="M955" s="8"/>
    </row>
    <row r="956" spans="11:13" ht="15.75" customHeight="1" x14ac:dyDescent="0.25">
      <c r="K956" s="1"/>
      <c r="L956" s="6"/>
      <c r="M956" s="8"/>
    </row>
    <row r="957" spans="11:13" ht="15.75" customHeight="1" x14ac:dyDescent="0.25">
      <c r="K957" s="1"/>
      <c r="L957" s="6"/>
      <c r="M957" s="8"/>
    </row>
    <row r="958" spans="11:13" ht="15.75" customHeight="1" x14ac:dyDescent="0.25">
      <c r="K958" s="1"/>
      <c r="L958" s="6"/>
      <c r="M958" s="8"/>
    </row>
    <row r="959" spans="11:13" ht="15.75" customHeight="1" x14ac:dyDescent="0.25">
      <c r="K959" s="1"/>
      <c r="L959" s="6"/>
      <c r="M959" s="8"/>
    </row>
    <row r="960" spans="11:13" ht="15.75" customHeight="1" x14ac:dyDescent="0.25">
      <c r="K960" s="1"/>
      <c r="L960" s="6"/>
      <c r="M960" s="8"/>
    </row>
    <row r="961" spans="11:13" ht="15.75" customHeight="1" x14ac:dyDescent="0.25">
      <c r="K961" s="1"/>
      <c r="L961" s="6"/>
      <c r="M961" s="8"/>
    </row>
    <row r="962" spans="11:13" ht="15.75" customHeight="1" x14ac:dyDescent="0.25">
      <c r="K962" s="1"/>
      <c r="L962" s="6"/>
      <c r="M962" s="8"/>
    </row>
    <row r="963" spans="11:13" ht="15.75" customHeight="1" x14ac:dyDescent="0.25">
      <c r="K963" s="1"/>
      <c r="L963" s="6"/>
      <c r="M963" s="8"/>
    </row>
    <row r="964" spans="11:13" ht="15.75" customHeight="1" x14ac:dyDescent="0.25">
      <c r="K964" s="1"/>
      <c r="L964" s="6"/>
      <c r="M964" s="8"/>
    </row>
    <row r="965" spans="11:13" ht="15.75" customHeight="1" x14ac:dyDescent="0.25">
      <c r="K965" s="1"/>
      <c r="L965" s="6"/>
      <c r="M965" s="8"/>
    </row>
    <row r="966" spans="11:13" ht="15.75" customHeight="1" x14ac:dyDescent="0.25">
      <c r="K966" s="1"/>
      <c r="L966" s="6"/>
      <c r="M966" s="8"/>
    </row>
    <row r="967" spans="11:13" ht="15.75" customHeight="1" x14ac:dyDescent="0.25">
      <c r="K967" s="1"/>
      <c r="L967" s="6"/>
      <c r="M967" s="8"/>
    </row>
    <row r="968" spans="11:13" ht="15.75" customHeight="1" x14ac:dyDescent="0.25">
      <c r="K968" s="1"/>
      <c r="L968" s="6"/>
      <c r="M968" s="8"/>
    </row>
    <row r="969" spans="11:13" ht="15.75" customHeight="1" x14ac:dyDescent="0.25">
      <c r="K969" s="1"/>
      <c r="L969" s="6"/>
      <c r="M969" s="8"/>
    </row>
    <row r="970" spans="11:13" ht="15.75" customHeight="1" x14ac:dyDescent="0.25">
      <c r="K970" s="1"/>
      <c r="L970" s="6"/>
      <c r="M970" s="8"/>
    </row>
    <row r="971" spans="11:13" ht="15.75" customHeight="1" x14ac:dyDescent="0.25">
      <c r="K971" s="1"/>
      <c r="L971" s="6"/>
      <c r="M971" s="8"/>
    </row>
    <row r="972" spans="11:13" ht="15.75" customHeight="1" x14ac:dyDescent="0.25">
      <c r="K972" s="1"/>
      <c r="L972" s="6"/>
      <c r="M972" s="8"/>
    </row>
    <row r="973" spans="11:13" ht="15.75" customHeight="1" x14ac:dyDescent="0.25">
      <c r="K973" s="1"/>
      <c r="L973" s="6"/>
      <c r="M973" s="8"/>
    </row>
    <row r="974" spans="11:13" ht="15.75" customHeight="1" x14ac:dyDescent="0.25">
      <c r="K974" s="1"/>
      <c r="L974" s="6"/>
      <c r="M974" s="8"/>
    </row>
    <row r="975" spans="11:13" ht="15.75" customHeight="1" x14ac:dyDescent="0.25">
      <c r="K975" s="1"/>
      <c r="L975" s="6"/>
      <c r="M975" s="8"/>
    </row>
    <row r="976" spans="11:13" ht="15.75" customHeight="1" x14ac:dyDescent="0.25">
      <c r="K976" s="1"/>
      <c r="L976" s="6"/>
      <c r="M976" s="8"/>
    </row>
    <row r="977" spans="11:13" ht="15.75" customHeight="1" x14ac:dyDescent="0.25">
      <c r="K977" s="1"/>
      <c r="L977" s="6"/>
      <c r="M977" s="8"/>
    </row>
    <row r="978" spans="11:13" ht="15.75" customHeight="1" x14ac:dyDescent="0.25">
      <c r="K978" s="1"/>
      <c r="L978" s="6"/>
      <c r="M978" s="8"/>
    </row>
    <row r="979" spans="11:13" ht="15.75" customHeight="1" x14ac:dyDescent="0.25">
      <c r="K979" s="1"/>
      <c r="L979" s="6"/>
      <c r="M979" s="8"/>
    </row>
    <row r="980" spans="11:13" ht="15.75" customHeight="1" x14ac:dyDescent="0.25">
      <c r="K980" s="1"/>
      <c r="L980" s="6"/>
      <c r="M980" s="8"/>
    </row>
    <row r="981" spans="11:13" ht="15.75" customHeight="1" x14ac:dyDescent="0.25">
      <c r="K981" s="1"/>
      <c r="L981" s="6"/>
      <c r="M981" s="8"/>
    </row>
    <row r="982" spans="11:13" ht="15.75" customHeight="1" x14ac:dyDescent="0.25">
      <c r="K982" s="1"/>
      <c r="L982" s="6"/>
      <c r="M982" s="8"/>
    </row>
    <row r="983" spans="11:13" ht="15.75" customHeight="1" x14ac:dyDescent="0.25">
      <c r="K983" s="1"/>
      <c r="L983" s="6"/>
      <c r="M983" s="8"/>
    </row>
    <row r="984" spans="11:13" ht="15.75" customHeight="1" x14ac:dyDescent="0.25">
      <c r="K984" s="1"/>
      <c r="L984" s="6"/>
      <c r="M984" s="8"/>
    </row>
    <row r="985" spans="11:13" ht="15.75" customHeight="1" x14ac:dyDescent="0.25">
      <c r="K985" s="1"/>
      <c r="L985" s="6"/>
      <c r="M985" s="8"/>
    </row>
    <row r="986" spans="11:13" ht="15.75" customHeight="1" x14ac:dyDescent="0.25">
      <c r="K986" s="1"/>
      <c r="L986" s="6"/>
      <c r="M986" s="8"/>
    </row>
    <row r="987" spans="11:13" ht="15.75" customHeight="1" x14ac:dyDescent="0.25">
      <c r="K987" s="1"/>
      <c r="L987" s="6"/>
      <c r="M987" s="8"/>
    </row>
    <row r="988" spans="11:13" ht="15.75" customHeight="1" x14ac:dyDescent="0.25">
      <c r="K988" s="1"/>
      <c r="L988" s="6"/>
      <c r="M988" s="8"/>
    </row>
    <row r="989" spans="11:13" ht="15.75" customHeight="1" x14ac:dyDescent="0.25">
      <c r="K989" s="1"/>
      <c r="L989" s="6"/>
      <c r="M989" s="8"/>
    </row>
    <row r="990" spans="11:13" ht="15.75" customHeight="1" x14ac:dyDescent="0.25">
      <c r="K990" s="1"/>
      <c r="L990" s="6"/>
      <c r="M990" s="8"/>
    </row>
    <row r="991" spans="11:13" ht="15.75" customHeight="1" x14ac:dyDescent="0.25">
      <c r="K991" s="1"/>
      <c r="L991" s="6"/>
      <c r="M991" s="8"/>
    </row>
    <row r="992" spans="11:13" ht="15.75" customHeight="1" x14ac:dyDescent="0.25">
      <c r="K992" s="1"/>
      <c r="L992" s="6"/>
      <c r="M992" s="8"/>
    </row>
    <row r="993" spans="11:13" ht="15.75" customHeight="1" x14ac:dyDescent="0.25">
      <c r="K993" s="1"/>
      <c r="L993" s="6"/>
      <c r="M993" s="8"/>
    </row>
    <row r="994" spans="11:13" ht="15.75" customHeight="1" x14ac:dyDescent="0.25">
      <c r="K994" s="1"/>
      <c r="L994" s="6"/>
      <c r="M994" s="8"/>
    </row>
    <row r="995" spans="11:13" ht="15.75" customHeight="1" x14ac:dyDescent="0.25">
      <c r="K995" s="1"/>
      <c r="L995" s="6"/>
      <c r="M995" s="8"/>
    </row>
    <row r="996" spans="11:13" ht="15.75" customHeight="1" x14ac:dyDescent="0.25">
      <c r="K996" s="1"/>
      <c r="L996" s="6"/>
      <c r="M996" s="8"/>
    </row>
    <row r="997" spans="11:13" ht="15.75" customHeight="1" x14ac:dyDescent="0.25">
      <c r="K997" s="1"/>
      <c r="L997" s="6"/>
      <c r="M997" s="8"/>
    </row>
    <row r="998" spans="11:13" ht="15.75" customHeight="1" x14ac:dyDescent="0.25">
      <c r="K998" s="1"/>
      <c r="L998" s="6"/>
      <c r="M998" s="8"/>
    </row>
    <row r="999" spans="11:13" ht="15.75" customHeight="1" x14ac:dyDescent="0.25">
      <c r="K999" s="1"/>
      <c r="L999" s="6"/>
      <c r="M999" s="8"/>
    </row>
    <row r="1000" spans="11:13" ht="15.75" customHeight="1" x14ac:dyDescent="0.25">
      <c r="K1000" s="1"/>
      <c r="L1000" s="6"/>
      <c r="M1000" s="8"/>
    </row>
  </sheetData>
  <mergeCells count="551">
    <mergeCell ref="C371:H371"/>
    <mergeCell ref="I371:J371"/>
    <mergeCell ref="C372:H372"/>
    <mergeCell ref="I372:J372"/>
    <mergeCell ref="C373:H373"/>
    <mergeCell ref="I373:J373"/>
    <mergeCell ref="B392:F392"/>
    <mergeCell ref="I392:J392"/>
    <mergeCell ref="B393:F393"/>
    <mergeCell ref="I393:J393"/>
    <mergeCell ref="B355:F355"/>
    <mergeCell ref="I355:J355"/>
    <mergeCell ref="B356:F356"/>
    <mergeCell ref="I356:J356"/>
    <mergeCell ref="B357:F357"/>
    <mergeCell ref="I357:J357"/>
    <mergeCell ref="I358:J358"/>
    <mergeCell ref="C367:H367"/>
    <mergeCell ref="I367:J367"/>
    <mergeCell ref="B322:F322"/>
    <mergeCell ref="I322:J322"/>
    <mergeCell ref="B324:K324"/>
    <mergeCell ref="I325:J325"/>
    <mergeCell ref="I328:J328"/>
    <mergeCell ref="I329:J329"/>
    <mergeCell ref="B325:F325"/>
    <mergeCell ref="B326:F326"/>
    <mergeCell ref="I326:J326"/>
    <mergeCell ref="B327:F327"/>
    <mergeCell ref="I327:J327"/>
    <mergeCell ref="B328:F328"/>
    <mergeCell ref="B329:F329"/>
    <mergeCell ref="B317:F317"/>
    <mergeCell ref="I317:J317"/>
    <mergeCell ref="B318:F318"/>
    <mergeCell ref="I318:J318"/>
    <mergeCell ref="B319:F319"/>
    <mergeCell ref="I319:J319"/>
    <mergeCell ref="I320:J320"/>
    <mergeCell ref="B320:F320"/>
    <mergeCell ref="B321:F321"/>
    <mergeCell ref="I321:J321"/>
    <mergeCell ref="I315:J315"/>
    <mergeCell ref="I316:J316"/>
    <mergeCell ref="B312:K312"/>
    <mergeCell ref="B313:F313"/>
    <mergeCell ref="I313:J313"/>
    <mergeCell ref="B314:F314"/>
    <mergeCell ref="I314:J314"/>
    <mergeCell ref="B315:F315"/>
    <mergeCell ref="B316:F316"/>
    <mergeCell ref="B346:F346"/>
    <mergeCell ref="B347:F347"/>
    <mergeCell ref="I347:J347"/>
    <mergeCell ref="B348:F348"/>
    <mergeCell ref="I348:J348"/>
    <mergeCell ref="B349:F349"/>
    <mergeCell ref="B350:F350"/>
    <mergeCell ref="I353:J353"/>
    <mergeCell ref="I354:J354"/>
    <mergeCell ref="I349:J349"/>
    <mergeCell ref="I350:J350"/>
    <mergeCell ref="B351:K351"/>
    <mergeCell ref="B352:F352"/>
    <mergeCell ref="I352:J352"/>
    <mergeCell ref="B353:F353"/>
    <mergeCell ref="B354:F354"/>
    <mergeCell ref="I445:J445"/>
    <mergeCell ref="B330:F330"/>
    <mergeCell ref="I330:J330"/>
    <mergeCell ref="B331:F331"/>
    <mergeCell ref="I331:J331"/>
    <mergeCell ref="B332:F332"/>
    <mergeCell ref="I332:J332"/>
    <mergeCell ref="I333:J333"/>
    <mergeCell ref="B333:F333"/>
    <mergeCell ref="B334:F334"/>
    <mergeCell ref="I334:J334"/>
    <mergeCell ref="B335:F335"/>
    <mergeCell ref="I335:J335"/>
    <mergeCell ref="B336:F336"/>
    <mergeCell ref="I336:J336"/>
    <mergeCell ref="I341:J341"/>
    <mergeCell ref="I342:J342"/>
    <mergeCell ref="B338:K338"/>
    <mergeCell ref="B339:F339"/>
    <mergeCell ref="I339:J339"/>
    <mergeCell ref="B340:F340"/>
    <mergeCell ref="I340:J340"/>
    <mergeCell ref="B341:F341"/>
    <mergeCell ref="B342:F342"/>
    <mergeCell ref="B460:F460"/>
    <mergeCell ref="I460:J460"/>
    <mergeCell ref="I461:J461"/>
    <mergeCell ref="B471:F471"/>
    <mergeCell ref="B472:F472"/>
    <mergeCell ref="I472:J472"/>
    <mergeCell ref="B473:J473"/>
    <mergeCell ref="B476:J476"/>
    <mergeCell ref="B480:J480"/>
    <mergeCell ref="B461:F461"/>
    <mergeCell ref="B462:F462"/>
    <mergeCell ref="I462:J462"/>
    <mergeCell ref="B463:J463"/>
    <mergeCell ref="B466:J466"/>
    <mergeCell ref="B469:K469"/>
    <mergeCell ref="I471:J471"/>
    <mergeCell ref="B448:K448"/>
    <mergeCell ref="B449:J449"/>
    <mergeCell ref="B450:J450"/>
    <mergeCell ref="B452:J452"/>
    <mergeCell ref="B454:J454"/>
    <mergeCell ref="B457:K457"/>
    <mergeCell ref="B458:K458"/>
    <mergeCell ref="B459:F459"/>
    <mergeCell ref="I459:J459"/>
    <mergeCell ref="B446:F446"/>
    <mergeCell ref="I446:J446"/>
    <mergeCell ref="B434:F434"/>
    <mergeCell ref="I434:J434"/>
    <mergeCell ref="B435:K435"/>
    <mergeCell ref="B436:K436"/>
    <mergeCell ref="M436:M447"/>
    <mergeCell ref="B437:F437"/>
    <mergeCell ref="B438:F438"/>
    <mergeCell ref="B447:F447"/>
    <mergeCell ref="I447:J447"/>
    <mergeCell ref="B439:F439"/>
    <mergeCell ref="I439:J439"/>
    <mergeCell ref="B440:F440"/>
    <mergeCell ref="I440:J440"/>
    <mergeCell ref="B441:F441"/>
    <mergeCell ref="I441:J441"/>
    <mergeCell ref="B442:F442"/>
    <mergeCell ref="I442:J442"/>
    <mergeCell ref="B443:F443"/>
    <mergeCell ref="I443:J443"/>
    <mergeCell ref="B444:F444"/>
    <mergeCell ref="I444:J444"/>
    <mergeCell ref="B445:F445"/>
    <mergeCell ref="I437:J437"/>
    <mergeCell ref="I438:J438"/>
    <mergeCell ref="B423:F423"/>
    <mergeCell ref="I423:J423"/>
    <mergeCell ref="B424:K426"/>
    <mergeCell ref="B427:K427"/>
    <mergeCell ref="B428:K428"/>
    <mergeCell ref="M428:M434"/>
    <mergeCell ref="I429:J429"/>
    <mergeCell ref="B429:F429"/>
    <mergeCell ref="B430:F430"/>
    <mergeCell ref="I430:J430"/>
    <mergeCell ref="B431:F431"/>
    <mergeCell ref="I431:J431"/>
    <mergeCell ref="B432:F432"/>
    <mergeCell ref="I432:J432"/>
    <mergeCell ref="B433:F433"/>
    <mergeCell ref="I433:J433"/>
    <mergeCell ref="M401:M409"/>
    <mergeCell ref="I402:J402"/>
    <mergeCell ref="I403:J403"/>
    <mergeCell ref="I404:J404"/>
    <mergeCell ref="B409:F409"/>
    <mergeCell ref="I409:J409"/>
    <mergeCell ref="B410:K410"/>
    <mergeCell ref="B411:K411"/>
    <mergeCell ref="M411:M423"/>
    <mergeCell ref="B412:F412"/>
    <mergeCell ref="B413:F413"/>
    <mergeCell ref="B403:F403"/>
    <mergeCell ref="B404:F404"/>
    <mergeCell ref="B402:F402"/>
    <mergeCell ref="B405:F405"/>
    <mergeCell ref="B419:F419"/>
    <mergeCell ref="I419:J419"/>
    <mergeCell ref="B420:F420"/>
    <mergeCell ref="I420:J420"/>
    <mergeCell ref="B421:F421"/>
    <mergeCell ref="I421:J421"/>
    <mergeCell ref="B422:F422"/>
    <mergeCell ref="I422:J422"/>
    <mergeCell ref="B397:K399"/>
    <mergeCell ref="B400:K400"/>
    <mergeCell ref="B401:K401"/>
    <mergeCell ref="B414:F414"/>
    <mergeCell ref="I414:J414"/>
    <mergeCell ref="B415:F415"/>
    <mergeCell ref="I415:J415"/>
    <mergeCell ref="B416:F416"/>
    <mergeCell ref="I416:J416"/>
    <mergeCell ref="B417:F417"/>
    <mergeCell ref="I417:J417"/>
    <mergeCell ref="B418:F418"/>
    <mergeCell ref="I418:J418"/>
    <mergeCell ref="I405:J405"/>
    <mergeCell ref="B406:F406"/>
    <mergeCell ref="I406:J406"/>
    <mergeCell ref="B407:F407"/>
    <mergeCell ref="I407:J407"/>
    <mergeCell ref="B408:F408"/>
    <mergeCell ref="I408:J408"/>
    <mergeCell ref="I412:J412"/>
    <mergeCell ref="I413:J413"/>
    <mergeCell ref="I390:J390"/>
    <mergeCell ref="I391:J391"/>
    <mergeCell ref="B387:F387"/>
    <mergeCell ref="I387:J387"/>
    <mergeCell ref="B388:K388"/>
    <mergeCell ref="B389:K389"/>
    <mergeCell ref="M389:M399"/>
    <mergeCell ref="B390:F390"/>
    <mergeCell ref="B391:F391"/>
    <mergeCell ref="B394:F394"/>
    <mergeCell ref="I394:J394"/>
    <mergeCell ref="B395:F395"/>
    <mergeCell ref="I395:J395"/>
    <mergeCell ref="B396:F396"/>
    <mergeCell ref="I396:J396"/>
    <mergeCell ref="B383:F383"/>
    <mergeCell ref="I383:J383"/>
    <mergeCell ref="C375:H375"/>
    <mergeCell ref="I375:J375"/>
    <mergeCell ref="B378:K378"/>
    <mergeCell ref="B379:K379"/>
    <mergeCell ref="B380:K380"/>
    <mergeCell ref="M380:M387"/>
    <mergeCell ref="I381:J381"/>
    <mergeCell ref="M366:M375"/>
    <mergeCell ref="B381:F381"/>
    <mergeCell ref="B382:F382"/>
    <mergeCell ref="B384:F384"/>
    <mergeCell ref="I384:J384"/>
    <mergeCell ref="B385:F385"/>
    <mergeCell ref="I385:J385"/>
    <mergeCell ref="B386:F386"/>
    <mergeCell ref="I386:J386"/>
    <mergeCell ref="C368:H368"/>
    <mergeCell ref="I368:J368"/>
    <mergeCell ref="C369:H369"/>
    <mergeCell ref="I369:J369"/>
    <mergeCell ref="C370:H370"/>
    <mergeCell ref="I370:J370"/>
    <mergeCell ref="I307:J307"/>
    <mergeCell ref="B307:F307"/>
    <mergeCell ref="B308:F308"/>
    <mergeCell ref="I308:J308"/>
    <mergeCell ref="B309:F309"/>
    <mergeCell ref="I309:J309"/>
    <mergeCell ref="B310:F310"/>
    <mergeCell ref="I310:J310"/>
    <mergeCell ref="I382:J382"/>
    <mergeCell ref="C374:H374"/>
    <mergeCell ref="I374:J374"/>
    <mergeCell ref="B358:F358"/>
    <mergeCell ref="B359:F359"/>
    <mergeCell ref="I359:J359"/>
    <mergeCell ref="B361:J361"/>
    <mergeCell ref="B364:K364"/>
    <mergeCell ref="B366:K366"/>
    <mergeCell ref="B343:F343"/>
    <mergeCell ref="I343:J343"/>
    <mergeCell ref="B344:F344"/>
    <mergeCell ref="I344:J344"/>
    <mergeCell ref="B345:F345"/>
    <mergeCell ref="I345:J345"/>
    <mergeCell ref="I346:J346"/>
    <mergeCell ref="C295:G295"/>
    <mergeCell ref="C296:I296"/>
    <mergeCell ref="B297:J297"/>
    <mergeCell ref="B298:H298"/>
    <mergeCell ref="B300:J300"/>
    <mergeCell ref="B303:K303"/>
    <mergeCell ref="B305:K305"/>
    <mergeCell ref="B306:F306"/>
    <mergeCell ref="I306:J306"/>
    <mergeCell ref="C286:I286"/>
    <mergeCell ref="C287:I287"/>
    <mergeCell ref="C288:I288"/>
    <mergeCell ref="C289:I289"/>
    <mergeCell ref="C290:I290"/>
    <mergeCell ref="C291:G291"/>
    <mergeCell ref="C292:G292"/>
    <mergeCell ref="C293:G293"/>
    <mergeCell ref="C294:G294"/>
    <mergeCell ref="B272:H272"/>
    <mergeCell ref="B274:K274"/>
    <mergeCell ref="C275:G275"/>
    <mergeCell ref="C276:G276"/>
    <mergeCell ref="B277:B278"/>
    <mergeCell ref="C277:G278"/>
    <mergeCell ref="C283:G283"/>
    <mergeCell ref="C284:I284"/>
    <mergeCell ref="C285:I285"/>
    <mergeCell ref="C263:I263"/>
    <mergeCell ref="C264:I264"/>
    <mergeCell ref="C265:G265"/>
    <mergeCell ref="C266:G266"/>
    <mergeCell ref="C267:G267"/>
    <mergeCell ref="C268:G268"/>
    <mergeCell ref="C269:G269"/>
    <mergeCell ref="C270:I270"/>
    <mergeCell ref="B271:J271"/>
    <mergeCell ref="B252:K252"/>
    <mergeCell ref="C253:G253"/>
    <mergeCell ref="C254:G254"/>
    <mergeCell ref="C257:G257"/>
    <mergeCell ref="C258:I258"/>
    <mergeCell ref="C259:I259"/>
    <mergeCell ref="C260:I260"/>
    <mergeCell ref="C261:I261"/>
    <mergeCell ref="C262:I262"/>
    <mergeCell ref="C225:G225"/>
    <mergeCell ref="C226:I226"/>
    <mergeCell ref="B227:J227"/>
    <mergeCell ref="B228:H228"/>
    <mergeCell ref="B230:K230"/>
    <mergeCell ref="C231:G231"/>
    <mergeCell ref="C248:I248"/>
    <mergeCell ref="B249:J249"/>
    <mergeCell ref="B250:H250"/>
    <mergeCell ref="C245:G245"/>
    <mergeCell ref="C246:G246"/>
    <mergeCell ref="C247:G247"/>
    <mergeCell ref="B181:H181"/>
    <mergeCell ref="B183:K183"/>
    <mergeCell ref="C184:G184"/>
    <mergeCell ref="C185:G185"/>
    <mergeCell ref="B186:B187"/>
    <mergeCell ref="C186:G187"/>
    <mergeCell ref="C192:G192"/>
    <mergeCell ref="C193:I193"/>
    <mergeCell ref="C194:I194"/>
    <mergeCell ref="C195:I195"/>
    <mergeCell ref="C196:I196"/>
    <mergeCell ref="C197:I197"/>
    <mergeCell ref="C198:I198"/>
    <mergeCell ref="C199:I199"/>
    <mergeCell ref="C200:G200"/>
    <mergeCell ref="C201:G201"/>
    <mergeCell ref="C202:G202"/>
    <mergeCell ref="C203:G203"/>
    <mergeCell ref="C204:I204"/>
    <mergeCell ref="B205:J205"/>
    <mergeCell ref="B206:H206"/>
    <mergeCell ref="C236:I236"/>
    <mergeCell ref="C237:I237"/>
    <mergeCell ref="C238:I238"/>
    <mergeCell ref="C239:I239"/>
    <mergeCell ref="C240:I240"/>
    <mergeCell ref="C241:I241"/>
    <mergeCell ref="C242:I242"/>
    <mergeCell ref="C243:G243"/>
    <mergeCell ref="C244:G244"/>
    <mergeCell ref="C174:I174"/>
    <mergeCell ref="C175:G175"/>
    <mergeCell ref="C176:G176"/>
    <mergeCell ref="C177:G177"/>
    <mergeCell ref="C178:G178"/>
    <mergeCell ref="C179:I179"/>
    <mergeCell ref="B180:J180"/>
    <mergeCell ref="C232:G232"/>
    <mergeCell ref="C235:G235"/>
    <mergeCell ref="B208:K208"/>
    <mergeCell ref="C209:G209"/>
    <mergeCell ref="C210:G210"/>
    <mergeCell ref="C213:G213"/>
    <mergeCell ref="C214:I214"/>
    <mergeCell ref="C215:I215"/>
    <mergeCell ref="C216:I216"/>
    <mergeCell ref="C217:I217"/>
    <mergeCell ref="C218:I218"/>
    <mergeCell ref="C219:I219"/>
    <mergeCell ref="C220:I220"/>
    <mergeCell ref="C221:G221"/>
    <mergeCell ref="C222:G222"/>
    <mergeCell ref="C223:G223"/>
    <mergeCell ref="C224:G224"/>
    <mergeCell ref="C163:G163"/>
    <mergeCell ref="C164:G164"/>
    <mergeCell ref="C167:G167"/>
    <mergeCell ref="C168:I168"/>
    <mergeCell ref="C169:I169"/>
    <mergeCell ref="C170:I170"/>
    <mergeCell ref="C171:I171"/>
    <mergeCell ref="C172:I172"/>
    <mergeCell ref="C173:I173"/>
    <mergeCell ref="C153:I153"/>
    <mergeCell ref="C154:G154"/>
    <mergeCell ref="C155:G155"/>
    <mergeCell ref="C156:G156"/>
    <mergeCell ref="C157:G157"/>
    <mergeCell ref="C158:I158"/>
    <mergeCell ref="B159:J159"/>
    <mergeCell ref="B160:H160"/>
    <mergeCell ref="B162:K162"/>
    <mergeCell ref="B140:B141"/>
    <mergeCell ref="C140:G141"/>
    <mergeCell ref="C146:G146"/>
    <mergeCell ref="C147:I147"/>
    <mergeCell ref="C148:I148"/>
    <mergeCell ref="C149:I149"/>
    <mergeCell ref="C150:I150"/>
    <mergeCell ref="C151:I151"/>
    <mergeCell ref="C152:I152"/>
    <mergeCell ref="C130:G130"/>
    <mergeCell ref="C131:G131"/>
    <mergeCell ref="C132:G132"/>
    <mergeCell ref="C133:I133"/>
    <mergeCell ref="B134:J134"/>
    <mergeCell ref="B135:H135"/>
    <mergeCell ref="B137:K137"/>
    <mergeCell ref="C138:G138"/>
    <mergeCell ref="C139:G139"/>
    <mergeCell ref="C121:G121"/>
    <mergeCell ref="C122:I122"/>
    <mergeCell ref="C123:I123"/>
    <mergeCell ref="C124:I124"/>
    <mergeCell ref="C125:I125"/>
    <mergeCell ref="C126:I126"/>
    <mergeCell ref="C127:I127"/>
    <mergeCell ref="C128:I128"/>
    <mergeCell ref="C129:G129"/>
    <mergeCell ref="C109:G109"/>
    <mergeCell ref="C110:G110"/>
    <mergeCell ref="C111:G111"/>
    <mergeCell ref="C112:I112"/>
    <mergeCell ref="B113:J113"/>
    <mergeCell ref="B114:H114"/>
    <mergeCell ref="B116:K116"/>
    <mergeCell ref="C117:G117"/>
    <mergeCell ref="C118:G118"/>
    <mergeCell ref="C100:I100"/>
    <mergeCell ref="C101:I101"/>
    <mergeCell ref="C102:I102"/>
    <mergeCell ref="C103:I103"/>
    <mergeCell ref="C104:I104"/>
    <mergeCell ref="C105:I105"/>
    <mergeCell ref="C106:I106"/>
    <mergeCell ref="C107:G107"/>
    <mergeCell ref="C108:G108"/>
    <mergeCell ref="C90:G90"/>
    <mergeCell ref="C91:G91"/>
    <mergeCell ref="C92:G92"/>
    <mergeCell ref="C93:I93"/>
    <mergeCell ref="B94:J94"/>
    <mergeCell ref="B95:H95"/>
    <mergeCell ref="B97:K97"/>
    <mergeCell ref="C98:I98"/>
    <mergeCell ref="C99:I99"/>
    <mergeCell ref="C81:G81"/>
    <mergeCell ref="C82:I82"/>
    <mergeCell ref="C83:I83"/>
    <mergeCell ref="C84:I84"/>
    <mergeCell ref="C85:I85"/>
    <mergeCell ref="C86:I86"/>
    <mergeCell ref="C87:I87"/>
    <mergeCell ref="C88:I88"/>
    <mergeCell ref="C89:G89"/>
    <mergeCell ref="C67:G67"/>
    <mergeCell ref="C68:I68"/>
    <mergeCell ref="B69:J69"/>
    <mergeCell ref="B70:H70"/>
    <mergeCell ref="B72:K72"/>
    <mergeCell ref="C73:G73"/>
    <mergeCell ref="C74:G74"/>
    <mergeCell ref="B75:B76"/>
    <mergeCell ref="C75:G76"/>
    <mergeCell ref="C58:I58"/>
    <mergeCell ref="C59:I59"/>
    <mergeCell ref="C60:I60"/>
    <mergeCell ref="C61:I61"/>
    <mergeCell ref="C62:I62"/>
    <mergeCell ref="C63:I63"/>
    <mergeCell ref="C64:G64"/>
    <mergeCell ref="C65:G65"/>
    <mergeCell ref="C66:G66"/>
    <mergeCell ref="C46:G46"/>
    <mergeCell ref="C47:I47"/>
    <mergeCell ref="B48:J48"/>
    <mergeCell ref="B49:H49"/>
    <mergeCell ref="B51:K51"/>
    <mergeCell ref="C52:G52"/>
    <mergeCell ref="C53:G53"/>
    <mergeCell ref="C56:G56"/>
    <mergeCell ref="C57:I57"/>
    <mergeCell ref="C37:I37"/>
    <mergeCell ref="C38:I38"/>
    <mergeCell ref="C39:I39"/>
    <mergeCell ref="C40:I40"/>
    <mergeCell ref="C41:I41"/>
    <mergeCell ref="C42:I42"/>
    <mergeCell ref="C43:G43"/>
    <mergeCell ref="C44:G44"/>
    <mergeCell ref="C45:G45"/>
    <mergeCell ref="C28:G28"/>
    <mergeCell ref="I28:J28"/>
    <mergeCell ref="B29:J29"/>
    <mergeCell ref="B31:K31"/>
    <mergeCell ref="B32:K32"/>
    <mergeCell ref="B33:K33"/>
    <mergeCell ref="C34:I34"/>
    <mergeCell ref="C35:I35"/>
    <mergeCell ref="C36:I36"/>
    <mergeCell ref="I26:J26"/>
    <mergeCell ref="I27:J27"/>
    <mergeCell ref="C20:G20"/>
    <mergeCell ref="I20:J20"/>
    <mergeCell ref="C21:G21"/>
    <mergeCell ref="I21:J21"/>
    <mergeCell ref="C22:G22"/>
    <mergeCell ref="I22:J22"/>
    <mergeCell ref="I23:J23"/>
    <mergeCell ref="C23:G23"/>
    <mergeCell ref="C24:G24"/>
    <mergeCell ref="I24:J24"/>
    <mergeCell ref="C25:G25"/>
    <mergeCell ref="I25:J25"/>
    <mergeCell ref="C26:G26"/>
    <mergeCell ref="C27:G27"/>
    <mergeCell ref="C12:G12"/>
    <mergeCell ref="I12:J12"/>
    <mergeCell ref="C13:G13"/>
    <mergeCell ref="I13:J13"/>
    <mergeCell ref="C14:G14"/>
    <mergeCell ref="I14:J14"/>
    <mergeCell ref="I15:J15"/>
    <mergeCell ref="I18:J18"/>
    <mergeCell ref="I19:J19"/>
    <mergeCell ref="C15:G15"/>
    <mergeCell ref="C16:G16"/>
    <mergeCell ref="I16:J16"/>
    <mergeCell ref="C17:G17"/>
    <mergeCell ref="I17:J17"/>
    <mergeCell ref="C18:G18"/>
    <mergeCell ref="C19:G19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</mergeCell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1000"/>
  <sheetViews>
    <sheetView showGridLines="0" workbookViewId="0"/>
  </sheetViews>
  <sheetFormatPr defaultColWidth="14.42578125" defaultRowHeight="15" customHeight="1" x14ac:dyDescent="0.25"/>
  <cols>
    <col min="1" max="1" width="18" customWidth="1"/>
    <col min="2" max="2" width="8.7109375" customWidth="1"/>
    <col min="3" max="3" width="9" customWidth="1"/>
    <col min="4" max="4" width="8.7109375" customWidth="1"/>
    <col min="5" max="5" width="9.7109375" customWidth="1"/>
    <col min="6" max="6" width="12.85546875" customWidth="1"/>
    <col min="7" max="7" width="13.140625" customWidth="1"/>
    <col min="8" max="8" width="13.5703125" customWidth="1"/>
    <col min="9" max="9" width="9.7109375" customWidth="1"/>
    <col min="10" max="10" width="11.42578125" customWidth="1"/>
    <col min="11" max="11" width="18.7109375" customWidth="1"/>
    <col min="12" max="12" width="8.7109375" customWidth="1"/>
    <col min="13" max="13" width="38.7109375" customWidth="1"/>
    <col min="14" max="14" width="13.28515625" customWidth="1"/>
    <col min="15" max="15" width="42.7109375" customWidth="1"/>
    <col min="16" max="17" width="8.7109375" customWidth="1"/>
    <col min="18" max="18" width="11.42578125" customWidth="1"/>
    <col min="19" max="30" width="8.7109375" customWidth="1"/>
  </cols>
  <sheetData>
    <row r="1" spans="2:15" x14ac:dyDescent="0.25">
      <c r="L1" s="6"/>
      <c r="M1" s="6"/>
      <c r="N1" s="8"/>
      <c r="O1" s="8"/>
    </row>
    <row r="2" spans="2:15" ht="15" customHeight="1" x14ac:dyDescent="0.25">
      <c r="B2" s="663" t="s">
        <v>19</v>
      </c>
      <c r="C2" s="532"/>
      <c r="D2" s="532"/>
      <c r="E2" s="532"/>
      <c r="F2" s="532"/>
      <c r="G2" s="532"/>
      <c r="H2" s="532"/>
      <c r="I2" s="532"/>
      <c r="J2" s="532"/>
      <c r="K2" s="533"/>
      <c r="L2" s="12"/>
      <c r="M2" s="12"/>
      <c r="N2" s="8"/>
      <c r="O2" s="8"/>
    </row>
    <row r="3" spans="2:15" x14ac:dyDescent="0.25">
      <c r="L3" s="6"/>
      <c r="M3" s="6"/>
      <c r="N3" s="8"/>
      <c r="O3" s="8"/>
    </row>
    <row r="4" spans="2:15" x14ac:dyDescent="0.25">
      <c r="B4" s="551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6"/>
      <c r="N4" s="8"/>
      <c r="O4" s="8"/>
    </row>
    <row r="5" spans="2:15" ht="30" x14ac:dyDescent="0.25">
      <c r="B5" s="552" t="s">
        <v>31</v>
      </c>
      <c r="C5" s="537"/>
      <c r="D5" s="537"/>
      <c r="E5" s="537"/>
      <c r="F5" s="537"/>
      <c r="G5" s="538"/>
      <c r="H5" s="17" t="s">
        <v>32</v>
      </c>
      <c r="I5" s="553" t="s">
        <v>33</v>
      </c>
      <c r="J5" s="538"/>
      <c r="K5" s="18" t="s">
        <v>34</v>
      </c>
      <c r="L5" s="6"/>
      <c r="M5" s="6"/>
      <c r="N5" s="8"/>
      <c r="O5" s="8"/>
    </row>
    <row r="6" spans="2:15" x14ac:dyDescent="0.25">
      <c r="B6" s="19" t="s">
        <v>35</v>
      </c>
      <c r="C6" s="554" t="s">
        <v>36</v>
      </c>
      <c r="D6" s="537"/>
      <c r="E6" s="537"/>
      <c r="F6" s="537"/>
      <c r="G6" s="538"/>
      <c r="H6" s="23">
        <f>SUM(H7:H10)</f>
        <v>72</v>
      </c>
      <c r="I6" s="555"/>
      <c r="J6" s="538"/>
      <c r="K6" s="25">
        <f>SUM(K7:K10)</f>
        <v>512268.98564546887</v>
      </c>
      <c r="L6" s="6"/>
      <c r="M6" s="6"/>
      <c r="N6" s="8"/>
      <c r="O6" s="8"/>
    </row>
    <row r="7" spans="2:15" x14ac:dyDescent="0.25">
      <c r="B7" s="26" t="s">
        <v>41</v>
      </c>
      <c r="C7" s="545" t="s">
        <v>43</v>
      </c>
      <c r="D7" s="537"/>
      <c r="E7" s="537"/>
      <c r="F7" s="537"/>
      <c r="G7" s="538"/>
      <c r="H7" s="3">
        <v>27</v>
      </c>
      <c r="I7" s="590">
        <f>K48</f>
        <v>6465.5533496361713</v>
      </c>
      <c r="J7" s="538"/>
      <c r="K7" s="31">
        <f t="shared" ref="K7:K10" si="0">I7*H7</f>
        <v>174569.94044017664</v>
      </c>
      <c r="L7" s="6"/>
      <c r="M7" s="6"/>
      <c r="N7" s="8"/>
      <c r="O7" s="8"/>
    </row>
    <row r="8" spans="2:15" x14ac:dyDescent="0.25">
      <c r="B8" s="26" t="s">
        <v>47</v>
      </c>
      <c r="C8" s="545" t="s">
        <v>49</v>
      </c>
      <c r="D8" s="537"/>
      <c r="E8" s="537"/>
      <c r="F8" s="537"/>
      <c r="G8" s="538"/>
      <c r="H8" s="3">
        <v>27</v>
      </c>
      <c r="I8" s="590">
        <f>K74</f>
        <v>7027.8185652399752</v>
      </c>
      <c r="J8" s="538"/>
      <c r="K8" s="31">
        <f t="shared" si="0"/>
        <v>189751.10126147934</v>
      </c>
      <c r="L8" s="6"/>
      <c r="M8" s="6"/>
      <c r="N8" s="8"/>
      <c r="O8" s="8"/>
    </row>
    <row r="9" spans="2:15" x14ac:dyDescent="0.25">
      <c r="B9" s="26" t="s">
        <v>51</v>
      </c>
      <c r="C9" s="545" t="s">
        <v>52</v>
      </c>
      <c r="D9" s="537"/>
      <c r="E9" s="537"/>
      <c r="F9" s="537"/>
      <c r="G9" s="538"/>
      <c r="H9" s="3">
        <v>9</v>
      </c>
      <c r="I9" s="590">
        <f>K95</f>
        <v>7554.1758915477112</v>
      </c>
      <c r="J9" s="538"/>
      <c r="K9" s="31">
        <f t="shared" si="0"/>
        <v>67987.583023929401</v>
      </c>
      <c r="L9" s="6"/>
      <c r="M9" s="6"/>
      <c r="N9" s="8"/>
      <c r="O9" s="8"/>
    </row>
    <row r="10" spans="2:15" x14ac:dyDescent="0.25">
      <c r="B10" s="26" t="s">
        <v>55</v>
      </c>
      <c r="C10" s="545" t="s">
        <v>56</v>
      </c>
      <c r="D10" s="537"/>
      <c r="E10" s="537"/>
      <c r="F10" s="537"/>
      <c r="G10" s="538"/>
      <c r="H10" s="3">
        <v>9</v>
      </c>
      <c r="I10" s="590">
        <f>K120</f>
        <v>8884.4845466537263</v>
      </c>
      <c r="J10" s="538"/>
      <c r="K10" s="31">
        <f t="shared" si="0"/>
        <v>79960.360919883533</v>
      </c>
      <c r="L10" s="6"/>
      <c r="M10" s="6"/>
      <c r="N10" s="8"/>
      <c r="O10" s="8"/>
    </row>
    <row r="11" spans="2:15" x14ac:dyDescent="0.25">
      <c r="B11" s="19" t="s">
        <v>57</v>
      </c>
      <c r="C11" s="555" t="s">
        <v>58</v>
      </c>
      <c r="D11" s="537"/>
      <c r="E11" s="537"/>
      <c r="F11" s="537"/>
      <c r="G11" s="538"/>
      <c r="H11" s="23">
        <f>SUM(H12:H13)</f>
        <v>72</v>
      </c>
      <c r="I11" s="555"/>
      <c r="J11" s="538"/>
      <c r="K11" s="25">
        <f>SUM(K12:K13)</f>
        <v>16768.86</v>
      </c>
      <c r="L11" s="6"/>
      <c r="M11" s="6"/>
      <c r="N11" s="8"/>
      <c r="O11" s="8"/>
    </row>
    <row r="12" spans="2:15" x14ac:dyDescent="0.25">
      <c r="B12" s="26" t="s">
        <v>61</v>
      </c>
      <c r="C12" s="545" t="s">
        <v>62</v>
      </c>
      <c r="D12" s="537"/>
      <c r="E12" s="537"/>
      <c r="F12" s="537"/>
      <c r="G12" s="538"/>
      <c r="H12" s="3">
        <v>54</v>
      </c>
      <c r="I12" s="602">
        <f>K143</f>
        <v>280.10555555555555</v>
      </c>
      <c r="J12" s="538"/>
      <c r="K12" s="45">
        <f t="shared" ref="K12:K13" si="1">I12*H12</f>
        <v>15125.7</v>
      </c>
      <c r="L12" s="6"/>
      <c r="M12" s="6"/>
      <c r="N12" s="8"/>
      <c r="O12" s="8"/>
    </row>
    <row r="13" spans="2:15" ht="15" customHeight="1" x14ac:dyDescent="0.25">
      <c r="B13" s="26" t="s">
        <v>65</v>
      </c>
      <c r="C13" s="561" t="s">
        <v>66</v>
      </c>
      <c r="D13" s="537"/>
      <c r="E13" s="537"/>
      <c r="F13" s="537"/>
      <c r="G13" s="538"/>
      <c r="H13" s="3">
        <v>18</v>
      </c>
      <c r="I13" s="602">
        <f>K156</f>
        <v>91.286666666666676</v>
      </c>
      <c r="J13" s="538"/>
      <c r="K13" s="45">
        <f t="shared" si="1"/>
        <v>1643.16</v>
      </c>
      <c r="L13" s="6"/>
      <c r="M13" s="6"/>
      <c r="N13" s="8"/>
      <c r="O13" s="8"/>
    </row>
    <row r="14" spans="2:15" x14ac:dyDescent="0.25">
      <c r="B14" s="19" t="s">
        <v>69</v>
      </c>
      <c r="C14" s="555" t="s">
        <v>70</v>
      </c>
      <c r="D14" s="537"/>
      <c r="E14" s="537"/>
      <c r="F14" s="537"/>
      <c r="G14" s="538"/>
      <c r="H14" s="23">
        <f>SUM(H15:H17)</f>
        <v>12</v>
      </c>
      <c r="I14" s="555"/>
      <c r="J14" s="538"/>
      <c r="K14" s="25">
        <f>SUM(K15:K17)</f>
        <v>316104.87671464728</v>
      </c>
      <c r="L14" s="6"/>
      <c r="M14" s="6"/>
      <c r="N14" s="8"/>
      <c r="O14" s="8"/>
    </row>
    <row r="15" spans="2:15" x14ac:dyDescent="0.25">
      <c r="B15" s="26" t="s">
        <v>73</v>
      </c>
      <c r="C15" s="545" t="s">
        <v>74</v>
      </c>
      <c r="D15" s="537"/>
      <c r="E15" s="537"/>
      <c r="F15" s="537"/>
      <c r="G15" s="538"/>
      <c r="H15" s="3">
        <v>2</v>
      </c>
      <c r="I15" s="602">
        <f>I166</f>
        <v>35269.93429649833</v>
      </c>
      <c r="J15" s="538"/>
      <c r="K15" s="31">
        <f>K166</f>
        <v>42127.476114364174</v>
      </c>
      <c r="L15" s="6"/>
      <c r="M15" s="6"/>
      <c r="N15" s="8"/>
      <c r="O15" s="8"/>
    </row>
    <row r="16" spans="2:15" x14ac:dyDescent="0.25">
      <c r="B16" s="26" t="s">
        <v>78</v>
      </c>
      <c r="C16" s="545" t="s">
        <v>79</v>
      </c>
      <c r="D16" s="537"/>
      <c r="E16" s="537"/>
      <c r="F16" s="537"/>
      <c r="G16" s="538"/>
      <c r="H16" s="3">
        <v>9</v>
      </c>
      <c r="I16" s="602">
        <f>I174</f>
        <v>32923.666238915597</v>
      </c>
      <c r="J16" s="538"/>
      <c r="K16" s="31">
        <f>K174</f>
        <v>270068.66910750535</v>
      </c>
      <c r="L16" s="6"/>
      <c r="M16" s="6"/>
      <c r="N16" s="8"/>
      <c r="O16" s="8"/>
    </row>
    <row r="17" spans="2:15" x14ac:dyDescent="0.25">
      <c r="B17" s="26" t="s">
        <v>83</v>
      </c>
      <c r="C17" s="559" t="s">
        <v>84</v>
      </c>
      <c r="D17" s="537"/>
      <c r="E17" s="537"/>
      <c r="F17" s="537"/>
      <c r="G17" s="538"/>
      <c r="H17" s="47">
        <v>1</v>
      </c>
      <c r="I17" s="590">
        <f>I182</f>
        <v>3908.7314927777775</v>
      </c>
      <c r="J17" s="538"/>
      <c r="K17" s="31">
        <f>K182</f>
        <v>3908.7314927777779</v>
      </c>
      <c r="L17" s="6"/>
      <c r="M17" s="6"/>
      <c r="N17" s="8"/>
      <c r="O17" s="8"/>
    </row>
    <row r="18" spans="2:15" x14ac:dyDescent="0.25">
      <c r="B18" s="19" t="s">
        <v>91</v>
      </c>
      <c r="C18" s="554" t="s">
        <v>92</v>
      </c>
      <c r="D18" s="537"/>
      <c r="E18" s="537"/>
      <c r="F18" s="537"/>
      <c r="G18" s="538"/>
      <c r="H18" s="48"/>
      <c r="I18" s="664"/>
      <c r="J18" s="538"/>
      <c r="K18" s="25">
        <f>K436</f>
        <v>783.02466666666669</v>
      </c>
      <c r="L18" s="6"/>
      <c r="M18" s="6"/>
      <c r="N18" s="8"/>
      <c r="O18" s="8"/>
    </row>
    <row r="19" spans="2:15" x14ac:dyDescent="0.25">
      <c r="B19" s="19" t="s">
        <v>95</v>
      </c>
      <c r="C19" s="555" t="s">
        <v>96</v>
      </c>
      <c r="D19" s="537"/>
      <c r="E19" s="537"/>
      <c r="F19" s="537"/>
      <c r="G19" s="538"/>
      <c r="H19" s="23"/>
      <c r="I19" s="555"/>
      <c r="J19" s="538"/>
      <c r="K19" s="25">
        <f>SUM(K20:K21)</f>
        <v>390107.09891574411</v>
      </c>
      <c r="L19" s="6"/>
      <c r="M19" s="6"/>
      <c r="N19" s="8"/>
      <c r="O19" s="8"/>
    </row>
    <row r="20" spans="2:15" x14ac:dyDescent="0.25">
      <c r="B20" s="26" t="s">
        <v>98</v>
      </c>
      <c r="C20" s="559" t="s">
        <v>99</v>
      </c>
      <c r="D20" s="537"/>
      <c r="E20" s="537"/>
      <c r="F20" s="537"/>
      <c r="G20" s="538"/>
      <c r="H20" s="3">
        <v>1</v>
      </c>
      <c r="I20" s="590">
        <f t="shared" ref="I20:I21" si="2">K445</f>
        <v>155871.15628225124</v>
      </c>
      <c r="J20" s="538"/>
      <c r="K20" s="31">
        <f t="shared" ref="K20:K21" si="3">I20*H20</f>
        <v>155871.15628225124</v>
      </c>
      <c r="L20" s="6"/>
      <c r="M20" s="6"/>
      <c r="N20" s="8"/>
      <c r="O20" s="8"/>
    </row>
    <row r="21" spans="2:15" ht="15.75" customHeight="1" x14ac:dyDescent="0.25">
      <c r="B21" s="26" t="s">
        <v>101</v>
      </c>
      <c r="C21" s="559" t="s">
        <v>102</v>
      </c>
      <c r="D21" s="537"/>
      <c r="E21" s="537"/>
      <c r="F21" s="537"/>
      <c r="G21" s="538"/>
      <c r="H21" s="3">
        <v>1</v>
      </c>
      <c r="I21" s="590">
        <f t="shared" si="2"/>
        <v>234235.94263349287</v>
      </c>
      <c r="J21" s="538"/>
      <c r="K21" s="31">
        <f t="shared" si="3"/>
        <v>234235.94263349287</v>
      </c>
      <c r="L21" s="6"/>
      <c r="M21" s="6"/>
      <c r="N21" s="8"/>
      <c r="O21" s="8"/>
    </row>
    <row r="22" spans="2:15" ht="15.75" customHeight="1" x14ac:dyDescent="0.25">
      <c r="B22" s="551" t="s">
        <v>105</v>
      </c>
      <c r="C22" s="537"/>
      <c r="D22" s="537"/>
      <c r="E22" s="537"/>
      <c r="F22" s="537"/>
      <c r="G22" s="537"/>
      <c r="H22" s="537"/>
      <c r="I22" s="537"/>
      <c r="J22" s="538"/>
      <c r="K22" s="51">
        <f>K19+K14+K11+K6+K18</f>
        <v>1236032.8459425271</v>
      </c>
      <c r="L22" s="6"/>
      <c r="M22" s="6"/>
      <c r="N22" s="8"/>
      <c r="O22" s="8"/>
    </row>
    <row r="23" spans="2:15" ht="15.75" customHeight="1" x14ac:dyDescent="0.25">
      <c r="B23" s="551" t="s">
        <v>107</v>
      </c>
      <c r="C23" s="537"/>
      <c r="D23" s="537"/>
      <c r="E23" s="537"/>
      <c r="F23" s="537"/>
      <c r="G23" s="537"/>
      <c r="H23" s="537"/>
      <c r="I23" s="537"/>
      <c r="J23" s="538"/>
      <c r="K23" s="51">
        <f>K22*6</f>
        <v>7416197.0756551623</v>
      </c>
      <c r="L23" s="6"/>
      <c r="M23" s="6"/>
      <c r="N23" s="8"/>
      <c r="O23" s="8"/>
    </row>
    <row r="24" spans="2:15" ht="15.75" customHeight="1" x14ac:dyDescent="0.25">
      <c r="B24" s="661" t="s">
        <v>108</v>
      </c>
      <c r="C24" s="537"/>
      <c r="D24" s="537"/>
      <c r="E24" s="537"/>
      <c r="F24" s="537"/>
      <c r="G24" s="538"/>
      <c r="H24" s="53">
        <v>4800</v>
      </c>
      <c r="I24" s="660" t="s">
        <v>110</v>
      </c>
      <c r="J24" s="538"/>
      <c r="K24" s="54">
        <f>$K$22/H24</f>
        <v>257.50684290469314</v>
      </c>
      <c r="L24" s="6"/>
      <c r="M24" s="6"/>
      <c r="N24" s="8"/>
      <c r="O24" s="8"/>
    </row>
    <row r="25" spans="2:15" ht="15.75" customHeight="1" x14ac:dyDescent="0.25">
      <c r="L25" s="6"/>
      <c r="M25" s="6"/>
      <c r="N25" s="8"/>
      <c r="O25" s="8"/>
    </row>
    <row r="26" spans="2:15" ht="15.75" customHeight="1" x14ac:dyDescent="0.25">
      <c r="L26" s="6"/>
      <c r="M26" s="6"/>
      <c r="N26" s="8"/>
      <c r="O26" s="8"/>
    </row>
    <row r="27" spans="2:15" ht="15" customHeight="1" x14ac:dyDescent="0.25">
      <c r="B27" s="566" t="s">
        <v>112</v>
      </c>
      <c r="C27" s="537"/>
      <c r="D27" s="537"/>
      <c r="E27" s="537"/>
      <c r="F27" s="537"/>
      <c r="G27" s="537"/>
      <c r="H27" s="537"/>
      <c r="I27" s="537"/>
      <c r="J27" s="537"/>
      <c r="K27" s="538"/>
      <c r="L27" s="6"/>
      <c r="M27" s="6"/>
      <c r="N27" s="8"/>
      <c r="O27" s="8"/>
    </row>
    <row r="28" spans="2:15" ht="15" customHeight="1" x14ac:dyDescent="0.25">
      <c r="B28" s="662"/>
      <c r="C28" s="625"/>
      <c r="D28" s="625"/>
      <c r="E28" s="625"/>
      <c r="F28" s="625"/>
      <c r="G28" s="625"/>
      <c r="H28" s="625"/>
      <c r="I28" s="625"/>
      <c r="J28" s="625"/>
      <c r="K28" s="625"/>
      <c r="L28" s="6"/>
      <c r="M28" s="6"/>
      <c r="N28" s="8"/>
      <c r="O28" s="8"/>
    </row>
    <row r="29" spans="2:15" ht="15.75" customHeight="1" x14ac:dyDescent="0.25">
      <c r="B29" s="568" t="s">
        <v>113</v>
      </c>
      <c r="C29" s="537"/>
      <c r="D29" s="537"/>
      <c r="E29" s="537"/>
      <c r="F29" s="537"/>
      <c r="G29" s="537"/>
      <c r="H29" s="537"/>
      <c r="I29" s="537"/>
      <c r="J29" s="537"/>
      <c r="K29" s="538"/>
      <c r="L29" s="6"/>
      <c r="M29" s="6"/>
      <c r="N29" s="8"/>
      <c r="O29" s="8"/>
    </row>
    <row r="30" spans="2:15" ht="15.75" customHeight="1" x14ac:dyDescent="0.25">
      <c r="B30" s="58" t="s">
        <v>116</v>
      </c>
      <c r="C30" s="569" t="s">
        <v>117</v>
      </c>
      <c r="D30" s="537"/>
      <c r="E30" s="537"/>
      <c r="F30" s="537"/>
      <c r="G30" s="538"/>
      <c r="H30" s="59" t="s">
        <v>118</v>
      </c>
      <c r="I30" s="61" t="s">
        <v>119</v>
      </c>
      <c r="J30" s="61" t="s">
        <v>120</v>
      </c>
      <c r="K30" s="61" t="s">
        <v>121</v>
      </c>
      <c r="L30" s="6"/>
      <c r="M30" s="6"/>
      <c r="N30" s="8"/>
      <c r="O30" s="8"/>
    </row>
    <row r="31" spans="2:15" ht="15.75" customHeight="1" x14ac:dyDescent="0.25">
      <c r="B31" s="14" t="s">
        <v>122</v>
      </c>
      <c r="C31" s="571" t="s">
        <v>123</v>
      </c>
      <c r="D31" s="537"/>
      <c r="E31" s="537"/>
      <c r="F31" s="537"/>
      <c r="G31" s="538"/>
      <c r="H31" s="3">
        <v>220</v>
      </c>
      <c r="I31" s="14" t="s">
        <v>126</v>
      </c>
      <c r="J31" s="66">
        <f>K31/H31</f>
        <v>9.4650454545454537</v>
      </c>
      <c r="K31" s="67">
        <f>'6 - DADOS CC MO'!E10</f>
        <v>2082.31</v>
      </c>
      <c r="L31" s="6"/>
      <c r="M31" s="6"/>
      <c r="N31" s="8"/>
      <c r="O31" s="8"/>
    </row>
    <row r="32" spans="2:15" ht="15.75" customHeight="1" x14ac:dyDescent="0.25">
      <c r="B32" s="14" t="s">
        <v>129</v>
      </c>
      <c r="C32" s="63" t="s">
        <v>130</v>
      </c>
      <c r="D32" s="68"/>
      <c r="E32" s="68"/>
      <c r="F32" s="68"/>
      <c r="G32" s="69"/>
      <c r="H32" s="71">
        <f>7+1/3</f>
        <v>7.333333333333333</v>
      </c>
      <c r="I32" s="14" t="s">
        <v>126</v>
      </c>
      <c r="J32" s="66">
        <f>J31*2</f>
        <v>18.930090909090907</v>
      </c>
      <c r="K32" s="67">
        <f>H32*J32</f>
        <v>138.82066666666665</v>
      </c>
      <c r="L32" s="6"/>
      <c r="M32" s="6"/>
      <c r="N32" s="8"/>
      <c r="O32" s="8"/>
    </row>
    <row r="33" spans="2:15" ht="15.75" customHeight="1" x14ac:dyDescent="0.25">
      <c r="B33" s="14" t="s">
        <v>134</v>
      </c>
      <c r="C33" s="63" t="s">
        <v>135</v>
      </c>
      <c r="D33" s="68"/>
      <c r="E33" s="68"/>
      <c r="F33" s="68"/>
      <c r="G33" s="69"/>
      <c r="H33" s="71"/>
      <c r="I33" s="14"/>
      <c r="J33" s="66">
        <f>61/304*(SUM(K32))</f>
        <v>27.855462719298245</v>
      </c>
      <c r="K33" s="67">
        <f>J33</f>
        <v>27.855462719298245</v>
      </c>
      <c r="L33" s="6"/>
      <c r="M33" s="6"/>
      <c r="N33" s="8"/>
      <c r="O33" s="8"/>
    </row>
    <row r="34" spans="2:15" ht="15.75" customHeight="1" x14ac:dyDescent="0.25">
      <c r="B34" s="14" t="s">
        <v>138</v>
      </c>
      <c r="C34" s="571" t="s">
        <v>139</v>
      </c>
      <c r="D34" s="537"/>
      <c r="E34" s="537"/>
      <c r="F34" s="537"/>
      <c r="G34" s="538"/>
      <c r="H34" s="3">
        <v>40</v>
      </c>
      <c r="I34" s="14" t="s">
        <v>141</v>
      </c>
      <c r="J34" s="74"/>
      <c r="K34" s="67">
        <f>K31*40%</f>
        <v>832.92399999999998</v>
      </c>
      <c r="L34" s="6"/>
      <c r="M34" s="6"/>
      <c r="N34" s="8"/>
      <c r="O34" s="8"/>
    </row>
    <row r="35" spans="2:15" ht="15.75" customHeight="1" x14ac:dyDescent="0.25">
      <c r="B35" s="3"/>
      <c r="C35" s="570" t="s">
        <v>142</v>
      </c>
      <c r="D35" s="537"/>
      <c r="E35" s="537"/>
      <c r="F35" s="537"/>
      <c r="G35" s="537"/>
      <c r="H35" s="537"/>
      <c r="I35" s="538"/>
      <c r="J35" s="75"/>
      <c r="K35" s="76">
        <f>SUM(K31:K34)</f>
        <v>3081.9101293859649</v>
      </c>
      <c r="L35" s="6"/>
      <c r="M35" s="6"/>
      <c r="N35" s="8"/>
      <c r="O35" s="8"/>
    </row>
    <row r="36" spans="2:15" ht="15.75" customHeight="1" x14ac:dyDescent="0.25">
      <c r="B36" s="61" t="s">
        <v>145</v>
      </c>
      <c r="C36" s="569" t="s">
        <v>146</v>
      </c>
      <c r="D36" s="537"/>
      <c r="E36" s="537"/>
      <c r="F36" s="537"/>
      <c r="G36" s="537"/>
      <c r="H36" s="537"/>
      <c r="I36" s="538"/>
      <c r="J36" s="61" t="s">
        <v>141</v>
      </c>
      <c r="K36" s="61" t="s">
        <v>121</v>
      </c>
      <c r="L36" s="6"/>
      <c r="M36" s="6"/>
      <c r="N36" s="8"/>
      <c r="O36" s="8"/>
    </row>
    <row r="37" spans="2:15" ht="15.75" customHeight="1" x14ac:dyDescent="0.25">
      <c r="B37" s="14" t="s">
        <v>147</v>
      </c>
      <c r="C37" s="571" t="s">
        <v>148</v>
      </c>
      <c r="D37" s="537"/>
      <c r="E37" s="537"/>
      <c r="F37" s="537"/>
      <c r="G37" s="537"/>
      <c r="H37" s="537"/>
      <c r="I37" s="538"/>
      <c r="J37" s="78">
        <f>'7 - ENCARGOS SOCIAIS'!$D$13</f>
        <v>0.36800000000000005</v>
      </c>
      <c r="K37" s="67">
        <f t="shared" ref="K37:K40" si="4">J37*$K$35</f>
        <v>1134.1429276140352</v>
      </c>
      <c r="L37" s="6"/>
      <c r="M37" s="6"/>
      <c r="N37" s="8"/>
      <c r="O37" s="8"/>
    </row>
    <row r="38" spans="2:15" ht="15.75" customHeight="1" x14ac:dyDescent="0.25">
      <c r="B38" s="14" t="s">
        <v>150</v>
      </c>
      <c r="C38" s="571" t="s">
        <v>151</v>
      </c>
      <c r="D38" s="537"/>
      <c r="E38" s="537"/>
      <c r="F38" s="537"/>
      <c r="G38" s="537"/>
      <c r="H38" s="537"/>
      <c r="I38" s="538"/>
      <c r="J38" s="78">
        <f>'7 - ENCARGOS SOCIAIS'!$D$21</f>
        <v>0.15387245147090212</v>
      </c>
      <c r="K38" s="67">
        <f t="shared" si="4"/>
        <v>474.22106682162354</v>
      </c>
      <c r="L38" s="6"/>
      <c r="M38" s="6"/>
      <c r="N38" s="8"/>
      <c r="O38" s="8"/>
    </row>
    <row r="39" spans="2:15" ht="15.75" customHeight="1" x14ac:dyDescent="0.25">
      <c r="B39" s="14" t="s">
        <v>152</v>
      </c>
      <c r="C39" s="571" t="s">
        <v>153</v>
      </c>
      <c r="D39" s="537"/>
      <c r="E39" s="537"/>
      <c r="F39" s="537"/>
      <c r="G39" s="537"/>
      <c r="H39" s="537"/>
      <c r="I39" s="538"/>
      <c r="J39" s="78">
        <f>'7 - ENCARGOS SOCIAIS'!$D$28</f>
        <v>0.12666581537651095</v>
      </c>
      <c r="K39" s="67">
        <f t="shared" si="4"/>
        <v>390.37265945580157</v>
      </c>
      <c r="L39" s="6"/>
      <c r="M39" s="6"/>
      <c r="N39" s="8"/>
      <c r="O39" s="8"/>
    </row>
    <row r="40" spans="2:15" ht="15.75" customHeight="1" x14ac:dyDescent="0.25">
      <c r="B40" s="14" t="s">
        <v>155</v>
      </c>
      <c r="C40" s="571" t="s">
        <v>156</v>
      </c>
      <c r="D40" s="537"/>
      <c r="E40" s="537"/>
      <c r="F40" s="537"/>
      <c r="G40" s="537"/>
      <c r="H40" s="537"/>
      <c r="I40" s="538"/>
      <c r="J40" s="78">
        <f>'7 - ENCARGOS SOCIAIS'!$D$32</f>
        <v>5.9231502118822603E-2</v>
      </c>
      <c r="K40" s="67">
        <f t="shared" si="4"/>
        <v>182.54616635874561</v>
      </c>
      <c r="L40" s="6"/>
      <c r="M40" s="6"/>
      <c r="N40" s="8"/>
      <c r="O40" s="8"/>
    </row>
    <row r="41" spans="2:15" ht="15.75" customHeight="1" x14ac:dyDescent="0.25">
      <c r="B41" s="17"/>
      <c r="C41" s="552" t="s">
        <v>157</v>
      </c>
      <c r="D41" s="537"/>
      <c r="E41" s="537"/>
      <c r="F41" s="537"/>
      <c r="G41" s="537"/>
      <c r="H41" s="537"/>
      <c r="I41" s="538"/>
      <c r="J41" s="83">
        <f t="shared" ref="J41:K41" si="5">SUM(J37:J40)</f>
        <v>0.70776976896623567</v>
      </c>
      <c r="K41" s="84">
        <f t="shared" si="5"/>
        <v>2181.282820250206</v>
      </c>
      <c r="L41" s="6"/>
      <c r="M41" s="6"/>
      <c r="N41" s="8"/>
      <c r="O41" s="8"/>
    </row>
    <row r="42" spans="2:15" ht="23.25" customHeight="1" x14ac:dyDescent="0.25">
      <c r="B42" s="61" t="s">
        <v>158</v>
      </c>
      <c r="C42" s="572" t="s">
        <v>159</v>
      </c>
      <c r="D42" s="537"/>
      <c r="E42" s="537"/>
      <c r="F42" s="537"/>
      <c r="G42" s="538"/>
      <c r="H42" s="59" t="s">
        <v>160</v>
      </c>
      <c r="I42" s="61" t="s">
        <v>120</v>
      </c>
      <c r="J42" s="61" t="s">
        <v>161</v>
      </c>
      <c r="K42" s="61" t="s">
        <v>121</v>
      </c>
      <c r="L42" s="6"/>
      <c r="M42" s="6"/>
      <c r="N42" s="8"/>
      <c r="O42" s="8"/>
    </row>
    <row r="43" spans="2:15" ht="15" customHeight="1" x14ac:dyDescent="0.25">
      <c r="B43" s="14" t="s">
        <v>162</v>
      </c>
      <c r="C43" s="561" t="s">
        <v>163</v>
      </c>
      <c r="D43" s="537"/>
      <c r="E43" s="537"/>
      <c r="F43" s="537"/>
      <c r="G43" s="538"/>
      <c r="H43" s="14">
        <v>26</v>
      </c>
      <c r="I43" s="88">
        <v>27.15</v>
      </c>
      <c r="J43" s="89">
        <v>0.19</v>
      </c>
      <c r="K43" s="31">
        <f>(H43*I43)-((H43*I43)*J43)</f>
        <v>571.779</v>
      </c>
      <c r="L43" s="6"/>
      <c r="M43" s="6"/>
      <c r="N43" s="8"/>
      <c r="O43" s="8"/>
    </row>
    <row r="44" spans="2:15" ht="15.75" customHeight="1" x14ac:dyDescent="0.25">
      <c r="B44" s="14" t="s">
        <v>164</v>
      </c>
      <c r="C44" s="571" t="s">
        <v>165</v>
      </c>
      <c r="D44" s="537"/>
      <c r="E44" s="537"/>
      <c r="F44" s="537"/>
      <c r="G44" s="538"/>
      <c r="H44" s="14">
        <f>H43*4</f>
        <v>104</v>
      </c>
      <c r="I44" s="93">
        <v>6.25</v>
      </c>
      <c r="J44" s="89">
        <v>0.06</v>
      </c>
      <c r="K44" s="31">
        <f>(H44*I44)-(K31*J44)</f>
        <v>525.06140000000005</v>
      </c>
      <c r="L44" s="6"/>
      <c r="M44" s="6"/>
      <c r="N44" s="8"/>
      <c r="O44" s="8"/>
    </row>
    <row r="45" spans="2:15" ht="15.75" customHeight="1" x14ac:dyDescent="0.25">
      <c r="B45" s="14" t="s">
        <v>166</v>
      </c>
      <c r="C45" s="571" t="s">
        <v>167</v>
      </c>
      <c r="D45" s="537"/>
      <c r="E45" s="537"/>
      <c r="F45" s="537"/>
      <c r="G45" s="538"/>
      <c r="H45" s="3">
        <v>1</v>
      </c>
      <c r="I45" s="88">
        <v>25.52</v>
      </c>
      <c r="J45" s="26"/>
      <c r="K45" s="94">
        <f t="shared" ref="K45:K46" si="6">I45</f>
        <v>25.52</v>
      </c>
      <c r="L45" s="6"/>
      <c r="M45" s="6"/>
      <c r="N45" s="8"/>
      <c r="O45" s="8"/>
    </row>
    <row r="46" spans="2:15" ht="15.75" customHeight="1" x14ac:dyDescent="0.25">
      <c r="B46" s="14" t="s">
        <v>168</v>
      </c>
      <c r="C46" s="571" t="s">
        <v>169</v>
      </c>
      <c r="D46" s="537"/>
      <c r="E46" s="537"/>
      <c r="F46" s="537"/>
      <c r="G46" s="538"/>
      <c r="H46" s="3">
        <v>1</v>
      </c>
      <c r="I46" s="88">
        <v>80</v>
      </c>
      <c r="J46" s="26"/>
      <c r="K46" s="94">
        <f t="shared" si="6"/>
        <v>80</v>
      </c>
      <c r="L46" s="6"/>
      <c r="M46" s="6"/>
      <c r="N46" s="8"/>
      <c r="O46" s="8"/>
    </row>
    <row r="47" spans="2:15" ht="15.75" customHeight="1" x14ac:dyDescent="0.25">
      <c r="B47" s="26"/>
      <c r="C47" s="570" t="s">
        <v>170</v>
      </c>
      <c r="D47" s="537"/>
      <c r="E47" s="537"/>
      <c r="F47" s="537"/>
      <c r="G47" s="537"/>
      <c r="H47" s="537"/>
      <c r="I47" s="538"/>
      <c r="J47" s="75"/>
      <c r="K47" s="45">
        <f>SUM(K43:K46)</f>
        <v>1202.3604</v>
      </c>
      <c r="L47" s="6"/>
      <c r="M47" s="6"/>
      <c r="N47" s="8"/>
      <c r="O47" s="8"/>
    </row>
    <row r="48" spans="2:15" ht="15.75" customHeight="1" x14ac:dyDescent="0.25">
      <c r="B48" s="563" t="s">
        <v>171</v>
      </c>
      <c r="C48" s="564"/>
      <c r="D48" s="564"/>
      <c r="E48" s="564"/>
      <c r="F48" s="564"/>
      <c r="G48" s="564"/>
      <c r="H48" s="564"/>
      <c r="I48" s="564"/>
      <c r="J48" s="565"/>
      <c r="K48" s="95">
        <f>K47+K41+K35</f>
        <v>6465.5533496361713</v>
      </c>
      <c r="L48" s="6"/>
      <c r="M48" s="6"/>
      <c r="N48" s="8"/>
      <c r="O48" s="8"/>
    </row>
    <row r="49" spans="2:15" ht="15" customHeight="1" x14ac:dyDescent="0.25">
      <c r="B49" s="574" t="s">
        <v>172</v>
      </c>
      <c r="C49" s="535"/>
      <c r="D49" s="535"/>
      <c r="E49" s="535"/>
      <c r="F49" s="535"/>
      <c r="G49" s="535"/>
      <c r="H49" s="575"/>
      <c r="I49" s="99">
        <f>H7</f>
        <v>27</v>
      </c>
      <c r="J49" s="99" t="s">
        <v>173</v>
      </c>
      <c r="K49" s="101">
        <f>K48*I49</f>
        <v>174569.94044017664</v>
      </c>
      <c r="L49" s="6"/>
      <c r="M49" s="6"/>
      <c r="N49" s="8"/>
      <c r="O49" s="8"/>
    </row>
    <row r="50" spans="2:15" ht="15.75" customHeight="1" x14ac:dyDescent="0.25">
      <c r="L50" s="6"/>
      <c r="M50" s="6"/>
      <c r="N50" s="8"/>
      <c r="O50" s="8"/>
    </row>
    <row r="51" spans="2:15" ht="15.75" customHeight="1" x14ac:dyDescent="0.25">
      <c r="B51" s="568" t="s">
        <v>175</v>
      </c>
      <c r="C51" s="537"/>
      <c r="D51" s="537"/>
      <c r="E51" s="537"/>
      <c r="F51" s="537"/>
      <c r="G51" s="537"/>
      <c r="H51" s="537"/>
      <c r="I51" s="537"/>
      <c r="J51" s="537"/>
      <c r="K51" s="538"/>
      <c r="L51" s="6"/>
      <c r="M51" s="6"/>
      <c r="N51" s="8"/>
      <c r="O51" s="8"/>
    </row>
    <row r="52" spans="2:15" ht="15.75" customHeight="1" x14ac:dyDescent="0.25">
      <c r="B52" s="58" t="s">
        <v>116</v>
      </c>
      <c r="C52" s="569" t="s">
        <v>117</v>
      </c>
      <c r="D52" s="537"/>
      <c r="E52" s="537"/>
      <c r="F52" s="537"/>
      <c r="G52" s="538"/>
      <c r="H52" s="59" t="s">
        <v>118</v>
      </c>
      <c r="I52" s="105" t="s">
        <v>119</v>
      </c>
      <c r="J52" s="61" t="s">
        <v>120</v>
      </c>
      <c r="K52" s="61" t="s">
        <v>121</v>
      </c>
      <c r="L52" s="6"/>
      <c r="M52" s="6"/>
      <c r="N52" s="8"/>
      <c r="O52" s="8"/>
    </row>
    <row r="53" spans="2:15" ht="15.75" customHeight="1" x14ac:dyDescent="0.25">
      <c r="B53" s="14" t="s">
        <v>122</v>
      </c>
      <c r="C53" s="571" t="s">
        <v>123</v>
      </c>
      <c r="D53" s="537"/>
      <c r="E53" s="537"/>
      <c r="F53" s="537"/>
      <c r="G53" s="538"/>
      <c r="H53" s="3">
        <v>220</v>
      </c>
      <c r="I53" s="14" t="s">
        <v>126</v>
      </c>
      <c r="J53" s="66">
        <f>K53/H53</f>
        <v>9.4650454545454537</v>
      </c>
      <c r="K53" s="67">
        <v>2082.31</v>
      </c>
      <c r="L53" s="6"/>
      <c r="M53" s="6"/>
      <c r="N53" s="8"/>
      <c r="O53" s="8"/>
    </row>
    <row r="54" spans="2:15" ht="15.75" customHeight="1" x14ac:dyDescent="0.25">
      <c r="B54" s="548" t="s">
        <v>129</v>
      </c>
      <c r="C54" s="576" t="s">
        <v>178</v>
      </c>
      <c r="D54" s="542"/>
      <c r="E54" s="542"/>
      <c r="F54" s="542"/>
      <c r="G54" s="577"/>
      <c r="H54" s="71">
        <f>H57*H69</f>
        <v>112.66666666666666</v>
      </c>
      <c r="I54" s="14" t="s">
        <v>180</v>
      </c>
      <c r="J54" s="66"/>
      <c r="K54" s="67"/>
      <c r="L54" s="6"/>
      <c r="M54" s="6"/>
      <c r="N54" s="8"/>
      <c r="O54" s="8"/>
    </row>
    <row r="55" spans="2:15" ht="15.75" customHeight="1" x14ac:dyDescent="0.25">
      <c r="B55" s="550"/>
      <c r="C55" s="578"/>
      <c r="D55" s="544"/>
      <c r="E55" s="544"/>
      <c r="F55" s="544"/>
      <c r="G55" s="579"/>
      <c r="H55" s="71">
        <f>H54*8/7</f>
        <v>128.76190476190476</v>
      </c>
      <c r="I55" s="14" t="s">
        <v>181</v>
      </c>
      <c r="J55" s="66">
        <f>J53*0.2</f>
        <v>1.8930090909090909</v>
      </c>
      <c r="K55" s="67">
        <f t="shared" ref="K55:K56" si="7">H55*J55</f>
        <v>243.74745627705627</v>
      </c>
      <c r="L55" s="6"/>
      <c r="M55" s="6"/>
      <c r="N55" s="8"/>
      <c r="O55" s="8"/>
    </row>
    <row r="56" spans="2:15" ht="15.75" customHeight="1" x14ac:dyDescent="0.25">
      <c r="B56" s="36" t="s">
        <v>183</v>
      </c>
      <c r="C56" s="63" t="s">
        <v>130</v>
      </c>
      <c r="D56" s="68"/>
      <c r="E56" s="68"/>
      <c r="F56" s="68"/>
      <c r="G56" s="69"/>
      <c r="H56" s="71">
        <f>7+1/3-H57</f>
        <v>3</v>
      </c>
      <c r="I56" s="14" t="s">
        <v>126</v>
      </c>
      <c r="J56" s="66">
        <f>J53*2</f>
        <v>18.930090909090907</v>
      </c>
      <c r="K56" s="67">
        <f t="shared" si="7"/>
        <v>56.790272727272722</v>
      </c>
      <c r="L56" s="6"/>
      <c r="M56" s="6"/>
      <c r="N56" s="8"/>
      <c r="O56" s="8"/>
    </row>
    <row r="57" spans="2:15" ht="15.75" customHeight="1" x14ac:dyDescent="0.25">
      <c r="B57" s="36" t="s">
        <v>185</v>
      </c>
      <c r="C57" s="63" t="s">
        <v>186</v>
      </c>
      <c r="D57" s="68"/>
      <c r="E57" s="68"/>
      <c r="F57" s="68"/>
      <c r="G57" s="69"/>
      <c r="H57" s="71">
        <f>4+1/3</f>
        <v>4.333333333333333</v>
      </c>
      <c r="I57" s="14" t="s">
        <v>126</v>
      </c>
      <c r="J57" s="66"/>
      <c r="K57" s="67"/>
      <c r="L57" s="6"/>
      <c r="M57" s="6"/>
      <c r="N57" s="8"/>
      <c r="O57" s="8"/>
    </row>
    <row r="58" spans="2:15" ht="15.75" customHeight="1" x14ac:dyDescent="0.25">
      <c r="B58" s="36" t="s">
        <v>188</v>
      </c>
      <c r="C58" s="63" t="s">
        <v>189</v>
      </c>
      <c r="D58" s="68"/>
      <c r="E58" s="68"/>
      <c r="F58" s="68"/>
      <c r="G58" s="69"/>
      <c r="H58" s="71">
        <f>H57*8/7</f>
        <v>4.9523809523809517</v>
      </c>
      <c r="I58" s="14" t="s">
        <v>126</v>
      </c>
      <c r="J58" s="66">
        <f>J53*2*1.2</f>
        <v>22.716109090909089</v>
      </c>
      <c r="K58" s="67">
        <f>H58*J58</f>
        <v>112.49882597402595</v>
      </c>
      <c r="L58" s="6"/>
      <c r="M58" s="6"/>
      <c r="N58" s="8"/>
      <c r="O58" s="8"/>
    </row>
    <row r="59" spans="2:15" ht="15.75" customHeight="1" x14ac:dyDescent="0.25">
      <c r="B59" s="116" t="s">
        <v>192</v>
      </c>
      <c r="C59" s="571" t="s">
        <v>139</v>
      </c>
      <c r="D59" s="537"/>
      <c r="E59" s="537"/>
      <c r="F59" s="537"/>
      <c r="G59" s="538"/>
      <c r="H59" s="71"/>
      <c r="I59" s="14"/>
      <c r="J59" s="66">
        <f>61/304*(SUM(K54:K58))</f>
        <v>82.879045571314649</v>
      </c>
      <c r="K59" s="67">
        <f>J59</f>
        <v>82.879045571314649</v>
      </c>
      <c r="L59" s="6"/>
      <c r="M59" s="6"/>
      <c r="N59" s="8"/>
      <c r="O59" s="8"/>
    </row>
    <row r="60" spans="2:15" ht="15.75" customHeight="1" x14ac:dyDescent="0.25">
      <c r="B60" s="36" t="s">
        <v>134</v>
      </c>
      <c r="C60" s="580" t="s">
        <v>139</v>
      </c>
      <c r="D60" s="537"/>
      <c r="E60" s="537"/>
      <c r="F60" s="537"/>
      <c r="G60" s="538"/>
      <c r="H60" s="3">
        <v>40</v>
      </c>
      <c r="I60" s="14" t="s">
        <v>141</v>
      </c>
      <c r="J60" s="74"/>
      <c r="K60" s="67">
        <f>K53*40%</f>
        <v>832.92399999999998</v>
      </c>
      <c r="L60" s="6"/>
      <c r="M60" s="6"/>
      <c r="N60" s="8"/>
      <c r="O60" s="8"/>
    </row>
    <row r="61" spans="2:15" ht="15.75" customHeight="1" x14ac:dyDescent="0.25">
      <c r="C61" s="570" t="s">
        <v>142</v>
      </c>
      <c r="D61" s="537"/>
      <c r="E61" s="537"/>
      <c r="F61" s="537"/>
      <c r="G61" s="537"/>
      <c r="H61" s="537"/>
      <c r="I61" s="538"/>
      <c r="J61" s="75"/>
      <c r="K61" s="76">
        <f>SUM(K53:K60)</f>
        <v>3411.1496005496692</v>
      </c>
      <c r="L61" s="6"/>
      <c r="M61" s="6"/>
      <c r="N61" s="8"/>
      <c r="O61" s="8"/>
    </row>
    <row r="62" spans="2:15" ht="15.75" customHeight="1" x14ac:dyDescent="0.25">
      <c r="B62" s="61" t="s">
        <v>145</v>
      </c>
      <c r="C62" s="569" t="s">
        <v>146</v>
      </c>
      <c r="D62" s="537"/>
      <c r="E62" s="537"/>
      <c r="F62" s="537"/>
      <c r="G62" s="537"/>
      <c r="H62" s="537"/>
      <c r="I62" s="538"/>
      <c r="J62" s="61" t="s">
        <v>141</v>
      </c>
      <c r="K62" s="61" t="s">
        <v>121</v>
      </c>
      <c r="L62" s="6"/>
      <c r="M62" s="6"/>
      <c r="N62" s="8"/>
      <c r="O62" s="8"/>
    </row>
    <row r="63" spans="2:15" ht="15.75" customHeight="1" x14ac:dyDescent="0.25">
      <c r="B63" s="14" t="s">
        <v>147</v>
      </c>
      <c r="C63" s="571" t="s">
        <v>148</v>
      </c>
      <c r="D63" s="537"/>
      <c r="E63" s="537"/>
      <c r="F63" s="537"/>
      <c r="G63" s="537"/>
      <c r="H63" s="537"/>
      <c r="I63" s="538"/>
      <c r="J63" s="78">
        <f>'7 - ENCARGOS SOCIAIS'!$D$13</f>
        <v>0.36800000000000005</v>
      </c>
      <c r="K63" s="67">
        <f t="shared" ref="K63:K66" si="8">J63*$K$61</f>
        <v>1255.3030530022784</v>
      </c>
      <c r="L63" s="6"/>
      <c r="M63" s="6"/>
      <c r="N63" s="8"/>
      <c r="O63" s="8"/>
    </row>
    <row r="64" spans="2:15" ht="15.75" customHeight="1" x14ac:dyDescent="0.25">
      <c r="B64" s="14" t="s">
        <v>150</v>
      </c>
      <c r="C64" s="571" t="s">
        <v>151</v>
      </c>
      <c r="D64" s="537"/>
      <c r="E64" s="537"/>
      <c r="F64" s="537"/>
      <c r="G64" s="537"/>
      <c r="H64" s="537"/>
      <c r="I64" s="538"/>
      <c r="J64" s="78">
        <f>'7 - ENCARGOS SOCIAIS'!$D$21</f>
        <v>0.15387245147090212</v>
      </c>
      <c r="K64" s="67">
        <f t="shared" si="8"/>
        <v>524.88195137056607</v>
      </c>
      <c r="L64" s="6"/>
      <c r="M64" s="6"/>
      <c r="N64" s="8"/>
      <c r="O64" s="8"/>
    </row>
    <row r="65" spans="2:15" ht="15.75" customHeight="1" x14ac:dyDescent="0.25">
      <c r="B65" s="14" t="s">
        <v>152</v>
      </c>
      <c r="C65" s="571" t="s">
        <v>153</v>
      </c>
      <c r="D65" s="537"/>
      <c r="E65" s="537"/>
      <c r="F65" s="537"/>
      <c r="G65" s="537"/>
      <c r="H65" s="537"/>
      <c r="I65" s="538"/>
      <c r="J65" s="78">
        <f>'7 - ENCARGOS SOCIAIS'!$D$28</f>
        <v>0.12666581537651095</v>
      </c>
      <c r="K65" s="67">
        <f t="shared" si="8"/>
        <v>432.07604552488345</v>
      </c>
      <c r="L65" s="6"/>
      <c r="M65" s="6"/>
      <c r="N65" s="8"/>
      <c r="O65" s="8"/>
    </row>
    <row r="66" spans="2:15" ht="15.75" customHeight="1" x14ac:dyDescent="0.25">
      <c r="B66" s="14" t="s">
        <v>155</v>
      </c>
      <c r="C66" s="571" t="s">
        <v>156</v>
      </c>
      <c r="D66" s="537"/>
      <c r="E66" s="537"/>
      <c r="F66" s="537"/>
      <c r="G66" s="537"/>
      <c r="H66" s="537"/>
      <c r="I66" s="538"/>
      <c r="J66" s="78">
        <f>'7 - ENCARGOS SOCIAIS'!$D$32</f>
        <v>5.9231502118822603E-2</v>
      </c>
      <c r="K66" s="67">
        <f t="shared" si="8"/>
        <v>202.0475147925786</v>
      </c>
      <c r="L66" s="6"/>
      <c r="M66" s="6"/>
      <c r="N66" s="8"/>
      <c r="O66" s="8"/>
    </row>
    <row r="67" spans="2:15" ht="15.75" customHeight="1" x14ac:dyDescent="0.25">
      <c r="B67" s="17"/>
      <c r="C67" s="552" t="s">
        <v>157</v>
      </c>
      <c r="D67" s="537"/>
      <c r="E67" s="537"/>
      <c r="F67" s="537"/>
      <c r="G67" s="537"/>
      <c r="H67" s="537"/>
      <c r="I67" s="538"/>
      <c r="J67" s="83">
        <f t="shared" ref="J67:K67" si="9">SUM(J63:J66)</f>
        <v>0.70776976896623567</v>
      </c>
      <c r="K67" s="84">
        <f t="shared" si="9"/>
        <v>2414.3085646903064</v>
      </c>
      <c r="L67" s="6"/>
      <c r="M67" s="6"/>
      <c r="N67" s="8"/>
      <c r="O67" s="8"/>
    </row>
    <row r="68" spans="2:15" ht="30" customHeight="1" x14ac:dyDescent="0.25">
      <c r="B68" s="61" t="s">
        <v>158</v>
      </c>
      <c r="C68" s="572" t="s">
        <v>159</v>
      </c>
      <c r="D68" s="537"/>
      <c r="E68" s="537"/>
      <c r="F68" s="537"/>
      <c r="G68" s="538"/>
      <c r="H68" s="59" t="s">
        <v>160</v>
      </c>
      <c r="I68" s="61" t="s">
        <v>120</v>
      </c>
      <c r="J68" s="61" t="s">
        <v>161</v>
      </c>
      <c r="K68" s="61" t="s">
        <v>121</v>
      </c>
      <c r="L68" s="6"/>
      <c r="M68" s="6"/>
      <c r="N68" s="8"/>
      <c r="O68" s="8"/>
    </row>
    <row r="69" spans="2:15" ht="15" customHeight="1" x14ac:dyDescent="0.25">
      <c r="B69" s="14" t="s">
        <v>162</v>
      </c>
      <c r="C69" s="561" t="s">
        <v>163</v>
      </c>
      <c r="D69" s="537"/>
      <c r="E69" s="537"/>
      <c r="F69" s="537"/>
      <c r="G69" s="538"/>
      <c r="H69" s="14">
        <v>26</v>
      </c>
      <c r="I69" s="88">
        <v>27.15</v>
      </c>
      <c r="J69" s="89">
        <v>0.19</v>
      </c>
      <c r="K69" s="31">
        <f>(H69*I69)-((H69*I69)*J69)</f>
        <v>571.779</v>
      </c>
      <c r="L69" s="6"/>
      <c r="M69" s="6"/>
      <c r="N69" s="8"/>
      <c r="O69" s="8"/>
    </row>
    <row r="70" spans="2:15" ht="15.75" customHeight="1" x14ac:dyDescent="0.25">
      <c r="B70" s="14" t="s">
        <v>164</v>
      </c>
      <c r="C70" s="571" t="s">
        <v>165</v>
      </c>
      <c r="D70" s="537"/>
      <c r="E70" s="537"/>
      <c r="F70" s="537"/>
      <c r="G70" s="538"/>
      <c r="H70" s="14">
        <f>H69*4</f>
        <v>104</v>
      </c>
      <c r="I70" s="93">
        <v>6.25</v>
      </c>
      <c r="J70" s="89">
        <v>0.06</v>
      </c>
      <c r="K70" s="31">
        <f>(H70*I70)-(K53*J70)</f>
        <v>525.06140000000005</v>
      </c>
      <c r="L70" s="6"/>
      <c r="M70" s="6"/>
      <c r="N70" s="8"/>
      <c r="O70" s="8"/>
    </row>
    <row r="71" spans="2:15" ht="15" customHeight="1" x14ac:dyDescent="0.25">
      <c r="B71" s="14" t="s">
        <v>166</v>
      </c>
      <c r="C71" s="571" t="s">
        <v>167</v>
      </c>
      <c r="D71" s="537"/>
      <c r="E71" s="537"/>
      <c r="F71" s="537"/>
      <c r="G71" s="538"/>
      <c r="H71" s="3">
        <v>1</v>
      </c>
      <c r="I71" s="88">
        <v>25.52</v>
      </c>
      <c r="J71" s="26"/>
      <c r="K71" s="94">
        <f t="shared" ref="K71:K72" si="10">I71</f>
        <v>25.52</v>
      </c>
      <c r="L71" s="6"/>
      <c r="M71" s="6"/>
      <c r="N71" s="8"/>
      <c r="O71" s="8"/>
    </row>
    <row r="72" spans="2:15" ht="15.75" customHeight="1" x14ac:dyDescent="0.25">
      <c r="B72" s="36" t="s">
        <v>168</v>
      </c>
      <c r="C72" s="580" t="s">
        <v>207</v>
      </c>
      <c r="D72" s="537"/>
      <c r="E72" s="537"/>
      <c r="F72" s="537"/>
      <c r="G72" s="538"/>
      <c r="H72" s="3">
        <v>1</v>
      </c>
      <c r="I72" s="88">
        <v>80</v>
      </c>
      <c r="J72" s="26"/>
      <c r="K72" s="94">
        <f t="shared" si="10"/>
        <v>80</v>
      </c>
      <c r="L72" s="6"/>
      <c r="M72" s="6"/>
      <c r="N72" s="8"/>
      <c r="O72" s="8"/>
    </row>
    <row r="73" spans="2:15" ht="15.75" customHeight="1" x14ac:dyDescent="0.25">
      <c r="B73" s="26"/>
      <c r="C73" s="570" t="s">
        <v>170</v>
      </c>
      <c r="D73" s="537"/>
      <c r="E73" s="537"/>
      <c r="F73" s="537"/>
      <c r="G73" s="537"/>
      <c r="H73" s="537"/>
      <c r="I73" s="538"/>
      <c r="J73" s="75"/>
      <c r="K73" s="45">
        <f>SUM(K69:K72)</f>
        <v>1202.3604</v>
      </c>
      <c r="L73" s="6"/>
      <c r="M73" s="6"/>
      <c r="N73" s="8"/>
      <c r="O73" s="8"/>
    </row>
    <row r="74" spans="2:15" ht="15.75" customHeight="1" x14ac:dyDescent="0.25">
      <c r="B74" s="563" t="s">
        <v>209</v>
      </c>
      <c r="C74" s="564"/>
      <c r="D74" s="564"/>
      <c r="E74" s="564"/>
      <c r="F74" s="564"/>
      <c r="G74" s="564"/>
      <c r="H74" s="564"/>
      <c r="I74" s="564"/>
      <c r="J74" s="565"/>
      <c r="K74" s="95">
        <f>K73+K67+K61</f>
        <v>7027.8185652399752</v>
      </c>
      <c r="L74" s="6"/>
      <c r="M74" s="6"/>
      <c r="N74" s="8"/>
      <c r="O74" s="8"/>
    </row>
    <row r="75" spans="2:15" ht="15.75" customHeight="1" x14ac:dyDescent="0.25">
      <c r="B75" s="574" t="s">
        <v>172</v>
      </c>
      <c r="C75" s="535"/>
      <c r="D75" s="535"/>
      <c r="E75" s="535"/>
      <c r="F75" s="535"/>
      <c r="G75" s="535"/>
      <c r="H75" s="575"/>
      <c r="I75" s="99">
        <f>H8</f>
        <v>27</v>
      </c>
      <c r="J75" s="99" t="s">
        <v>173</v>
      </c>
      <c r="K75" s="101">
        <f>K74*I75</f>
        <v>189751.10126147934</v>
      </c>
      <c r="L75" s="6"/>
      <c r="M75" s="6"/>
      <c r="N75" s="8"/>
      <c r="O75" s="8"/>
    </row>
    <row r="76" spans="2:15" ht="15.75" customHeight="1" x14ac:dyDescent="0.25">
      <c r="L76" s="6"/>
      <c r="M76" s="6"/>
      <c r="N76" s="8"/>
      <c r="O76" s="8"/>
    </row>
    <row r="77" spans="2:15" ht="15.75" customHeight="1" x14ac:dyDescent="0.25">
      <c r="B77" s="568" t="s">
        <v>213</v>
      </c>
      <c r="C77" s="537"/>
      <c r="D77" s="537"/>
      <c r="E77" s="537"/>
      <c r="F77" s="537"/>
      <c r="G77" s="537"/>
      <c r="H77" s="537"/>
      <c r="I77" s="537"/>
      <c r="J77" s="537"/>
      <c r="K77" s="538"/>
      <c r="L77" s="6"/>
      <c r="M77" s="6"/>
      <c r="N77" s="8"/>
      <c r="O77" s="8"/>
    </row>
    <row r="78" spans="2:15" ht="15.75" customHeight="1" x14ac:dyDescent="0.25">
      <c r="B78" s="58" t="s">
        <v>116</v>
      </c>
      <c r="C78" s="569" t="s">
        <v>117</v>
      </c>
      <c r="D78" s="537"/>
      <c r="E78" s="537"/>
      <c r="F78" s="537"/>
      <c r="G78" s="538"/>
      <c r="H78" s="59" t="s">
        <v>118</v>
      </c>
      <c r="I78" s="105" t="s">
        <v>119</v>
      </c>
      <c r="J78" s="61" t="s">
        <v>120</v>
      </c>
      <c r="K78" s="61" t="s">
        <v>121</v>
      </c>
      <c r="L78" s="6"/>
      <c r="M78" s="6"/>
      <c r="N78" s="8"/>
      <c r="O78" s="8"/>
    </row>
    <row r="79" spans="2:15" ht="15.75" customHeight="1" x14ac:dyDescent="0.25">
      <c r="B79" s="14" t="s">
        <v>122</v>
      </c>
      <c r="C79" s="571" t="s">
        <v>123</v>
      </c>
      <c r="D79" s="537"/>
      <c r="E79" s="537"/>
      <c r="F79" s="537"/>
      <c r="G79" s="538"/>
      <c r="H79" s="3">
        <v>220</v>
      </c>
      <c r="I79" s="14" t="s">
        <v>126</v>
      </c>
      <c r="J79" s="66">
        <f>K79/H79</f>
        <v>11.441227272727273</v>
      </c>
      <c r="K79" s="67">
        <f>'6 - DADOS CC MO'!E22</f>
        <v>2517.0700000000002</v>
      </c>
      <c r="L79" s="6"/>
      <c r="M79" s="6"/>
      <c r="N79" s="8"/>
      <c r="O79" s="8"/>
    </row>
    <row r="80" spans="2:15" ht="15.75" customHeight="1" x14ac:dyDescent="0.25">
      <c r="B80" s="36" t="s">
        <v>195</v>
      </c>
      <c r="C80" s="63" t="s">
        <v>130</v>
      </c>
      <c r="D80" s="68"/>
      <c r="E80" s="68"/>
      <c r="F80" s="68"/>
      <c r="G80" s="69"/>
      <c r="H80" s="71">
        <f>7+1/3</f>
        <v>7.333333333333333</v>
      </c>
      <c r="I80" s="14" t="s">
        <v>126</v>
      </c>
      <c r="J80" s="66">
        <f>J79*2</f>
        <v>22.882454545454546</v>
      </c>
      <c r="K80" s="67">
        <f>H80*J80</f>
        <v>167.80466666666666</v>
      </c>
      <c r="L80" s="6"/>
      <c r="M80" s="6"/>
      <c r="N80" s="8"/>
      <c r="O80" s="8"/>
    </row>
    <row r="81" spans="2:15" ht="15.75" customHeight="1" x14ac:dyDescent="0.25">
      <c r="B81" s="36" t="s">
        <v>198</v>
      </c>
      <c r="C81" s="63" t="s">
        <v>135</v>
      </c>
      <c r="D81" s="68"/>
      <c r="E81" s="68"/>
      <c r="F81" s="68"/>
      <c r="G81" s="69"/>
      <c r="H81" s="71"/>
      <c r="I81" s="14"/>
      <c r="J81" s="66">
        <f>61/304*(SUM(K80))</f>
        <v>33.67133114035088</v>
      </c>
      <c r="K81" s="67">
        <f>J81</f>
        <v>33.67133114035088</v>
      </c>
      <c r="L81" s="6"/>
      <c r="M81" s="6"/>
      <c r="N81" s="8"/>
      <c r="O81" s="8"/>
    </row>
    <row r="82" spans="2:15" ht="15.75" customHeight="1" x14ac:dyDescent="0.25">
      <c r="B82" s="14" t="s">
        <v>129</v>
      </c>
      <c r="C82" s="571" t="s">
        <v>139</v>
      </c>
      <c r="D82" s="537"/>
      <c r="E82" s="537"/>
      <c r="F82" s="537"/>
      <c r="G82" s="538"/>
      <c r="H82" s="3">
        <v>40</v>
      </c>
      <c r="I82" s="14" t="s">
        <v>141</v>
      </c>
      <c r="J82" s="74"/>
      <c r="K82" s="67">
        <f>K79*40%</f>
        <v>1006.8280000000001</v>
      </c>
      <c r="L82" s="6"/>
      <c r="M82" s="6"/>
      <c r="N82" s="8"/>
      <c r="O82" s="8"/>
    </row>
    <row r="83" spans="2:15" ht="15.75" customHeight="1" x14ac:dyDescent="0.25">
      <c r="B83" s="3"/>
      <c r="C83" s="570" t="s">
        <v>142</v>
      </c>
      <c r="D83" s="537"/>
      <c r="E83" s="537"/>
      <c r="F83" s="537"/>
      <c r="G83" s="537"/>
      <c r="H83" s="537"/>
      <c r="I83" s="538"/>
      <c r="J83" s="75"/>
      <c r="K83" s="76">
        <f>SUM(K79:K82)</f>
        <v>3725.3739978070175</v>
      </c>
      <c r="L83" s="6"/>
      <c r="M83" s="6"/>
      <c r="N83" s="8"/>
      <c r="O83" s="8"/>
    </row>
    <row r="84" spans="2:15" ht="15.75" customHeight="1" x14ac:dyDescent="0.25">
      <c r="B84" s="61" t="s">
        <v>145</v>
      </c>
      <c r="C84" s="569" t="s">
        <v>146</v>
      </c>
      <c r="D84" s="537"/>
      <c r="E84" s="537"/>
      <c r="F84" s="537"/>
      <c r="G84" s="537"/>
      <c r="H84" s="537"/>
      <c r="I84" s="538"/>
      <c r="J84" s="61" t="s">
        <v>141</v>
      </c>
      <c r="K84" s="61" t="s">
        <v>121</v>
      </c>
      <c r="L84" s="6"/>
      <c r="M84" s="6"/>
      <c r="N84" s="8"/>
      <c r="O84" s="8"/>
    </row>
    <row r="85" spans="2:15" ht="15.75" customHeight="1" x14ac:dyDescent="0.25">
      <c r="B85" s="14" t="s">
        <v>147</v>
      </c>
      <c r="C85" s="571" t="s">
        <v>148</v>
      </c>
      <c r="D85" s="537"/>
      <c r="E85" s="537"/>
      <c r="F85" s="537"/>
      <c r="G85" s="537"/>
      <c r="H85" s="537"/>
      <c r="I85" s="538"/>
      <c r="J85" s="78">
        <f>'7 - ENCARGOS SOCIAIS'!$D$13</f>
        <v>0.36800000000000005</v>
      </c>
      <c r="K85" s="67">
        <f t="shared" ref="K85:K88" si="11">J85*$K$83</f>
        <v>1370.9376311929827</v>
      </c>
      <c r="L85" s="6"/>
      <c r="M85" s="6"/>
      <c r="N85" s="8"/>
      <c r="O85" s="8"/>
    </row>
    <row r="86" spans="2:15" ht="15.75" customHeight="1" x14ac:dyDescent="0.25">
      <c r="B86" s="14" t="s">
        <v>150</v>
      </c>
      <c r="C86" s="571" t="s">
        <v>151</v>
      </c>
      <c r="D86" s="537"/>
      <c r="E86" s="537"/>
      <c r="F86" s="537"/>
      <c r="G86" s="537"/>
      <c r="H86" s="537"/>
      <c r="I86" s="538"/>
      <c r="J86" s="78">
        <f>'7 - ENCARGOS SOCIAIS'!$D$21</f>
        <v>0.15387245147090212</v>
      </c>
      <c r="K86" s="67">
        <f t="shared" si="11"/>
        <v>573.23242968852094</v>
      </c>
      <c r="L86" s="6"/>
      <c r="M86" s="6"/>
      <c r="N86" s="8"/>
      <c r="O86" s="8"/>
    </row>
    <row r="87" spans="2:15" ht="15.75" customHeight="1" x14ac:dyDescent="0.25">
      <c r="B87" s="14" t="s">
        <v>152</v>
      </c>
      <c r="C87" s="571" t="s">
        <v>153</v>
      </c>
      <c r="D87" s="537"/>
      <c r="E87" s="537"/>
      <c r="F87" s="537"/>
      <c r="G87" s="537"/>
      <c r="H87" s="537"/>
      <c r="I87" s="538"/>
      <c r="J87" s="78">
        <f>'7 - ENCARGOS SOCIAIS'!$D$28</f>
        <v>0.12666581537651095</v>
      </c>
      <c r="K87" s="67">
        <f t="shared" si="11"/>
        <v>471.87753501467819</v>
      </c>
      <c r="L87" s="6"/>
      <c r="M87" s="6"/>
      <c r="N87" s="8"/>
      <c r="O87" s="8"/>
    </row>
    <row r="88" spans="2:15" ht="15" customHeight="1" x14ac:dyDescent="0.25">
      <c r="B88" s="14" t="s">
        <v>155</v>
      </c>
      <c r="C88" s="571" t="s">
        <v>156</v>
      </c>
      <c r="D88" s="537"/>
      <c r="E88" s="537"/>
      <c r="F88" s="537"/>
      <c r="G88" s="537"/>
      <c r="H88" s="537"/>
      <c r="I88" s="538"/>
      <c r="J88" s="78">
        <f>'7 - ENCARGOS SOCIAIS'!$D$32</f>
        <v>5.9231502118822603E-2</v>
      </c>
      <c r="K88" s="67">
        <f t="shared" si="11"/>
        <v>220.659497844513</v>
      </c>
      <c r="L88" s="6"/>
      <c r="M88" s="6"/>
      <c r="N88" s="8"/>
      <c r="O88" s="8"/>
    </row>
    <row r="89" spans="2:15" ht="15.75" customHeight="1" x14ac:dyDescent="0.25">
      <c r="B89" s="17"/>
      <c r="C89" s="552" t="s">
        <v>157</v>
      </c>
      <c r="D89" s="537"/>
      <c r="E89" s="537"/>
      <c r="F89" s="537"/>
      <c r="G89" s="537"/>
      <c r="H89" s="537"/>
      <c r="I89" s="538"/>
      <c r="J89" s="83">
        <f t="shared" ref="J89:K89" si="12">SUM(J85:J88)</f>
        <v>0.70776976896623567</v>
      </c>
      <c r="K89" s="84">
        <f t="shared" si="12"/>
        <v>2636.7070937406943</v>
      </c>
      <c r="L89" s="6"/>
      <c r="M89" s="6"/>
      <c r="N89" s="8"/>
      <c r="O89" s="8"/>
    </row>
    <row r="90" spans="2:15" ht="35.25" customHeight="1" x14ac:dyDescent="0.25">
      <c r="B90" s="61" t="s">
        <v>158</v>
      </c>
      <c r="C90" s="572" t="s">
        <v>159</v>
      </c>
      <c r="D90" s="537"/>
      <c r="E90" s="537"/>
      <c r="F90" s="537"/>
      <c r="G90" s="538"/>
      <c r="H90" s="59" t="s">
        <v>160</v>
      </c>
      <c r="I90" s="61" t="s">
        <v>120</v>
      </c>
      <c r="J90" s="61" t="s">
        <v>161</v>
      </c>
      <c r="K90" s="61" t="s">
        <v>121</v>
      </c>
      <c r="L90" s="6"/>
      <c r="M90" s="6"/>
      <c r="N90" s="8"/>
      <c r="O90" s="8"/>
    </row>
    <row r="91" spans="2:15" ht="15.75" customHeight="1" x14ac:dyDescent="0.25">
      <c r="B91" s="14" t="s">
        <v>162</v>
      </c>
      <c r="C91" s="571" t="s">
        <v>174</v>
      </c>
      <c r="D91" s="537"/>
      <c r="E91" s="537"/>
      <c r="F91" s="537"/>
      <c r="G91" s="538"/>
      <c r="H91" s="14">
        <v>26</v>
      </c>
      <c r="I91" s="88">
        <v>27.15</v>
      </c>
      <c r="J91" s="89">
        <v>0.19</v>
      </c>
      <c r="K91" s="31">
        <f>(H91*I91)-((H91*I91)*J91)</f>
        <v>571.779</v>
      </c>
      <c r="L91" s="6"/>
      <c r="M91" s="6"/>
      <c r="N91" s="8"/>
      <c r="O91" s="8"/>
    </row>
    <row r="92" spans="2:15" ht="15.75" customHeight="1" x14ac:dyDescent="0.25">
      <c r="B92" s="14" t="s">
        <v>164</v>
      </c>
      <c r="C92" s="571" t="s">
        <v>176</v>
      </c>
      <c r="D92" s="537"/>
      <c r="E92" s="537"/>
      <c r="F92" s="537"/>
      <c r="G92" s="538"/>
      <c r="H92" s="14">
        <f>H91*4</f>
        <v>104</v>
      </c>
      <c r="I92" s="93">
        <v>6.25</v>
      </c>
      <c r="J92" s="89">
        <v>0.06</v>
      </c>
      <c r="K92" s="31">
        <f>(H92*I92)-(K79*J92)</f>
        <v>498.97579999999999</v>
      </c>
      <c r="L92" s="6"/>
      <c r="M92" s="6"/>
      <c r="N92" s="8"/>
      <c r="O92" s="8"/>
    </row>
    <row r="93" spans="2:15" ht="15.75" customHeight="1" x14ac:dyDescent="0.25">
      <c r="B93" s="14" t="s">
        <v>166</v>
      </c>
      <c r="C93" s="571" t="s">
        <v>225</v>
      </c>
      <c r="D93" s="537"/>
      <c r="E93" s="537"/>
      <c r="F93" s="537"/>
      <c r="G93" s="538"/>
      <c r="H93" s="14">
        <v>1</v>
      </c>
      <c r="I93" s="93">
        <v>121.34</v>
      </c>
      <c r="J93" s="78"/>
      <c r="K93" s="31">
        <f>I93</f>
        <v>121.34</v>
      </c>
      <c r="L93" s="6"/>
      <c r="M93" s="6"/>
      <c r="N93" s="8"/>
      <c r="O93" s="8"/>
    </row>
    <row r="94" spans="2:15" ht="15.75" customHeight="1" x14ac:dyDescent="0.25">
      <c r="B94" s="26"/>
      <c r="C94" s="570" t="s">
        <v>170</v>
      </c>
      <c r="D94" s="537"/>
      <c r="E94" s="537"/>
      <c r="F94" s="537"/>
      <c r="G94" s="537"/>
      <c r="H94" s="537"/>
      <c r="I94" s="538"/>
      <c r="J94" s="75"/>
      <c r="K94" s="45">
        <f>SUM(K91:K93)</f>
        <v>1192.0947999999999</v>
      </c>
      <c r="L94" s="6"/>
      <c r="M94" s="6"/>
      <c r="N94" s="8"/>
      <c r="O94" s="8"/>
    </row>
    <row r="95" spans="2:15" ht="15.75" customHeight="1" x14ac:dyDescent="0.25">
      <c r="B95" s="563" t="s">
        <v>226</v>
      </c>
      <c r="C95" s="564"/>
      <c r="D95" s="564"/>
      <c r="E95" s="564"/>
      <c r="F95" s="564"/>
      <c r="G95" s="564"/>
      <c r="H95" s="564"/>
      <c r="I95" s="564"/>
      <c r="J95" s="565"/>
      <c r="K95" s="95">
        <f>K94+K89+K83</f>
        <v>7554.1758915477112</v>
      </c>
      <c r="L95" s="6"/>
      <c r="M95" s="6"/>
      <c r="N95" s="8"/>
      <c r="O95" s="8"/>
    </row>
    <row r="96" spans="2:15" ht="15.75" customHeight="1" x14ac:dyDescent="0.25">
      <c r="B96" s="574" t="s">
        <v>172</v>
      </c>
      <c r="C96" s="535"/>
      <c r="D96" s="535"/>
      <c r="E96" s="535"/>
      <c r="F96" s="535"/>
      <c r="G96" s="535"/>
      <c r="H96" s="575"/>
      <c r="I96" s="99">
        <f>H9</f>
        <v>9</v>
      </c>
      <c r="J96" s="99" t="s">
        <v>173</v>
      </c>
      <c r="K96" s="101">
        <f>K95*I96</f>
        <v>67987.583023929401</v>
      </c>
      <c r="L96" s="6"/>
      <c r="M96" s="6"/>
      <c r="N96" s="8"/>
      <c r="O96" s="8"/>
    </row>
    <row r="97" spans="2:15" ht="15.75" customHeight="1" x14ac:dyDescent="0.25">
      <c r="L97" s="6"/>
      <c r="M97" s="6"/>
      <c r="N97" s="8"/>
      <c r="O97" s="8"/>
    </row>
    <row r="98" spans="2:15" ht="15.75" customHeight="1" x14ac:dyDescent="0.25">
      <c r="B98" s="568" t="s">
        <v>228</v>
      </c>
      <c r="C98" s="537"/>
      <c r="D98" s="537"/>
      <c r="E98" s="537"/>
      <c r="F98" s="537"/>
      <c r="G98" s="537"/>
      <c r="H98" s="537"/>
      <c r="I98" s="537"/>
      <c r="J98" s="537"/>
      <c r="K98" s="538"/>
      <c r="L98" s="6"/>
      <c r="M98" s="6"/>
      <c r="N98" s="8"/>
      <c r="O98" s="8"/>
    </row>
    <row r="99" spans="2:15" ht="15.75" customHeight="1" x14ac:dyDescent="0.25">
      <c r="B99" s="58" t="s">
        <v>116</v>
      </c>
      <c r="C99" s="569" t="s">
        <v>117</v>
      </c>
      <c r="D99" s="537"/>
      <c r="E99" s="537"/>
      <c r="F99" s="537"/>
      <c r="G99" s="538"/>
      <c r="H99" s="59" t="s">
        <v>118</v>
      </c>
      <c r="I99" s="105" t="s">
        <v>119</v>
      </c>
      <c r="J99" s="61" t="s">
        <v>120</v>
      </c>
      <c r="K99" s="61" t="s">
        <v>121</v>
      </c>
      <c r="L99" s="6"/>
      <c r="M99" s="6"/>
      <c r="N99" s="8"/>
      <c r="O99" s="8"/>
    </row>
    <row r="100" spans="2:15" ht="15.75" customHeight="1" x14ac:dyDescent="0.25">
      <c r="B100" s="36" t="s">
        <v>122</v>
      </c>
      <c r="C100" s="580" t="s">
        <v>123</v>
      </c>
      <c r="D100" s="537"/>
      <c r="E100" s="537"/>
      <c r="F100" s="537"/>
      <c r="G100" s="538"/>
      <c r="H100" s="33">
        <v>220</v>
      </c>
      <c r="I100" s="36" t="s">
        <v>126</v>
      </c>
      <c r="J100" s="118">
        <f>K100/H100</f>
        <v>11.441227272727273</v>
      </c>
      <c r="K100" s="128">
        <f>'6 - DADOS CC MO'!E22</f>
        <v>2517.0700000000002</v>
      </c>
      <c r="L100" s="6"/>
      <c r="M100" s="6"/>
      <c r="N100" s="8"/>
      <c r="O100" s="8"/>
    </row>
    <row r="101" spans="2:15" ht="15.75" customHeight="1" x14ac:dyDescent="0.25">
      <c r="B101" s="583" t="s">
        <v>129</v>
      </c>
      <c r="C101" s="584" t="s">
        <v>178</v>
      </c>
      <c r="D101" s="542"/>
      <c r="E101" s="542"/>
      <c r="F101" s="542"/>
      <c r="G101" s="577"/>
      <c r="H101" s="121">
        <v>112.67</v>
      </c>
      <c r="I101" s="36" t="s">
        <v>180</v>
      </c>
      <c r="J101" s="118"/>
      <c r="K101" s="128"/>
      <c r="L101" s="6"/>
      <c r="M101" s="6"/>
      <c r="N101" s="8"/>
      <c r="O101" s="8"/>
    </row>
    <row r="102" spans="2:15" ht="15.75" customHeight="1" x14ac:dyDescent="0.25">
      <c r="B102" s="550"/>
      <c r="C102" s="578"/>
      <c r="D102" s="544"/>
      <c r="E102" s="544"/>
      <c r="F102" s="544"/>
      <c r="G102" s="579"/>
      <c r="H102" s="121">
        <f>H101*8/7</f>
        <v>128.7657142857143</v>
      </c>
      <c r="I102" s="33" t="s">
        <v>181</v>
      </c>
      <c r="J102" s="102">
        <f>J100*0.4</f>
        <v>4.5764909090909098</v>
      </c>
      <c r="K102" s="128">
        <f t="shared" ref="K102:K103" si="13">J102*H102</f>
        <v>589.29512083116902</v>
      </c>
      <c r="L102" s="6"/>
      <c r="M102" s="6"/>
      <c r="N102" s="8"/>
      <c r="O102" s="8"/>
    </row>
    <row r="103" spans="2:15" ht="15.75" customHeight="1" x14ac:dyDescent="0.25">
      <c r="B103" s="36" t="s">
        <v>183</v>
      </c>
      <c r="C103" s="50" t="s">
        <v>130</v>
      </c>
      <c r="D103" s="119"/>
      <c r="E103" s="119"/>
      <c r="F103" s="119"/>
      <c r="G103" s="129"/>
      <c r="H103" s="121">
        <f>7+1/3-H104</f>
        <v>3</v>
      </c>
      <c r="I103" s="33" t="s">
        <v>126</v>
      </c>
      <c r="J103" s="130">
        <f>J100*2</f>
        <v>22.882454545454546</v>
      </c>
      <c r="K103" s="128">
        <f t="shared" si="13"/>
        <v>68.647363636363636</v>
      </c>
      <c r="L103" s="6"/>
      <c r="M103" s="6"/>
      <c r="N103" s="8"/>
      <c r="O103" s="8"/>
    </row>
    <row r="104" spans="2:15" ht="15.75" customHeight="1" x14ac:dyDescent="0.25">
      <c r="B104" s="36" t="s">
        <v>185</v>
      </c>
      <c r="C104" s="50" t="s">
        <v>231</v>
      </c>
      <c r="D104" s="119"/>
      <c r="E104" s="119"/>
      <c r="F104" s="119"/>
      <c r="G104" s="129"/>
      <c r="H104" s="121">
        <f>4+1/3</f>
        <v>4.333333333333333</v>
      </c>
      <c r="I104" s="33" t="s">
        <v>126</v>
      </c>
      <c r="J104" s="33"/>
      <c r="K104" s="128"/>
      <c r="L104" s="6"/>
      <c r="M104" s="6"/>
      <c r="N104" s="8"/>
      <c r="O104" s="8"/>
    </row>
    <row r="105" spans="2:15" ht="15.75" customHeight="1" x14ac:dyDescent="0.25">
      <c r="B105" s="36" t="s">
        <v>188</v>
      </c>
      <c r="C105" s="50" t="s">
        <v>189</v>
      </c>
      <c r="D105" s="119"/>
      <c r="E105" s="119"/>
      <c r="F105" s="119"/>
      <c r="G105" s="129"/>
      <c r="H105" s="121">
        <f>H104*8/7</f>
        <v>4.9523809523809517</v>
      </c>
      <c r="I105" s="33" t="s">
        <v>126</v>
      </c>
      <c r="J105" s="130">
        <f>J100*2*1.4</f>
        <v>32.035436363636364</v>
      </c>
      <c r="K105" s="128">
        <f>J105*H105</f>
        <v>158.65168484848482</v>
      </c>
      <c r="L105" s="6"/>
      <c r="M105" s="6"/>
      <c r="N105" s="8"/>
      <c r="O105" s="8"/>
    </row>
    <row r="106" spans="2:15" ht="15.75" customHeight="1" x14ac:dyDescent="0.25">
      <c r="B106" s="36" t="s">
        <v>192</v>
      </c>
      <c r="C106" s="50" t="s">
        <v>200</v>
      </c>
      <c r="D106" s="119"/>
      <c r="E106" s="119"/>
      <c r="F106" s="119"/>
      <c r="G106" s="120"/>
      <c r="H106" s="33"/>
      <c r="I106" s="7"/>
      <c r="J106" s="130">
        <f>61/304*(SUM(K102:K105))</f>
        <v>163.85606686933247</v>
      </c>
      <c r="K106" s="128">
        <f>J106</f>
        <v>163.85606686933247</v>
      </c>
      <c r="L106" s="6"/>
      <c r="M106" s="6"/>
      <c r="N106" s="8"/>
      <c r="O106" s="8"/>
    </row>
    <row r="107" spans="2:15" ht="15.75" customHeight="1" x14ac:dyDescent="0.25">
      <c r="B107" s="36" t="s">
        <v>134</v>
      </c>
      <c r="C107" s="580" t="s">
        <v>139</v>
      </c>
      <c r="D107" s="537"/>
      <c r="E107" s="537"/>
      <c r="F107" s="537"/>
      <c r="G107" s="538"/>
      <c r="H107" s="33">
        <v>40</v>
      </c>
      <c r="I107" s="36" t="s">
        <v>141</v>
      </c>
      <c r="J107" s="82"/>
      <c r="K107" s="128">
        <f>K100*40%</f>
        <v>1006.8280000000001</v>
      </c>
      <c r="L107" s="6"/>
      <c r="M107" s="6"/>
      <c r="N107" s="8"/>
      <c r="O107" s="8"/>
    </row>
    <row r="108" spans="2:15" ht="15" customHeight="1" x14ac:dyDescent="0.25">
      <c r="B108" s="3"/>
      <c r="C108" s="570" t="s">
        <v>142</v>
      </c>
      <c r="D108" s="537"/>
      <c r="E108" s="537"/>
      <c r="F108" s="537"/>
      <c r="G108" s="537"/>
      <c r="H108" s="537"/>
      <c r="I108" s="538"/>
      <c r="J108" s="75"/>
      <c r="K108" s="76">
        <f>SUM(K100:K107)</f>
        <v>4504.3482361853503</v>
      </c>
      <c r="L108" s="6"/>
      <c r="M108" s="6"/>
      <c r="N108" s="8"/>
      <c r="O108" s="8"/>
    </row>
    <row r="109" spans="2:15" ht="15" customHeight="1" x14ac:dyDescent="0.25">
      <c r="B109" s="61" t="s">
        <v>145</v>
      </c>
      <c r="C109" s="569" t="s">
        <v>146</v>
      </c>
      <c r="D109" s="537"/>
      <c r="E109" s="537"/>
      <c r="F109" s="537"/>
      <c r="G109" s="537"/>
      <c r="H109" s="537"/>
      <c r="I109" s="538"/>
      <c r="J109" s="61" t="s">
        <v>141</v>
      </c>
      <c r="K109" s="61" t="s">
        <v>121</v>
      </c>
      <c r="L109" s="6"/>
      <c r="M109" s="6"/>
      <c r="N109" s="8"/>
      <c r="O109" s="8"/>
    </row>
    <row r="110" spans="2:15" ht="15" customHeight="1" x14ac:dyDescent="0.25">
      <c r="B110" s="14" t="s">
        <v>147</v>
      </c>
      <c r="C110" s="571" t="s">
        <v>148</v>
      </c>
      <c r="D110" s="537"/>
      <c r="E110" s="537"/>
      <c r="F110" s="537"/>
      <c r="G110" s="537"/>
      <c r="H110" s="537"/>
      <c r="I110" s="538"/>
      <c r="J110" s="78">
        <f>'7 - ENCARGOS SOCIAIS'!$D$13</f>
        <v>0.36800000000000005</v>
      </c>
      <c r="K110" s="67">
        <f>J110*K108</f>
        <v>1657.600150916209</v>
      </c>
      <c r="L110" s="6"/>
      <c r="M110" s="6"/>
      <c r="N110" s="8"/>
      <c r="O110" s="8"/>
    </row>
    <row r="111" spans="2:15" ht="15.75" customHeight="1" x14ac:dyDescent="0.25">
      <c r="B111" s="14" t="s">
        <v>150</v>
      </c>
      <c r="C111" s="571" t="s">
        <v>151</v>
      </c>
      <c r="D111" s="537"/>
      <c r="E111" s="537"/>
      <c r="F111" s="537"/>
      <c r="G111" s="537"/>
      <c r="H111" s="537"/>
      <c r="I111" s="538"/>
      <c r="J111" s="78">
        <f>'7 - ENCARGOS SOCIAIS'!$D$21</f>
        <v>0.15387245147090212</v>
      </c>
      <c r="K111" s="67">
        <f>J111*K108</f>
        <v>693.09510538047391</v>
      </c>
      <c r="L111" s="6"/>
      <c r="M111" s="6"/>
      <c r="N111" s="8"/>
      <c r="O111" s="8"/>
    </row>
    <row r="112" spans="2:15" ht="15" customHeight="1" x14ac:dyDescent="0.25">
      <c r="B112" s="14" t="s">
        <v>152</v>
      </c>
      <c r="C112" s="571" t="s">
        <v>153</v>
      </c>
      <c r="D112" s="537"/>
      <c r="E112" s="537"/>
      <c r="F112" s="537"/>
      <c r="G112" s="537"/>
      <c r="H112" s="537"/>
      <c r="I112" s="538"/>
      <c r="J112" s="78">
        <f>'7 - ENCARGOS SOCIAIS'!$D$28</f>
        <v>0.12666581537651095</v>
      </c>
      <c r="K112" s="67">
        <f>J112*K108</f>
        <v>570.54694207616626</v>
      </c>
      <c r="L112" s="6"/>
      <c r="M112" s="6"/>
      <c r="N112" s="8"/>
      <c r="O112" s="8"/>
    </row>
    <row r="113" spans="2:15" ht="15.75" customHeight="1" x14ac:dyDescent="0.25">
      <c r="B113" s="14" t="s">
        <v>155</v>
      </c>
      <c r="C113" s="571" t="s">
        <v>156</v>
      </c>
      <c r="D113" s="537"/>
      <c r="E113" s="537"/>
      <c r="F113" s="537"/>
      <c r="G113" s="537"/>
      <c r="H113" s="537"/>
      <c r="I113" s="538"/>
      <c r="J113" s="78">
        <f>'7 - ENCARGOS SOCIAIS'!$D$32</f>
        <v>5.9231502118822603E-2</v>
      </c>
      <c r="K113" s="67">
        <f>J113*K108</f>
        <v>266.79931209552745</v>
      </c>
      <c r="L113" s="6"/>
      <c r="M113" s="6"/>
      <c r="N113" s="8"/>
      <c r="O113" s="8"/>
    </row>
    <row r="114" spans="2:15" ht="15.75" customHeight="1" x14ac:dyDescent="0.25">
      <c r="B114" s="17"/>
      <c r="C114" s="552" t="s">
        <v>157</v>
      </c>
      <c r="D114" s="537"/>
      <c r="E114" s="537"/>
      <c r="F114" s="537"/>
      <c r="G114" s="537"/>
      <c r="H114" s="537"/>
      <c r="I114" s="538"/>
      <c r="J114" s="83">
        <f t="shared" ref="J114:K114" si="14">SUM(J110:J113)</f>
        <v>0.70776976896623567</v>
      </c>
      <c r="K114" s="84">
        <f t="shared" si="14"/>
        <v>3188.0415104683766</v>
      </c>
      <c r="L114" s="6"/>
      <c r="M114" s="6"/>
      <c r="N114" s="8"/>
      <c r="O114" s="8"/>
    </row>
    <row r="115" spans="2:15" ht="23.25" customHeight="1" x14ac:dyDescent="0.25">
      <c r="B115" s="61" t="s">
        <v>158</v>
      </c>
      <c r="C115" s="572" t="s">
        <v>159</v>
      </c>
      <c r="D115" s="537"/>
      <c r="E115" s="537"/>
      <c r="F115" s="537"/>
      <c r="G115" s="538"/>
      <c r="H115" s="59" t="s">
        <v>160</v>
      </c>
      <c r="I115" s="61" t="s">
        <v>120</v>
      </c>
      <c r="J115" s="61" t="s">
        <v>161</v>
      </c>
      <c r="K115" s="61" t="s">
        <v>121</v>
      </c>
      <c r="L115" s="6"/>
      <c r="M115" s="6"/>
      <c r="N115" s="8"/>
      <c r="O115" s="8"/>
    </row>
    <row r="116" spans="2:15" ht="15.75" customHeight="1" x14ac:dyDescent="0.25">
      <c r="B116" s="14" t="s">
        <v>162</v>
      </c>
      <c r="C116" s="571" t="s">
        <v>174</v>
      </c>
      <c r="D116" s="537"/>
      <c r="E116" s="537"/>
      <c r="F116" s="537"/>
      <c r="G116" s="538"/>
      <c r="H116" s="14">
        <v>26</v>
      </c>
      <c r="I116" s="88">
        <v>27.15</v>
      </c>
      <c r="J116" s="89">
        <v>0.19</v>
      </c>
      <c r="K116" s="31">
        <f>(H116*I116)-((H116*I116)*J116)</f>
        <v>571.779</v>
      </c>
      <c r="L116" s="6"/>
      <c r="M116" s="6"/>
      <c r="N116" s="8"/>
      <c r="O116" s="8"/>
    </row>
    <row r="117" spans="2:15" ht="15.75" customHeight="1" x14ac:dyDescent="0.25">
      <c r="B117" s="14" t="s">
        <v>164</v>
      </c>
      <c r="C117" s="571" t="s">
        <v>176</v>
      </c>
      <c r="D117" s="537"/>
      <c r="E117" s="537"/>
      <c r="F117" s="537"/>
      <c r="G117" s="538"/>
      <c r="H117" s="14">
        <f>H116*4</f>
        <v>104</v>
      </c>
      <c r="I117" s="93">
        <v>6.25</v>
      </c>
      <c r="J117" s="89">
        <v>0.06</v>
      </c>
      <c r="K117" s="31">
        <f>(H117*I117)-(K100*J117)</f>
        <v>498.97579999999999</v>
      </c>
      <c r="L117" s="6"/>
      <c r="M117" s="6"/>
      <c r="N117" s="8"/>
      <c r="O117" s="8"/>
    </row>
    <row r="118" spans="2:15" ht="15.75" customHeight="1" x14ac:dyDescent="0.25">
      <c r="B118" s="14" t="s">
        <v>166</v>
      </c>
      <c r="C118" s="571" t="s">
        <v>225</v>
      </c>
      <c r="D118" s="537"/>
      <c r="E118" s="537"/>
      <c r="F118" s="537"/>
      <c r="G118" s="538"/>
      <c r="H118" s="14">
        <v>1</v>
      </c>
      <c r="I118" s="93">
        <v>121.34</v>
      </c>
      <c r="J118" s="78"/>
      <c r="K118" s="31">
        <f>I118</f>
        <v>121.34</v>
      </c>
      <c r="L118" s="6"/>
      <c r="M118" s="6"/>
      <c r="N118" s="8"/>
      <c r="O118" s="8"/>
    </row>
    <row r="119" spans="2:15" ht="15.75" customHeight="1" x14ac:dyDescent="0.25">
      <c r="B119" s="26"/>
      <c r="C119" s="570" t="s">
        <v>170</v>
      </c>
      <c r="D119" s="537"/>
      <c r="E119" s="537"/>
      <c r="F119" s="537"/>
      <c r="G119" s="537"/>
      <c r="H119" s="537"/>
      <c r="I119" s="538"/>
      <c r="J119" s="75"/>
      <c r="K119" s="45">
        <f>SUM(K116:K118)</f>
        <v>1192.0947999999999</v>
      </c>
      <c r="L119" s="6"/>
      <c r="M119" s="6"/>
      <c r="N119" s="8"/>
      <c r="O119" s="8"/>
    </row>
    <row r="120" spans="2:15" ht="15.75" customHeight="1" x14ac:dyDescent="0.25">
      <c r="B120" s="563" t="s">
        <v>235</v>
      </c>
      <c r="C120" s="564"/>
      <c r="D120" s="564"/>
      <c r="E120" s="564"/>
      <c r="F120" s="564"/>
      <c r="G120" s="564"/>
      <c r="H120" s="564"/>
      <c r="I120" s="564"/>
      <c r="J120" s="565"/>
      <c r="K120" s="95">
        <f>K119+K114+K108</f>
        <v>8884.4845466537263</v>
      </c>
      <c r="L120" s="6"/>
      <c r="M120" s="6"/>
      <c r="N120" s="8"/>
      <c r="O120" s="8"/>
    </row>
    <row r="121" spans="2:15" ht="15.75" customHeight="1" x14ac:dyDescent="0.25">
      <c r="B121" s="574" t="s">
        <v>172</v>
      </c>
      <c r="C121" s="535"/>
      <c r="D121" s="535"/>
      <c r="E121" s="535"/>
      <c r="F121" s="535"/>
      <c r="G121" s="535"/>
      <c r="H121" s="575"/>
      <c r="I121" s="99">
        <v>9</v>
      </c>
      <c r="J121" s="99" t="s">
        <v>173</v>
      </c>
      <c r="K121" s="101">
        <f>K120*I121</f>
        <v>79960.360919883533</v>
      </c>
      <c r="L121" s="6"/>
      <c r="M121" s="6"/>
      <c r="N121" s="8"/>
      <c r="O121" s="8"/>
    </row>
    <row r="122" spans="2:15" ht="15.75" customHeight="1" x14ac:dyDescent="0.25">
      <c r="B122" s="665"/>
      <c r="C122" s="625"/>
      <c r="D122" s="625"/>
      <c r="E122" s="625"/>
      <c r="F122" s="625"/>
      <c r="G122" s="625"/>
      <c r="H122" s="625"/>
      <c r="I122" s="625"/>
      <c r="J122" s="625"/>
      <c r="K122" s="625"/>
      <c r="L122" s="6"/>
      <c r="M122" s="6"/>
      <c r="N122" s="8"/>
      <c r="O122" s="8"/>
    </row>
    <row r="123" spans="2:15" ht="15.75" customHeight="1" x14ac:dyDescent="0.25">
      <c r="L123" s="6"/>
      <c r="M123" s="6"/>
      <c r="N123" s="8"/>
      <c r="O123" s="8"/>
    </row>
    <row r="124" spans="2:15" ht="15" customHeight="1" x14ac:dyDescent="0.25">
      <c r="B124" s="589" t="s">
        <v>236</v>
      </c>
      <c r="C124" s="537"/>
      <c r="D124" s="537"/>
      <c r="E124" s="537"/>
      <c r="F124" s="537"/>
      <c r="G124" s="537"/>
      <c r="H124" s="537"/>
      <c r="I124" s="537"/>
      <c r="J124" s="538"/>
      <c r="K124" s="135">
        <f>K49+K75+K96+K121</f>
        <v>512268.98564546887</v>
      </c>
      <c r="L124" s="6"/>
      <c r="M124" s="6"/>
      <c r="N124" s="8"/>
      <c r="O124" s="8"/>
    </row>
    <row r="125" spans="2:15" ht="15.75" customHeight="1" x14ac:dyDescent="0.25">
      <c r="L125" s="6"/>
      <c r="M125" s="6"/>
      <c r="N125" s="8"/>
      <c r="O125" s="8"/>
    </row>
    <row r="126" spans="2:15" ht="15.75" customHeight="1" x14ac:dyDescent="0.25">
      <c r="L126" s="6"/>
      <c r="M126" s="6"/>
      <c r="N126" s="8"/>
      <c r="O126" s="8"/>
    </row>
    <row r="127" spans="2:15" ht="15.75" customHeight="1" x14ac:dyDescent="0.25">
      <c r="B127" s="566" t="s">
        <v>237</v>
      </c>
      <c r="C127" s="537"/>
      <c r="D127" s="537"/>
      <c r="E127" s="537"/>
      <c r="F127" s="537"/>
      <c r="G127" s="537"/>
      <c r="H127" s="537"/>
      <c r="I127" s="537"/>
      <c r="J127" s="537"/>
      <c r="K127" s="538"/>
      <c r="L127" s="6"/>
      <c r="M127" s="6"/>
      <c r="N127" s="8"/>
      <c r="O127" s="8"/>
    </row>
    <row r="128" spans="2:15" ht="15.75" customHeight="1" x14ac:dyDescent="0.25">
      <c r="L128" s="6"/>
      <c r="M128" s="6"/>
      <c r="N128" s="8"/>
      <c r="O128" s="8"/>
    </row>
    <row r="129" spans="2:15" ht="15.75" customHeight="1" x14ac:dyDescent="0.25">
      <c r="B129" s="568" t="s">
        <v>238</v>
      </c>
      <c r="C129" s="537"/>
      <c r="D129" s="537"/>
      <c r="E129" s="537"/>
      <c r="F129" s="537"/>
      <c r="G129" s="537"/>
      <c r="H129" s="537"/>
      <c r="I129" s="537"/>
      <c r="J129" s="537"/>
      <c r="K129" s="538"/>
      <c r="L129" s="6"/>
      <c r="M129" s="6"/>
      <c r="N129" s="8"/>
      <c r="O129" s="8"/>
    </row>
    <row r="130" spans="2:15" ht="15.75" customHeight="1" x14ac:dyDescent="0.25">
      <c r="B130" s="552" t="s">
        <v>239</v>
      </c>
      <c r="C130" s="537"/>
      <c r="D130" s="537"/>
      <c r="E130" s="537"/>
      <c r="F130" s="538"/>
      <c r="G130" s="18" t="s">
        <v>240</v>
      </c>
      <c r="H130" s="18" t="s">
        <v>241</v>
      </c>
      <c r="I130" s="553" t="s">
        <v>242</v>
      </c>
      <c r="J130" s="538"/>
      <c r="K130" s="17" t="s">
        <v>243</v>
      </c>
      <c r="L130" s="6"/>
      <c r="M130" s="6"/>
      <c r="N130" s="8"/>
      <c r="O130" s="8"/>
    </row>
    <row r="131" spans="2:15" ht="15.75" customHeight="1" x14ac:dyDescent="0.25">
      <c r="B131" s="545" t="s">
        <v>244</v>
      </c>
      <c r="C131" s="537"/>
      <c r="D131" s="537"/>
      <c r="E131" s="537"/>
      <c r="F131" s="538"/>
      <c r="G131" s="3">
        <v>2</v>
      </c>
      <c r="H131" s="31">
        <f>'10 - CUSTOS UN'!J39</f>
        <v>42.74</v>
      </c>
      <c r="I131" s="602">
        <f t="shared" ref="I131:I142" si="15">H131/6</f>
        <v>7.123333333333334</v>
      </c>
      <c r="J131" s="538"/>
      <c r="K131" s="31">
        <f t="shared" ref="K131:K142" si="16">I131*G131</f>
        <v>14.246666666666668</v>
      </c>
      <c r="L131" s="6"/>
      <c r="M131" s="6"/>
      <c r="N131" s="8"/>
      <c r="O131" s="8"/>
    </row>
    <row r="132" spans="2:15" ht="15.75" customHeight="1" x14ac:dyDescent="0.25">
      <c r="B132" s="545" t="s">
        <v>245</v>
      </c>
      <c r="C132" s="537"/>
      <c r="D132" s="537"/>
      <c r="E132" s="537"/>
      <c r="F132" s="538"/>
      <c r="G132" s="3">
        <v>2</v>
      </c>
      <c r="H132" s="31">
        <f>'10 - CUSTOS UN'!J33</f>
        <v>44.47</v>
      </c>
      <c r="I132" s="602">
        <f t="shared" si="15"/>
        <v>7.4116666666666662</v>
      </c>
      <c r="J132" s="538"/>
      <c r="K132" s="31">
        <f t="shared" si="16"/>
        <v>14.823333333333332</v>
      </c>
      <c r="L132" s="6"/>
      <c r="M132" s="6"/>
      <c r="N132" s="8"/>
      <c r="O132" s="8"/>
    </row>
    <row r="133" spans="2:15" ht="15.75" customHeight="1" x14ac:dyDescent="0.25">
      <c r="B133" s="545" t="s">
        <v>246</v>
      </c>
      <c r="C133" s="537"/>
      <c r="D133" s="537"/>
      <c r="E133" s="537"/>
      <c r="F133" s="538"/>
      <c r="G133" s="3">
        <v>2</v>
      </c>
      <c r="H133" s="31">
        <f>'10 - CUSTOS UN'!J24</f>
        <v>55.079999999999991</v>
      </c>
      <c r="I133" s="602">
        <f t="shared" si="15"/>
        <v>9.1799999999999979</v>
      </c>
      <c r="J133" s="538"/>
      <c r="K133" s="31">
        <f t="shared" si="16"/>
        <v>18.359999999999996</v>
      </c>
      <c r="L133" s="6"/>
      <c r="M133" s="6"/>
      <c r="N133" s="8"/>
      <c r="O133" s="8"/>
    </row>
    <row r="134" spans="2:15" ht="15.75" customHeight="1" x14ac:dyDescent="0.25">
      <c r="B134" s="545" t="s">
        <v>247</v>
      </c>
      <c r="C134" s="537"/>
      <c r="D134" s="537"/>
      <c r="E134" s="537"/>
      <c r="F134" s="538"/>
      <c r="G134" s="3">
        <v>2</v>
      </c>
      <c r="H134" s="31">
        <f>'10 - CUSTOS UN'!J15</f>
        <v>44.393333333333338</v>
      </c>
      <c r="I134" s="602">
        <f t="shared" si="15"/>
        <v>7.39888888888889</v>
      </c>
      <c r="J134" s="538"/>
      <c r="K134" s="31">
        <f t="shared" si="16"/>
        <v>14.79777777777778</v>
      </c>
      <c r="L134" s="6"/>
      <c r="M134" s="6"/>
      <c r="N134" s="8"/>
      <c r="O134" s="8"/>
    </row>
    <row r="135" spans="2:15" ht="15.75" customHeight="1" x14ac:dyDescent="0.25">
      <c r="B135" s="545" t="s">
        <v>248</v>
      </c>
      <c r="C135" s="537"/>
      <c r="D135" s="537"/>
      <c r="E135" s="537"/>
      <c r="F135" s="538"/>
      <c r="G135" s="3">
        <v>6</v>
      </c>
      <c r="H135" s="31">
        <f>'10 - CUSTOS UN'!J84</f>
        <v>17.73</v>
      </c>
      <c r="I135" s="602">
        <f t="shared" si="15"/>
        <v>2.9550000000000001</v>
      </c>
      <c r="J135" s="538"/>
      <c r="K135" s="31">
        <f t="shared" si="16"/>
        <v>17.73</v>
      </c>
      <c r="L135" s="6"/>
      <c r="M135" s="6"/>
      <c r="N135" s="8"/>
      <c r="O135" s="8"/>
    </row>
    <row r="136" spans="2:15" ht="15.75" customHeight="1" x14ac:dyDescent="0.25">
      <c r="B136" s="545" t="s">
        <v>249</v>
      </c>
      <c r="C136" s="537"/>
      <c r="D136" s="537"/>
      <c r="E136" s="537"/>
      <c r="F136" s="538"/>
      <c r="G136" s="3">
        <v>2</v>
      </c>
      <c r="H136" s="31">
        <f>'10 - CUSTOS UN'!J21</f>
        <v>9.2099999999999991</v>
      </c>
      <c r="I136" s="602">
        <f t="shared" si="15"/>
        <v>1.5349999999999999</v>
      </c>
      <c r="J136" s="538"/>
      <c r="K136" s="31">
        <f t="shared" si="16"/>
        <v>3.07</v>
      </c>
      <c r="L136" s="6"/>
      <c r="M136" s="6"/>
      <c r="N136" s="8"/>
      <c r="O136" s="8"/>
    </row>
    <row r="137" spans="2:15" ht="15.75" customHeight="1" x14ac:dyDescent="0.25">
      <c r="B137" s="545" t="s">
        <v>250</v>
      </c>
      <c r="C137" s="537"/>
      <c r="D137" s="537"/>
      <c r="E137" s="537"/>
      <c r="F137" s="538"/>
      <c r="G137" s="3">
        <v>1</v>
      </c>
      <c r="H137" s="31">
        <f>'10 - CUSTOS UN'!J66</f>
        <v>156.05666666666664</v>
      </c>
      <c r="I137" s="602">
        <f t="shared" si="15"/>
        <v>26.009444444444441</v>
      </c>
      <c r="J137" s="538"/>
      <c r="K137" s="31">
        <f t="shared" si="16"/>
        <v>26.009444444444441</v>
      </c>
      <c r="L137" s="6"/>
      <c r="M137" s="6"/>
      <c r="N137" s="8"/>
      <c r="O137" s="8"/>
    </row>
    <row r="138" spans="2:15" ht="15.75" customHeight="1" x14ac:dyDescent="0.25">
      <c r="B138" s="545" t="s">
        <v>252</v>
      </c>
      <c r="C138" s="537"/>
      <c r="D138" s="537"/>
      <c r="E138" s="537"/>
      <c r="F138" s="538"/>
      <c r="G138" s="3">
        <v>2</v>
      </c>
      <c r="H138" s="31">
        <f>'10 - CUSTOS UN'!J111</f>
        <v>116.83</v>
      </c>
      <c r="I138" s="602">
        <f t="shared" si="15"/>
        <v>19.471666666666668</v>
      </c>
      <c r="J138" s="538"/>
      <c r="K138" s="31">
        <f t="shared" si="16"/>
        <v>38.943333333333335</v>
      </c>
      <c r="L138" s="6"/>
      <c r="M138" s="6"/>
      <c r="N138" s="8"/>
      <c r="O138" s="8"/>
    </row>
    <row r="139" spans="2:15" ht="15.75" customHeight="1" x14ac:dyDescent="0.25">
      <c r="B139" s="545" t="s">
        <v>254</v>
      </c>
      <c r="C139" s="537"/>
      <c r="D139" s="537"/>
      <c r="E139" s="537"/>
      <c r="F139" s="538"/>
      <c r="G139" s="140">
        <v>1</v>
      </c>
      <c r="H139" s="141">
        <f>'10 - CUSTOS UN'!J87</f>
        <v>4.7966666666666669</v>
      </c>
      <c r="I139" s="602">
        <f t="shared" si="15"/>
        <v>0.79944444444444451</v>
      </c>
      <c r="J139" s="538"/>
      <c r="K139" s="31">
        <f t="shared" si="16"/>
        <v>0.79944444444444451</v>
      </c>
      <c r="L139" s="6"/>
      <c r="M139" s="6"/>
      <c r="N139" s="8"/>
      <c r="O139" s="8"/>
    </row>
    <row r="140" spans="2:15" ht="15.75" customHeight="1" x14ac:dyDescent="0.25">
      <c r="B140" s="545" t="s">
        <v>256</v>
      </c>
      <c r="C140" s="537"/>
      <c r="D140" s="537"/>
      <c r="E140" s="537"/>
      <c r="F140" s="538"/>
      <c r="G140" s="140">
        <v>1</v>
      </c>
      <c r="H140" s="141">
        <f>'10 - CUSTOS UN'!J51</f>
        <v>212.1933333333333</v>
      </c>
      <c r="I140" s="602">
        <f t="shared" si="15"/>
        <v>35.365555555555552</v>
      </c>
      <c r="J140" s="538"/>
      <c r="K140" s="31">
        <f t="shared" si="16"/>
        <v>35.365555555555552</v>
      </c>
      <c r="L140" s="6"/>
      <c r="M140" s="6"/>
      <c r="N140" s="8"/>
      <c r="O140" s="8"/>
    </row>
    <row r="141" spans="2:15" ht="15.75" customHeight="1" x14ac:dyDescent="0.25">
      <c r="B141" s="545" t="s">
        <v>258</v>
      </c>
      <c r="C141" s="537"/>
      <c r="D141" s="537"/>
      <c r="E141" s="537"/>
      <c r="F141" s="538"/>
      <c r="G141" s="140">
        <v>48</v>
      </c>
      <c r="H141" s="141">
        <f>'10 - CUSTOS UN'!J72</f>
        <v>8.2700000000000014</v>
      </c>
      <c r="I141" s="602">
        <f t="shared" si="15"/>
        <v>1.3783333333333336</v>
      </c>
      <c r="J141" s="538"/>
      <c r="K141" s="31">
        <f t="shared" si="16"/>
        <v>66.160000000000011</v>
      </c>
      <c r="L141" s="6"/>
      <c r="M141" s="6"/>
      <c r="N141" s="8"/>
      <c r="O141" s="8"/>
    </row>
    <row r="142" spans="2:15" ht="15" customHeight="1" x14ac:dyDescent="0.25">
      <c r="B142" s="591" t="s">
        <v>259</v>
      </c>
      <c r="C142" s="564"/>
      <c r="D142" s="564"/>
      <c r="E142" s="564"/>
      <c r="F142" s="565"/>
      <c r="G142" s="142">
        <v>12</v>
      </c>
      <c r="H142" s="143">
        <f>'10 - CUSTOS UN'!J99</f>
        <v>14.9</v>
      </c>
      <c r="I142" s="641">
        <f t="shared" si="15"/>
        <v>2.4833333333333334</v>
      </c>
      <c r="J142" s="565"/>
      <c r="K142" s="143">
        <f t="shared" si="16"/>
        <v>29.8</v>
      </c>
      <c r="L142" s="6"/>
      <c r="M142" s="6"/>
      <c r="N142" s="8"/>
      <c r="O142" s="8"/>
    </row>
    <row r="143" spans="2:15" ht="15" customHeight="1" x14ac:dyDescent="0.25">
      <c r="B143" s="603" t="s">
        <v>260</v>
      </c>
      <c r="C143" s="544"/>
      <c r="D143" s="544"/>
      <c r="E143" s="544"/>
      <c r="F143" s="579"/>
      <c r="G143" s="145"/>
      <c r="H143" s="145"/>
      <c r="I143" s="594"/>
      <c r="J143" s="575"/>
      <c r="K143" s="146">
        <f>SUM(K131:K142)</f>
        <v>280.10555555555555</v>
      </c>
      <c r="L143" s="6"/>
      <c r="M143" s="6"/>
      <c r="N143" s="8"/>
      <c r="O143" s="8"/>
    </row>
    <row r="144" spans="2:15" ht="15" customHeight="1" x14ac:dyDescent="0.25">
      <c r="B144" s="570" t="s">
        <v>261</v>
      </c>
      <c r="C144" s="537"/>
      <c r="D144" s="537"/>
      <c r="E144" s="537"/>
      <c r="F144" s="538"/>
      <c r="G144" s="47">
        <f>H7+H8</f>
        <v>54</v>
      </c>
      <c r="H144" s="3" t="s">
        <v>173</v>
      </c>
      <c r="I144" s="602">
        <f>K143</f>
        <v>280.10555555555555</v>
      </c>
      <c r="J144" s="538"/>
      <c r="K144" s="45">
        <f>K143*G144</f>
        <v>15125.7</v>
      </c>
      <c r="L144" s="6"/>
      <c r="M144" s="6"/>
      <c r="N144" s="8"/>
      <c r="O144" s="8"/>
    </row>
    <row r="145" spans="2:23" ht="15.75" customHeight="1" x14ac:dyDescent="0.25">
      <c r="L145" s="6"/>
      <c r="M145" s="6"/>
      <c r="N145" s="8"/>
      <c r="O145" s="8"/>
    </row>
    <row r="146" spans="2:23" ht="15" customHeight="1" x14ac:dyDescent="0.25">
      <c r="B146" s="568" t="s">
        <v>262</v>
      </c>
      <c r="C146" s="537"/>
      <c r="D146" s="537"/>
      <c r="E146" s="537"/>
      <c r="F146" s="537"/>
      <c r="G146" s="537"/>
      <c r="H146" s="537"/>
      <c r="I146" s="537"/>
      <c r="J146" s="537"/>
      <c r="K146" s="538"/>
      <c r="L146" s="6"/>
      <c r="M146" s="6"/>
      <c r="N146" s="8"/>
      <c r="O146" s="8"/>
    </row>
    <row r="147" spans="2:23" ht="15.75" customHeight="1" x14ac:dyDescent="0.25">
      <c r="B147" s="552" t="s">
        <v>239</v>
      </c>
      <c r="C147" s="537"/>
      <c r="D147" s="537"/>
      <c r="E147" s="537"/>
      <c r="F147" s="538"/>
      <c r="G147" s="18" t="s">
        <v>240</v>
      </c>
      <c r="H147" s="18" t="s">
        <v>241</v>
      </c>
      <c r="I147" s="553" t="s">
        <v>242</v>
      </c>
      <c r="J147" s="538"/>
      <c r="K147" s="17" t="s">
        <v>243</v>
      </c>
      <c r="L147" s="6"/>
      <c r="M147" s="64"/>
      <c r="N147" s="147"/>
      <c r="O147" s="147"/>
      <c r="P147" s="148"/>
      <c r="Q147" s="148"/>
      <c r="R147" s="148"/>
      <c r="S147" s="148"/>
      <c r="T147" s="148"/>
      <c r="U147" s="148"/>
      <c r="V147" s="148"/>
      <c r="W147" s="148"/>
    </row>
    <row r="148" spans="2:23" ht="15.75" customHeight="1" x14ac:dyDescent="0.25">
      <c r="B148" s="545" t="s">
        <v>263</v>
      </c>
      <c r="C148" s="537"/>
      <c r="D148" s="537"/>
      <c r="E148" s="537"/>
      <c r="F148" s="538"/>
      <c r="G148" s="3">
        <v>2</v>
      </c>
      <c r="H148" s="31">
        <f>'10 - CUSTOS UN'!J36</f>
        <v>21.349999999999998</v>
      </c>
      <c r="I148" s="602">
        <f t="shared" ref="I148:I155" si="17">H148/6</f>
        <v>3.5583333333333331</v>
      </c>
      <c r="J148" s="538"/>
      <c r="K148" s="31">
        <f t="shared" ref="K148:K155" si="18">I148*G148</f>
        <v>7.1166666666666663</v>
      </c>
      <c r="L148" s="6"/>
      <c r="M148" s="6"/>
      <c r="N148" s="147"/>
      <c r="O148" s="147"/>
      <c r="P148" s="148"/>
      <c r="Q148" s="148"/>
      <c r="R148" s="148"/>
      <c r="S148" s="148"/>
      <c r="T148" s="148"/>
      <c r="U148" s="148"/>
      <c r="V148" s="148"/>
      <c r="W148" s="148"/>
    </row>
    <row r="149" spans="2:23" ht="15.75" customHeight="1" x14ac:dyDescent="0.25">
      <c r="B149" s="545" t="s">
        <v>264</v>
      </c>
      <c r="C149" s="537"/>
      <c r="D149" s="537"/>
      <c r="E149" s="537"/>
      <c r="F149" s="538"/>
      <c r="G149" s="3">
        <v>2</v>
      </c>
      <c r="H149" s="31">
        <f>'10 - CUSTOS UN'!J27</f>
        <v>67.736666666666665</v>
      </c>
      <c r="I149" s="602">
        <f t="shared" si="17"/>
        <v>11.289444444444444</v>
      </c>
      <c r="J149" s="538"/>
      <c r="K149" s="31">
        <f t="shared" si="18"/>
        <v>22.578888888888887</v>
      </c>
      <c r="L149" s="6"/>
      <c r="M149" s="6"/>
      <c r="N149" s="8"/>
      <c r="O149" s="8"/>
      <c r="T149" s="149"/>
      <c r="U149" s="149"/>
      <c r="V149" s="21"/>
      <c r="W149" s="21"/>
    </row>
    <row r="150" spans="2:23" ht="15.75" customHeight="1" x14ac:dyDescent="0.25">
      <c r="B150" s="545" t="s">
        <v>250</v>
      </c>
      <c r="C150" s="537"/>
      <c r="D150" s="537"/>
      <c r="E150" s="537"/>
      <c r="F150" s="538"/>
      <c r="G150" s="3">
        <v>1</v>
      </c>
      <c r="H150" s="31">
        <f>'10 - CUSTOS UN'!J66</f>
        <v>156.05666666666664</v>
      </c>
      <c r="I150" s="602">
        <f t="shared" si="17"/>
        <v>26.009444444444441</v>
      </c>
      <c r="J150" s="538"/>
      <c r="K150" s="31">
        <f t="shared" si="18"/>
        <v>26.009444444444441</v>
      </c>
      <c r="L150" s="6"/>
      <c r="M150" s="6"/>
      <c r="N150" s="8"/>
      <c r="O150" s="8"/>
      <c r="T150" s="149"/>
      <c r="U150" s="149"/>
      <c r="V150" s="21"/>
      <c r="W150" s="21"/>
    </row>
    <row r="151" spans="2:23" ht="15.75" customHeight="1" x14ac:dyDescent="0.25">
      <c r="B151" s="545" t="s">
        <v>265</v>
      </c>
      <c r="C151" s="537"/>
      <c r="D151" s="537"/>
      <c r="E151" s="537"/>
      <c r="F151" s="538"/>
      <c r="G151" s="3">
        <v>1</v>
      </c>
      <c r="H151" s="31">
        <f>'10 - CUSTOS UN'!J30</f>
        <v>84.38</v>
      </c>
      <c r="I151" s="602">
        <f t="shared" si="17"/>
        <v>14.063333333333333</v>
      </c>
      <c r="J151" s="538"/>
      <c r="K151" s="31">
        <f t="shared" si="18"/>
        <v>14.063333333333333</v>
      </c>
      <c r="L151" s="6"/>
      <c r="M151" s="6"/>
      <c r="N151" s="8"/>
      <c r="O151" s="8"/>
    </row>
    <row r="152" spans="2:23" ht="15.75" customHeight="1" x14ac:dyDescent="0.25">
      <c r="B152" s="545" t="s">
        <v>254</v>
      </c>
      <c r="C152" s="537"/>
      <c r="D152" s="537"/>
      <c r="E152" s="537"/>
      <c r="F152" s="538"/>
      <c r="G152" s="3">
        <v>1</v>
      </c>
      <c r="H152" s="31">
        <f>'10 - CUSTOS UN'!J87</f>
        <v>4.7966666666666669</v>
      </c>
      <c r="I152" s="602">
        <f t="shared" si="17"/>
        <v>0.79944444444444451</v>
      </c>
      <c r="J152" s="538"/>
      <c r="K152" s="31">
        <f t="shared" si="18"/>
        <v>0.79944444444444451</v>
      </c>
      <c r="L152" s="6"/>
      <c r="M152" s="6"/>
      <c r="N152" s="8"/>
      <c r="O152" s="8"/>
    </row>
    <row r="153" spans="2:23" ht="15.75" customHeight="1" x14ac:dyDescent="0.25">
      <c r="B153" s="545" t="s">
        <v>266</v>
      </c>
      <c r="C153" s="537"/>
      <c r="D153" s="537"/>
      <c r="E153" s="537"/>
      <c r="F153" s="538"/>
      <c r="G153" s="3">
        <v>1</v>
      </c>
      <c r="H153" s="31">
        <f>'10 - CUSTOS UN'!J42</f>
        <v>16.393333333333334</v>
      </c>
      <c r="I153" s="602">
        <f t="shared" si="17"/>
        <v>2.7322222222222226</v>
      </c>
      <c r="J153" s="538"/>
      <c r="K153" s="31">
        <f t="shared" si="18"/>
        <v>2.7322222222222226</v>
      </c>
      <c r="L153" s="6"/>
      <c r="M153" s="6"/>
      <c r="N153" s="150"/>
      <c r="O153" s="150"/>
      <c r="P153" s="151"/>
      <c r="Q153" s="151"/>
      <c r="V153" s="21"/>
      <c r="W153" s="21"/>
    </row>
    <row r="154" spans="2:23" ht="15" customHeight="1" x14ac:dyDescent="0.25">
      <c r="B154" s="545" t="s">
        <v>259</v>
      </c>
      <c r="C154" s="537"/>
      <c r="D154" s="537"/>
      <c r="E154" s="537"/>
      <c r="F154" s="538"/>
      <c r="G154" s="3">
        <v>6</v>
      </c>
      <c r="H154" s="31">
        <f>'10 - CUSTOS UN'!J99</f>
        <v>14.9</v>
      </c>
      <c r="I154" s="602">
        <f t="shared" si="17"/>
        <v>2.4833333333333334</v>
      </c>
      <c r="J154" s="538"/>
      <c r="K154" s="31">
        <f t="shared" si="18"/>
        <v>14.9</v>
      </c>
      <c r="L154" s="6"/>
      <c r="M154" s="6"/>
      <c r="N154" s="8"/>
      <c r="O154" s="8"/>
    </row>
    <row r="155" spans="2:23" ht="15.75" customHeight="1" x14ac:dyDescent="0.25">
      <c r="B155" s="666" t="s">
        <v>267</v>
      </c>
      <c r="C155" s="667"/>
      <c r="D155" s="667"/>
      <c r="E155" s="667"/>
      <c r="F155" s="668"/>
      <c r="G155" s="142">
        <v>1</v>
      </c>
      <c r="H155" s="143">
        <f>'10 - CUSTOS UN'!J48</f>
        <v>18.52</v>
      </c>
      <c r="I155" s="592">
        <f t="shared" si="17"/>
        <v>3.0866666666666664</v>
      </c>
      <c r="J155" s="565"/>
      <c r="K155" s="143">
        <f t="shared" si="18"/>
        <v>3.0866666666666664</v>
      </c>
      <c r="L155" s="6"/>
      <c r="M155" s="64"/>
      <c r="N155" s="147"/>
      <c r="O155" s="147"/>
      <c r="P155" s="148"/>
      <c r="Q155" s="148"/>
      <c r="R155" s="148"/>
      <c r="S155" s="148"/>
      <c r="T155" s="148"/>
      <c r="U155" s="148"/>
      <c r="V155" s="148"/>
      <c r="W155" s="148"/>
    </row>
    <row r="156" spans="2:23" ht="15.75" customHeight="1" x14ac:dyDescent="0.25">
      <c r="B156" s="603" t="s">
        <v>260</v>
      </c>
      <c r="C156" s="544"/>
      <c r="D156" s="544"/>
      <c r="E156" s="544"/>
      <c r="F156" s="579"/>
      <c r="G156" s="145"/>
      <c r="H156" s="145"/>
      <c r="I156" s="621"/>
      <c r="J156" s="579"/>
      <c r="K156" s="146">
        <f>SUM(K148:K155)</f>
        <v>91.286666666666676</v>
      </c>
      <c r="L156" s="6"/>
      <c r="M156" s="64"/>
      <c r="N156" s="147"/>
      <c r="O156" s="147"/>
      <c r="P156" s="148"/>
      <c r="Q156" s="148"/>
      <c r="R156" s="148"/>
      <c r="S156" s="148"/>
      <c r="T156" s="148"/>
      <c r="U156" s="148"/>
      <c r="V156" s="148"/>
      <c r="W156" s="148"/>
    </row>
    <row r="157" spans="2:23" ht="15.75" customHeight="1" x14ac:dyDescent="0.25">
      <c r="B157" s="570" t="s">
        <v>269</v>
      </c>
      <c r="C157" s="537"/>
      <c r="D157" s="537"/>
      <c r="E157" s="537"/>
      <c r="F157" s="538"/>
      <c r="G157" s="47">
        <v>18</v>
      </c>
      <c r="H157" s="3" t="s">
        <v>173</v>
      </c>
      <c r="I157" s="602">
        <f>K156</f>
        <v>91.286666666666676</v>
      </c>
      <c r="J157" s="538"/>
      <c r="K157" s="45">
        <f>I157*G157</f>
        <v>1643.16</v>
      </c>
      <c r="L157" s="6"/>
      <c r="M157" s="6"/>
      <c r="N157" s="150"/>
      <c r="O157" s="150"/>
      <c r="P157" s="151"/>
      <c r="Q157" s="151"/>
      <c r="R157" s="151"/>
      <c r="S157" s="151"/>
      <c r="T157" s="152"/>
      <c r="U157" s="152"/>
      <c r="V157" s="152"/>
      <c r="W157" s="152"/>
    </row>
    <row r="158" spans="2:23" ht="15.75" customHeight="1" x14ac:dyDescent="0.25">
      <c r="B158" s="669"/>
      <c r="C158" s="625"/>
      <c r="D158" s="625"/>
      <c r="E158" s="625"/>
      <c r="F158" s="625"/>
      <c r="I158" s="669"/>
      <c r="J158" s="625"/>
      <c r="L158" s="6"/>
      <c r="M158" s="6"/>
      <c r="N158" s="8"/>
      <c r="O158" s="8"/>
    </row>
    <row r="159" spans="2:23" ht="15.75" customHeight="1" x14ac:dyDescent="0.25">
      <c r="B159" s="589" t="s">
        <v>270</v>
      </c>
      <c r="C159" s="537"/>
      <c r="D159" s="537"/>
      <c r="E159" s="537"/>
      <c r="F159" s="537"/>
      <c r="G159" s="537"/>
      <c r="H159" s="537"/>
      <c r="I159" s="537"/>
      <c r="J159" s="538"/>
      <c r="K159" s="135">
        <f>K157+K144</f>
        <v>16768.86</v>
      </c>
      <c r="L159" s="6"/>
      <c r="M159" s="6"/>
      <c r="N159" s="8"/>
      <c r="O159" s="8"/>
    </row>
    <row r="160" spans="2:23" ht="15.75" customHeight="1" x14ac:dyDescent="0.25">
      <c r="L160" s="6"/>
      <c r="M160" s="6"/>
      <c r="N160" s="8"/>
      <c r="O160" s="8"/>
      <c r="T160" s="21"/>
      <c r="U160" s="21"/>
      <c r="V160" s="21"/>
      <c r="W160" s="21"/>
    </row>
    <row r="161" spans="2:23" ht="15.75" customHeight="1" x14ac:dyDescent="0.25">
      <c r="L161" s="6"/>
      <c r="M161" s="6"/>
      <c r="N161" s="8"/>
      <c r="O161" s="8"/>
      <c r="T161" s="21"/>
      <c r="U161" s="21"/>
      <c r="V161" s="152"/>
      <c r="W161" s="152"/>
    </row>
    <row r="162" spans="2:23" ht="15.75" customHeight="1" x14ac:dyDescent="0.25">
      <c r="B162" s="566" t="s">
        <v>271</v>
      </c>
      <c r="C162" s="537"/>
      <c r="D162" s="537"/>
      <c r="E162" s="537"/>
      <c r="F162" s="537"/>
      <c r="G162" s="537"/>
      <c r="H162" s="537"/>
      <c r="I162" s="537"/>
      <c r="J162" s="537"/>
      <c r="K162" s="538"/>
      <c r="L162" s="6"/>
      <c r="M162" s="6"/>
      <c r="N162" s="150"/>
      <c r="O162" s="150"/>
      <c r="P162" s="151"/>
      <c r="Q162" s="151"/>
      <c r="R162" s="151"/>
      <c r="S162" s="151"/>
      <c r="T162" s="151"/>
      <c r="U162" s="151"/>
      <c r="V162" s="151"/>
      <c r="W162" s="151"/>
    </row>
    <row r="163" spans="2:23" ht="15.75" customHeight="1" x14ac:dyDescent="0.25">
      <c r="L163" s="6"/>
      <c r="M163" s="6"/>
      <c r="N163" s="8"/>
      <c r="O163" s="8"/>
    </row>
    <row r="164" spans="2:23" ht="15.75" customHeight="1" x14ac:dyDescent="0.25">
      <c r="B164" s="604" t="s">
        <v>272</v>
      </c>
      <c r="C164" s="537"/>
      <c r="D164" s="537"/>
      <c r="E164" s="537"/>
      <c r="F164" s="537"/>
      <c r="G164" s="537"/>
      <c r="H164" s="537"/>
      <c r="I164" s="537"/>
      <c r="J164" s="537"/>
      <c r="K164" s="538"/>
      <c r="L164" s="6"/>
      <c r="M164" s="6"/>
      <c r="N164" s="8"/>
      <c r="O164" s="8"/>
    </row>
    <row r="165" spans="2:23" ht="15" customHeight="1" x14ac:dyDescent="0.25">
      <c r="B165" s="154" t="s">
        <v>273</v>
      </c>
      <c r="C165" s="637" t="s">
        <v>239</v>
      </c>
      <c r="D165" s="564"/>
      <c r="E165" s="564"/>
      <c r="F165" s="564"/>
      <c r="G165" s="564"/>
      <c r="H165" s="565"/>
      <c r="I165" s="654" t="s">
        <v>274</v>
      </c>
      <c r="J165" s="565"/>
      <c r="K165" s="155" t="s">
        <v>275</v>
      </c>
      <c r="L165" s="6"/>
      <c r="M165" s="6"/>
      <c r="N165" s="8"/>
      <c r="O165" s="8"/>
    </row>
    <row r="166" spans="2:23" ht="15.75" customHeight="1" x14ac:dyDescent="0.25">
      <c r="B166" s="156" t="s">
        <v>73</v>
      </c>
      <c r="C166" s="655" t="s">
        <v>276</v>
      </c>
      <c r="D166" s="535"/>
      <c r="E166" s="535"/>
      <c r="F166" s="535"/>
      <c r="G166" s="535"/>
      <c r="H166" s="575"/>
      <c r="I166" s="656">
        <f>K277</f>
        <v>35269.93429649833</v>
      </c>
      <c r="J166" s="575"/>
      <c r="K166" s="157">
        <f>SUM(K167:K173)</f>
        <v>42127.476114364174</v>
      </c>
      <c r="L166" s="6"/>
      <c r="M166" s="123"/>
      <c r="N166" s="6"/>
      <c r="O166" s="8"/>
    </row>
    <row r="167" spans="2:23" ht="15.75" customHeight="1" x14ac:dyDescent="0.25">
      <c r="B167" s="26" t="s">
        <v>277</v>
      </c>
      <c r="C167" s="670" t="s">
        <v>278</v>
      </c>
      <c r="D167" s="537"/>
      <c r="E167" s="537"/>
      <c r="F167" s="537"/>
      <c r="G167" s="537"/>
      <c r="H167" s="538"/>
      <c r="I167" s="602">
        <f>I208</f>
        <v>4576.6592178013725</v>
      </c>
      <c r="J167" s="538"/>
      <c r="K167" s="159">
        <f t="shared" ref="K167:K169" si="19">I167*2</f>
        <v>9153.318435602745</v>
      </c>
      <c r="L167" s="6"/>
      <c r="M167" s="123"/>
      <c r="N167" s="6"/>
      <c r="O167" s="150"/>
    </row>
    <row r="168" spans="2:23" ht="15.75" customHeight="1" x14ac:dyDescent="0.25">
      <c r="B168" s="26" t="s">
        <v>280</v>
      </c>
      <c r="C168" s="670" t="s">
        <v>281</v>
      </c>
      <c r="D168" s="537"/>
      <c r="E168" s="537"/>
      <c r="F168" s="537"/>
      <c r="G168" s="537"/>
      <c r="H168" s="538"/>
      <c r="I168" s="602">
        <f>I223</f>
        <v>1730.5492667311441</v>
      </c>
      <c r="J168" s="538"/>
      <c r="K168" s="159">
        <f t="shared" si="19"/>
        <v>3461.0985334622883</v>
      </c>
      <c r="L168" s="6"/>
      <c r="M168" s="123"/>
      <c r="N168" s="6"/>
      <c r="O168" s="8"/>
    </row>
    <row r="169" spans="2:23" ht="15.75" customHeight="1" x14ac:dyDescent="0.25">
      <c r="B169" s="26" t="s">
        <v>282</v>
      </c>
      <c r="C169" s="670" t="s">
        <v>283</v>
      </c>
      <c r="D169" s="537"/>
      <c r="E169" s="537"/>
      <c r="F169" s="537"/>
      <c r="G169" s="537"/>
      <c r="H169" s="538"/>
      <c r="I169" s="602">
        <f>I234</f>
        <v>550.33333333333337</v>
      </c>
      <c r="J169" s="538"/>
      <c r="K169" s="159">
        <f t="shared" si="19"/>
        <v>1100.6666666666667</v>
      </c>
      <c r="L169" s="6"/>
      <c r="M169" s="123"/>
      <c r="N169" s="6"/>
      <c r="O169" s="8"/>
    </row>
    <row r="170" spans="2:23" ht="15.75" customHeight="1" x14ac:dyDescent="0.25">
      <c r="B170" s="26" t="s">
        <v>285</v>
      </c>
      <c r="C170" s="670" t="s">
        <v>286</v>
      </c>
      <c r="D170" s="537"/>
      <c r="E170" s="537"/>
      <c r="F170" s="537"/>
      <c r="G170" s="537"/>
      <c r="H170" s="538"/>
      <c r="I170" s="602">
        <f>I242</f>
        <v>19946.666666666668</v>
      </c>
      <c r="J170" s="538"/>
      <c r="K170" s="159">
        <f t="shared" ref="K170:K173" si="20">I170*1</f>
        <v>19946.666666666668</v>
      </c>
      <c r="L170" s="6"/>
      <c r="M170" s="123"/>
      <c r="N170" s="6"/>
      <c r="O170" s="8"/>
    </row>
    <row r="171" spans="2:23" ht="15.75" customHeight="1" x14ac:dyDescent="0.25">
      <c r="B171" s="26" t="s">
        <v>287</v>
      </c>
      <c r="C171" s="670" t="s">
        <v>288</v>
      </c>
      <c r="D171" s="537"/>
      <c r="E171" s="537"/>
      <c r="F171" s="537"/>
      <c r="G171" s="537"/>
      <c r="H171" s="538"/>
      <c r="I171" s="602">
        <f>I255</f>
        <v>1442.2288888888888</v>
      </c>
      <c r="J171" s="538"/>
      <c r="K171" s="159">
        <f t="shared" si="20"/>
        <v>1442.2288888888888</v>
      </c>
      <c r="L171" s="6"/>
      <c r="M171" s="123"/>
      <c r="N171" s="6"/>
      <c r="O171" s="8"/>
    </row>
    <row r="172" spans="2:23" ht="15.75" customHeight="1" x14ac:dyDescent="0.25">
      <c r="B172" s="26" t="s">
        <v>289</v>
      </c>
      <c r="C172" s="670" t="s">
        <v>290</v>
      </c>
      <c r="D172" s="537"/>
      <c r="E172" s="537"/>
      <c r="F172" s="537"/>
      <c r="G172" s="537"/>
      <c r="H172" s="538"/>
      <c r="I172" s="602">
        <f>I266</f>
        <v>2303.4969230769234</v>
      </c>
      <c r="J172" s="538"/>
      <c r="K172" s="159">
        <f t="shared" si="20"/>
        <v>2303.4969230769234</v>
      </c>
      <c r="L172" s="6"/>
      <c r="M172" s="123"/>
      <c r="N172" s="6"/>
      <c r="O172" s="150"/>
      <c r="P172" s="151"/>
      <c r="Q172" s="151"/>
      <c r="R172" s="151"/>
      <c r="S172" s="151"/>
      <c r="T172" s="151"/>
      <c r="U172" s="151"/>
      <c r="V172" s="151"/>
      <c r="W172" s="151"/>
    </row>
    <row r="173" spans="2:23" ht="15.75" customHeight="1" x14ac:dyDescent="0.25">
      <c r="B173" s="26" t="s">
        <v>291</v>
      </c>
      <c r="C173" s="670" t="s">
        <v>292</v>
      </c>
      <c r="D173" s="537"/>
      <c r="E173" s="537"/>
      <c r="F173" s="537"/>
      <c r="G173" s="537"/>
      <c r="H173" s="538"/>
      <c r="I173" s="602">
        <f>I271</f>
        <v>4720</v>
      </c>
      <c r="J173" s="538"/>
      <c r="K173" s="159">
        <f t="shared" si="20"/>
        <v>4720</v>
      </c>
      <c r="L173" s="6"/>
      <c r="M173" s="123"/>
      <c r="N173" s="6"/>
      <c r="O173" s="8"/>
    </row>
    <row r="174" spans="2:23" ht="15.75" customHeight="1" x14ac:dyDescent="0.25">
      <c r="B174" s="156" t="s">
        <v>78</v>
      </c>
      <c r="C174" s="671" t="s">
        <v>293</v>
      </c>
      <c r="D174" s="537"/>
      <c r="E174" s="537"/>
      <c r="F174" s="537"/>
      <c r="G174" s="537"/>
      <c r="H174" s="538"/>
      <c r="I174" s="672">
        <f>K357</f>
        <v>32923.666238915597</v>
      </c>
      <c r="J174" s="538"/>
      <c r="K174" s="157">
        <f>SUM(K175:K181)</f>
        <v>270068.66910750535</v>
      </c>
      <c r="L174" s="6"/>
      <c r="M174" s="123"/>
      <c r="N174" s="6"/>
      <c r="O174" s="8"/>
    </row>
    <row r="175" spans="2:23" ht="15.75" customHeight="1" x14ac:dyDescent="0.25">
      <c r="B175" s="26" t="s">
        <v>294</v>
      </c>
      <c r="C175" s="670" t="s">
        <v>278</v>
      </c>
      <c r="D175" s="537"/>
      <c r="E175" s="537"/>
      <c r="F175" s="537"/>
      <c r="G175" s="537"/>
      <c r="H175" s="538"/>
      <c r="I175" s="602">
        <f>I295</f>
        <v>4437.2126190476192</v>
      </c>
      <c r="J175" s="538"/>
      <c r="K175" s="159">
        <f t="shared" ref="K175:K177" si="21">I175*9</f>
        <v>39934.913571428573</v>
      </c>
      <c r="L175" s="6"/>
      <c r="M175" s="123"/>
      <c r="N175" s="6"/>
      <c r="O175" s="160"/>
    </row>
    <row r="176" spans="2:23" ht="15.75" customHeight="1" x14ac:dyDescent="0.25">
      <c r="B176" s="26" t="s">
        <v>295</v>
      </c>
      <c r="C176" s="670" t="s">
        <v>281</v>
      </c>
      <c r="D176" s="537"/>
      <c r="E176" s="537"/>
      <c r="F176" s="537"/>
      <c r="G176" s="537"/>
      <c r="H176" s="538"/>
      <c r="I176" s="602">
        <f>I310</f>
        <v>1677.8210215773806</v>
      </c>
      <c r="J176" s="538"/>
      <c r="K176" s="159">
        <f t="shared" si="21"/>
        <v>15100.389194196425</v>
      </c>
      <c r="L176" s="6"/>
      <c r="M176" s="123"/>
      <c r="N176" s="6"/>
      <c r="O176" s="160"/>
    </row>
    <row r="177" spans="2:23" ht="15.75" customHeight="1" x14ac:dyDescent="0.25">
      <c r="B177" s="26" t="s">
        <v>296</v>
      </c>
      <c r="C177" s="670" t="s">
        <v>283</v>
      </c>
      <c r="D177" s="537"/>
      <c r="E177" s="537"/>
      <c r="F177" s="537"/>
      <c r="G177" s="537"/>
      <c r="H177" s="538"/>
      <c r="I177" s="602">
        <f>I318</f>
        <v>564.30555555555554</v>
      </c>
      <c r="J177" s="538"/>
      <c r="K177" s="159">
        <f t="shared" si="21"/>
        <v>5078.75</v>
      </c>
      <c r="L177" s="6"/>
      <c r="M177" s="123"/>
      <c r="N177" s="6"/>
      <c r="O177" s="160"/>
      <c r="P177" s="151"/>
      <c r="Q177" s="151"/>
      <c r="R177" s="151"/>
      <c r="S177" s="151"/>
      <c r="T177" s="151"/>
      <c r="U177" s="151"/>
      <c r="V177" s="151"/>
      <c r="W177" s="151"/>
    </row>
    <row r="178" spans="2:23" ht="15.75" customHeight="1" x14ac:dyDescent="0.25">
      <c r="B178" s="26" t="s">
        <v>297</v>
      </c>
      <c r="C178" s="670" t="s">
        <v>286</v>
      </c>
      <c r="D178" s="537"/>
      <c r="E178" s="537"/>
      <c r="F178" s="537"/>
      <c r="G178" s="537"/>
      <c r="H178" s="538"/>
      <c r="I178" s="602">
        <f>I326</f>
        <v>18700</v>
      </c>
      <c r="J178" s="538"/>
      <c r="K178" s="159">
        <f t="shared" ref="K178:K181" si="22">I178*8</f>
        <v>149600</v>
      </c>
      <c r="L178" s="6"/>
      <c r="M178" s="123"/>
      <c r="N178" s="6"/>
      <c r="O178" s="160"/>
    </row>
    <row r="179" spans="2:23" ht="15.75" customHeight="1" x14ac:dyDescent="0.25">
      <c r="B179" s="26" t="s">
        <v>298</v>
      </c>
      <c r="C179" s="670" t="s">
        <v>288</v>
      </c>
      <c r="D179" s="537"/>
      <c r="E179" s="537"/>
      <c r="F179" s="537"/>
      <c r="G179" s="537"/>
      <c r="H179" s="538"/>
      <c r="I179" s="602">
        <f>I338</f>
        <v>1442.2288888888888</v>
      </c>
      <c r="J179" s="538"/>
      <c r="K179" s="159">
        <f t="shared" si="22"/>
        <v>11537.831111111111</v>
      </c>
      <c r="L179" s="6"/>
      <c r="M179" s="161"/>
      <c r="N179" s="64"/>
      <c r="O179" s="162"/>
      <c r="P179" s="148"/>
      <c r="Q179" s="148"/>
      <c r="R179" s="148"/>
      <c r="S179" s="148"/>
      <c r="T179" s="148"/>
      <c r="U179" s="148"/>
      <c r="V179" s="148"/>
      <c r="W179" s="148"/>
    </row>
    <row r="180" spans="2:23" ht="15.75" customHeight="1" x14ac:dyDescent="0.25">
      <c r="B180" s="26" t="s">
        <v>299</v>
      </c>
      <c r="C180" s="670" t="s">
        <v>290</v>
      </c>
      <c r="D180" s="537"/>
      <c r="E180" s="537"/>
      <c r="F180" s="537"/>
      <c r="G180" s="537"/>
      <c r="H180" s="538"/>
      <c r="I180" s="602">
        <f>I349</f>
        <v>1382.0981538461538</v>
      </c>
      <c r="J180" s="538"/>
      <c r="K180" s="159">
        <f t="shared" si="22"/>
        <v>11056.78523076923</v>
      </c>
      <c r="L180" s="6"/>
      <c r="M180" s="161"/>
      <c r="N180" s="64"/>
      <c r="O180" s="162"/>
      <c r="P180" s="148"/>
      <c r="Q180" s="148"/>
      <c r="R180" s="148"/>
      <c r="S180" s="148"/>
      <c r="T180" s="148"/>
      <c r="U180" s="148"/>
      <c r="V180" s="148"/>
      <c r="W180" s="148"/>
    </row>
    <row r="181" spans="2:23" ht="15.75" customHeight="1" x14ac:dyDescent="0.25">
      <c r="B181" s="26" t="s">
        <v>300</v>
      </c>
      <c r="C181" s="670" t="s">
        <v>292</v>
      </c>
      <c r="D181" s="537"/>
      <c r="E181" s="537"/>
      <c r="F181" s="537"/>
      <c r="G181" s="537"/>
      <c r="H181" s="538"/>
      <c r="I181" s="602">
        <f>I354</f>
        <v>4720</v>
      </c>
      <c r="J181" s="538"/>
      <c r="K181" s="159">
        <f t="shared" si="22"/>
        <v>37760</v>
      </c>
      <c r="L181" s="6"/>
      <c r="M181" s="123"/>
      <c r="N181" s="6"/>
      <c r="O181" s="164"/>
      <c r="P181" s="151"/>
      <c r="Q181" s="151"/>
      <c r="R181" s="151"/>
      <c r="S181" s="151"/>
      <c r="T181" s="152"/>
      <c r="U181" s="151"/>
      <c r="V181" s="152"/>
      <c r="W181" s="151"/>
    </row>
    <row r="182" spans="2:23" ht="15.75" customHeight="1" x14ac:dyDescent="0.25">
      <c r="B182" s="156" t="s">
        <v>83</v>
      </c>
      <c r="C182" s="671" t="s">
        <v>301</v>
      </c>
      <c r="D182" s="537"/>
      <c r="E182" s="537"/>
      <c r="F182" s="537"/>
      <c r="G182" s="537"/>
      <c r="H182" s="538"/>
      <c r="I182" s="672">
        <f>K420</f>
        <v>3908.7314927777775</v>
      </c>
      <c r="J182" s="538"/>
      <c r="K182" s="157">
        <f>SUM(K183:K189)</f>
        <v>3908.7314927777779</v>
      </c>
      <c r="L182" s="6"/>
      <c r="M182" s="123"/>
      <c r="N182" s="6"/>
      <c r="O182" s="8"/>
      <c r="T182" s="21"/>
    </row>
    <row r="183" spans="2:23" ht="15.75" customHeight="1" x14ac:dyDescent="0.25">
      <c r="B183" s="26" t="s">
        <v>302</v>
      </c>
      <c r="C183" s="670" t="s">
        <v>278</v>
      </c>
      <c r="D183" s="537"/>
      <c r="E183" s="537"/>
      <c r="F183" s="537"/>
      <c r="G183" s="537"/>
      <c r="H183" s="538"/>
      <c r="I183" s="602">
        <f>I369</f>
        <v>512.96190476190475</v>
      </c>
      <c r="J183" s="538"/>
      <c r="K183" s="159">
        <f t="shared" ref="K183:K189" si="23">I183</f>
        <v>512.96190476190475</v>
      </c>
      <c r="L183" s="6"/>
      <c r="M183" s="123"/>
      <c r="N183" s="6"/>
      <c r="O183" s="8"/>
      <c r="S183" s="38"/>
    </row>
    <row r="184" spans="2:23" ht="15.75" customHeight="1" x14ac:dyDescent="0.25">
      <c r="B184" s="26" t="s">
        <v>303</v>
      </c>
      <c r="C184" s="670" t="s">
        <v>281</v>
      </c>
      <c r="D184" s="537"/>
      <c r="E184" s="537"/>
      <c r="F184" s="537"/>
      <c r="G184" s="537"/>
      <c r="H184" s="538"/>
      <c r="I184" s="602">
        <f>I378</f>
        <v>193.96372023809519</v>
      </c>
      <c r="J184" s="538"/>
      <c r="K184" s="159">
        <f t="shared" si="23"/>
        <v>193.96372023809519</v>
      </c>
      <c r="L184" s="6"/>
      <c r="M184" s="123"/>
      <c r="N184" s="6"/>
      <c r="O184" s="8"/>
      <c r="T184" s="21"/>
    </row>
    <row r="185" spans="2:23" ht="15.75" customHeight="1" x14ac:dyDescent="0.25">
      <c r="B185" s="26" t="s">
        <v>305</v>
      </c>
      <c r="C185" s="670" t="s">
        <v>283</v>
      </c>
      <c r="D185" s="537"/>
      <c r="E185" s="537"/>
      <c r="F185" s="537"/>
      <c r="G185" s="537"/>
      <c r="H185" s="538"/>
      <c r="I185" s="602">
        <f>I386</f>
        <v>272.42111111111114</v>
      </c>
      <c r="J185" s="538"/>
      <c r="K185" s="159">
        <f t="shared" si="23"/>
        <v>272.42111111111114</v>
      </c>
      <c r="L185" s="6"/>
      <c r="M185" s="123"/>
      <c r="N185" s="6"/>
      <c r="O185" s="8"/>
      <c r="T185" s="21"/>
      <c r="V185" s="21"/>
    </row>
    <row r="186" spans="2:23" ht="15.75" customHeight="1" x14ac:dyDescent="0.25">
      <c r="B186" s="26" t="s">
        <v>306</v>
      </c>
      <c r="C186" s="670" t="s">
        <v>286</v>
      </c>
      <c r="D186" s="537"/>
      <c r="E186" s="537"/>
      <c r="F186" s="537"/>
      <c r="G186" s="537"/>
      <c r="H186" s="538"/>
      <c r="I186" s="602">
        <f>I394</f>
        <v>1086.6666666666665</v>
      </c>
      <c r="J186" s="538"/>
      <c r="K186" s="159">
        <f t="shared" si="23"/>
        <v>1086.6666666666665</v>
      </c>
      <c r="L186" s="6"/>
      <c r="M186" s="123"/>
      <c r="N186" s="6"/>
      <c r="O186" s="150"/>
      <c r="P186" s="151"/>
      <c r="Q186" s="151"/>
      <c r="R186" s="151"/>
      <c r="S186" s="151"/>
      <c r="T186" s="151"/>
      <c r="U186" s="151"/>
      <c r="V186" s="151"/>
      <c r="W186" s="151"/>
    </row>
    <row r="187" spans="2:23" ht="15.75" customHeight="1" x14ac:dyDescent="0.25">
      <c r="B187" s="26" t="s">
        <v>307</v>
      </c>
      <c r="C187" s="670" t="s">
        <v>288</v>
      </c>
      <c r="D187" s="537"/>
      <c r="E187" s="537"/>
      <c r="F187" s="537"/>
      <c r="G187" s="537"/>
      <c r="H187" s="538"/>
      <c r="I187" s="602">
        <f>I404</f>
        <v>27.814890000000002</v>
      </c>
      <c r="J187" s="538"/>
      <c r="K187" s="159">
        <f t="shared" si="23"/>
        <v>27.814890000000002</v>
      </c>
      <c r="L187" s="6"/>
      <c r="M187" s="123"/>
      <c r="N187" s="6"/>
      <c r="O187" s="8"/>
    </row>
    <row r="188" spans="2:23" ht="15.75" customHeight="1" x14ac:dyDescent="0.25">
      <c r="B188" s="26" t="s">
        <v>309</v>
      </c>
      <c r="C188" s="670" t="s">
        <v>290</v>
      </c>
      <c r="D188" s="537"/>
      <c r="E188" s="537"/>
      <c r="F188" s="537"/>
      <c r="G188" s="537"/>
      <c r="H188" s="538"/>
      <c r="I188" s="602">
        <f>I412</f>
        <v>44.903200000000005</v>
      </c>
      <c r="J188" s="538"/>
      <c r="K188" s="159">
        <f t="shared" si="23"/>
        <v>44.903200000000005</v>
      </c>
      <c r="L188" s="6"/>
      <c r="M188" s="123"/>
      <c r="N188" s="6"/>
      <c r="O188" s="8"/>
    </row>
    <row r="189" spans="2:23" ht="15.75" customHeight="1" x14ac:dyDescent="0.25">
      <c r="B189" s="165" t="s">
        <v>310</v>
      </c>
      <c r="C189" s="673" t="s">
        <v>292</v>
      </c>
      <c r="D189" s="564"/>
      <c r="E189" s="564"/>
      <c r="F189" s="564"/>
      <c r="G189" s="564"/>
      <c r="H189" s="565"/>
      <c r="I189" s="641">
        <f>I417</f>
        <v>1770</v>
      </c>
      <c r="J189" s="565"/>
      <c r="K189" s="166">
        <f t="shared" si="23"/>
        <v>1770</v>
      </c>
      <c r="L189" s="6"/>
      <c r="M189" s="123"/>
      <c r="N189" s="6"/>
      <c r="O189" s="8"/>
    </row>
    <row r="190" spans="2:23" ht="15.75" customHeight="1" x14ac:dyDescent="0.25">
      <c r="B190" s="167"/>
      <c r="C190" s="674" t="s">
        <v>312</v>
      </c>
      <c r="D190" s="535"/>
      <c r="E190" s="535"/>
      <c r="F190" s="535"/>
      <c r="G190" s="535"/>
      <c r="H190" s="575"/>
      <c r="I190" s="674"/>
      <c r="J190" s="575"/>
      <c r="K190" s="168">
        <f>SUM(K166,K174,,K182)</f>
        <v>316104.87671464728</v>
      </c>
      <c r="L190" s="6"/>
      <c r="M190" s="123"/>
      <c r="N190" s="8"/>
      <c r="O190" s="8"/>
    </row>
    <row r="191" spans="2:23" ht="15.75" customHeight="1" x14ac:dyDescent="0.25">
      <c r="C191" s="169"/>
      <c r="D191" s="169"/>
      <c r="E191" s="169"/>
      <c r="F191" s="169"/>
      <c r="G191" s="169"/>
      <c r="H191" s="169"/>
      <c r="I191" s="169"/>
      <c r="J191" s="169"/>
      <c r="K191" s="169"/>
      <c r="L191" s="6"/>
      <c r="M191" s="6"/>
      <c r="N191" s="8"/>
      <c r="O191" s="8"/>
    </row>
    <row r="192" spans="2:23" ht="15.75" customHeight="1" x14ac:dyDescent="0.25">
      <c r="L192" s="6"/>
      <c r="M192" s="6"/>
      <c r="N192" s="8"/>
      <c r="O192" s="8"/>
    </row>
    <row r="193" spans="2:23" ht="15.75" customHeight="1" x14ac:dyDescent="0.25">
      <c r="B193" s="596" t="s">
        <v>315</v>
      </c>
      <c r="C193" s="537"/>
      <c r="D193" s="537"/>
      <c r="E193" s="537"/>
      <c r="F193" s="537"/>
      <c r="G193" s="537"/>
      <c r="H193" s="537"/>
      <c r="I193" s="537"/>
      <c r="J193" s="537"/>
      <c r="K193" s="538"/>
      <c r="L193" s="6"/>
      <c r="M193" s="6"/>
      <c r="N193" s="8"/>
      <c r="O193" s="8"/>
    </row>
    <row r="194" spans="2:23" ht="15.75" customHeight="1" x14ac:dyDescent="0.25">
      <c r="L194" s="6"/>
      <c r="M194" s="6"/>
      <c r="N194" s="8"/>
      <c r="O194" s="8"/>
    </row>
    <row r="195" spans="2:23" ht="15.75" customHeight="1" x14ac:dyDescent="0.25">
      <c r="B195" s="598" t="s">
        <v>317</v>
      </c>
      <c r="C195" s="537"/>
      <c r="D195" s="537"/>
      <c r="E195" s="537"/>
      <c r="F195" s="537"/>
      <c r="G195" s="537"/>
      <c r="H195" s="537"/>
      <c r="I195" s="537"/>
      <c r="J195" s="537"/>
      <c r="K195" s="538"/>
      <c r="L195" s="6"/>
      <c r="M195" s="6"/>
      <c r="N195" s="8"/>
      <c r="O195" s="8"/>
    </row>
    <row r="196" spans="2:23" ht="15.75" customHeight="1" x14ac:dyDescent="0.25">
      <c r="B196" s="637" t="s">
        <v>239</v>
      </c>
      <c r="C196" s="564"/>
      <c r="D196" s="564"/>
      <c r="E196" s="564"/>
      <c r="F196" s="565"/>
      <c r="G196" s="170" t="s">
        <v>118</v>
      </c>
      <c r="H196" s="155" t="s">
        <v>119</v>
      </c>
      <c r="I196" s="637" t="s">
        <v>319</v>
      </c>
      <c r="J196" s="565"/>
      <c r="K196" s="155" t="s">
        <v>320</v>
      </c>
      <c r="L196" s="6"/>
      <c r="M196" s="64"/>
      <c r="N196" s="150"/>
      <c r="O196" s="150"/>
      <c r="P196" s="151"/>
      <c r="Q196" s="151"/>
      <c r="R196" s="151"/>
      <c r="S196" s="151"/>
      <c r="T196" s="151"/>
      <c r="U196" s="151"/>
      <c r="V196" s="151"/>
      <c r="W196" s="151"/>
    </row>
    <row r="197" spans="2:23" ht="15.75" customHeight="1" x14ac:dyDescent="0.25">
      <c r="B197" s="675" t="s">
        <v>321</v>
      </c>
      <c r="C197" s="535"/>
      <c r="D197" s="535"/>
      <c r="E197" s="535"/>
      <c r="F197" s="575"/>
      <c r="G197" s="171">
        <v>2</v>
      </c>
      <c r="H197" s="171" t="s">
        <v>119</v>
      </c>
      <c r="I197" s="676">
        <f>297262+30000</f>
        <v>327262</v>
      </c>
      <c r="J197" s="575"/>
      <c r="K197" s="172">
        <f>I197*G197</f>
        <v>654524</v>
      </c>
      <c r="L197" s="6"/>
      <c r="M197" s="599"/>
      <c r="N197" s="8"/>
      <c r="O197" s="8"/>
    </row>
    <row r="198" spans="2:23" ht="15.75" customHeight="1" x14ac:dyDescent="0.25">
      <c r="B198" s="571" t="s">
        <v>322</v>
      </c>
      <c r="C198" s="537"/>
      <c r="D198" s="537"/>
      <c r="E198" s="537"/>
      <c r="F198" s="538"/>
      <c r="G198" s="14">
        <v>7</v>
      </c>
      <c r="H198" s="14" t="s">
        <v>323</v>
      </c>
      <c r="I198" s="617"/>
      <c r="J198" s="538"/>
      <c r="K198" s="173"/>
      <c r="L198" s="6"/>
      <c r="M198" s="600"/>
      <c r="N198" s="8"/>
      <c r="O198" s="8"/>
    </row>
    <row r="199" spans="2:23" ht="15.75" customHeight="1" x14ac:dyDescent="0.25">
      <c r="B199" s="571" t="s">
        <v>324</v>
      </c>
      <c r="C199" s="537"/>
      <c r="D199" s="537"/>
      <c r="E199" s="537"/>
      <c r="F199" s="538"/>
      <c r="G199" s="14">
        <v>6</v>
      </c>
      <c r="H199" s="14" t="s">
        <v>323</v>
      </c>
      <c r="I199" s="617"/>
      <c r="J199" s="538"/>
      <c r="K199" s="173"/>
      <c r="L199" s="6"/>
      <c r="M199" s="600"/>
      <c r="N199" s="8"/>
      <c r="O199" s="8"/>
    </row>
    <row r="200" spans="2:23" ht="15.75" customHeight="1" x14ac:dyDescent="0.25">
      <c r="B200" s="605" t="s">
        <v>325</v>
      </c>
      <c r="C200" s="537"/>
      <c r="D200" s="537"/>
      <c r="E200" s="537"/>
      <c r="F200" s="538"/>
      <c r="G200" s="14">
        <v>80</v>
      </c>
      <c r="H200" s="14" t="s">
        <v>141</v>
      </c>
      <c r="I200" s="556">
        <f>I197</f>
        <v>327262</v>
      </c>
      <c r="J200" s="538"/>
      <c r="K200" s="60">
        <f>I200*G200/100</f>
        <v>261809.6</v>
      </c>
      <c r="L200" s="6"/>
      <c r="M200" s="600"/>
      <c r="N200" s="8"/>
      <c r="O200" s="8"/>
    </row>
    <row r="201" spans="2:23" ht="15.75" customHeight="1" x14ac:dyDescent="0.25">
      <c r="B201" s="608" t="s">
        <v>326</v>
      </c>
      <c r="C201" s="564"/>
      <c r="D201" s="564"/>
      <c r="E201" s="564"/>
      <c r="F201" s="565"/>
      <c r="G201" s="174">
        <f>G198*12</f>
        <v>84</v>
      </c>
      <c r="H201" s="174" t="s">
        <v>327</v>
      </c>
      <c r="I201" s="657">
        <f>K200</f>
        <v>261809.6</v>
      </c>
      <c r="J201" s="565"/>
      <c r="K201" s="175">
        <f>I201/G201</f>
        <v>3116.7809523809524</v>
      </c>
      <c r="L201" s="6"/>
      <c r="M201" s="600"/>
      <c r="N201" s="150"/>
      <c r="O201" s="150"/>
      <c r="P201" s="151"/>
      <c r="Q201" s="151"/>
      <c r="R201" s="151"/>
      <c r="S201" s="151"/>
      <c r="T201" s="151"/>
      <c r="U201" s="151"/>
      <c r="V201" s="151"/>
      <c r="W201" s="151"/>
    </row>
    <row r="202" spans="2:23" ht="15.75" customHeight="1" x14ac:dyDescent="0.25">
      <c r="B202" s="675" t="s">
        <v>328</v>
      </c>
      <c r="C202" s="535"/>
      <c r="D202" s="535"/>
      <c r="E202" s="535"/>
      <c r="F202" s="575"/>
      <c r="G202" s="171">
        <v>2</v>
      </c>
      <c r="H202" s="171" t="s">
        <v>119</v>
      </c>
      <c r="I202" s="676">
        <f>I197/(582375+50000)*296200</f>
        <v>153287.21786914411</v>
      </c>
      <c r="J202" s="575"/>
      <c r="K202" s="172">
        <f>I202*G202</f>
        <v>306574.43573828822</v>
      </c>
      <c r="L202" s="6"/>
      <c r="M202" s="600"/>
      <c r="N202" s="150"/>
      <c r="O202" s="150"/>
      <c r="P202" s="151"/>
      <c r="Q202" s="151"/>
      <c r="R202" s="151"/>
      <c r="S202" s="151"/>
      <c r="T202" s="151"/>
      <c r="U202" s="151"/>
      <c r="V202" s="151"/>
      <c r="W202" s="151"/>
    </row>
    <row r="203" spans="2:23" ht="15" customHeight="1" x14ac:dyDescent="0.25">
      <c r="B203" s="571" t="s">
        <v>329</v>
      </c>
      <c r="C203" s="537"/>
      <c r="D203" s="537"/>
      <c r="E203" s="537"/>
      <c r="F203" s="538"/>
      <c r="G203" s="14">
        <v>7</v>
      </c>
      <c r="H203" s="14" t="s">
        <v>323</v>
      </c>
      <c r="I203" s="617"/>
      <c r="J203" s="538"/>
      <c r="K203" s="173"/>
      <c r="L203" s="6"/>
      <c r="M203" s="600"/>
      <c r="N203" s="8"/>
      <c r="O203" s="8"/>
    </row>
    <row r="204" spans="2:23" ht="15.75" customHeight="1" x14ac:dyDescent="0.25">
      <c r="B204" s="571" t="s">
        <v>330</v>
      </c>
      <c r="C204" s="537"/>
      <c r="D204" s="537"/>
      <c r="E204" s="537"/>
      <c r="F204" s="538"/>
      <c r="G204" s="14">
        <v>6</v>
      </c>
      <c r="H204" s="14" t="s">
        <v>323</v>
      </c>
      <c r="I204" s="617"/>
      <c r="J204" s="538"/>
      <c r="K204" s="173"/>
      <c r="L204" s="6"/>
      <c r="M204" s="600"/>
      <c r="N204" s="147"/>
      <c r="O204" s="147"/>
      <c r="P204" s="148"/>
      <c r="Q204" s="148"/>
      <c r="R204" s="148"/>
      <c r="S204" s="148"/>
      <c r="T204" s="148"/>
      <c r="U204" s="148"/>
      <c r="V204" s="148"/>
      <c r="W204" s="148"/>
    </row>
    <row r="205" spans="2:23" ht="15.75" customHeight="1" x14ac:dyDescent="0.25">
      <c r="B205" s="605" t="s">
        <v>331</v>
      </c>
      <c r="C205" s="537"/>
      <c r="D205" s="537"/>
      <c r="E205" s="537"/>
      <c r="F205" s="538"/>
      <c r="G205" s="14">
        <v>80</v>
      </c>
      <c r="H205" s="14" t="s">
        <v>141</v>
      </c>
      <c r="I205" s="556">
        <f>I202</f>
        <v>153287.21786914411</v>
      </c>
      <c r="J205" s="538"/>
      <c r="K205" s="60">
        <f>I205*G205/100</f>
        <v>122629.77429531529</v>
      </c>
      <c r="L205" s="6"/>
      <c r="M205" s="600"/>
      <c r="N205" s="147"/>
      <c r="O205" s="147"/>
      <c r="P205" s="148"/>
      <c r="Q205" s="148"/>
      <c r="R205" s="148"/>
      <c r="S205" s="148"/>
      <c r="T205" s="148"/>
      <c r="U205" s="148"/>
      <c r="V205" s="148"/>
      <c r="W205" s="148"/>
    </row>
    <row r="206" spans="2:23" ht="15" customHeight="1" x14ac:dyDescent="0.25">
      <c r="B206" s="608" t="s">
        <v>332</v>
      </c>
      <c r="C206" s="564"/>
      <c r="D206" s="564"/>
      <c r="E206" s="564"/>
      <c r="F206" s="565"/>
      <c r="G206" s="174">
        <f>G203*12</f>
        <v>84</v>
      </c>
      <c r="H206" s="174" t="s">
        <v>327</v>
      </c>
      <c r="I206" s="657">
        <f>K205</f>
        <v>122629.77429531529</v>
      </c>
      <c r="J206" s="565"/>
      <c r="K206" s="175">
        <f>I206/G206</f>
        <v>1459.8782654204201</v>
      </c>
      <c r="L206" s="6"/>
      <c r="M206" s="600"/>
      <c r="N206" s="147"/>
      <c r="O206" s="147"/>
      <c r="P206" s="148"/>
      <c r="Q206" s="148"/>
      <c r="R206" s="148"/>
      <c r="S206" s="148"/>
      <c r="T206" s="148"/>
      <c r="U206" s="148"/>
      <c r="V206" s="148"/>
      <c r="W206" s="148"/>
    </row>
    <row r="207" spans="2:23" ht="15" customHeight="1" x14ac:dyDescent="0.25">
      <c r="B207" s="677" t="s">
        <v>333</v>
      </c>
      <c r="C207" s="535"/>
      <c r="D207" s="535"/>
      <c r="E207" s="535"/>
      <c r="F207" s="575"/>
      <c r="G207" s="176"/>
      <c r="H207" s="176"/>
      <c r="I207" s="593"/>
      <c r="J207" s="575"/>
      <c r="K207" s="177">
        <f>SUM(K201+K206)</f>
        <v>4576.6592178013725</v>
      </c>
      <c r="L207" s="6"/>
      <c r="M207" s="600"/>
      <c r="N207" s="147"/>
      <c r="O207" s="147"/>
      <c r="P207" s="148"/>
      <c r="Q207" s="148"/>
      <c r="R207" s="148"/>
      <c r="S207" s="148"/>
      <c r="T207" s="148"/>
      <c r="U207" s="148"/>
      <c r="V207" s="148"/>
      <c r="W207" s="148"/>
    </row>
    <row r="208" spans="2:23" ht="15" customHeight="1" x14ac:dyDescent="0.25">
      <c r="B208" s="658" t="s">
        <v>334</v>
      </c>
      <c r="C208" s="537"/>
      <c r="D208" s="537"/>
      <c r="E208" s="537"/>
      <c r="F208" s="538"/>
      <c r="G208" s="61">
        <v>2</v>
      </c>
      <c r="H208" s="61" t="s">
        <v>335</v>
      </c>
      <c r="I208" s="659">
        <f>K207</f>
        <v>4576.6592178013725</v>
      </c>
      <c r="J208" s="538"/>
      <c r="K208" s="51">
        <f>I208*G208</f>
        <v>9153.318435602745</v>
      </c>
      <c r="L208" s="6"/>
      <c r="M208" s="601"/>
      <c r="N208" s="147"/>
      <c r="O208" s="147"/>
      <c r="P208" s="148"/>
      <c r="Q208" s="148"/>
      <c r="R208" s="148"/>
      <c r="S208" s="148"/>
      <c r="T208" s="148"/>
      <c r="U208" s="148"/>
      <c r="V208" s="148"/>
      <c r="W208" s="148"/>
    </row>
    <row r="209" spans="2:23" ht="15" customHeight="1" x14ac:dyDescent="0.25">
      <c r="L209" s="6"/>
      <c r="M209" s="64"/>
      <c r="N209" s="147"/>
      <c r="O209" s="147"/>
      <c r="P209" s="148"/>
      <c r="Q209" s="148"/>
      <c r="R209" s="148"/>
      <c r="S209" s="148"/>
      <c r="T209" s="148"/>
      <c r="U209" s="148"/>
      <c r="V209" s="148"/>
      <c r="W209" s="148"/>
    </row>
    <row r="210" spans="2:23" ht="15" customHeight="1" x14ac:dyDescent="0.25">
      <c r="B210" s="598" t="s">
        <v>336</v>
      </c>
      <c r="C210" s="537"/>
      <c r="D210" s="537"/>
      <c r="E210" s="537"/>
      <c r="F210" s="537"/>
      <c r="G210" s="537"/>
      <c r="H210" s="537"/>
      <c r="I210" s="537"/>
      <c r="J210" s="537"/>
      <c r="K210" s="538"/>
      <c r="L210" s="6"/>
      <c r="M210" s="6"/>
      <c r="N210" s="147"/>
      <c r="O210" s="147"/>
      <c r="P210" s="148"/>
      <c r="Q210" s="148"/>
      <c r="R210" s="148"/>
      <c r="S210" s="148"/>
      <c r="T210" s="148"/>
      <c r="U210" s="148"/>
      <c r="V210" s="148"/>
      <c r="W210" s="148"/>
    </row>
    <row r="211" spans="2:23" ht="15" customHeight="1" x14ac:dyDescent="0.25">
      <c r="B211" s="569" t="s">
        <v>239</v>
      </c>
      <c r="C211" s="537"/>
      <c r="D211" s="537"/>
      <c r="E211" s="537"/>
      <c r="F211" s="538"/>
      <c r="G211" s="61" t="s">
        <v>118</v>
      </c>
      <c r="H211" s="61" t="s">
        <v>119</v>
      </c>
      <c r="I211" s="569" t="s">
        <v>319</v>
      </c>
      <c r="J211" s="538"/>
      <c r="K211" s="61" t="s">
        <v>320</v>
      </c>
      <c r="L211" s="6"/>
      <c r="M211" s="64"/>
      <c r="N211" s="147"/>
      <c r="O211" s="147"/>
      <c r="P211" s="148"/>
      <c r="Q211" s="148"/>
      <c r="R211" s="148"/>
      <c r="S211" s="148"/>
      <c r="T211" s="148"/>
      <c r="U211" s="148"/>
      <c r="V211" s="148"/>
      <c r="W211" s="148"/>
    </row>
    <row r="212" spans="2:23" ht="15" customHeight="1" x14ac:dyDescent="0.25">
      <c r="B212" s="605" t="s">
        <v>337</v>
      </c>
      <c r="C212" s="537"/>
      <c r="D212" s="537"/>
      <c r="E212" s="537"/>
      <c r="F212" s="538"/>
      <c r="G212" s="14">
        <v>2</v>
      </c>
      <c r="H212" s="14" t="s">
        <v>335</v>
      </c>
      <c r="I212" s="556">
        <f>I197</f>
        <v>327262</v>
      </c>
      <c r="J212" s="538"/>
      <c r="K212" s="60">
        <f>I212*G212</f>
        <v>654524</v>
      </c>
      <c r="L212" s="6"/>
      <c r="M212" s="599"/>
      <c r="N212" s="147"/>
      <c r="O212" s="147"/>
      <c r="P212" s="148"/>
      <c r="Q212" s="148"/>
      <c r="R212" s="148"/>
      <c r="S212" s="148"/>
      <c r="T212" s="148"/>
      <c r="U212" s="148"/>
      <c r="V212" s="148"/>
      <c r="W212" s="148"/>
    </row>
    <row r="213" spans="2:23" ht="15" customHeight="1" x14ac:dyDescent="0.25">
      <c r="B213" s="605" t="s">
        <v>338</v>
      </c>
      <c r="C213" s="537"/>
      <c r="D213" s="537"/>
      <c r="E213" s="537"/>
      <c r="F213" s="538"/>
      <c r="G213" s="73">
        <v>13.75</v>
      </c>
      <c r="H213" s="14" t="s">
        <v>141</v>
      </c>
      <c r="I213" s="617"/>
      <c r="J213" s="538"/>
      <c r="K213" s="60"/>
      <c r="L213" s="6"/>
      <c r="M213" s="600"/>
      <c r="N213" s="147"/>
      <c r="O213" s="147"/>
      <c r="P213" s="148"/>
      <c r="Q213" s="148"/>
      <c r="R213" s="148"/>
      <c r="S213" s="148"/>
      <c r="T213" s="148"/>
      <c r="U213" s="148"/>
      <c r="V213" s="148"/>
      <c r="W213" s="148"/>
    </row>
    <row r="214" spans="2:23" ht="15" customHeight="1" x14ac:dyDescent="0.25">
      <c r="B214" s="605" t="s">
        <v>340</v>
      </c>
      <c r="C214" s="537"/>
      <c r="D214" s="537"/>
      <c r="E214" s="537"/>
      <c r="F214" s="538"/>
      <c r="G214" s="14"/>
      <c r="H214" s="14"/>
      <c r="I214" s="556">
        <f>IFERROR(IF(G199&lt;=G198,I197-(G200/(100*G198)*G199)*I197,I197-K200),0)</f>
        <v>102853.77142857143</v>
      </c>
      <c r="J214" s="538"/>
      <c r="K214" s="60"/>
      <c r="L214" s="6"/>
      <c r="M214" s="600"/>
      <c r="N214" s="147"/>
      <c r="O214" s="147"/>
      <c r="P214" s="148"/>
      <c r="Q214" s="148"/>
      <c r="R214" s="148"/>
      <c r="S214" s="148"/>
      <c r="T214" s="148"/>
      <c r="U214" s="148"/>
      <c r="V214" s="148"/>
      <c r="W214" s="148"/>
    </row>
    <row r="215" spans="2:23" ht="15" customHeight="1" x14ac:dyDescent="0.25">
      <c r="B215" s="605" t="s">
        <v>341</v>
      </c>
      <c r="C215" s="537"/>
      <c r="D215" s="537"/>
      <c r="E215" s="537"/>
      <c r="F215" s="538"/>
      <c r="G215" s="14"/>
      <c r="H215" s="14"/>
      <c r="I215" s="556">
        <f>IFERROR(IF(G199&gt;=G198,I214,((((I214)-(I197-K200))*(((G198-G199)+1)/(2*(G198-G199))))+(I197-K200))),0)</f>
        <v>102853.77142857143</v>
      </c>
      <c r="J215" s="538"/>
      <c r="K215" s="60"/>
      <c r="L215" s="6"/>
      <c r="M215" s="600"/>
      <c r="N215" s="147"/>
      <c r="O215" s="147"/>
      <c r="P215" s="148"/>
      <c r="Q215" s="148"/>
      <c r="R215" s="148"/>
      <c r="S215" s="148"/>
      <c r="T215" s="148"/>
      <c r="U215" s="148"/>
      <c r="V215" s="148"/>
      <c r="W215" s="148"/>
    </row>
    <row r="216" spans="2:23" ht="15" customHeight="1" x14ac:dyDescent="0.25">
      <c r="B216" s="608" t="s">
        <v>343</v>
      </c>
      <c r="C216" s="564"/>
      <c r="D216" s="564"/>
      <c r="E216" s="564"/>
      <c r="F216" s="565"/>
      <c r="G216" s="178"/>
      <c r="H216" s="178"/>
      <c r="I216" s="657">
        <f>G213*I215/12/100</f>
        <v>1178.5327976190479</v>
      </c>
      <c r="J216" s="565"/>
      <c r="K216" s="175">
        <f>I216</f>
        <v>1178.5327976190479</v>
      </c>
      <c r="L216" s="6"/>
      <c r="M216" s="600"/>
      <c r="N216" s="147"/>
      <c r="O216" s="147"/>
      <c r="P216" s="148"/>
      <c r="Q216" s="148"/>
      <c r="R216" s="148"/>
      <c r="S216" s="148"/>
      <c r="T216" s="148"/>
      <c r="U216" s="148"/>
      <c r="V216" s="148"/>
      <c r="W216" s="148"/>
    </row>
    <row r="217" spans="2:23" ht="15" customHeight="1" x14ac:dyDescent="0.25">
      <c r="B217" s="678" t="s">
        <v>344</v>
      </c>
      <c r="C217" s="544"/>
      <c r="D217" s="544"/>
      <c r="E217" s="544"/>
      <c r="F217" s="579"/>
      <c r="G217" s="171">
        <v>2</v>
      </c>
      <c r="H217" s="171" t="s">
        <v>335</v>
      </c>
      <c r="I217" s="676">
        <f>I202</f>
        <v>153287.21786914411</v>
      </c>
      <c r="J217" s="575"/>
      <c r="K217" s="172">
        <f>I217*G217</f>
        <v>306574.43573828822</v>
      </c>
      <c r="L217" s="6"/>
      <c r="M217" s="600"/>
      <c r="N217" s="147"/>
      <c r="O217" s="147"/>
      <c r="P217" s="148"/>
      <c r="Q217" s="148"/>
      <c r="R217" s="148"/>
      <c r="S217" s="148"/>
      <c r="T217" s="148"/>
      <c r="U217" s="148"/>
      <c r="V217" s="148"/>
      <c r="W217" s="148"/>
    </row>
    <row r="218" spans="2:23" ht="15" customHeight="1" x14ac:dyDescent="0.25">
      <c r="B218" s="605" t="s">
        <v>338</v>
      </c>
      <c r="C218" s="537"/>
      <c r="D218" s="537"/>
      <c r="E218" s="537"/>
      <c r="F218" s="538"/>
      <c r="G218" s="73">
        <v>13.75</v>
      </c>
      <c r="H218" s="14" t="s">
        <v>141</v>
      </c>
      <c r="I218" s="617"/>
      <c r="J218" s="538"/>
      <c r="K218" s="60"/>
      <c r="L218" s="6"/>
      <c r="M218" s="600"/>
      <c r="N218" s="147"/>
      <c r="O218" s="147"/>
      <c r="P218" s="148"/>
      <c r="Q218" s="148"/>
      <c r="R218" s="148"/>
      <c r="S218" s="148"/>
      <c r="T218" s="148"/>
      <c r="U218" s="148"/>
      <c r="V218" s="148"/>
      <c r="W218" s="148"/>
    </row>
    <row r="219" spans="2:23" ht="15.75" customHeight="1" x14ac:dyDescent="0.25">
      <c r="B219" s="605" t="s">
        <v>345</v>
      </c>
      <c r="C219" s="537"/>
      <c r="D219" s="537"/>
      <c r="E219" s="537"/>
      <c r="F219" s="538"/>
      <c r="G219" s="14"/>
      <c r="H219" s="14"/>
      <c r="I219" s="556">
        <f>IFERROR(IF(G204&lt;=G203,I202-(G205/(100*G203)*G204)*I202,I202-K205),0)</f>
        <v>48175.982758873855</v>
      </c>
      <c r="J219" s="538"/>
      <c r="K219" s="60"/>
      <c r="L219" s="6"/>
      <c r="M219" s="600"/>
      <c r="N219" s="147"/>
      <c r="O219" s="147"/>
      <c r="P219" s="148"/>
      <c r="Q219" s="148"/>
      <c r="R219" s="148"/>
      <c r="S219" s="148"/>
      <c r="T219" s="148"/>
      <c r="U219" s="148"/>
      <c r="V219" s="148"/>
      <c r="W219" s="148"/>
    </row>
    <row r="220" spans="2:23" ht="15" customHeight="1" x14ac:dyDescent="0.25">
      <c r="B220" s="605" t="s">
        <v>346</v>
      </c>
      <c r="C220" s="537"/>
      <c r="D220" s="537"/>
      <c r="E220" s="537"/>
      <c r="F220" s="538"/>
      <c r="G220" s="14"/>
      <c r="H220" s="14"/>
      <c r="I220" s="556">
        <f>IFERROR(IF(G204&gt;=G203,I219,((((I219)-(I202-K205))*(((G203-G204)+1)/(2*(G203-G204))))+(I202-K205))),0)</f>
        <v>48175.982758873855</v>
      </c>
      <c r="J220" s="538"/>
      <c r="K220" s="60"/>
      <c r="L220" s="6"/>
      <c r="M220" s="600"/>
      <c r="N220" s="147"/>
      <c r="O220" s="147"/>
      <c r="P220" s="148"/>
      <c r="Q220" s="148"/>
      <c r="R220" s="148"/>
      <c r="S220" s="148"/>
      <c r="T220" s="148"/>
      <c r="U220" s="148"/>
      <c r="V220" s="148"/>
      <c r="W220" s="148"/>
    </row>
    <row r="221" spans="2:23" ht="15" customHeight="1" x14ac:dyDescent="0.25">
      <c r="B221" s="608" t="s">
        <v>347</v>
      </c>
      <c r="C221" s="564"/>
      <c r="D221" s="564"/>
      <c r="E221" s="564"/>
      <c r="F221" s="565"/>
      <c r="G221" s="178"/>
      <c r="H221" s="178"/>
      <c r="I221" s="657">
        <f>G218*I220/12/100</f>
        <v>552.01646911209627</v>
      </c>
      <c r="J221" s="565"/>
      <c r="K221" s="175">
        <f>I221</f>
        <v>552.01646911209627</v>
      </c>
      <c r="L221" s="6"/>
      <c r="M221" s="600"/>
      <c r="N221" s="147"/>
      <c r="O221" s="147"/>
      <c r="P221" s="148"/>
      <c r="Q221" s="148"/>
      <c r="R221" s="148"/>
      <c r="S221" s="148"/>
      <c r="T221" s="148"/>
      <c r="U221" s="148"/>
      <c r="V221" s="148"/>
      <c r="W221" s="148"/>
    </row>
    <row r="222" spans="2:23" ht="15" customHeight="1" x14ac:dyDescent="0.25">
      <c r="B222" s="677" t="s">
        <v>348</v>
      </c>
      <c r="C222" s="535"/>
      <c r="D222" s="535"/>
      <c r="E222" s="535"/>
      <c r="F222" s="575"/>
      <c r="G222" s="176"/>
      <c r="H222" s="176"/>
      <c r="I222" s="593"/>
      <c r="J222" s="575"/>
      <c r="K222" s="177">
        <f>SUM(K216+K221)</f>
        <v>1730.5492667311441</v>
      </c>
      <c r="L222" s="6"/>
      <c r="M222" s="600"/>
      <c r="N222" s="147"/>
      <c r="O222" s="147"/>
      <c r="P222" s="148"/>
      <c r="Q222" s="148"/>
      <c r="R222" s="148"/>
      <c r="S222" s="148"/>
      <c r="T222" s="148"/>
      <c r="U222" s="148"/>
      <c r="V222" s="148"/>
      <c r="W222" s="148"/>
    </row>
    <row r="223" spans="2:23" ht="15" customHeight="1" x14ac:dyDescent="0.25">
      <c r="B223" s="658" t="s">
        <v>349</v>
      </c>
      <c r="C223" s="537"/>
      <c r="D223" s="537"/>
      <c r="E223" s="537"/>
      <c r="F223" s="538"/>
      <c r="G223" s="61">
        <v>2</v>
      </c>
      <c r="H223" s="61" t="s">
        <v>335</v>
      </c>
      <c r="I223" s="659">
        <f>K222</f>
        <v>1730.5492667311441</v>
      </c>
      <c r="J223" s="538"/>
      <c r="K223" s="51">
        <f>I223*G223</f>
        <v>3461.0985334622883</v>
      </c>
      <c r="L223" s="6"/>
      <c r="M223" s="600"/>
      <c r="N223" s="147"/>
      <c r="O223" s="147"/>
      <c r="P223" s="148"/>
      <c r="Q223" s="148"/>
      <c r="R223" s="148"/>
      <c r="S223" s="148"/>
      <c r="T223" s="148"/>
      <c r="U223" s="148"/>
      <c r="V223" s="148"/>
      <c r="W223" s="148"/>
    </row>
    <row r="224" spans="2:23" ht="15" customHeight="1" x14ac:dyDescent="0.25">
      <c r="B224" s="623" t="s">
        <v>350</v>
      </c>
      <c r="C224" s="542"/>
      <c r="D224" s="542"/>
      <c r="E224" s="542"/>
      <c r="F224" s="542"/>
      <c r="G224" s="542"/>
      <c r="H224" s="542"/>
      <c r="I224" s="542"/>
      <c r="J224" s="542"/>
      <c r="K224" s="577"/>
      <c r="L224" s="6"/>
      <c r="M224" s="600"/>
      <c r="N224" s="147"/>
      <c r="O224" s="147"/>
      <c r="P224" s="148"/>
      <c r="Q224" s="148"/>
      <c r="R224" s="148"/>
      <c r="S224" s="148"/>
      <c r="T224" s="148"/>
      <c r="U224" s="148"/>
      <c r="V224" s="148"/>
      <c r="W224" s="148"/>
    </row>
    <row r="225" spans="2:23" ht="15" customHeight="1" x14ac:dyDescent="0.25">
      <c r="B225" s="624"/>
      <c r="C225" s="625"/>
      <c r="D225" s="625"/>
      <c r="E225" s="625"/>
      <c r="F225" s="625"/>
      <c r="G225" s="625"/>
      <c r="H225" s="625"/>
      <c r="I225" s="625"/>
      <c r="J225" s="625"/>
      <c r="K225" s="626"/>
      <c r="L225" s="6"/>
      <c r="M225" s="600"/>
      <c r="N225" s="147"/>
      <c r="O225" s="147"/>
      <c r="P225" s="148"/>
      <c r="Q225" s="148"/>
      <c r="R225" s="148"/>
      <c r="S225" s="148"/>
      <c r="T225" s="148"/>
      <c r="U225" s="148"/>
      <c r="V225" s="148"/>
      <c r="W225" s="148"/>
    </row>
    <row r="226" spans="2:23" ht="15" customHeight="1" x14ac:dyDescent="0.25">
      <c r="B226" s="578"/>
      <c r="C226" s="544"/>
      <c r="D226" s="544"/>
      <c r="E226" s="544"/>
      <c r="F226" s="544"/>
      <c r="G226" s="544"/>
      <c r="H226" s="544"/>
      <c r="I226" s="544"/>
      <c r="J226" s="544"/>
      <c r="K226" s="579"/>
      <c r="L226" s="6"/>
      <c r="M226" s="601"/>
      <c r="N226" s="147"/>
      <c r="O226" s="147"/>
      <c r="P226" s="148"/>
      <c r="Q226" s="148"/>
      <c r="R226" s="148"/>
      <c r="S226" s="148"/>
      <c r="T226" s="148"/>
      <c r="U226" s="148"/>
      <c r="V226" s="148"/>
      <c r="W226" s="148"/>
    </row>
    <row r="227" spans="2:23" ht="15" customHeight="1" x14ac:dyDescent="0.25">
      <c r="B227" s="179"/>
      <c r="C227" s="179"/>
      <c r="D227" s="179"/>
      <c r="E227" s="179"/>
      <c r="F227" s="179"/>
      <c r="G227" s="38"/>
      <c r="H227" s="38"/>
      <c r="I227" s="38"/>
      <c r="J227" s="38"/>
      <c r="K227" s="169"/>
      <c r="L227" s="6"/>
      <c r="M227" s="64"/>
      <c r="N227" s="147"/>
      <c r="O227" s="147"/>
      <c r="P227" s="148"/>
      <c r="Q227" s="148"/>
      <c r="R227" s="148"/>
      <c r="S227" s="148"/>
      <c r="T227" s="148"/>
      <c r="U227" s="148"/>
      <c r="V227" s="148"/>
      <c r="W227" s="148"/>
    </row>
    <row r="228" spans="2:23" ht="15" customHeight="1" x14ac:dyDescent="0.25">
      <c r="B228" s="598" t="s">
        <v>352</v>
      </c>
      <c r="C228" s="537"/>
      <c r="D228" s="537"/>
      <c r="E228" s="537"/>
      <c r="F228" s="537"/>
      <c r="G228" s="537"/>
      <c r="H228" s="537"/>
      <c r="I228" s="537"/>
      <c r="J228" s="537"/>
      <c r="K228" s="538"/>
      <c r="L228" s="6"/>
      <c r="M228" s="627"/>
      <c r="N228" s="147"/>
      <c r="O228" s="147"/>
      <c r="P228" s="148"/>
      <c r="Q228" s="148"/>
      <c r="R228" s="148"/>
      <c r="S228" s="148"/>
      <c r="T228" s="148"/>
      <c r="U228" s="148"/>
      <c r="V228" s="148"/>
      <c r="W228" s="148"/>
    </row>
    <row r="229" spans="2:23" ht="15" customHeight="1" x14ac:dyDescent="0.25">
      <c r="B229" s="569" t="s">
        <v>239</v>
      </c>
      <c r="C229" s="537"/>
      <c r="D229" s="537"/>
      <c r="E229" s="537"/>
      <c r="F229" s="538"/>
      <c r="G229" s="61" t="s">
        <v>118</v>
      </c>
      <c r="H229" s="61" t="s">
        <v>119</v>
      </c>
      <c r="I229" s="569" t="s">
        <v>319</v>
      </c>
      <c r="J229" s="538"/>
      <c r="K229" s="61" t="s">
        <v>354</v>
      </c>
      <c r="L229" s="6"/>
      <c r="M229" s="600"/>
      <c r="N229" s="147"/>
      <c r="O229" s="147"/>
      <c r="P229" s="148"/>
      <c r="Q229" s="148"/>
      <c r="R229" s="148"/>
      <c r="S229" s="148"/>
      <c r="T229" s="148"/>
      <c r="U229" s="148"/>
      <c r="V229" s="148"/>
      <c r="W229" s="148"/>
    </row>
    <row r="230" spans="2:23" ht="15" customHeight="1" x14ac:dyDescent="0.25">
      <c r="B230" s="571" t="s">
        <v>355</v>
      </c>
      <c r="C230" s="537"/>
      <c r="D230" s="537"/>
      <c r="E230" s="537"/>
      <c r="F230" s="538"/>
      <c r="G230" s="14">
        <v>2</v>
      </c>
      <c r="H230" s="14" t="s">
        <v>335</v>
      </c>
      <c r="I230" s="556">
        <f>I197*0.01</f>
        <v>3272.62</v>
      </c>
      <c r="J230" s="538"/>
      <c r="K230" s="60">
        <f t="shared" ref="K230:K231" si="24">(I230*G230)/12</f>
        <v>545.43666666666661</v>
      </c>
      <c r="L230" s="6"/>
      <c r="M230" s="600"/>
      <c r="N230" s="147"/>
      <c r="O230" s="147"/>
      <c r="P230" s="148"/>
      <c r="Q230" s="148"/>
      <c r="R230" s="148"/>
      <c r="S230" s="148"/>
      <c r="T230" s="148"/>
      <c r="U230" s="148"/>
      <c r="V230" s="148"/>
      <c r="W230" s="148"/>
    </row>
    <row r="231" spans="2:23" ht="15" customHeight="1" x14ac:dyDescent="0.25">
      <c r="B231" s="571" t="s">
        <v>356</v>
      </c>
      <c r="C231" s="537"/>
      <c r="D231" s="537"/>
      <c r="E231" s="537"/>
      <c r="F231" s="538"/>
      <c r="G231" s="14">
        <v>2</v>
      </c>
      <c r="H231" s="14" t="s">
        <v>335</v>
      </c>
      <c r="I231" s="556">
        <v>109.27</v>
      </c>
      <c r="J231" s="538"/>
      <c r="K231" s="60">
        <f t="shared" si="24"/>
        <v>18.211666666666666</v>
      </c>
      <c r="L231" s="6"/>
      <c r="M231" s="600"/>
      <c r="N231" s="147"/>
      <c r="O231" s="147"/>
      <c r="P231" s="148"/>
      <c r="Q231" s="148"/>
      <c r="R231" s="148"/>
      <c r="S231" s="148"/>
      <c r="T231" s="148"/>
      <c r="U231" s="148"/>
      <c r="V231" s="148"/>
      <c r="W231" s="148"/>
    </row>
    <row r="232" spans="2:23" ht="15.75" customHeight="1" x14ac:dyDescent="0.25">
      <c r="B232" s="571" t="s">
        <v>358</v>
      </c>
      <c r="C232" s="537"/>
      <c r="D232" s="537"/>
      <c r="E232" s="537"/>
      <c r="F232" s="538"/>
      <c r="G232" s="14">
        <v>2</v>
      </c>
      <c r="H232" s="14" t="s">
        <v>335</v>
      </c>
      <c r="I232" s="556">
        <v>2536.9899999999998</v>
      </c>
      <c r="J232" s="538"/>
      <c r="K232" s="60">
        <f>(I232/12)*G232</f>
        <v>422.83166666666665</v>
      </c>
      <c r="L232" s="6"/>
      <c r="M232" s="600"/>
      <c r="N232" s="147"/>
      <c r="O232" s="147"/>
      <c r="P232" s="148"/>
      <c r="Q232" s="148"/>
      <c r="R232" s="148"/>
      <c r="S232" s="148"/>
      <c r="T232" s="148"/>
      <c r="U232" s="148"/>
      <c r="V232" s="148"/>
      <c r="W232" s="148"/>
    </row>
    <row r="233" spans="2:23" ht="15.75" customHeight="1" x14ac:dyDescent="0.25">
      <c r="B233" s="571" t="s">
        <v>359</v>
      </c>
      <c r="C233" s="537"/>
      <c r="D233" s="537"/>
      <c r="E233" s="537"/>
      <c r="F233" s="538"/>
      <c r="G233" s="14">
        <v>2</v>
      </c>
      <c r="H233" s="14" t="s">
        <v>335</v>
      </c>
      <c r="I233" s="556">
        <f>'10 - CUSTOS UN'!$J$233</f>
        <v>57.093333333333334</v>
      </c>
      <c r="J233" s="538"/>
      <c r="K233" s="60">
        <f t="shared" ref="K233:K234" si="25">I233*G233</f>
        <v>114.18666666666667</v>
      </c>
      <c r="L233" s="6"/>
      <c r="M233" s="600"/>
      <c r="N233" s="8"/>
      <c r="O233" s="8"/>
    </row>
    <row r="234" spans="2:23" ht="15.75" customHeight="1" x14ac:dyDescent="0.25">
      <c r="B234" s="628" t="s">
        <v>360</v>
      </c>
      <c r="C234" s="611"/>
      <c r="D234" s="611"/>
      <c r="E234" s="611"/>
      <c r="F234" s="612"/>
      <c r="G234" s="181">
        <v>2</v>
      </c>
      <c r="H234" s="181" t="s">
        <v>119</v>
      </c>
      <c r="I234" s="629">
        <f>SUM(K230:K233)/G234</f>
        <v>550.33333333333337</v>
      </c>
      <c r="J234" s="612"/>
      <c r="K234" s="184">
        <f t="shared" si="25"/>
        <v>1100.6666666666667</v>
      </c>
      <c r="L234" s="6"/>
      <c r="M234" s="601"/>
      <c r="N234" s="147"/>
      <c r="O234" s="147"/>
      <c r="P234" s="148"/>
      <c r="Q234" s="148"/>
      <c r="R234" s="148"/>
      <c r="S234" s="148"/>
      <c r="T234" s="148"/>
      <c r="U234" s="148"/>
      <c r="V234" s="148"/>
      <c r="W234" s="148"/>
    </row>
    <row r="235" spans="2:23" ht="15.75" customHeight="1" x14ac:dyDescent="0.25">
      <c r="L235" s="6"/>
      <c r="M235" s="64"/>
      <c r="N235" s="147"/>
      <c r="O235" s="147"/>
      <c r="P235" s="148"/>
      <c r="Q235" s="148"/>
      <c r="R235" s="148"/>
      <c r="S235" s="148"/>
      <c r="T235" s="148"/>
      <c r="U235" s="148"/>
      <c r="V235" s="148"/>
      <c r="W235" s="148"/>
    </row>
    <row r="236" spans="2:23" ht="15.75" customHeight="1" x14ac:dyDescent="0.25">
      <c r="B236" s="598" t="s">
        <v>361</v>
      </c>
      <c r="C236" s="537"/>
      <c r="D236" s="537"/>
      <c r="E236" s="537"/>
      <c r="F236" s="537"/>
      <c r="G236" s="537"/>
      <c r="H236" s="537"/>
      <c r="I236" s="537"/>
      <c r="J236" s="537"/>
      <c r="K236" s="538"/>
      <c r="L236" s="6"/>
      <c r="M236" s="599"/>
      <c r="N236" s="64"/>
      <c r="O236" s="64"/>
      <c r="P236" s="65"/>
      <c r="Q236" s="65"/>
      <c r="R236" s="148"/>
      <c r="S236" s="148"/>
      <c r="T236" s="148"/>
      <c r="U236" s="148"/>
      <c r="V236" s="148"/>
      <c r="W236" s="148"/>
    </row>
    <row r="237" spans="2:23" ht="15.75" customHeight="1" x14ac:dyDescent="0.25">
      <c r="B237" s="637" t="s">
        <v>239</v>
      </c>
      <c r="C237" s="564"/>
      <c r="D237" s="564"/>
      <c r="E237" s="564"/>
      <c r="F237" s="565"/>
      <c r="G237" s="170" t="s">
        <v>118</v>
      </c>
      <c r="H237" s="155" t="s">
        <v>119</v>
      </c>
      <c r="I237" s="637" t="s">
        <v>319</v>
      </c>
      <c r="J237" s="565"/>
      <c r="K237" s="155" t="s">
        <v>275</v>
      </c>
      <c r="L237" s="6"/>
      <c r="M237" s="600"/>
      <c r="N237" s="150"/>
      <c r="O237" s="150"/>
      <c r="P237" s="151"/>
      <c r="Q237" s="151"/>
      <c r="R237" s="151"/>
      <c r="S237" s="151"/>
      <c r="T237" s="151"/>
      <c r="U237" s="151"/>
      <c r="V237" s="151"/>
      <c r="W237" s="151"/>
    </row>
    <row r="238" spans="2:23" ht="15.75" customHeight="1" x14ac:dyDescent="0.25">
      <c r="B238" s="675" t="s">
        <v>363</v>
      </c>
      <c r="C238" s="535"/>
      <c r="D238" s="535"/>
      <c r="E238" s="535"/>
      <c r="F238" s="575"/>
      <c r="G238" s="186">
        <v>4000</v>
      </c>
      <c r="H238" s="14" t="s">
        <v>364</v>
      </c>
      <c r="I238" s="681"/>
      <c r="J238" s="575"/>
      <c r="K238" s="16"/>
      <c r="L238" s="6"/>
      <c r="M238" s="600"/>
      <c r="N238" s="8"/>
      <c r="O238" s="8"/>
    </row>
    <row r="239" spans="2:23" ht="15.75" customHeight="1" x14ac:dyDescent="0.25">
      <c r="B239" s="571" t="s">
        <v>365</v>
      </c>
      <c r="C239" s="537"/>
      <c r="D239" s="537"/>
      <c r="E239" s="537"/>
      <c r="F239" s="538"/>
      <c r="G239" s="14">
        <v>1.5</v>
      </c>
      <c r="H239" s="14" t="s">
        <v>367</v>
      </c>
      <c r="I239" s="682"/>
      <c r="J239" s="538"/>
      <c r="K239" s="187"/>
      <c r="L239" s="6"/>
      <c r="M239" s="600"/>
      <c r="N239" s="8"/>
      <c r="O239" s="8"/>
      <c r="T239" s="151"/>
      <c r="U239" s="151"/>
      <c r="V239" s="151"/>
      <c r="W239" s="151"/>
    </row>
    <row r="240" spans="2:23" ht="15.75" customHeight="1" x14ac:dyDescent="0.25">
      <c r="B240" s="571" t="s">
        <v>368</v>
      </c>
      <c r="C240" s="537"/>
      <c r="D240" s="537"/>
      <c r="E240" s="537"/>
      <c r="F240" s="538"/>
      <c r="G240" s="14">
        <v>1</v>
      </c>
      <c r="H240" s="14" t="s">
        <v>369</v>
      </c>
      <c r="I240" s="683">
        <v>7.48</v>
      </c>
      <c r="J240" s="538"/>
      <c r="K240" s="16"/>
      <c r="L240" s="6"/>
      <c r="M240" s="600"/>
      <c r="N240" s="8"/>
      <c r="O240" s="8"/>
    </row>
    <row r="241" spans="2:23" ht="15.75" customHeight="1" x14ac:dyDescent="0.25">
      <c r="B241" s="684" t="s">
        <v>371</v>
      </c>
      <c r="C241" s="564"/>
      <c r="D241" s="564"/>
      <c r="E241" s="564"/>
      <c r="F241" s="565"/>
      <c r="G241" s="188">
        <f>G238/G239</f>
        <v>2666.6666666666665</v>
      </c>
      <c r="H241" s="174" t="s">
        <v>372</v>
      </c>
      <c r="I241" s="657">
        <f>I240</f>
        <v>7.48</v>
      </c>
      <c r="J241" s="565"/>
      <c r="K241" s="175">
        <f t="shared" ref="K241:K242" si="26">I241*G241</f>
        <v>19946.666666666668</v>
      </c>
      <c r="L241" s="6"/>
      <c r="M241" s="601"/>
      <c r="N241" s="150"/>
      <c r="O241" s="150"/>
      <c r="P241" s="151"/>
      <c r="Q241" s="151"/>
      <c r="R241" s="151"/>
      <c r="S241" s="151"/>
      <c r="T241" s="151"/>
      <c r="U241" s="151"/>
      <c r="V241" s="151"/>
      <c r="W241" s="151"/>
    </row>
    <row r="242" spans="2:23" ht="15.75" customHeight="1" x14ac:dyDescent="0.25">
      <c r="B242" s="628" t="s">
        <v>374</v>
      </c>
      <c r="C242" s="611"/>
      <c r="D242" s="611"/>
      <c r="E242" s="611"/>
      <c r="F242" s="612"/>
      <c r="G242" s="181">
        <v>1</v>
      </c>
      <c r="H242" s="181" t="s">
        <v>119</v>
      </c>
      <c r="I242" s="629">
        <f>K241</f>
        <v>19946.666666666668</v>
      </c>
      <c r="J242" s="612"/>
      <c r="K242" s="184">
        <f t="shared" si="26"/>
        <v>19946.666666666668</v>
      </c>
      <c r="L242" s="6"/>
      <c r="M242" s="6"/>
      <c r="N242" s="150"/>
      <c r="O242" s="150"/>
      <c r="P242" s="151"/>
      <c r="Q242" s="151"/>
      <c r="R242" s="151"/>
      <c r="S242" s="151"/>
      <c r="T242" s="151"/>
      <c r="U242" s="151"/>
      <c r="V242" s="151"/>
      <c r="W242" s="151"/>
    </row>
    <row r="243" spans="2:23" ht="15" customHeight="1" x14ac:dyDescent="0.25">
      <c r="B243" s="685" t="s">
        <v>376</v>
      </c>
      <c r="C243" s="537"/>
      <c r="D243" s="537"/>
      <c r="E243" s="537"/>
      <c r="F243" s="537"/>
      <c r="G243" s="537"/>
      <c r="H243" s="537"/>
      <c r="I243" s="537"/>
      <c r="J243" s="537"/>
      <c r="K243" s="538"/>
      <c r="L243" s="6"/>
      <c r="M243" s="64"/>
      <c r="N243" s="8"/>
      <c r="O243" s="8"/>
    </row>
    <row r="244" spans="2:23" ht="15.75" customHeight="1" x14ac:dyDescent="0.25">
      <c r="B244" s="151"/>
      <c r="C244" s="151"/>
      <c r="D244" s="151"/>
      <c r="E244" s="151"/>
      <c r="F244" s="151"/>
      <c r="G244" s="1"/>
      <c r="H244" s="1"/>
      <c r="I244" s="152"/>
      <c r="J244" s="152"/>
      <c r="K244" s="189"/>
      <c r="L244" s="6"/>
      <c r="M244" s="6"/>
      <c r="N244" s="8"/>
      <c r="O244" s="8"/>
    </row>
    <row r="245" spans="2:23" ht="15.75" customHeight="1" x14ac:dyDescent="0.25">
      <c r="B245" s="598" t="s">
        <v>378</v>
      </c>
      <c r="C245" s="537"/>
      <c r="D245" s="537"/>
      <c r="E245" s="537"/>
      <c r="F245" s="537"/>
      <c r="G245" s="537"/>
      <c r="H245" s="537"/>
      <c r="I245" s="537"/>
      <c r="J245" s="537"/>
      <c r="K245" s="538"/>
      <c r="L245" s="6"/>
      <c r="M245" s="599"/>
      <c r="N245" s="150"/>
      <c r="O245" s="150"/>
      <c r="P245" s="151"/>
      <c r="Q245" s="151"/>
      <c r="R245" s="151"/>
      <c r="S245" s="151"/>
      <c r="T245" s="151"/>
      <c r="U245" s="151"/>
      <c r="V245" s="151"/>
      <c r="W245" s="151"/>
    </row>
    <row r="246" spans="2:23" ht="15.75" customHeight="1" x14ac:dyDescent="0.25">
      <c r="B246" s="637" t="s">
        <v>239</v>
      </c>
      <c r="C246" s="564"/>
      <c r="D246" s="564"/>
      <c r="E246" s="564"/>
      <c r="F246" s="565"/>
      <c r="G246" s="170" t="s">
        <v>118</v>
      </c>
      <c r="H246" s="155" t="s">
        <v>119</v>
      </c>
      <c r="I246" s="637" t="s">
        <v>319</v>
      </c>
      <c r="J246" s="565"/>
      <c r="K246" s="155" t="s">
        <v>320</v>
      </c>
      <c r="L246" s="6"/>
      <c r="M246" s="600"/>
      <c r="N246" s="150"/>
      <c r="O246" s="150"/>
      <c r="P246" s="151"/>
      <c r="Q246" s="151"/>
      <c r="R246" s="151"/>
      <c r="S246" s="151"/>
      <c r="T246" s="151"/>
      <c r="U246" s="151"/>
      <c r="V246" s="151"/>
      <c r="W246" s="151"/>
    </row>
    <row r="247" spans="2:23" ht="15.75" customHeight="1" x14ac:dyDescent="0.25">
      <c r="B247" s="675" t="s">
        <v>381</v>
      </c>
      <c r="C247" s="535"/>
      <c r="D247" s="535"/>
      <c r="E247" s="535"/>
      <c r="F247" s="575"/>
      <c r="G247" s="14">
        <v>2</v>
      </c>
      <c r="H247" s="14" t="s">
        <v>382</v>
      </c>
      <c r="I247" s="676">
        <f>'10 - CUSTOS UN'!$J$216</f>
        <v>20.973333333333333</v>
      </c>
      <c r="J247" s="575"/>
      <c r="K247" s="60">
        <f t="shared" ref="K247:K248" si="27">I247*G247</f>
        <v>41.946666666666665</v>
      </c>
      <c r="L247" s="6"/>
      <c r="M247" s="600"/>
      <c r="N247" s="150"/>
      <c r="O247" s="150"/>
      <c r="P247" s="151"/>
      <c r="Q247" s="151"/>
      <c r="R247" s="151"/>
      <c r="S247" s="151"/>
      <c r="T247" s="151"/>
      <c r="U247" s="151"/>
      <c r="V247" s="151"/>
      <c r="W247" s="151"/>
    </row>
    <row r="248" spans="2:23" ht="15.75" customHeight="1" x14ac:dyDescent="0.25">
      <c r="B248" s="679" t="s">
        <v>384</v>
      </c>
      <c r="C248" s="537"/>
      <c r="D248" s="537"/>
      <c r="E248" s="537"/>
      <c r="F248" s="538"/>
      <c r="G248" s="192">
        <f>G238</f>
        <v>4000</v>
      </c>
      <c r="H248" s="17" t="s">
        <v>364</v>
      </c>
      <c r="I248" s="680">
        <f>K247/1000</f>
        <v>4.1946666666666667E-2</v>
      </c>
      <c r="J248" s="538"/>
      <c r="K248" s="193">
        <f t="shared" si="27"/>
        <v>167.78666666666666</v>
      </c>
      <c r="L248" s="6"/>
      <c r="M248" s="600"/>
      <c r="N248" s="150"/>
      <c r="O248" s="150"/>
      <c r="P248" s="151"/>
      <c r="Q248" s="151"/>
      <c r="R248" s="151"/>
      <c r="S248" s="151"/>
      <c r="T248" s="151"/>
      <c r="U248" s="151"/>
      <c r="V248" s="151"/>
      <c r="W248" s="151"/>
    </row>
    <row r="249" spans="2:23" ht="15.75" customHeight="1" x14ac:dyDescent="0.25">
      <c r="B249" s="571" t="s">
        <v>387</v>
      </c>
      <c r="C249" s="537"/>
      <c r="D249" s="537"/>
      <c r="E249" s="537"/>
      <c r="F249" s="538"/>
      <c r="G249" s="171">
        <v>0.5</v>
      </c>
      <c r="H249" s="14" t="s">
        <v>382</v>
      </c>
      <c r="I249" s="556">
        <f>'10 - CUSTOS UN'!$J$219</f>
        <v>34.336666666666666</v>
      </c>
      <c r="J249" s="538"/>
      <c r="K249" s="60">
        <f>G249*I249</f>
        <v>17.168333333333333</v>
      </c>
      <c r="L249" s="6"/>
      <c r="M249" s="600"/>
      <c r="N249" s="150"/>
      <c r="O249" s="150"/>
      <c r="P249" s="151"/>
      <c r="Q249" s="151"/>
      <c r="R249" s="151"/>
      <c r="S249" s="151"/>
      <c r="T249" s="151"/>
      <c r="U249" s="151"/>
      <c r="V249" s="151"/>
      <c r="W249" s="151"/>
    </row>
    <row r="250" spans="2:23" ht="15.75" customHeight="1" x14ac:dyDescent="0.25">
      <c r="B250" s="679" t="s">
        <v>390</v>
      </c>
      <c r="C250" s="537"/>
      <c r="D250" s="537"/>
      <c r="E250" s="537"/>
      <c r="F250" s="538"/>
      <c r="G250" s="192">
        <f>G238</f>
        <v>4000</v>
      </c>
      <c r="H250" s="17" t="s">
        <v>364</v>
      </c>
      <c r="I250" s="680">
        <f>K249/1000</f>
        <v>1.7168333333333334E-2</v>
      </c>
      <c r="J250" s="538"/>
      <c r="K250" s="193">
        <f t="shared" ref="K250:K251" si="28">I250*G250</f>
        <v>68.673333333333332</v>
      </c>
      <c r="L250" s="6"/>
      <c r="M250" s="600"/>
      <c r="N250" s="150"/>
      <c r="O250" s="150"/>
      <c r="P250" s="151"/>
      <c r="Q250" s="151"/>
      <c r="R250" s="151"/>
      <c r="S250" s="151"/>
      <c r="T250" s="151"/>
      <c r="U250" s="151"/>
      <c r="V250" s="151"/>
      <c r="W250" s="151"/>
    </row>
    <row r="251" spans="2:23" ht="15.75" customHeight="1" x14ac:dyDescent="0.25">
      <c r="B251" s="571" t="s">
        <v>392</v>
      </c>
      <c r="C251" s="537"/>
      <c r="D251" s="537"/>
      <c r="E251" s="537"/>
      <c r="F251" s="538"/>
      <c r="G251" s="200">
        <f>I252/I251*1000</f>
        <v>8.3333333333333339</v>
      </c>
      <c r="H251" s="14" t="s">
        <v>382</v>
      </c>
      <c r="I251" s="556">
        <f>'10 - CUSTOS UN'!$J$225</f>
        <v>25.786666666666665</v>
      </c>
      <c r="J251" s="538"/>
      <c r="K251" s="60">
        <f t="shared" si="28"/>
        <v>214.88888888888889</v>
      </c>
      <c r="L251" s="6"/>
      <c r="M251" s="600"/>
      <c r="N251" s="150"/>
      <c r="O251" s="150"/>
      <c r="P251" s="151"/>
      <c r="Q251" s="151"/>
      <c r="R251" s="151"/>
      <c r="S251" s="151"/>
      <c r="T251" s="151"/>
      <c r="U251" s="151"/>
      <c r="V251" s="151"/>
      <c r="W251" s="151"/>
    </row>
    <row r="252" spans="2:23" ht="15.75" customHeight="1" x14ac:dyDescent="0.25">
      <c r="B252" s="679" t="s">
        <v>395</v>
      </c>
      <c r="C252" s="537"/>
      <c r="D252" s="537"/>
      <c r="E252" s="537"/>
      <c r="F252" s="538"/>
      <c r="G252" s="192">
        <f>G238</f>
        <v>4000</v>
      </c>
      <c r="H252" s="17" t="s">
        <v>364</v>
      </c>
      <c r="I252" s="680">
        <f>K252/G252</f>
        <v>0.21488888888888888</v>
      </c>
      <c r="J252" s="538"/>
      <c r="K252" s="193">
        <f>200/6*I251</f>
        <v>859.55555555555554</v>
      </c>
      <c r="L252" s="6"/>
      <c r="M252" s="600"/>
      <c r="N252" s="8"/>
      <c r="O252" s="8"/>
    </row>
    <row r="253" spans="2:23" ht="15.75" customHeight="1" x14ac:dyDescent="0.25">
      <c r="B253" s="571" t="s">
        <v>397</v>
      </c>
      <c r="C253" s="537"/>
      <c r="D253" s="537"/>
      <c r="E253" s="537"/>
      <c r="F253" s="538"/>
      <c r="G253" s="14">
        <v>2</v>
      </c>
      <c r="H253" s="14" t="s">
        <v>398</v>
      </c>
      <c r="I253" s="556">
        <f>'10 - CUSTOS UN'!$J$228</f>
        <v>43.276666666666664</v>
      </c>
      <c r="J253" s="538"/>
      <c r="K253" s="60">
        <f t="shared" ref="K253:K255" si="29">I253*G253</f>
        <v>86.553333333333327</v>
      </c>
      <c r="L253" s="6"/>
      <c r="M253" s="600"/>
      <c r="N253" s="8"/>
      <c r="O253" s="8"/>
      <c r="T253" s="151"/>
      <c r="U253" s="151"/>
      <c r="V253" s="151"/>
      <c r="W253" s="151"/>
    </row>
    <row r="254" spans="2:23" ht="15.75" customHeight="1" x14ac:dyDescent="0.25">
      <c r="B254" s="684" t="s">
        <v>399</v>
      </c>
      <c r="C254" s="564"/>
      <c r="D254" s="564"/>
      <c r="E254" s="564"/>
      <c r="F254" s="565"/>
      <c r="G254" s="188">
        <f>G238</f>
        <v>4000</v>
      </c>
      <c r="H254" s="174" t="s">
        <v>364</v>
      </c>
      <c r="I254" s="657">
        <f>K253/1000</f>
        <v>8.6553333333333329E-2</v>
      </c>
      <c r="J254" s="565"/>
      <c r="K254" s="175">
        <f t="shared" si="29"/>
        <v>346.21333333333331</v>
      </c>
      <c r="L254" s="6"/>
      <c r="M254" s="601"/>
      <c r="N254" s="8"/>
      <c r="O254" s="8"/>
    </row>
    <row r="255" spans="2:23" ht="15.75" customHeight="1" x14ac:dyDescent="0.25">
      <c r="B255" s="628" t="s">
        <v>401</v>
      </c>
      <c r="C255" s="611"/>
      <c r="D255" s="611"/>
      <c r="E255" s="611"/>
      <c r="F255" s="612"/>
      <c r="G255" s="181">
        <v>1</v>
      </c>
      <c r="H255" s="181" t="s">
        <v>119</v>
      </c>
      <c r="I255" s="629">
        <f>SUM(K248,K250,K252,K254)</f>
        <v>1442.2288888888888</v>
      </c>
      <c r="J255" s="612"/>
      <c r="K255" s="184">
        <f t="shared" si="29"/>
        <v>1442.2288888888888</v>
      </c>
      <c r="L255" s="6"/>
      <c r="M255" s="6"/>
      <c r="N255" s="150"/>
      <c r="O255" s="150"/>
      <c r="P255" s="151"/>
      <c r="Q255" s="151"/>
      <c r="R255" s="151"/>
      <c r="S255" s="151"/>
      <c r="T255" s="151"/>
      <c r="U255" s="151"/>
      <c r="V255" s="151"/>
      <c r="W255" s="151"/>
    </row>
    <row r="256" spans="2:23" ht="15.75" customHeight="1" x14ac:dyDescent="0.25">
      <c r="B256" s="148"/>
      <c r="C256" s="148"/>
      <c r="D256" s="148"/>
      <c r="E256" s="148"/>
      <c r="F256" s="148"/>
      <c r="G256" s="148"/>
      <c r="H256" s="148"/>
      <c r="I256" s="148"/>
      <c r="J256" s="148"/>
      <c r="K256" s="148"/>
      <c r="L256" s="6"/>
      <c r="M256" s="6"/>
      <c r="N256" s="150"/>
      <c r="O256" s="150"/>
      <c r="P256" s="151"/>
      <c r="Q256" s="151"/>
      <c r="R256" s="151"/>
      <c r="S256" s="151"/>
      <c r="T256" s="151"/>
      <c r="U256" s="151"/>
      <c r="V256" s="151"/>
      <c r="W256" s="151"/>
    </row>
    <row r="257" spans="2:23" ht="15.75" customHeight="1" x14ac:dyDescent="0.25">
      <c r="B257" s="598" t="s">
        <v>403</v>
      </c>
      <c r="C257" s="537"/>
      <c r="D257" s="537"/>
      <c r="E257" s="537"/>
      <c r="F257" s="537"/>
      <c r="G257" s="537"/>
      <c r="H257" s="537"/>
      <c r="I257" s="537"/>
      <c r="J257" s="537"/>
      <c r="K257" s="538"/>
      <c r="L257" s="6"/>
      <c r="M257" s="599"/>
      <c r="N257" s="150"/>
      <c r="O257" s="150"/>
      <c r="P257" s="151"/>
      <c r="Q257" s="151"/>
      <c r="R257" s="151"/>
      <c r="S257" s="151"/>
      <c r="T257" s="151"/>
      <c r="U257" s="151"/>
      <c r="V257" s="151"/>
      <c r="W257" s="151"/>
    </row>
    <row r="258" spans="2:23" ht="15.75" customHeight="1" x14ac:dyDescent="0.25">
      <c r="B258" s="637" t="s">
        <v>239</v>
      </c>
      <c r="C258" s="564"/>
      <c r="D258" s="564"/>
      <c r="E258" s="564"/>
      <c r="F258" s="565"/>
      <c r="G258" s="170" t="s">
        <v>118</v>
      </c>
      <c r="H258" s="155" t="s">
        <v>119</v>
      </c>
      <c r="I258" s="637" t="s">
        <v>319</v>
      </c>
      <c r="J258" s="565"/>
      <c r="K258" s="155" t="s">
        <v>320</v>
      </c>
      <c r="L258" s="6"/>
      <c r="M258" s="600"/>
      <c r="N258" s="150"/>
      <c r="O258" s="150"/>
      <c r="P258" s="151"/>
      <c r="Q258" s="151"/>
      <c r="R258" s="151"/>
      <c r="S258" s="151"/>
      <c r="T258" s="151"/>
      <c r="U258" s="151"/>
      <c r="V258" s="151"/>
      <c r="W258" s="151"/>
    </row>
    <row r="259" spans="2:23" ht="15.75" customHeight="1" x14ac:dyDescent="0.25">
      <c r="B259" s="675" t="s">
        <v>405</v>
      </c>
      <c r="C259" s="535"/>
      <c r="D259" s="535"/>
      <c r="E259" s="535"/>
      <c r="F259" s="575"/>
      <c r="G259" s="14">
        <v>10</v>
      </c>
      <c r="H259" s="14" t="s">
        <v>335</v>
      </c>
      <c r="I259" s="686">
        <f>'10 - CUSTOS UN'!$J$207</f>
        <v>2090.67</v>
      </c>
      <c r="J259" s="575"/>
      <c r="K259" s="86">
        <f>I259*G259</f>
        <v>20906.7</v>
      </c>
      <c r="L259" s="6"/>
      <c r="M259" s="600"/>
      <c r="N259" s="147"/>
      <c r="O259" s="147"/>
      <c r="P259" s="148"/>
      <c r="Q259" s="148"/>
      <c r="R259" s="148"/>
      <c r="S259" s="148"/>
      <c r="T259" s="148"/>
      <c r="U259" s="148"/>
      <c r="V259" s="148"/>
      <c r="W259" s="148"/>
    </row>
    <row r="260" spans="2:23" ht="15.75" customHeight="1" x14ac:dyDescent="0.25">
      <c r="B260" s="571" t="s">
        <v>407</v>
      </c>
      <c r="C260" s="537"/>
      <c r="D260" s="537"/>
      <c r="E260" s="537"/>
      <c r="F260" s="538"/>
      <c r="G260" s="14">
        <v>3</v>
      </c>
      <c r="H260" s="14" t="s">
        <v>335</v>
      </c>
      <c r="I260" s="617"/>
      <c r="J260" s="538"/>
      <c r="K260" s="173"/>
      <c r="L260" s="6"/>
      <c r="M260" s="600"/>
      <c r="N260" s="64"/>
      <c r="O260" s="64"/>
      <c r="P260" s="65"/>
      <c r="Q260" s="65"/>
      <c r="R260" s="148"/>
      <c r="S260" s="148"/>
      <c r="T260" s="148"/>
      <c r="U260" s="148"/>
      <c r="V260" s="148"/>
      <c r="W260" s="148"/>
    </row>
    <row r="261" spans="2:23" ht="15.75" customHeight="1" x14ac:dyDescent="0.25">
      <c r="B261" s="571" t="s">
        <v>408</v>
      </c>
      <c r="C261" s="537"/>
      <c r="D261" s="537"/>
      <c r="E261" s="537"/>
      <c r="F261" s="538"/>
      <c r="G261" s="14">
        <f>G260*G259</f>
        <v>30</v>
      </c>
      <c r="H261" s="14" t="s">
        <v>335</v>
      </c>
      <c r="I261" s="556">
        <f>'10 - CUSTOS UN'!J258</f>
        <v>550.83750000000009</v>
      </c>
      <c r="J261" s="538"/>
      <c r="K261" s="60">
        <f>I261*G261</f>
        <v>16525.125000000004</v>
      </c>
      <c r="L261" s="6"/>
      <c r="M261" s="600"/>
      <c r="N261" s="150"/>
      <c r="O261" s="150"/>
      <c r="P261" s="151"/>
      <c r="Q261" s="151"/>
      <c r="R261" s="151"/>
      <c r="S261" s="151"/>
      <c r="T261" s="151"/>
      <c r="U261" s="151"/>
      <c r="V261" s="151"/>
      <c r="W261" s="151"/>
    </row>
    <row r="262" spans="2:23" ht="15.75" customHeight="1" x14ac:dyDescent="0.25">
      <c r="B262" s="571" t="s">
        <v>411</v>
      </c>
      <c r="C262" s="537"/>
      <c r="D262" s="537"/>
      <c r="E262" s="537"/>
      <c r="F262" s="538"/>
      <c r="G262" s="15">
        <v>20000</v>
      </c>
      <c r="H262" s="14" t="s">
        <v>413</v>
      </c>
      <c r="I262" s="617"/>
      <c r="J262" s="538"/>
      <c r="K262" s="173"/>
      <c r="L262" s="6"/>
      <c r="M262" s="600"/>
      <c r="N262" s="8"/>
      <c r="O262" s="8"/>
    </row>
    <row r="263" spans="2:23" ht="15.75" customHeight="1" x14ac:dyDescent="0.25">
      <c r="B263" s="571" t="s">
        <v>414</v>
      </c>
      <c r="C263" s="537"/>
      <c r="D263" s="537"/>
      <c r="E263" s="537"/>
      <c r="F263" s="538"/>
      <c r="G263" s="15">
        <v>15000</v>
      </c>
      <c r="H263" s="14" t="s">
        <v>413</v>
      </c>
      <c r="I263" s="617"/>
      <c r="J263" s="538"/>
      <c r="K263" s="173"/>
      <c r="L263" s="6"/>
      <c r="M263" s="600"/>
      <c r="N263" s="150"/>
      <c r="O263" s="150"/>
      <c r="P263" s="151"/>
      <c r="Q263" s="151"/>
      <c r="R263" s="151"/>
      <c r="S263" s="151"/>
      <c r="T263" s="151"/>
      <c r="U263" s="151"/>
      <c r="V263" s="151"/>
      <c r="W263" s="151"/>
    </row>
    <row r="264" spans="2:23" ht="15.75" customHeight="1" x14ac:dyDescent="0.25">
      <c r="B264" s="571" t="s">
        <v>415</v>
      </c>
      <c r="C264" s="537"/>
      <c r="D264" s="537"/>
      <c r="E264" s="537"/>
      <c r="F264" s="538"/>
      <c r="G264" s="15">
        <f>G262+G263*G260</f>
        <v>65000</v>
      </c>
      <c r="H264" s="14" t="s">
        <v>417</v>
      </c>
      <c r="I264" s="556">
        <f>K261+K259</f>
        <v>37431.825000000004</v>
      </c>
      <c r="J264" s="538"/>
      <c r="K264" s="60">
        <f>I264/G264</f>
        <v>0.57587423076923083</v>
      </c>
      <c r="L264" s="6"/>
      <c r="M264" s="600"/>
      <c r="N264" s="8"/>
      <c r="O264" s="8"/>
    </row>
    <row r="265" spans="2:23" ht="15.75" customHeight="1" x14ac:dyDescent="0.25">
      <c r="B265" s="684" t="s">
        <v>418</v>
      </c>
      <c r="C265" s="564"/>
      <c r="D265" s="564"/>
      <c r="E265" s="564"/>
      <c r="F265" s="565"/>
      <c r="G265" s="188">
        <f>G238</f>
        <v>4000</v>
      </c>
      <c r="H265" s="174" t="s">
        <v>413</v>
      </c>
      <c r="I265" s="657">
        <f t="shared" ref="I265:I266" si="30">K264</f>
        <v>0.57587423076923083</v>
      </c>
      <c r="J265" s="565"/>
      <c r="K265" s="175">
        <f t="shared" ref="K265:K266" si="31">I265*G265</f>
        <v>2303.4969230769234</v>
      </c>
      <c r="L265" s="6"/>
      <c r="M265" s="601"/>
      <c r="N265" s="150"/>
      <c r="O265" s="150"/>
      <c r="P265" s="151"/>
      <c r="Q265" s="151"/>
      <c r="R265" s="151"/>
      <c r="S265" s="151"/>
      <c r="T265" s="151"/>
      <c r="U265" s="151"/>
      <c r="V265" s="151"/>
      <c r="W265" s="151"/>
    </row>
    <row r="266" spans="2:23" ht="15.75" customHeight="1" x14ac:dyDescent="0.25">
      <c r="B266" s="628" t="s">
        <v>420</v>
      </c>
      <c r="C266" s="611"/>
      <c r="D266" s="611"/>
      <c r="E266" s="611"/>
      <c r="F266" s="612"/>
      <c r="G266" s="181">
        <v>1</v>
      </c>
      <c r="H266" s="181" t="s">
        <v>119</v>
      </c>
      <c r="I266" s="629">
        <f t="shared" si="30"/>
        <v>2303.4969230769234</v>
      </c>
      <c r="J266" s="612"/>
      <c r="K266" s="184">
        <f t="shared" si="31"/>
        <v>2303.4969230769234</v>
      </c>
      <c r="L266" s="6"/>
      <c r="M266" s="6"/>
      <c r="N266" s="8"/>
      <c r="O266" s="8"/>
      <c r="R266" s="151"/>
      <c r="T266" s="151"/>
      <c r="U266" s="151"/>
      <c r="V266" s="151"/>
      <c r="W266" s="151"/>
    </row>
    <row r="267" spans="2:23" ht="15.75" customHeight="1" x14ac:dyDescent="0.25">
      <c r="B267" s="151"/>
      <c r="C267" s="151"/>
      <c r="D267" s="151"/>
      <c r="E267" s="151"/>
      <c r="F267" s="151"/>
      <c r="G267" s="1"/>
      <c r="H267" s="1"/>
      <c r="I267" s="152"/>
      <c r="J267" s="152"/>
      <c r="K267" s="189"/>
      <c r="L267" s="6"/>
      <c r="M267" s="6"/>
      <c r="N267" s="150"/>
      <c r="O267" s="150"/>
      <c r="P267" s="151"/>
      <c r="Q267" s="151"/>
      <c r="S267" s="151"/>
    </row>
    <row r="268" spans="2:23" ht="15.75" customHeight="1" x14ac:dyDescent="0.25">
      <c r="B268" s="598" t="s">
        <v>422</v>
      </c>
      <c r="C268" s="537"/>
      <c r="D268" s="537"/>
      <c r="E268" s="537"/>
      <c r="F268" s="537"/>
      <c r="G268" s="537"/>
      <c r="H268" s="537"/>
      <c r="I268" s="537"/>
      <c r="J268" s="537"/>
      <c r="K268" s="538"/>
      <c r="L268" s="6"/>
      <c r="M268" s="6"/>
      <c r="N268" s="8"/>
      <c r="O268" s="8"/>
    </row>
    <row r="269" spans="2:23" ht="15.75" customHeight="1" x14ac:dyDescent="0.25">
      <c r="B269" s="637" t="s">
        <v>239</v>
      </c>
      <c r="C269" s="564"/>
      <c r="D269" s="564"/>
      <c r="E269" s="564"/>
      <c r="F269" s="565"/>
      <c r="G269" s="170" t="s">
        <v>118</v>
      </c>
      <c r="H269" s="155" t="s">
        <v>119</v>
      </c>
      <c r="I269" s="637" t="s">
        <v>319</v>
      </c>
      <c r="J269" s="565"/>
      <c r="K269" s="155" t="s">
        <v>275</v>
      </c>
      <c r="L269" s="6"/>
      <c r="M269" s="6"/>
      <c r="N269" s="150"/>
      <c r="O269" s="150"/>
      <c r="P269" s="151"/>
      <c r="Q269" s="151"/>
      <c r="S269" s="151"/>
    </row>
    <row r="270" spans="2:23" ht="15.75" customHeight="1" x14ac:dyDescent="0.25">
      <c r="B270" s="687" t="s">
        <v>425</v>
      </c>
      <c r="C270" s="532"/>
      <c r="D270" s="532"/>
      <c r="E270" s="532"/>
      <c r="F270" s="688"/>
      <c r="G270" s="203">
        <f>G238</f>
        <v>4000</v>
      </c>
      <c r="H270" s="204" t="s">
        <v>364</v>
      </c>
      <c r="I270" s="689">
        <v>1.18</v>
      </c>
      <c r="J270" s="688"/>
      <c r="K270" s="205">
        <f t="shared" ref="K270:K271" si="32">I270*G270</f>
        <v>4720</v>
      </c>
      <c r="L270" s="6"/>
      <c r="M270" s="6"/>
      <c r="N270" s="150"/>
      <c r="O270" s="150"/>
      <c r="P270" s="151"/>
      <c r="Q270" s="151"/>
      <c r="R270" s="151"/>
      <c r="S270" s="151"/>
      <c r="T270" s="151"/>
      <c r="U270" s="151"/>
      <c r="V270" s="151"/>
      <c r="W270" s="151"/>
    </row>
    <row r="271" spans="2:23" ht="15.75" customHeight="1" x14ac:dyDescent="0.25">
      <c r="B271" s="628" t="s">
        <v>427</v>
      </c>
      <c r="C271" s="611"/>
      <c r="D271" s="611"/>
      <c r="E271" s="611"/>
      <c r="F271" s="612"/>
      <c r="G271" s="181">
        <v>1</v>
      </c>
      <c r="H271" s="181" t="s">
        <v>335</v>
      </c>
      <c r="I271" s="629">
        <f>K270</f>
        <v>4720</v>
      </c>
      <c r="J271" s="612"/>
      <c r="K271" s="184">
        <f t="shared" si="32"/>
        <v>4720</v>
      </c>
      <c r="L271" s="6"/>
      <c r="M271" s="6"/>
      <c r="N271" s="8"/>
      <c r="O271" s="8"/>
    </row>
    <row r="272" spans="2:23" ht="15" customHeight="1" x14ac:dyDescent="0.25">
      <c r="B272" s="623" t="s">
        <v>429</v>
      </c>
      <c r="C272" s="542"/>
      <c r="D272" s="542"/>
      <c r="E272" s="542"/>
      <c r="F272" s="542"/>
      <c r="G272" s="542"/>
      <c r="H272" s="542"/>
      <c r="I272" s="542"/>
      <c r="J272" s="542"/>
      <c r="K272" s="577"/>
      <c r="L272" s="6"/>
      <c r="M272" s="6"/>
      <c r="N272" s="150"/>
      <c r="O272" s="150"/>
      <c r="P272" s="151"/>
      <c r="Q272" s="151"/>
      <c r="R272" s="151"/>
      <c r="S272" s="151"/>
      <c r="T272" s="151"/>
      <c r="U272" s="151"/>
      <c r="V272" s="151"/>
      <c r="W272" s="151"/>
    </row>
    <row r="273" spans="2:23" ht="15.75" customHeight="1" x14ac:dyDescent="0.25">
      <c r="B273" s="624"/>
      <c r="C273" s="625"/>
      <c r="D273" s="625"/>
      <c r="E273" s="625"/>
      <c r="F273" s="625"/>
      <c r="G273" s="625"/>
      <c r="H273" s="625"/>
      <c r="I273" s="625"/>
      <c r="J273" s="625"/>
      <c r="K273" s="626"/>
      <c r="L273" s="6"/>
      <c r="M273" s="6"/>
      <c r="N273" s="8"/>
      <c r="O273" s="8"/>
    </row>
    <row r="274" spans="2:23" ht="15.75" customHeight="1" x14ac:dyDescent="0.25">
      <c r="B274" s="624"/>
      <c r="C274" s="625"/>
      <c r="D274" s="625"/>
      <c r="E274" s="625"/>
      <c r="F274" s="625"/>
      <c r="G274" s="625"/>
      <c r="H274" s="625"/>
      <c r="I274" s="625"/>
      <c r="J274" s="625"/>
      <c r="K274" s="626"/>
      <c r="L274" s="6"/>
      <c r="M274" s="6"/>
      <c r="N274" s="150"/>
      <c r="O274" s="150"/>
      <c r="P274" s="151"/>
      <c r="Q274" s="151"/>
      <c r="R274" s="151"/>
      <c r="S274" s="151"/>
      <c r="T274" s="151"/>
      <c r="U274" s="151"/>
      <c r="V274" s="151"/>
      <c r="W274" s="151"/>
    </row>
    <row r="275" spans="2:23" ht="15.75" customHeight="1" x14ac:dyDescent="0.25">
      <c r="B275" s="578"/>
      <c r="C275" s="544"/>
      <c r="D275" s="544"/>
      <c r="E275" s="544"/>
      <c r="F275" s="544"/>
      <c r="G275" s="544"/>
      <c r="H275" s="544"/>
      <c r="I275" s="544"/>
      <c r="J275" s="544"/>
      <c r="K275" s="579"/>
      <c r="L275" s="6"/>
      <c r="M275" s="6"/>
      <c r="N275" s="8"/>
      <c r="O275" s="8"/>
      <c r="R275" s="151"/>
      <c r="T275" s="151"/>
      <c r="U275" s="151"/>
      <c r="V275" s="151"/>
      <c r="W275" s="151"/>
    </row>
    <row r="276" spans="2:23" ht="15.75" customHeight="1" x14ac:dyDescent="0.25">
      <c r="B276" s="148"/>
      <c r="C276" s="148"/>
      <c r="D276" s="148"/>
      <c r="E276" s="148"/>
      <c r="F276" s="148"/>
      <c r="G276" s="148"/>
      <c r="H276" s="148"/>
      <c r="I276" s="148"/>
      <c r="J276" s="148"/>
      <c r="K276" s="148"/>
      <c r="L276" s="6"/>
      <c r="M276" s="6"/>
      <c r="N276" s="150"/>
      <c r="O276" s="150"/>
      <c r="P276" s="151"/>
      <c r="Q276" s="151"/>
      <c r="S276" s="151"/>
    </row>
    <row r="277" spans="2:23" ht="15.75" customHeight="1" x14ac:dyDescent="0.25">
      <c r="B277" s="552" t="s">
        <v>431</v>
      </c>
      <c r="C277" s="537"/>
      <c r="D277" s="537"/>
      <c r="E277" s="537"/>
      <c r="F277" s="537"/>
      <c r="G277" s="537"/>
      <c r="H277" s="537"/>
      <c r="I277" s="537"/>
      <c r="J277" s="538"/>
      <c r="K277" s="209">
        <f>SUM(K270,K265,I255,I242,I234,K222,K207)</f>
        <v>35269.93429649833</v>
      </c>
      <c r="L277" s="6"/>
      <c r="M277" s="6"/>
      <c r="N277" s="8"/>
      <c r="O277" s="8"/>
    </row>
    <row r="278" spans="2:23" ht="15.75" customHeight="1" x14ac:dyDescent="0.25">
      <c r="B278" s="552" t="s">
        <v>433</v>
      </c>
      <c r="C278" s="537"/>
      <c r="D278" s="537"/>
      <c r="E278" s="537"/>
      <c r="F278" s="537"/>
      <c r="G278" s="537"/>
      <c r="H278" s="537"/>
      <c r="I278" s="537"/>
      <c r="J278" s="538"/>
      <c r="K278" s="209">
        <f>SUM(K271,K266,K255,K242,K234,K223,K208)</f>
        <v>42127.476114364181</v>
      </c>
      <c r="L278" s="6"/>
      <c r="M278" s="6"/>
      <c r="N278" s="150"/>
      <c r="O278" s="150"/>
      <c r="P278" s="151"/>
      <c r="Q278" s="151"/>
      <c r="S278" s="151"/>
    </row>
    <row r="279" spans="2:23" ht="15.75" customHeight="1" x14ac:dyDescent="0.25">
      <c r="B279" s="148"/>
      <c r="C279" s="148"/>
      <c r="D279" s="148"/>
      <c r="E279" s="148"/>
      <c r="F279" s="148"/>
      <c r="G279" s="148"/>
      <c r="H279" s="148"/>
      <c r="I279" s="148"/>
      <c r="J279" s="148"/>
      <c r="K279" s="148"/>
      <c r="L279" s="6"/>
      <c r="M279" s="6"/>
      <c r="N279" s="150"/>
      <c r="O279" s="150"/>
      <c r="P279" s="151"/>
      <c r="Q279" s="151"/>
      <c r="S279" s="151"/>
    </row>
    <row r="280" spans="2:23" ht="15.75" customHeight="1" x14ac:dyDescent="0.25">
      <c r="B280" s="596" t="s">
        <v>435</v>
      </c>
      <c r="C280" s="537"/>
      <c r="D280" s="537"/>
      <c r="E280" s="537"/>
      <c r="F280" s="537"/>
      <c r="G280" s="537"/>
      <c r="H280" s="537"/>
      <c r="I280" s="537"/>
      <c r="J280" s="537"/>
      <c r="K280" s="538"/>
      <c r="L280" s="6"/>
      <c r="M280" s="6"/>
      <c r="N280" s="150"/>
      <c r="O280" s="150"/>
      <c r="P280" s="151"/>
      <c r="Q280" s="151"/>
      <c r="S280" s="151"/>
    </row>
    <row r="281" spans="2:23" ht="15.75" customHeight="1" x14ac:dyDescent="0.25">
      <c r="L281" s="6"/>
      <c r="M281" s="6"/>
      <c r="N281" s="150"/>
      <c r="O281" s="150"/>
      <c r="P281" s="151"/>
      <c r="Q281" s="151"/>
      <c r="S281" s="151"/>
    </row>
    <row r="282" spans="2:23" ht="15.75" customHeight="1" x14ac:dyDescent="0.25">
      <c r="B282" s="598" t="s">
        <v>436</v>
      </c>
      <c r="C282" s="537"/>
      <c r="D282" s="537"/>
      <c r="E282" s="537"/>
      <c r="F282" s="537"/>
      <c r="G282" s="537"/>
      <c r="H282" s="537"/>
      <c r="I282" s="537"/>
      <c r="J282" s="537"/>
      <c r="K282" s="538"/>
      <c r="L282" s="6"/>
      <c r="M282" s="6"/>
      <c r="N282" s="150"/>
      <c r="O282" s="150"/>
      <c r="P282" s="151"/>
      <c r="Q282" s="151"/>
      <c r="S282" s="151"/>
    </row>
    <row r="283" spans="2:23" ht="15.75" customHeight="1" x14ac:dyDescent="0.25">
      <c r="B283" s="170" t="s">
        <v>239</v>
      </c>
      <c r="C283" s="208"/>
      <c r="D283" s="208"/>
      <c r="E283" s="208"/>
      <c r="F283" s="210"/>
      <c r="G283" s="170" t="s">
        <v>118</v>
      </c>
      <c r="H283" s="155" t="s">
        <v>119</v>
      </c>
      <c r="I283" s="637" t="s">
        <v>319</v>
      </c>
      <c r="J283" s="565"/>
      <c r="K283" s="155" t="s">
        <v>320</v>
      </c>
      <c r="L283" s="6"/>
      <c r="M283" s="64"/>
      <c r="N283" s="150"/>
      <c r="O283" s="150"/>
      <c r="P283" s="151"/>
      <c r="Q283" s="151"/>
      <c r="S283" s="151"/>
    </row>
    <row r="284" spans="2:23" ht="15.75" customHeight="1" x14ac:dyDescent="0.25">
      <c r="B284" s="675" t="s">
        <v>434</v>
      </c>
      <c r="C284" s="535"/>
      <c r="D284" s="535"/>
      <c r="E284" s="535"/>
      <c r="F284" s="575"/>
      <c r="G284" s="171">
        <f>H16</f>
        <v>9</v>
      </c>
      <c r="H284" s="171" t="s">
        <v>119</v>
      </c>
      <c r="I284" s="676">
        <f>292725+30000</f>
        <v>322725</v>
      </c>
      <c r="J284" s="575"/>
      <c r="K284" s="172">
        <f>I284*G284</f>
        <v>2904525</v>
      </c>
      <c r="L284" s="6"/>
      <c r="M284" s="599"/>
      <c r="N284" s="150"/>
      <c r="O284" s="150"/>
      <c r="P284" s="151"/>
      <c r="Q284" s="151"/>
      <c r="S284" s="151"/>
    </row>
    <row r="285" spans="2:23" ht="15.75" customHeight="1" x14ac:dyDescent="0.25">
      <c r="B285" s="571" t="s">
        <v>322</v>
      </c>
      <c r="C285" s="537"/>
      <c r="D285" s="537"/>
      <c r="E285" s="537"/>
      <c r="F285" s="538"/>
      <c r="G285" s="14">
        <v>7</v>
      </c>
      <c r="H285" s="14" t="s">
        <v>323</v>
      </c>
      <c r="I285" s="617"/>
      <c r="J285" s="538"/>
      <c r="K285" s="173"/>
      <c r="L285" s="6"/>
      <c r="M285" s="600"/>
      <c r="N285" s="150"/>
      <c r="O285" s="150"/>
      <c r="P285" s="151"/>
      <c r="Q285" s="151"/>
      <c r="S285" s="151"/>
    </row>
    <row r="286" spans="2:23" ht="15.75" customHeight="1" x14ac:dyDescent="0.25">
      <c r="B286" s="571" t="s">
        <v>324</v>
      </c>
      <c r="C286" s="537"/>
      <c r="D286" s="537"/>
      <c r="E286" s="537"/>
      <c r="F286" s="538"/>
      <c r="G286" s="14">
        <v>6</v>
      </c>
      <c r="H286" s="14" t="s">
        <v>323</v>
      </c>
      <c r="I286" s="617"/>
      <c r="J286" s="538"/>
      <c r="K286" s="173"/>
      <c r="L286" s="6"/>
      <c r="M286" s="600"/>
      <c r="N286" s="150"/>
      <c r="O286" s="150"/>
      <c r="P286" s="151"/>
      <c r="Q286" s="151"/>
      <c r="S286" s="151"/>
    </row>
    <row r="287" spans="2:23" ht="15.75" customHeight="1" x14ac:dyDescent="0.25">
      <c r="B287" s="605" t="s">
        <v>325</v>
      </c>
      <c r="C287" s="537"/>
      <c r="D287" s="537"/>
      <c r="E287" s="537"/>
      <c r="F287" s="538"/>
      <c r="G287" s="14">
        <v>80</v>
      </c>
      <c r="H287" s="14" t="s">
        <v>141</v>
      </c>
      <c r="I287" s="556">
        <f>I284</f>
        <v>322725</v>
      </c>
      <c r="J287" s="538"/>
      <c r="K287" s="60">
        <f>I287*G287/100</f>
        <v>258180</v>
      </c>
      <c r="L287" s="6"/>
      <c r="M287" s="600"/>
      <c r="N287" s="150"/>
      <c r="O287" s="150"/>
      <c r="P287" s="151"/>
      <c r="Q287" s="151"/>
      <c r="S287" s="151"/>
    </row>
    <row r="288" spans="2:23" ht="15.75" customHeight="1" x14ac:dyDescent="0.25">
      <c r="B288" s="608" t="s">
        <v>326</v>
      </c>
      <c r="C288" s="564"/>
      <c r="D288" s="564"/>
      <c r="E288" s="564"/>
      <c r="F288" s="565"/>
      <c r="G288" s="174">
        <f>G285*12</f>
        <v>84</v>
      </c>
      <c r="H288" s="174" t="s">
        <v>327</v>
      </c>
      <c r="I288" s="657">
        <f>K287</f>
        <v>258180</v>
      </c>
      <c r="J288" s="565"/>
      <c r="K288" s="175">
        <f>I288/G288</f>
        <v>3073.5714285714284</v>
      </c>
      <c r="L288" s="6"/>
      <c r="M288" s="600"/>
      <c r="N288" s="150"/>
      <c r="O288" s="150"/>
      <c r="P288" s="151"/>
      <c r="Q288" s="151"/>
      <c r="R288" s="151"/>
      <c r="S288" s="151"/>
      <c r="T288" s="151"/>
      <c r="U288" s="151"/>
      <c r="V288" s="151"/>
      <c r="W288" s="151"/>
    </row>
    <row r="289" spans="2:30" ht="15.75" customHeight="1" x14ac:dyDescent="0.25">
      <c r="B289" s="675" t="s">
        <v>437</v>
      </c>
      <c r="C289" s="535"/>
      <c r="D289" s="535"/>
      <c r="E289" s="535"/>
      <c r="F289" s="575"/>
      <c r="G289" s="171">
        <f>G284</f>
        <v>9</v>
      </c>
      <c r="H289" s="171" t="s">
        <v>119</v>
      </c>
      <c r="I289" s="676">
        <f>I284/(550000+50000)*266200</f>
        <v>143182.32500000001</v>
      </c>
      <c r="J289" s="575"/>
      <c r="K289" s="172">
        <f>I289*G289</f>
        <v>1288640.925</v>
      </c>
      <c r="L289" s="6"/>
      <c r="M289" s="600"/>
      <c r="N289" s="8"/>
      <c r="O289" s="8"/>
    </row>
    <row r="290" spans="2:30" ht="15.75" customHeight="1" x14ac:dyDescent="0.25">
      <c r="B290" s="571" t="s">
        <v>329</v>
      </c>
      <c r="C290" s="537"/>
      <c r="D290" s="537"/>
      <c r="E290" s="537"/>
      <c r="F290" s="538"/>
      <c r="G290" s="14">
        <v>7</v>
      </c>
      <c r="H290" s="14" t="s">
        <v>323</v>
      </c>
      <c r="I290" s="617"/>
      <c r="J290" s="538"/>
      <c r="K290" s="173"/>
      <c r="L290" s="6"/>
      <c r="M290" s="600"/>
      <c r="N290" s="150"/>
      <c r="O290" s="150"/>
      <c r="P290" s="151"/>
      <c r="Q290" s="151"/>
      <c r="R290" s="151"/>
      <c r="S290" s="151"/>
      <c r="T290" s="151"/>
      <c r="U290" s="151"/>
      <c r="V290" s="151"/>
      <c r="W290" s="151"/>
    </row>
    <row r="291" spans="2:30" ht="15.75" customHeight="1" x14ac:dyDescent="0.25">
      <c r="B291" s="571" t="s">
        <v>330</v>
      </c>
      <c r="C291" s="537"/>
      <c r="D291" s="537"/>
      <c r="E291" s="537"/>
      <c r="F291" s="538"/>
      <c r="G291" s="14">
        <v>6</v>
      </c>
      <c r="H291" s="14" t="s">
        <v>323</v>
      </c>
      <c r="I291" s="617"/>
      <c r="J291" s="538"/>
      <c r="K291" s="173"/>
      <c r="L291" s="6"/>
      <c r="M291" s="600"/>
      <c r="N291" s="8"/>
      <c r="O291" s="8"/>
    </row>
    <row r="292" spans="2:30" ht="15.75" customHeight="1" x14ac:dyDescent="0.25">
      <c r="B292" s="605" t="s">
        <v>331</v>
      </c>
      <c r="C292" s="537"/>
      <c r="D292" s="537"/>
      <c r="E292" s="537"/>
      <c r="F292" s="538"/>
      <c r="G292" s="14">
        <v>80</v>
      </c>
      <c r="H292" s="14" t="s">
        <v>141</v>
      </c>
      <c r="I292" s="556">
        <f>I289</f>
        <v>143182.32500000001</v>
      </c>
      <c r="J292" s="538"/>
      <c r="K292" s="60">
        <f>I292*G292/100</f>
        <v>114545.86</v>
      </c>
      <c r="L292" s="6"/>
      <c r="M292" s="600"/>
      <c r="N292" s="150"/>
      <c r="O292" s="150"/>
      <c r="P292" s="151"/>
      <c r="Q292" s="151"/>
      <c r="R292" s="151"/>
      <c r="S292" s="151"/>
      <c r="T292" s="151"/>
      <c r="U292" s="151"/>
      <c r="V292" s="151"/>
      <c r="W292" s="151"/>
    </row>
    <row r="293" spans="2:30" ht="15.75" customHeight="1" x14ac:dyDescent="0.25">
      <c r="B293" s="608" t="s">
        <v>332</v>
      </c>
      <c r="C293" s="564"/>
      <c r="D293" s="564"/>
      <c r="E293" s="564"/>
      <c r="F293" s="565"/>
      <c r="G293" s="174">
        <f>G290*12</f>
        <v>84</v>
      </c>
      <c r="H293" s="174" t="s">
        <v>327</v>
      </c>
      <c r="I293" s="657">
        <f>K292</f>
        <v>114545.86</v>
      </c>
      <c r="J293" s="565"/>
      <c r="K293" s="175">
        <f>I293/G293</f>
        <v>1363.6411904761906</v>
      </c>
      <c r="L293" s="6"/>
      <c r="M293" s="600"/>
      <c r="N293" s="8"/>
      <c r="O293" s="8"/>
    </row>
    <row r="294" spans="2:30" ht="15.75" customHeight="1" x14ac:dyDescent="0.25">
      <c r="B294" s="677" t="s">
        <v>333</v>
      </c>
      <c r="C294" s="535"/>
      <c r="D294" s="535"/>
      <c r="E294" s="535"/>
      <c r="F294" s="575"/>
      <c r="G294" s="176"/>
      <c r="H294" s="176"/>
      <c r="I294" s="593"/>
      <c r="J294" s="575"/>
      <c r="K294" s="177">
        <f>SUM(K288+K293)</f>
        <v>4437.2126190476192</v>
      </c>
      <c r="L294" s="6"/>
      <c r="M294" s="600"/>
      <c r="N294" s="150"/>
      <c r="O294" s="150"/>
      <c r="P294" s="151"/>
      <c r="Q294" s="151"/>
      <c r="S294" s="151"/>
    </row>
    <row r="295" spans="2:30" ht="15.75" customHeight="1" x14ac:dyDescent="0.25">
      <c r="B295" s="658" t="s">
        <v>334</v>
      </c>
      <c r="C295" s="537"/>
      <c r="D295" s="537"/>
      <c r="E295" s="537"/>
      <c r="F295" s="538"/>
      <c r="G295" s="61">
        <f>G289</f>
        <v>9</v>
      </c>
      <c r="H295" s="61" t="s">
        <v>335</v>
      </c>
      <c r="I295" s="659">
        <f>K294</f>
        <v>4437.2126190476192</v>
      </c>
      <c r="J295" s="538"/>
      <c r="K295" s="51">
        <f>I295*G295</f>
        <v>39934.913571428573</v>
      </c>
      <c r="L295" s="6"/>
      <c r="M295" s="601"/>
      <c r="N295" s="150"/>
      <c r="O295" s="150"/>
      <c r="P295" s="151"/>
      <c r="Q295" s="151"/>
      <c r="R295" s="151"/>
      <c r="S295" s="151"/>
      <c r="T295" s="151"/>
      <c r="U295" s="151"/>
      <c r="V295" s="151"/>
      <c r="W295" s="151"/>
    </row>
    <row r="296" spans="2:30" ht="15.75" customHeight="1" x14ac:dyDescent="0.25">
      <c r="L296" s="6"/>
      <c r="M296" s="6"/>
      <c r="N296" s="150"/>
      <c r="O296" s="150"/>
      <c r="P296" s="151"/>
      <c r="Q296" s="151"/>
      <c r="R296" s="151"/>
      <c r="S296" s="151"/>
      <c r="T296" s="151"/>
      <c r="U296" s="151"/>
      <c r="V296" s="151"/>
      <c r="W296" s="151"/>
    </row>
    <row r="297" spans="2:30" ht="15.75" customHeight="1" x14ac:dyDescent="0.25">
      <c r="B297" s="598" t="s">
        <v>439</v>
      </c>
      <c r="C297" s="537"/>
      <c r="D297" s="537"/>
      <c r="E297" s="537"/>
      <c r="F297" s="537"/>
      <c r="G297" s="537"/>
      <c r="H297" s="537"/>
      <c r="I297" s="537"/>
      <c r="J297" s="537"/>
      <c r="K297" s="538"/>
      <c r="L297" s="6"/>
      <c r="M297" s="6"/>
      <c r="N297" s="147"/>
      <c r="O297" s="147"/>
      <c r="P297" s="148"/>
      <c r="Q297" s="148"/>
      <c r="R297" s="148"/>
      <c r="S297" s="148"/>
      <c r="T297" s="148"/>
      <c r="U297" s="148"/>
      <c r="V297" s="148"/>
      <c r="W297" s="148"/>
    </row>
    <row r="298" spans="2:30" ht="15.75" customHeight="1" x14ac:dyDescent="0.25">
      <c r="B298" s="569" t="s">
        <v>239</v>
      </c>
      <c r="C298" s="537"/>
      <c r="D298" s="537"/>
      <c r="E298" s="537"/>
      <c r="F298" s="538"/>
      <c r="G298" s="61" t="s">
        <v>118</v>
      </c>
      <c r="H298" s="61" t="s">
        <v>119</v>
      </c>
      <c r="I298" s="569" t="s">
        <v>319</v>
      </c>
      <c r="J298" s="538"/>
      <c r="K298" s="61" t="s">
        <v>320</v>
      </c>
      <c r="L298" s="6"/>
      <c r="M298" s="64"/>
      <c r="N298" s="147"/>
      <c r="O298" s="147"/>
      <c r="P298" s="148"/>
      <c r="Q298" s="148"/>
      <c r="R298" s="148"/>
      <c r="S298" s="148"/>
      <c r="T298" s="148"/>
      <c r="U298" s="148"/>
      <c r="V298" s="148"/>
      <c r="W298" s="148"/>
    </row>
    <row r="299" spans="2:30" ht="15.75" customHeight="1" x14ac:dyDescent="0.25">
      <c r="B299" s="605" t="s">
        <v>440</v>
      </c>
      <c r="C299" s="537"/>
      <c r="D299" s="537"/>
      <c r="E299" s="537"/>
      <c r="F299" s="538"/>
      <c r="G299" s="14">
        <f>G284</f>
        <v>9</v>
      </c>
      <c r="H299" s="14" t="s">
        <v>335</v>
      </c>
      <c r="I299" s="556">
        <f>I284</f>
        <v>322725</v>
      </c>
      <c r="J299" s="538"/>
      <c r="K299" s="60">
        <f>I299*G299</f>
        <v>2904525</v>
      </c>
      <c r="L299" s="6"/>
      <c r="M299" s="599"/>
      <c r="N299" s="150"/>
      <c r="O299" s="150"/>
      <c r="P299" s="151"/>
      <c r="Q299" s="151"/>
      <c r="R299" s="151"/>
      <c r="S299" s="151"/>
      <c r="T299" s="151"/>
      <c r="U299" s="151"/>
      <c r="V299" s="151"/>
      <c r="W299" s="151"/>
    </row>
    <row r="300" spans="2:30" ht="15.75" customHeight="1" x14ac:dyDescent="0.25">
      <c r="B300" s="605" t="s">
        <v>338</v>
      </c>
      <c r="C300" s="537"/>
      <c r="D300" s="537"/>
      <c r="E300" s="537"/>
      <c r="F300" s="538"/>
      <c r="G300" s="73">
        <v>13.75</v>
      </c>
      <c r="H300" s="14" t="s">
        <v>141</v>
      </c>
      <c r="I300" s="617"/>
      <c r="J300" s="538"/>
      <c r="K300" s="60"/>
      <c r="L300" s="6"/>
      <c r="M300" s="600"/>
      <c r="N300" s="8"/>
      <c r="O300" s="8"/>
    </row>
    <row r="301" spans="2:30" ht="15.75" customHeight="1" x14ac:dyDescent="0.25">
      <c r="B301" s="605" t="s">
        <v>442</v>
      </c>
      <c r="C301" s="537"/>
      <c r="D301" s="537"/>
      <c r="E301" s="537"/>
      <c r="F301" s="538"/>
      <c r="G301" s="14"/>
      <c r="H301" s="14"/>
      <c r="I301" s="556">
        <f>IFERROR(IF(G286&lt;=G285,I284-(G287/(100*G285)*G286)*I284,I284-K287),0)</f>
        <v>101427.85714285713</v>
      </c>
      <c r="J301" s="538"/>
      <c r="K301" s="60"/>
      <c r="L301" s="6"/>
      <c r="M301" s="600"/>
      <c r="N301" s="150"/>
      <c r="O301" s="150"/>
      <c r="P301" s="151"/>
      <c r="Q301" s="151"/>
      <c r="R301" s="151"/>
      <c r="S301" s="151"/>
      <c r="T301" s="151"/>
      <c r="U301" s="151"/>
      <c r="V301" s="151"/>
      <c r="W301" s="151"/>
      <c r="AD301" s="29"/>
    </row>
    <row r="302" spans="2:30" ht="15.75" customHeight="1" x14ac:dyDescent="0.25">
      <c r="B302" s="605" t="s">
        <v>341</v>
      </c>
      <c r="C302" s="537"/>
      <c r="D302" s="537"/>
      <c r="E302" s="537"/>
      <c r="F302" s="538"/>
      <c r="G302" s="14"/>
      <c r="H302" s="14"/>
      <c r="I302" s="556">
        <f>IFERROR(IF(G286&gt;=G285,I301,((((I301)-(I284-K287))*(((G285-G286)+1)/(2*(G285-G286))))+(I284-K287))),0)</f>
        <v>101427.85714285713</v>
      </c>
      <c r="J302" s="538"/>
      <c r="K302" s="60"/>
      <c r="L302" s="6"/>
      <c r="M302" s="600"/>
      <c r="N302" s="8"/>
      <c r="O302" s="8"/>
      <c r="AD302" s="29"/>
    </row>
    <row r="303" spans="2:30" ht="15.75" customHeight="1" x14ac:dyDescent="0.25">
      <c r="B303" s="608" t="s">
        <v>343</v>
      </c>
      <c r="C303" s="564"/>
      <c r="D303" s="564"/>
      <c r="E303" s="564"/>
      <c r="F303" s="565"/>
      <c r="G303" s="178"/>
      <c r="H303" s="178"/>
      <c r="I303" s="657">
        <f>G300*I302/12/100</f>
        <v>1162.1941964285711</v>
      </c>
      <c r="J303" s="565"/>
      <c r="K303" s="175">
        <f>I303</f>
        <v>1162.1941964285711</v>
      </c>
      <c r="L303" s="6"/>
      <c r="M303" s="600"/>
      <c r="N303" s="150"/>
      <c r="O303" s="150"/>
      <c r="P303" s="151"/>
      <c r="Q303" s="151"/>
      <c r="R303" s="151"/>
      <c r="S303" s="151"/>
      <c r="T303" s="151"/>
      <c r="U303" s="151"/>
      <c r="V303" s="151"/>
      <c r="W303" s="151"/>
      <c r="AD303" s="29"/>
    </row>
    <row r="304" spans="2:30" ht="15.75" customHeight="1" x14ac:dyDescent="0.25">
      <c r="B304" s="678" t="s">
        <v>446</v>
      </c>
      <c r="C304" s="544"/>
      <c r="D304" s="544"/>
      <c r="E304" s="544"/>
      <c r="F304" s="579"/>
      <c r="G304" s="171">
        <f>G289</f>
        <v>9</v>
      </c>
      <c r="H304" s="171" t="s">
        <v>335</v>
      </c>
      <c r="I304" s="676">
        <f>I289</f>
        <v>143182.32500000001</v>
      </c>
      <c r="J304" s="575"/>
      <c r="K304" s="172">
        <f>I304*G304</f>
        <v>1288640.925</v>
      </c>
      <c r="L304" s="6"/>
      <c r="M304" s="600"/>
      <c r="N304" s="8"/>
      <c r="O304" s="8"/>
      <c r="AD304" s="29"/>
    </row>
    <row r="305" spans="2:30" ht="15.75" customHeight="1" x14ac:dyDescent="0.25">
      <c r="B305" s="605" t="s">
        <v>338</v>
      </c>
      <c r="C305" s="537"/>
      <c r="D305" s="537"/>
      <c r="E305" s="537"/>
      <c r="F305" s="538"/>
      <c r="G305" s="73">
        <v>13.75</v>
      </c>
      <c r="H305" s="14" t="s">
        <v>141</v>
      </c>
      <c r="I305" s="617"/>
      <c r="J305" s="538"/>
      <c r="K305" s="60"/>
      <c r="L305" s="6"/>
      <c r="M305" s="600"/>
      <c r="N305" s="150"/>
      <c r="O305" s="150"/>
      <c r="P305" s="151"/>
      <c r="Q305" s="151"/>
      <c r="R305" s="151"/>
      <c r="S305" s="151"/>
      <c r="T305" s="151"/>
      <c r="U305" s="151"/>
      <c r="V305" s="151"/>
      <c r="W305" s="151"/>
      <c r="AD305" s="29"/>
    </row>
    <row r="306" spans="2:30" ht="15.75" customHeight="1" x14ac:dyDescent="0.25">
      <c r="B306" s="605" t="s">
        <v>448</v>
      </c>
      <c r="C306" s="537"/>
      <c r="D306" s="537"/>
      <c r="E306" s="537"/>
      <c r="F306" s="538"/>
      <c r="G306" s="14"/>
      <c r="H306" s="14"/>
      <c r="I306" s="556">
        <f>IFERROR(IF(G291&lt;=G290,I289-(G292/(100*G290)*G291)*I289,I289-K292),0)</f>
        <v>45000.159285714282</v>
      </c>
      <c r="J306" s="538"/>
      <c r="K306" s="60"/>
      <c r="L306" s="6"/>
      <c r="M306" s="600"/>
      <c r="N306" s="8"/>
      <c r="O306" s="8"/>
      <c r="R306" s="151"/>
      <c r="T306" s="151"/>
      <c r="U306" s="151"/>
      <c r="V306" s="151"/>
      <c r="W306" s="151"/>
      <c r="AD306" s="29"/>
    </row>
    <row r="307" spans="2:30" ht="15.75" customHeight="1" x14ac:dyDescent="0.25">
      <c r="B307" s="605" t="s">
        <v>346</v>
      </c>
      <c r="C307" s="537"/>
      <c r="D307" s="537"/>
      <c r="E307" s="537"/>
      <c r="F307" s="538"/>
      <c r="G307" s="14"/>
      <c r="H307" s="14"/>
      <c r="I307" s="556">
        <f>IFERROR(IF(G291&gt;=G290,I306,((((I306)-(I289-K292))*(((G290-G291)+1)/(2*(G290-G291))))+(I289-K292))),0)</f>
        <v>45000.159285714282</v>
      </c>
      <c r="J307" s="538"/>
      <c r="K307" s="60"/>
      <c r="L307" s="6"/>
      <c r="M307" s="600"/>
      <c r="N307" s="150"/>
      <c r="O307" s="150"/>
      <c r="P307" s="151"/>
      <c r="Q307" s="151"/>
      <c r="R307" s="151"/>
      <c r="S307" s="151"/>
      <c r="T307" s="151"/>
      <c r="U307" s="151"/>
      <c r="V307" s="151"/>
      <c r="W307" s="151"/>
      <c r="AD307" s="29"/>
    </row>
    <row r="308" spans="2:30" ht="15.75" customHeight="1" x14ac:dyDescent="0.25">
      <c r="B308" s="608" t="s">
        <v>347</v>
      </c>
      <c r="C308" s="564"/>
      <c r="D308" s="564"/>
      <c r="E308" s="564"/>
      <c r="F308" s="565"/>
      <c r="G308" s="178"/>
      <c r="H308" s="178"/>
      <c r="I308" s="657">
        <f>G305*I307/12/100</f>
        <v>515.62682514880953</v>
      </c>
      <c r="J308" s="565"/>
      <c r="K308" s="175">
        <f>I308</f>
        <v>515.62682514880953</v>
      </c>
      <c r="L308" s="6"/>
      <c r="M308" s="600"/>
      <c r="N308" s="8"/>
      <c r="O308" s="8"/>
      <c r="AD308" s="29"/>
    </row>
    <row r="309" spans="2:30" ht="15.75" customHeight="1" x14ac:dyDescent="0.25">
      <c r="B309" s="677" t="s">
        <v>348</v>
      </c>
      <c r="C309" s="535"/>
      <c r="D309" s="535"/>
      <c r="E309" s="535"/>
      <c r="F309" s="575"/>
      <c r="G309" s="176"/>
      <c r="H309" s="176"/>
      <c r="I309" s="593"/>
      <c r="J309" s="575"/>
      <c r="K309" s="177">
        <f>SUM(K303+K308)</f>
        <v>1677.8210215773806</v>
      </c>
      <c r="L309" s="6"/>
      <c r="M309" s="600"/>
      <c r="N309" s="150"/>
      <c r="O309" s="150"/>
      <c r="P309" s="151"/>
      <c r="Q309" s="151"/>
      <c r="R309" s="151"/>
      <c r="S309" s="151"/>
      <c r="T309" s="151"/>
      <c r="U309" s="151"/>
      <c r="V309" s="151"/>
      <c r="W309" s="151"/>
      <c r="AD309" s="29"/>
    </row>
    <row r="310" spans="2:30" ht="15.75" customHeight="1" x14ac:dyDescent="0.25">
      <c r="B310" s="658" t="s">
        <v>349</v>
      </c>
      <c r="C310" s="537"/>
      <c r="D310" s="537"/>
      <c r="E310" s="537"/>
      <c r="F310" s="538"/>
      <c r="G310" s="61">
        <f>G295</f>
        <v>9</v>
      </c>
      <c r="H310" s="61" t="s">
        <v>335</v>
      </c>
      <c r="I310" s="659">
        <f>K309</f>
        <v>1677.8210215773806</v>
      </c>
      <c r="J310" s="538"/>
      <c r="K310" s="51">
        <f>I310*G310</f>
        <v>15100.389194196425</v>
      </c>
      <c r="L310" s="6"/>
      <c r="M310" s="601"/>
      <c r="N310" s="8"/>
      <c r="O310" s="8"/>
      <c r="AD310" s="29"/>
    </row>
    <row r="311" spans="2:30" ht="15.75" customHeight="1" x14ac:dyDescent="0.25">
      <c r="B311" s="179"/>
      <c r="C311" s="179"/>
      <c r="D311" s="179"/>
      <c r="E311" s="179"/>
      <c r="F311" s="179"/>
      <c r="G311" s="38"/>
      <c r="H311" s="38"/>
      <c r="I311" s="38"/>
      <c r="J311" s="38"/>
      <c r="K311" s="169"/>
      <c r="L311" s="6"/>
      <c r="M311" s="6"/>
      <c r="N311" s="150"/>
      <c r="O311" s="150"/>
      <c r="P311" s="151"/>
      <c r="Q311" s="151"/>
      <c r="R311" s="151"/>
      <c r="S311" s="151"/>
      <c r="T311" s="151"/>
      <c r="U311" s="151"/>
      <c r="V311" s="151"/>
      <c r="W311" s="151"/>
      <c r="AD311" s="29"/>
    </row>
    <row r="312" spans="2:30" ht="15.75" customHeight="1" x14ac:dyDescent="0.25">
      <c r="B312" s="598" t="s">
        <v>453</v>
      </c>
      <c r="C312" s="537"/>
      <c r="D312" s="537"/>
      <c r="E312" s="537"/>
      <c r="F312" s="537"/>
      <c r="G312" s="537"/>
      <c r="H312" s="537"/>
      <c r="I312" s="537"/>
      <c r="J312" s="537"/>
      <c r="K312" s="538"/>
      <c r="L312" s="6"/>
      <c r="M312" s="627"/>
      <c r="N312" s="8"/>
      <c r="O312" s="8"/>
      <c r="AD312" s="29"/>
    </row>
    <row r="313" spans="2:30" ht="15.75" customHeight="1" x14ac:dyDescent="0.25">
      <c r="B313" s="569" t="s">
        <v>239</v>
      </c>
      <c r="C313" s="537"/>
      <c r="D313" s="537"/>
      <c r="E313" s="537"/>
      <c r="F313" s="538"/>
      <c r="G313" s="61" t="s">
        <v>118</v>
      </c>
      <c r="H313" s="61" t="s">
        <v>119</v>
      </c>
      <c r="I313" s="569" t="s">
        <v>319</v>
      </c>
      <c r="J313" s="538"/>
      <c r="K313" s="61" t="s">
        <v>354</v>
      </c>
      <c r="L313" s="6"/>
      <c r="M313" s="600"/>
      <c r="N313" s="150"/>
      <c r="O313" s="150"/>
      <c r="P313" s="151"/>
      <c r="Q313" s="151"/>
      <c r="R313" s="151"/>
      <c r="S313" s="151"/>
      <c r="T313" s="151"/>
      <c r="U313" s="151"/>
      <c r="V313" s="151"/>
      <c r="W313" s="151"/>
      <c r="AD313" s="29"/>
    </row>
    <row r="314" spans="2:30" ht="15.75" customHeight="1" x14ac:dyDescent="0.25">
      <c r="B314" s="571" t="s">
        <v>355</v>
      </c>
      <c r="C314" s="537"/>
      <c r="D314" s="537"/>
      <c r="E314" s="537"/>
      <c r="F314" s="538"/>
      <c r="G314" s="14">
        <f>G310</f>
        <v>9</v>
      </c>
      <c r="H314" s="14" t="s">
        <v>335</v>
      </c>
      <c r="I314" s="556">
        <f>I284*0.01</f>
        <v>3227.25</v>
      </c>
      <c r="J314" s="538"/>
      <c r="K314" s="60">
        <f t="shared" ref="K314:K315" si="33">(I314*G314)/12</f>
        <v>2420.4375</v>
      </c>
      <c r="L314" s="6"/>
      <c r="M314" s="600"/>
      <c r="N314" s="8"/>
      <c r="O314" s="8"/>
      <c r="R314" s="151"/>
      <c r="T314" s="151"/>
      <c r="U314" s="151"/>
      <c r="V314" s="151"/>
      <c r="W314" s="151"/>
    </row>
    <row r="315" spans="2:30" ht="15.75" customHeight="1" x14ac:dyDescent="0.25">
      <c r="B315" s="571" t="s">
        <v>356</v>
      </c>
      <c r="C315" s="537"/>
      <c r="D315" s="537"/>
      <c r="E315" s="537"/>
      <c r="F315" s="538"/>
      <c r="G315" s="14">
        <f t="shared" ref="G315:G318" si="34">G314</f>
        <v>9</v>
      </c>
      <c r="H315" s="14" t="s">
        <v>335</v>
      </c>
      <c r="I315" s="556">
        <v>109.27</v>
      </c>
      <c r="J315" s="538"/>
      <c r="K315" s="60">
        <f t="shared" si="33"/>
        <v>81.952500000000001</v>
      </c>
      <c r="L315" s="6"/>
      <c r="M315" s="600"/>
      <c r="N315" s="150"/>
      <c r="O315" s="150"/>
      <c r="P315" s="151"/>
      <c r="Q315" s="151"/>
      <c r="S315" s="151"/>
    </row>
    <row r="316" spans="2:30" ht="15.75" customHeight="1" x14ac:dyDescent="0.25">
      <c r="B316" s="571" t="s">
        <v>358</v>
      </c>
      <c r="C316" s="537"/>
      <c r="D316" s="537"/>
      <c r="E316" s="537"/>
      <c r="F316" s="538"/>
      <c r="G316" s="14">
        <f t="shared" si="34"/>
        <v>9</v>
      </c>
      <c r="H316" s="14" t="s">
        <v>335</v>
      </c>
      <c r="I316" s="556">
        <f>'10 - CUSTOS UN'!$J$255</f>
        <v>2750.0266666666666</v>
      </c>
      <c r="J316" s="538"/>
      <c r="K316" s="60">
        <f>(I316/12)*G316</f>
        <v>2062.52</v>
      </c>
      <c r="L316" s="6"/>
      <c r="M316" s="600"/>
      <c r="N316" s="150"/>
      <c r="O316" s="150"/>
      <c r="P316" s="151"/>
      <c r="Q316" s="151"/>
      <c r="S316" s="151"/>
    </row>
    <row r="317" spans="2:30" ht="15.75" customHeight="1" x14ac:dyDescent="0.25">
      <c r="B317" s="571" t="s">
        <v>359</v>
      </c>
      <c r="C317" s="537"/>
      <c r="D317" s="537"/>
      <c r="E317" s="537"/>
      <c r="F317" s="538"/>
      <c r="G317" s="14">
        <f t="shared" si="34"/>
        <v>9</v>
      </c>
      <c r="H317" s="14" t="s">
        <v>335</v>
      </c>
      <c r="I317" s="556">
        <f>'10 - CUSTOS UN'!$J$233</f>
        <v>57.093333333333334</v>
      </c>
      <c r="J317" s="538"/>
      <c r="K317" s="60">
        <f t="shared" ref="K317:K318" si="35">I317*G317</f>
        <v>513.84</v>
      </c>
      <c r="L317" s="6"/>
      <c r="M317" s="600"/>
      <c r="N317" s="150"/>
      <c r="O317" s="150"/>
      <c r="P317" s="151"/>
      <c r="Q317" s="151"/>
      <c r="S317" s="151"/>
    </row>
    <row r="318" spans="2:30" ht="15.75" customHeight="1" x14ac:dyDescent="0.25">
      <c r="B318" s="628" t="s">
        <v>360</v>
      </c>
      <c r="C318" s="611"/>
      <c r="D318" s="611"/>
      <c r="E318" s="611"/>
      <c r="F318" s="612"/>
      <c r="G318" s="181">
        <f t="shared" si="34"/>
        <v>9</v>
      </c>
      <c r="H318" s="181" t="s">
        <v>119</v>
      </c>
      <c r="I318" s="629">
        <f>SUM(K314:K317)/G318</f>
        <v>564.30555555555554</v>
      </c>
      <c r="J318" s="612"/>
      <c r="K318" s="184">
        <f t="shared" si="35"/>
        <v>5078.75</v>
      </c>
      <c r="L318" s="6"/>
      <c r="M318" s="601"/>
      <c r="N318" s="150"/>
      <c r="O318" s="150"/>
      <c r="P318" s="151"/>
      <c r="Q318" s="151"/>
      <c r="S318" s="151"/>
    </row>
    <row r="319" spans="2:30" ht="15.75" customHeight="1" x14ac:dyDescent="0.25">
      <c r="L319" s="6"/>
      <c r="M319" s="6"/>
      <c r="N319" s="150"/>
      <c r="O319" s="150"/>
      <c r="P319" s="151"/>
      <c r="Q319" s="151"/>
      <c r="S319" s="151"/>
    </row>
    <row r="320" spans="2:30" ht="15.75" customHeight="1" x14ac:dyDescent="0.25">
      <c r="B320" s="598" t="s">
        <v>459</v>
      </c>
      <c r="C320" s="537"/>
      <c r="D320" s="537"/>
      <c r="E320" s="537"/>
      <c r="F320" s="537"/>
      <c r="G320" s="537"/>
      <c r="H320" s="537"/>
      <c r="I320" s="537"/>
      <c r="J320" s="537"/>
      <c r="K320" s="538"/>
      <c r="L320" s="6"/>
      <c r="M320" s="6"/>
      <c r="N320" s="150"/>
      <c r="O320" s="150"/>
      <c r="P320" s="151"/>
      <c r="Q320" s="151"/>
      <c r="S320" s="151"/>
    </row>
    <row r="321" spans="2:23" ht="15.75" customHeight="1" x14ac:dyDescent="0.25">
      <c r="B321" s="637" t="s">
        <v>239</v>
      </c>
      <c r="C321" s="564"/>
      <c r="D321" s="564"/>
      <c r="E321" s="564"/>
      <c r="F321" s="565"/>
      <c r="G321" s="170" t="s">
        <v>118</v>
      </c>
      <c r="H321" s="155" t="s">
        <v>119</v>
      </c>
      <c r="I321" s="637" t="s">
        <v>319</v>
      </c>
      <c r="J321" s="565"/>
      <c r="K321" s="155" t="s">
        <v>275</v>
      </c>
      <c r="L321" s="6"/>
      <c r="M321" s="6"/>
      <c r="N321" s="150"/>
      <c r="O321" s="150"/>
      <c r="P321" s="151"/>
      <c r="Q321" s="151"/>
      <c r="S321" s="151"/>
    </row>
    <row r="322" spans="2:23" ht="15.75" customHeight="1" x14ac:dyDescent="0.25">
      <c r="B322" s="675" t="s">
        <v>363</v>
      </c>
      <c r="C322" s="535"/>
      <c r="D322" s="535"/>
      <c r="E322" s="535"/>
      <c r="F322" s="575"/>
      <c r="G322" s="225">
        <v>4000</v>
      </c>
      <c r="H322" s="14" t="s">
        <v>364</v>
      </c>
      <c r="I322" s="681"/>
      <c r="J322" s="575"/>
      <c r="K322" s="16"/>
      <c r="L322" s="6"/>
      <c r="M322" s="6"/>
      <c r="N322" s="150"/>
      <c r="O322" s="150"/>
      <c r="P322" s="151"/>
      <c r="Q322" s="151"/>
      <c r="S322" s="151"/>
    </row>
    <row r="323" spans="2:23" ht="15.75" customHeight="1" x14ac:dyDescent="0.25">
      <c r="B323" s="571" t="s">
        <v>365</v>
      </c>
      <c r="C323" s="537"/>
      <c r="D323" s="537"/>
      <c r="E323" s="537"/>
      <c r="F323" s="538"/>
      <c r="G323" s="14">
        <v>1.6</v>
      </c>
      <c r="H323" s="14" t="s">
        <v>367</v>
      </c>
      <c r="I323" s="682"/>
      <c r="J323" s="538"/>
      <c r="K323" s="187"/>
      <c r="L323" s="6"/>
      <c r="M323" s="6"/>
      <c r="N323" s="150"/>
      <c r="O323" s="150"/>
      <c r="P323" s="151"/>
      <c r="Q323" s="151"/>
      <c r="R323" s="151"/>
      <c r="S323" s="151"/>
      <c r="T323" s="151"/>
      <c r="U323" s="151"/>
      <c r="V323" s="151"/>
      <c r="W323" s="151"/>
    </row>
    <row r="324" spans="2:23" ht="15.75" customHeight="1" x14ac:dyDescent="0.25">
      <c r="B324" s="571" t="s">
        <v>368</v>
      </c>
      <c r="C324" s="537"/>
      <c r="D324" s="537"/>
      <c r="E324" s="537"/>
      <c r="F324" s="538"/>
      <c r="G324" s="14">
        <v>1</v>
      </c>
      <c r="H324" s="14" t="s">
        <v>369</v>
      </c>
      <c r="I324" s="683">
        <v>7.48</v>
      </c>
      <c r="J324" s="538"/>
      <c r="K324" s="16"/>
      <c r="L324" s="6"/>
      <c r="M324" s="6"/>
      <c r="N324" s="8"/>
      <c r="O324" s="8"/>
    </row>
    <row r="325" spans="2:23" ht="15.75" customHeight="1" x14ac:dyDescent="0.25">
      <c r="B325" s="684" t="s">
        <v>371</v>
      </c>
      <c r="C325" s="564"/>
      <c r="D325" s="564"/>
      <c r="E325" s="564"/>
      <c r="F325" s="565"/>
      <c r="G325" s="188">
        <f>G322/G323</f>
        <v>2500</v>
      </c>
      <c r="H325" s="174" t="s">
        <v>372</v>
      </c>
      <c r="I325" s="657">
        <f>I324</f>
        <v>7.48</v>
      </c>
      <c r="J325" s="565"/>
      <c r="K325" s="175">
        <f t="shared" ref="K325:K326" si="36">I325*G325</f>
        <v>18700</v>
      </c>
      <c r="L325" s="6"/>
      <c r="M325" s="6"/>
      <c r="N325" s="150"/>
      <c r="O325" s="150"/>
      <c r="P325" s="151"/>
      <c r="Q325" s="151"/>
      <c r="R325" s="151"/>
      <c r="S325" s="151"/>
      <c r="T325" s="151"/>
      <c r="U325" s="151"/>
      <c r="V325" s="151"/>
      <c r="W325" s="151"/>
    </row>
    <row r="326" spans="2:23" ht="15.75" customHeight="1" x14ac:dyDescent="0.25">
      <c r="B326" s="628" t="s">
        <v>374</v>
      </c>
      <c r="C326" s="611"/>
      <c r="D326" s="611"/>
      <c r="E326" s="611"/>
      <c r="F326" s="612"/>
      <c r="G326" s="181">
        <v>8</v>
      </c>
      <c r="H326" s="181" t="s">
        <v>119</v>
      </c>
      <c r="I326" s="629">
        <f>K325</f>
        <v>18700</v>
      </c>
      <c r="J326" s="612"/>
      <c r="K326" s="184">
        <f t="shared" si="36"/>
        <v>149600</v>
      </c>
      <c r="L326" s="6"/>
      <c r="M326" s="6"/>
      <c r="N326" s="150"/>
      <c r="O326" s="150"/>
      <c r="P326" s="151"/>
      <c r="Q326" s="151"/>
      <c r="R326" s="151"/>
      <c r="S326" s="151"/>
      <c r="T326" s="151"/>
      <c r="U326" s="151"/>
      <c r="V326" s="151"/>
      <c r="W326" s="151"/>
    </row>
    <row r="327" spans="2:23" ht="15.75" customHeight="1" x14ac:dyDescent="0.25">
      <c r="B327" s="151"/>
      <c r="C327" s="151"/>
      <c r="D327" s="151"/>
      <c r="E327" s="151"/>
      <c r="F327" s="151"/>
      <c r="G327" s="1"/>
      <c r="H327" s="1"/>
      <c r="I327" s="152"/>
      <c r="J327" s="152"/>
      <c r="K327" s="189"/>
      <c r="L327" s="6"/>
      <c r="M327" s="6"/>
      <c r="N327" s="8"/>
      <c r="O327" s="8"/>
      <c r="R327" s="151"/>
      <c r="T327" s="151"/>
      <c r="U327" s="151"/>
      <c r="V327" s="151"/>
      <c r="W327" s="151"/>
    </row>
    <row r="328" spans="2:23" ht="15.75" customHeight="1" x14ac:dyDescent="0.25">
      <c r="B328" s="598" t="s">
        <v>464</v>
      </c>
      <c r="C328" s="537"/>
      <c r="D328" s="537"/>
      <c r="E328" s="537"/>
      <c r="F328" s="537"/>
      <c r="G328" s="537"/>
      <c r="H328" s="537"/>
      <c r="I328" s="537"/>
      <c r="J328" s="537"/>
      <c r="K328" s="538"/>
      <c r="L328" s="6"/>
      <c r="M328" s="6"/>
      <c r="N328" s="150"/>
      <c r="O328" s="150"/>
      <c r="P328" s="151"/>
      <c r="Q328" s="151"/>
      <c r="R328" s="151"/>
      <c r="S328" s="151"/>
      <c r="T328" s="151"/>
      <c r="U328" s="151"/>
      <c r="V328" s="151"/>
      <c r="W328" s="151"/>
    </row>
    <row r="329" spans="2:23" ht="15" customHeight="1" x14ac:dyDescent="0.25">
      <c r="B329" s="637" t="s">
        <v>239</v>
      </c>
      <c r="C329" s="564"/>
      <c r="D329" s="564"/>
      <c r="E329" s="564"/>
      <c r="F329" s="565"/>
      <c r="G329" s="170" t="s">
        <v>118</v>
      </c>
      <c r="H329" s="155" t="s">
        <v>119</v>
      </c>
      <c r="I329" s="637" t="s">
        <v>319</v>
      </c>
      <c r="J329" s="565"/>
      <c r="K329" s="155" t="s">
        <v>320</v>
      </c>
      <c r="L329" s="6"/>
      <c r="M329" s="6"/>
      <c r="N329" s="8"/>
      <c r="O329" s="8"/>
    </row>
    <row r="330" spans="2:23" ht="15.75" customHeight="1" x14ac:dyDescent="0.25">
      <c r="B330" s="675" t="s">
        <v>381</v>
      </c>
      <c r="C330" s="535"/>
      <c r="D330" s="535"/>
      <c r="E330" s="535"/>
      <c r="F330" s="575"/>
      <c r="G330" s="14">
        <v>2</v>
      </c>
      <c r="H330" s="14" t="s">
        <v>382</v>
      </c>
      <c r="I330" s="676">
        <f>'10 - CUSTOS UN'!$J$216</f>
        <v>20.973333333333333</v>
      </c>
      <c r="J330" s="575"/>
      <c r="K330" s="60">
        <f t="shared" ref="K330:K331" si="37">I330*G330</f>
        <v>41.946666666666665</v>
      </c>
      <c r="L330" s="6"/>
      <c r="M330" s="64"/>
      <c r="N330" s="147"/>
      <c r="O330" s="147"/>
      <c r="P330" s="148"/>
      <c r="Q330" s="148"/>
      <c r="R330" s="148"/>
      <c r="S330" s="148"/>
      <c r="T330" s="148"/>
      <c r="U330" s="148"/>
      <c r="V330" s="148"/>
      <c r="W330" s="148"/>
    </row>
    <row r="331" spans="2:23" ht="15.75" customHeight="1" x14ac:dyDescent="0.25">
      <c r="B331" s="679" t="s">
        <v>384</v>
      </c>
      <c r="C331" s="537"/>
      <c r="D331" s="537"/>
      <c r="E331" s="537"/>
      <c r="F331" s="538"/>
      <c r="G331" s="192">
        <f>G322</f>
        <v>4000</v>
      </c>
      <c r="H331" s="17" t="s">
        <v>364</v>
      </c>
      <c r="I331" s="680">
        <f>K330/1000</f>
        <v>4.1946666666666667E-2</v>
      </c>
      <c r="J331" s="538"/>
      <c r="K331" s="193">
        <f t="shared" si="37"/>
        <v>167.78666666666666</v>
      </c>
      <c r="L331" s="6"/>
      <c r="M331" s="64"/>
      <c r="N331" s="147"/>
      <c r="O331" s="147"/>
      <c r="P331" s="148"/>
      <c r="Q331" s="148"/>
      <c r="R331" s="148"/>
      <c r="S331" s="148"/>
      <c r="T331" s="148"/>
      <c r="U331" s="148"/>
      <c r="V331" s="148"/>
      <c r="W331" s="148"/>
    </row>
    <row r="332" spans="2:23" ht="15.75" customHeight="1" x14ac:dyDescent="0.25">
      <c r="B332" s="571" t="s">
        <v>387</v>
      </c>
      <c r="C332" s="537"/>
      <c r="D332" s="537"/>
      <c r="E332" s="537"/>
      <c r="F332" s="538"/>
      <c r="G332" s="171">
        <v>0.5</v>
      </c>
      <c r="H332" s="14" t="s">
        <v>382</v>
      </c>
      <c r="I332" s="556">
        <f>'10 - CUSTOS UN'!$J$219</f>
        <v>34.336666666666666</v>
      </c>
      <c r="J332" s="538"/>
      <c r="K332" s="60">
        <f>G332*I332</f>
        <v>17.168333333333333</v>
      </c>
      <c r="L332" s="6"/>
      <c r="M332" s="6"/>
      <c r="N332" s="8"/>
      <c r="O332" s="8"/>
      <c r="T332" s="227"/>
      <c r="U332" s="227"/>
    </row>
    <row r="333" spans="2:23" ht="15.75" customHeight="1" x14ac:dyDescent="0.25">
      <c r="B333" s="679" t="s">
        <v>390</v>
      </c>
      <c r="C333" s="537"/>
      <c r="D333" s="537"/>
      <c r="E333" s="537"/>
      <c r="F333" s="538"/>
      <c r="G333" s="192">
        <f>G322</f>
        <v>4000</v>
      </c>
      <c r="H333" s="17" t="s">
        <v>364</v>
      </c>
      <c r="I333" s="680">
        <f>K332/1000</f>
        <v>1.7168333333333334E-2</v>
      </c>
      <c r="J333" s="538"/>
      <c r="K333" s="193">
        <f t="shared" ref="K333:K334" si="38">I333*G333</f>
        <v>68.673333333333332</v>
      </c>
      <c r="L333" s="6"/>
      <c r="M333" s="6"/>
      <c r="N333" s="8"/>
      <c r="O333" s="8"/>
      <c r="T333" s="227"/>
      <c r="U333" s="227"/>
    </row>
    <row r="334" spans="2:23" ht="15.75" customHeight="1" x14ac:dyDescent="0.25">
      <c r="B334" s="571" t="s">
        <v>392</v>
      </c>
      <c r="C334" s="537"/>
      <c r="D334" s="537"/>
      <c r="E334" s="537"/>
      <c r="F334" s="538"/>
      <c r="G334" s="200">
        <f>I335/I334*1000</f>
        <v>8.3333333333333339</v>
      </c>
      <c r="H334" s="14" t="s">
        <v>382</v>
      </c>
      <c r="I334" s="556">
        <f>'10 - CUSTOS UN'!$J$225</f>
        <v>25.786666666666665</v>
      </c>
      <c r="J334" s="538"/>
      <c r="K334" s="60">
        <f t="shared" si="38"/>
        <v>214.88888888888889</v>
      </c>
      <c r="L334" s="6"/>
      <c r="M334" s="6"/>
      <c r="N334" s="8"/>
      <c r="O334" s="8"/>
      <c r="T334" s="227"/>
      <c r="U334" s="227"/>
    </row>
    <row r="335" spans="2:23" ht="15.75" customHeight="1" x14ac:dyDescent="0.25">
      <c r="B335" s="679" t="s">
        <v>395</v>
      </c>
      <c r="C335" s="537"/>
      <c r="D335" s="537"/>
      <c r="E335" s="537"/>
      <c r="F335" s="538"/>
      <c r="G335" s="192">
        <f>G322</f>
        <v>4000</v>
      </c>
      <c r="H335" s="17" t="s">
        <v>364</v>
      </c>
      <c r="I335" s="680">
        <f>K335/G335</f>
        <v>0.21488888888888888</v>
      </c>
      <c r="J335" s="538"/>
      <c r="K335" s="193">
        <f>200/6*I334</f>
        <v>859.55555555555554</v>
      </c>
      <c r="L335" s="6"/>
      <c r="M335" s="6"/>
      <c r="N335" s="8"/>
      <c r="O335" s="8"/>
      <c r="T335" s="227"/>
      <c r="U335" s="227"/>
    </row>
    <row r="336" spans="2:23" ht="15.75" customHeight="1" x14ac:dyDescent="0.25">
      <c r="B336" s="571" t="s">
        <v>397</v>
      </c>
      <c r="C336" s="537"/>
      <c r="D336" s="537"/>
      <c r="E336" s="537"/>
      <c r="F336" s="538"/>
      <c r="G336" s="14">
        <v>2</v>
      </c>
      <c r="H336" s="14" t="s">
        <v>398</v>
      </c>
      <c r="I336" s="556">
        <f>'10 - CUSTOS UN'!$J$228</f>
        <v>43.276666666666664</v>
      </c>
      <c r="J336" s="538"/>
      <c r="K336" s="60">
        <f t="shared" ref="K336:K338" si="39">I336*G336</f>
        <v>86.553333333333327</v>
      </c>
      <c r="L336" s="6"/>
      <c r="M336" s="6"/>
      <c r="N336" s="150"/>
      <c r="O336" s="150"/>
      <c r="P336" s="151"/>
      <c r="Q336" s="151"/>
      <c r="R336" s="151"/>
      <c r="S336" s="151"/>
      <c r="T336" s="151"/>
      <c r="U336" s="151"/>
      <c r="V336" s="151"/>
      <c r="W336" s="151"/>
    </row>
    <row r="337" spans="2:23" ht="15.75" customHeight="1" x14ac:dyDescent="0.25">
      <c r="B337" s="684" t="s">
        <v>399</v>
      </c>
      <c r="C337" s="564"/>
      <c r="D337" s="564"/>
      <c r="E337" s="564"/>
      <c r="F337" s="565"/>
      <c r="G337" s="188">
        <f>G322</f>
        <v>4000</v>
      </c>
      <c r="H337" s="174" t="s">
        <v>364</v>
      </c>
      <c r="I337" s="657">
        <f>K336/1000</f>
        <v>8.6553333333333329E-2</v>
      </c>
      <c r="J337" s="565"/>
      <c r="K337" s="175">
        <f t="shared" si="39"/>
        <v>346.21333333333331</v>
      </c>
      <c r="L337" s="6"/>
      <c r="M337" s="6"/>
      <c r="N337" s="150"/>
      <c r="O337" s="150"/>
      <c r="P337" s="151"/>
      <c r="Q337" s="151"/>
      <c r="R337" s="151"/>
      <c r="S337" s="151"/>
      <c r="T337" s="151"/>
      <c r="U337" s="151"/>
      <c r="V337" s="151"/>
      <c r="W337" s="151"/>
    </row>
    <row r="338" spans="2:23" ht="15.75" customHeight="1" x14ac:dyDescent="0.25">
      <c r="B338" s="628" t="s">
        <v>401</v>
      </c>
      <c r="C338" s="611"/>
      <c r="D338" s="611"/>
      <c r="E338" s="611"/>
      <c r="F338" s="612"/>
      <c r="G338" s="181">
        <f>G326</f>
        <v>8</v>
      </c>
      <c r="H338" s="181" t="s">
        <v>119</v>
      </c>
      <c r="I338" s="629">
        <f>SUM(K331,K333,K335,K337)</f>
        <v>1442.2288888888888</v>
      </c>
      <c r="J338" s="612"/>
      <c r="K338" s="184">
        <f t="shared" si="39"/>
        <v>11537.831111111111</v>
      </c>
      <c r="L338" s="6"/>
      <c r="M338" s="6"/>
      <c r="N338" s="8"/>
      <c r="O338" s="8"/>
    </row>
    <row r="339" spans="2:23" ht="15.75" customHeight="1" x14ac:dyDescent="0.25">
      <c r="B339" s="148"/>
      <c r="C339" s="148"/>
      <c r="D339" s="148"/>
      <c r="E339" s="148"/>
      <c r="F339" s="148"/>
      <c r="G339" s="148"/>
      <c r="H339" s="148"/>
      <c r="I339" s="148"/>
      <c r="J339" s="148"/>
      <c r="K339" s="148"/>
      <c r="L339" s="6"/>
      <c r="M339" s="6"/>
      <c r="N339" s="8"/>
      <c r="O339" s="8"/>
    </row>
    <row r="340" spans="2:23" ht="15.75" customHeight="1" x14ac:dyDescent="0.25">
      <c r="B340" s="598" t="s">
        <v>472</v>
      </c>
      <c r="C340" s="537"/>
      <c r="D340" s="537"/>
      <c r="E340" s="537"/>
      <c r="F340" s="537"/>
      <c r="G340" s="537"/>
      <c r="H340" s="537"/>
      <c r="I340" s="537"/>
      <c r="J340" s="537"/>
      <c r="K340" s="538"/>
      <c r="L340" s="6"/>
      <c r="M340" s="6"/>
      <c r="N340" s="150"/>
      <c r="O340" s="150"/>
      <c r="P340" s="151"/>
      <c r="Q340" s="151"/>
      <c r="R340" s="151"/>
      <c r="S340" s="151"/>
      <c r="T340" s="151"/>
      <c r="U340" s="151"/>
      <c r="V340" s="151"/>
      <c r="W340" s="151"/>
    </row>
    <row r="341" spans="2:23" ht="15.75" customHeight="1" x14ac:dyDescent="0.25">
      <c r="B341" s="637" t="s">
        <v>239</v>
      </c>
      <c r="C341" s="564"/>
      <c r="D341" s="564"/>
      <c r="E341" s="564"/>
      <c r="F341" s="565"/>
      <c r="G341" s="170" t="s">
        <v>118</v>
      </c>
      <c r="H341" s="155" t="s">
        <v>119</v>
      </c>
      <c r="I341" s="637" t="s">
        <v>319</v>
      </c>
      <c r="J341" s="565"/>
      <c r="K341" s="155" t="s">
        <v>320</v>
      </c>
      <c r="L341" s="6"/>
      <c r="M341" s="6"/>
      <c r="N341" s="150"/>
      <c r="O341" s="150"/>
      <c r="P341" s="151"/>
      <c r="Q341" s="151"/>
      <c r="R341" s="151"/>
      <c r="S341" s="151"/>
      <c r="T341" s="151"/>
      <c r="U341" s="151"/>
      <c r="V341" s="151"/>
      <c r="W341" s="151"/>
    </row>
    <row r="342" spans="2:23" ht="15.75" customHeight="1" x14ac:dyDescent="0.25">
      <c r="B342" s="675" t="s">
        <v>473</v>
      </c>
      <c r="C342" s="535"/>
      <c r="D342" s="535"/>
      <c r="E342" s="535"/>
      <c r="F342" s="575"/>
      <c r="G342" s="14">
        <v>6</v>
      </c>
      <c r="H342" s="14" t="s">
        <v>335</v>
      </c>
      <c r="I342" s="686">
        <f>'10 - CUSTOS UN'!$J$207</f>
        <v>2090.67</v>
      </c>
      <c r="J342" s="575"/>
      <c r="K342" s="86">
        <f>I342*G342</f>
        <v>12544.02</v>
      </c>
      <c r="L342" s="232"/>
      <c r="M342" s="232"/>
      <c r="N342" s="234"/>
      <c r="O342" s="236"/>
      <c r="P342" s="151"/>
      <c r="Q342" s="151"/>
      <c r="R342" s="151"/>
      <c r="S342" s="151"/>
      <c r="T342" s="151"/>
      <c r="U342" s="151"/>
      <c r="V342" s="151"/>
      <c r="W342" s="151"/>
    </row>
    <row r="343" spans="2:23" ht="15.75" customHeight="1" x14ac:dyDescent="0.25">
      <c r="B343" s="571" t="s">
        <v>407</v>
      </c>
      <c r="C343" s="537"/>
      <c r="D343" s="537"/>
      <c r="E343" s="537"/>
      <c r="F343" s="538"/>
      <c r="G343" s="14">
        <v>3</v>
      </c>
      <c r="H343" s="14" t="s">
        <v>335</v>
      </c>
      <c r="I343" s="617"/>
      <c r="J343" s="538"/>
      <c r="K343" s="173"/>
      <c r="L343" s="6"/>
      <c r="M343" s="6"/>
      <c r="N343" s="150"/>
      <c r="O343" s="150"/>
      <c r="P343" s="151"/>
      <c r="Q343" s="151"/>
      <c r="R343" s="151"/>
      <c r="S343" s="151"/>
      <c r="T343" s="151"/>
      <c r="U343" s="151"/>
      <c r="V343" s="151"/>
      <c r="W343" s="151"/>
    </row>
    <row r="344" spans="2:23" ht="15.75" customHeight="1" x14ac:dyDescent="0.25">
      <c r="B344" s="571" t="s">
        <v>408</v>
      </c>
      <c r="C344" s="537"/>
      <c r="D344" s="537"/>
      <c r="E344" s="537"/>
      <c r="F344" s="538"/>
      <c r="G344" s="14">
        <f>G343*G342</f>
        <v>18</v>
      </c>
      <c r="H344" s="14" t="s">
        <v>335</v>
      </c>
      <c r="I344" s="556">
        <f>'10 - CUSTOS UN'!$J$258</f>
        <v>550.83750000000009</v>
      </c>
      <c r="J344" s="538"/>
      <c r="K344" s="60">
        <f>I344*G344</f>
        <v>9915.0750000000007</v>
      </c>
      <c r="L344" s="6"/>
      <c r="M344" s="6"/>
      <c r="N344" s="150"/>
      <c r="O344" s="150"/>
      <c r="P344" s="151"/>
      <c r="Q344" s="151"/>
      <c r="R344" s="151"/>
      <c r="S344" s="151"/>
      <c r="T344" s="151"/>
      <c r="U344" s="151"/>
      <c r="V344" s="151"/>
      <c r="W344" s="151"/>
    </row>
    <row r="345" spans="2:23" ht="15.75" customHeight="1" x14ac:dyDescent="0.25">
      <c r="B345" s="571" t="s">
        <v>411</v>
      </c>
      <c r="C345" s="537"/>
      <c r="D345" s="537"/>
      <c r="E345" s="537"/>
      <c r="F345" s="538"/>
      <c r="G345" s="15">
        <v>20000</v>
      </c>
      <c r="H345" s="14" t="s">
        <v>413</v>
      </c>
      <c r="I345" s="617"/>
      <c r="J345" s="538"/>
      <c r="K345" s="173"/>
      <c r="L345" s="6"/>
      <c r="M345" s="6"/>
      <c r="N345" s="150"/>
      <c r="O345" s="150"/>
      <c r="P345" s="151"/>
      <c r="Q345" s="151"/>
      <c r="R345" s="151"/>
      <c r="S345" s="151"/>
      <c r="T345" s="151"/>
      <c r="U345" s="151"/>
      <c r="V345" s="151"/>
      <c r="W345" s="151"/>
    </row>
    <row r="346" spans="2:23" ht="15.75" customHeight="1" x14ac:dyDescent="0.25">
      <c r="B346" s="571" t="s">
        <v>414</v>
      </c>
      <c r="C346" s="537"/>
      <c r="D346" s="537"/>
      <c r="E346" s="537"/>
      <c r="F346" s="538"/>
      <c r="G346" s="15">
        <v>15000</v>
      </c>
      <c r="H346" s="14" t="s">
        <v>413</v>
      </c>
      <c r="I346" s="617"/>
      <c r="J346" s="538"/>
      <c r="K346" s="173"/>
      <c r="L346" s="6"/>
      <c r="M346" s="6"/>
      <c r="N346" s="150"/>
      <c r="O346" s="150"/>
      <c r="P346" s="151"/>
      <c r="Q346" s="151"/>
      <c r="R346" s="151"/>
      <c r="S346" s="151"/>
      <c r="T346" s="151"/>
      <c r="U346" s="151"/>
      <c r="V346" s="151"/>
      <c r="W346" s="151"/>
    </row>
    <row r="347" spans="2:23" ht="15.75" customHeight="1" x14ac:dyDescent="0.25">
      <c r="B347" s="571" t="s">
        <v>415</v>
      </c>
      <c r="C347" s="537"/>
      <c r="D347" s="537"/>
      <c r="E347" s="537"/>
      <c r="F347" s="538"/>
      <c r="G347" s="15">
        <f>G345+G346*G343</f>
        <v>65000</v>
      </c>
      <c r="H347" s="14" t="s">
        <v>417</v>
      </c>
      <c r="I347" s="556">
        <f>K344+K342</f>
        <v>22459.095000000001</v>
      </c>
      <c r="J347" s="538"/>
      <c r="K347" s="60">
        <f>I347/G347</f>
        <v>0.34552453846153847</v>
      </c>
      <c r="L347" s="6"/>
      <c r="M347" s="6"/>
      <c r="N347" s="8"/>
      <c r="O347" s="8"/>
      <c r="R347" s="151"/>
      <c r="T347" s="151"/>
      <c r="U347" s="151"/>
      <c r="V347" s="151"/>
      <c r="W347" s="151"/>
    </row>
    <row r="348" spans="2:23" ht="15.75" customHeight="1" x14ac:dyDescent="0.25">
      <c r="B348" s="684" t="s">
        <v>418</v>
      </c>
      <c r="C348" s="564"/>
      <c r="D348" s="564"/>
      <c r="E348" s="564"/>
      <c r="F348" s="565"/>
      <c r="G348" s="188">
        <f>G322</f>
        <v>4000</v>
      </c>
      <c r="H348" s="174" t="s">
        <v>413</v>
      </c>
      <c r="I348" s="657">
        <f t="shared" ref="I348:I349" si="40">K347</f>
        <v>0.34552453846153847</v>
      </c>
      <c r="J348" s="565"/>
      <c r="K348" s="175">
        <f t="shared" ref="K348:K349" si="41">I348*G348</f>
        <v>1382.0981538461538</v>
      </c>
      <c r="L348" s="6"/>
      <c r="M348" s="6"/>
      <c r="N348" s="150"/>
      <c r="O348" s="150"/>
      <c r="P348" s="151"/>
      <c r="Q348" s="151"/>
      <c r="S348" s="151"/>
    </row>
    <row r="349" spans="2:23" ht="15.75" customHeight="1" x14ac:dyDescent="0.25">
      <c r="B349" s="628" t="s">
        <v>420</v>
      </c>
      <c r="C349" s="611"/>
      <c r="D349" s="611"/>
      <c r="E349" s="611"/>
      <c r="F349" s="612"/>
      <c r="G349" s="181">
        <f>G338</f>
        <v>8</v>
      </c>
      <c r="H349" s="181" t="s">
        <v>119</v>
      </c>
      <c r="I349" s="629">
        <f t="shared" si="40"/>
        <v>1382.0981538461538</v>
      </c>
      <c r="J349" s="612"/>
      <c r="K349" s="184">
        <f t="shared" si="41"/>
        <v>11056.78523076923</v>
      </c>
      <c r="L349" s="6"/>
      <c r="M349" s="6"/>
      <c r="N349" s="150"/>
      <c r="O349" s="150"/>
      <c r="P349" s="151"/>
      <c r="Q349" s="151"/>
      <c r="R349" s="151"/>
      <c r="S349" s="151"/>
      <c r="T349" s="151"/>
      <c r="U349" s="151"/>
      <c r="V349" s="151"/>
      <c r="W349" s="151"/>
    </row>
    <row r="350" spans="2:23" ht="15.75" customHeight="1" x14ac:dyDescent="0.25">
      <c r="B350" s="151"/>
      <c r="C350" s="151"/>
      <c r="D350" s="151"/>
      <c r="E350" s="151"/>
      <c r="F350" s="151"/>
      <c r="G350" s="1"/>
      <c r="H350" s="1"/>
      <c r="I350" s="152"/>
      <c r="J350" s="152"/>
      <c r="K350" s="189"/>
      <c r="L350" s="6"/>
      <c r="M350" s="6"/>
      <c r="N350" s="8"/>
      <c r="O350" s="8"/>
    </row>
    <row r="351" spans="2:23" ht="15" customHeight="1" x14ac:dyDescent="0.25">
      <c r="B351" s="598" t="s">
        <v>477</v>
      </c>
      <c r="C351" s="537"/>
      <c r="D351" s="537"/>
      <c r="E351" s="537"/>
      <c r="F351" s="537"/>
      <c r="G351" s="537"/>
      <c r="H351" s="537"/>
      <c r="I351" s="537"/>
      <c r="J351" s="537"/>
      <c r="K351" s="538"/>
      <c r="L351" s="6"/>
      <c r="M351" s="6"/>
      <c r="N351" s="8"/>
      <c r="O351" s="8"/>
    </row>
    <row r="352" spans="2:23" ht="15.75" customHeight="1" x14ac:dyDescent="0.25">
      <c r="B352" s="637" t="s">
        <v>239</v>
      </c>
      <c r="C352" s="564"/>
      <c r="D352" s="564"/>
      <c r="E352" s="564"/>
      <c r="F352" s="565"/>
      <c r="G352" s="170" t="s">
        <v>118</v>
      </c>
      <c r="H352" s="155" t="s">
        <v>119</v>
      </c>
      <c r="I352" s="637" t="s">
        <v>319</v>
      </c>
      <c r="J352" s="565"/>
      <c r="K352" s="155" t="s">
        <v>275</v>
      </c>
      <c r="L352" s="6"/>
      <c r="M352" s="6"/>
      <c r="N352" s="8"/>
      <c r="O352" s="8"/>
    </row>
    <row r="353" spans="2:15" ht="15.75" customHeight="1" x14ac:dyDescent="0.25">
      <c r="B353" s="687" t="s">
        <v>425</v>
      </c>
      <c r="C353" s="532"/>
      <c r="D353" s="532"/>
      <c r="E353" s="532"/>
      <c r="F353" s="688"/>
      <c r="G353" s="203">
        <f>G322</f>
        <v>4000</v>
      </c>
      <c r="H353" s="204" t="s">
        <v>364</v>
      </c>
      <c r="I353" s="689">
        <v>1.18</v>
      </c>
      <c r="J353" s="688"/>
      <c r="K353" s="205">
        <f t="shared" ref="K353:K354" si="42">I353*G353</f>
        <v>4720</v>
      </c>
      <c r="L353" s="6"/>
      <c r="M353" s="6"/>
      <c r="N353" s="8"/>
      <c r="O353" s="8"/>
    </row>
    <row r="354" spans="2:15" ht="15.75" customHeight="1" x14ac:dyDescent="0.25">
      <c r="B354" s="628" t="s">
        <v>427</v>
      </c>
      <c r="C354" s="611"/>
      <c r="D354" s="611"/>
      <c r="E354" s="611"/>
      <c r="F354" s="612"/>
      <c r="G354" s="181">
        <f>G349</f>
        <v>8</v>
      </c>
      <c r="H354" s="181" t="s">
        <v>335</v>
      </c>
      <c r="I354" s="629">
        <f>K353</f>
        <v>4720</v>
      </c>
      <c r="J354" s="612"/>
      <c r="K354" s="184">
        <f t="shared" si="42"/>
        <v>37760</v>
      </c>
      <c r="L354" s="6"/>
      <c r="M354" s="6"/>
      <c r="N354" s="8"/>
      <c r="O354" s="8"/>
    </row>
    <row r="355" spans="2:15" ht="60" customHeight="1" x14ac:dyDescent="0.25">
      <c r="B355" s="691" t="s">
        <v>429</v>
      </c>
      <c r="C355" s="537"/>
      <c r="D355" s="537"/>
      <c r="E355" s="537"/>
      <c r="F355" s="537"/>
      <c r="G355" s="537"/>
      <c r="H355" s="537"/>
      <c r="I355" s="537"/>
      <c r="J355" s="537"/>
      <c r="K355" s="538"/>
      <c r="L355" s="6"/>
      <c r="M355" s="6"/>
      <c r="N355" s="8"/>
      <c r="O355" s="8"/>
    </row>
    <row r="356" spans="2:15" ht="15.75" customHeight="1" x14ac:dyDescent="0.25">
      <c r="B356" s="148"/>
      <c r="C356" s="148"/>
      <c r="D356" s="148"/>
      <c r="E356" s="148"/>
      <c r="F356" s="148"/>
      <c r="G356" s="148"/>
      <c r="H356" s="148"/>
      <c r="I356" s="148"/>
      <c r="J356" s="148"/>
      <c r="K356" s="148"/>
      <c r="L356" s="6"/>
      <c r="M356" s="6"/>
      <c r="N356" s="8"/>
      <c r="O356" s="8"/>
    </row>
    <row r="357" spans="2:15" ht="15.75" customHeight="1" x14ac:dyDescent="0.25">
      <c r="B357" s="552" t="s">
        <v>481</v>
      </c>
      <c r="C357" s="537"/>
      <c r="D357" s="537"/>
      <c r="E357" s="537"/>
      <c r="F357" s="537"/>
      <c r="G357" s="537"/>
      <c r="H357" s="537"/>
      <c r="I357" s="537"/>
      <c r="J357" s="538"/>
      <c r="K357" s="209">
        <f>SUM(K353,K348,I338,I326,I318,K309,K294)</f>
        <v>32923.666238915597</v>
      </c>
      <c r="L357" s="6"/>
      <c r="M357" s="6"/>
      <c r="N357" s="8"/>
      <c r="O357" s="8"/>
    </row>
    <row r="358" spans="2:15" ht="15.75" customHeight="1" x14ac:dyDescent="0.25">
      <c r="B358" s="552" t="s">
        <v>433</v>
      </c>
      <c r="C358" s="537"/>
      <c r="D358" s="537"/>
      <c r="E358" s="537"/>
      <c r="F358" s="537"/>
      <c r="G358" s="537"/>
      <c r="H358" s="537"/>
      <c r="I358" s="537"/>
      <c r="J358" s="538"/>
      <c r="K358" s="209">
        <f>SUM(K354,K349,K338,K326,K318,K310,K295)</f>
        <v>270068.66910750535</v>
      </c>
      <c r="L358" s="6"/>
      <c r="M358" s="6"/>
      <c r="N358" s="8"/>
      <c r="O358" s="8"/>
    </row>
    <row r="359" spans="2:15" ht="15.75" customHeight="1" x14ac:dyDescent="0.25">
      <c r="L359" s="6"/>
      <c r="M359" s="6"/>
      <c r="N359" s="8"/>
      <c r="O359" s="8"/>
    </row>
    <row r="360" spans="2:15" ht="15.75" customHeight="1" x14ac:dyDescent="0.25">
      <c r="B360" s="596" t="s">
        <v>484</v>
      </c>
      <c r="C360" s="537"/>
      <c r="D360" s="537"/>
      <c r="E360" s="537"/>
      <c r="F360" s="537"/>
      <c r="G360" s="537"/>
      <c r="H360" s="537"/>
      <c r="I360" s="537"/>
      <c r="J360" s="537"/>
      <c r="K360" s="538"/>
      <c r="L360" s="6"/>
      <c r="M360" s="6"/>
      <c r="N360" s="8"/>
      <c r="O360" s="8"/>
    </row>
    <row r="361" spans="2:15" ht="15.75" customHeight="1" x14ac:dyDescent="0.25">
      <c r="L361" s="6"/>
      <c r="M361" s="6"/>
      <c r="N361" s="8"/>
      <c r="O361" s="8"/>
    </row>
    <row r="362" spans="2:15" ht="15.75" customHeight="1" x14ac:dyDescent="0.25">
      <c r="B362" s="598" t="s">
        <v>486</v>
      </c>
      <c r="C362" s="537"/>
      <c r="D362" s="537"/>
      <c r="E362" s="537"/>
      <c r="F362" s="537"/>
      <c r="G362" s="537"/>
      <c r="H362" s="537"/>
      <c r="I362" s="537"/>
      <c r="J362" s="537"/>
      <c r="K362" s="538"/>
      <c r="L362" s="6"/>
      <c r="M362" s="6"/>
      <c r="N362" s="8"/>
      <c r="O362" s="8"/>
    </row>
    <row r="363" spans="2:15" ht="15.75" customHeight="1" x14ac:dyDescent="0.25">
      <c r="B363" s="170" t="s">
        <v>239</v>
      </c>
      <c r="C363" s="208"/>
      <c r="D363" s="208"/>
      <c r="E363" s="208"/>
      <c r="F363" s="210"/>
      <c r="G363" s="170" t="s">
        <v>118</v>
      </c>
      <c r="H363" s="155" t="s">
        <v>119</v>
      </c>
      <c r="I363" s="637" t="s">
        <v>319</v>
      </c>
      <c r="J363" s="565"/>
      <c r="K363" s="155" t="s">
        <v>320</v>
      </c>
      <c r="L363" s="6"/>
      <c r="M363" s="6"/>
      <c r="N363" s="8"/>
      <c r="O363" s="8"/>
    </row>
    <row r="364" spans="2:15" ht="15.75" customHeight="1" x14ac:dyDescent="0.25">
      <c r="B364" s="675" t="s">
        <v>488</v>
      </c>
      <c r="C364" s="535"/>
      <c r="D364" s="535"/>
      <c r="E364" s="535"/>
      <c r="F364" s="575"/>
      <c r="G364" s="171">
        <v>1</v>
      </c>
      <c r="H364" s="171" t="s">
        <v>119</v>
      </c>
      <c r="I364" s="676">
        <v>53861</v>
      </c>
      <c r="J364" s="575"/>
      <c r="K364" s="172">
        <f>I364*G364</f>
        <v>53861</v>
      </c>
      <c r="L364" s="6"/>
      <c r="M364" s="6"/>
      <c r="N364" s="8"/>
      <c r="O364" s="8"/>
    </row>
    <row r="365" spans="2:15" ht="15.75" customHeight="1" x14ac:dyDescent="0.25">
      <c r="B365" s="571" t="s">
        <v>490</v>
      </c>
      <c r="C365" s="537"/>
      <c r="D365" s="537"/>
      <c r="E365" s="537"/>
      <c r="F365" s="538"/>
      <c r="G365" s="14">
        <v>7</v>
      </c>
      <c r="H365" s="14" t="s">
        <v>323</v>
      </c>
      <c r="I365" s="617"/>
      <c r="J365" s="538"/>
      <c r="K365" s="173"/>
      <c r="L365" s="6"/>
      <c r="M365" s="6"/>
      <c r="N365" s="8"/>
      <c r="O365" s="8"/>
    </row>
    <row r="366" spans="2:15" ht="15.75" customHeight="1" x14ac:dyDescent="0.25">
      <c r="B366" s="571" t="s">
        <v>324</v>
      </c>
      <c r="C366" s="537"/>
      <c r="D366" s="537"/>
      <c r="E366" s="537"/>
      <c r="F366" s="538"/>
      <c r="G366" s="14">
        <v>6</v>
      </c>
      <c r="H366" s="14" t="s">
        <v>323</v>
      </c>
      <c r="I366" s="617"/>
      <c r="J366" s="538"/>
      <c r="K366" s="173"/>
      <c r="L366" s="6"/>
      <c r="M366" s="6"/>
      <c r="N366" s="8"/>
      <c r="O366" s="8"/>
    </row>
    <row r="367" spans="2:15" ht="15.75" customHeight="1" x14ac:dyDescent="0.25">
      <c r="B367" s="605" t="s">
        <v>491</v>
      </c>
      <c r="C367" s="537"/>
      <c r="D367" s="537"/>
      <c r="E367" s="537"/>
      <c r="F367" s="538"/>
      <c r="G367" s="14">
        <v>80</v>
      </c>
      <c r="H367" s="14" t="s">
        <v>141</v>
      </c>
      <c r="I367" s="556">
        <f>I364</f>
        <v>53861</v>
      </c>
      <c r="J367" s="538"/>
      <c r="K367" s="60">
        <f>I367*G367/100</f>
        <v>43088.800000000003</v>
      </c>
      <c r="L367" s="6"/>
      <c r="M367" s="6"/>
      <c r="N367" s="8"/>
      <c r="O367" s="8"/>
    </row>
    <row r="368" spans="2:15" ht="15.75" customHeight="1" x14ac:dyDescent="0.25">
      <c r="B368" s="608" t="s">
        <v>492</v>
      </c>
      <c r="C368" s="564"/>
      <c r="D368" s="564"/>
      <c r="E368" s="564"/>
      <c r="F368" s="565"/>
      <c r="G368" s="174">
        <f>G365*12</f>
        <v>84</v>
      </c>
      <c r="H368" s="174" t="s">
        <v>327</v>
      </c>
      <c r="I368" s="657">
        <f t="shared" ref="I368:I369" si="43">K367</f>
        <v>43088.800000000003</v>
      </c>
      <c r="J368" s="565"/>
      <c r="K368" s="175">
        <f>I368/G368</f>
        <v>512.96190476190475</v>
      </c>
      <c r="L368" s="6"/>
      <c r="M368" s="6"/>
      <c r="N368" s="8"/>
      <c r="O368" s="8"/>
    </row>
    <row r="369" spans="2:15" ht="15" customHeight="1" x14ac:dyDescent="0.25">
      <c r="B369" s="658" t="s">
        <v>334</v>
      </c>
      <c r="C369" s="537"/>
      <c r="D369" s="537"/>
      <c r="E369" s="537"/>
      <c r="F369" s="538"/>
      <c r="G369" s="245">
        <v>1</v>
      </c>
      <c r="H369" s="245" t="s">
        <v>335</v>
      </c>
      <c r="I369" s="659">
        <f t="shared" si="43"/>
        <v>512.96190476190475</v>
      </c>
      <c r="J369" s="538"/>
      <c r="K369" s="51">
        <f>I369*G369</f>
        <v>512.96190476190475</v>
      </c>
      <c r="L369" s="6"/>
      <c r="M369" s="6"/>
      <c r="N369" s="8"/>
      <c r="O369" s="8"/>
    </row>
    <row r="370" spans="2:15" ht="15.75" customHeight="1" x14ac:dyDescent="0.25">
      <c r="L370" s="6"/>
      <c r="M370" s="6"/>
      <c r="N370" s="8"/>
      <c r="O370" s="8"/>
    </row>
    <row r="371" spans="2:15" ht="15.75" customHeight="1" x14ac:dyDescent="0.25">
      <c r="B371" s="598" t="s">
        <v>497</v>
      </c>
      <c r="C371" s="537"/>
      <c r="D371" s="537"/>
      <c r="E371" s="537"/>
      <c r="F371" s="537"/>
      <c r="G371" s="537"/>
      <c r="H371" s="537"/>
      <c r="I371" s="537"/>
      <c r="J371" s="537"/>
      <c r="K371" s="538"/>
      <c r="L371" s="6"/>
      <c r="M371" s="6"/>
      <c r="N371" s="8"/>
      <c r="O371" s="8"/>
    </row>
    <row r="372" spans="2:15" ht="15.75" customHeight="1" x14ac:dyDescent="0.25">
      <c r="B372" s="569" t="s">
        <v>239</v>
      </c>
      <c r="C372" s="537"/>
      <c r="D372" s="537"/>
      <c r="E372" s="537"/>
      <c r="F372" s="538"/>
      <c r="G372" s="61" t="s">
        <v>118</v>
      </c>
      <c r="H372" s="61" t="s">
        <v>119</v>
      </c>
      <c r="I372" s="569" t="s">
        <v>319</v>
      </c>
      <c r="J372" s="538"/>
      <c r="K372" s="61" t="s">
        <v>320</v>
      </c>
      <c r="L372" s="6"/>
      <c r="M372" s="6"/>
      <c r="N372" s="8"/>
      <c r="O372" s="8"/>
    </row>
    <row r="373" spans="2:15" ht="15.75" customHeight="1" x14ac:dyDescent="0.25">
      <c r="B373" s="605" t="s">
        <v>498</v>
      </c>
      <c r="C373" s="537"/>
      <c r="D373" s="537"/>
      <c r="E373" s="537"/>
      <c r="F373" s="538"/>
      <c r="G373" s="14">
        <v>1</v>
      </c>
      <c r="H373" s="14" t="s">
        <v>335</v>
      </c>
      <c r="I373" s="556">
        <f>I364</f>
        <v>53861</v>
      </c>
      <c r="J373" s="538"/>
      <c r="K373" s="60">
        <f>I373*G373</f>
        <v>53861</v>
      </c>
      <c r="L373" s="6"/>
      <c r="M373" s="6"/>
      <c r="N373" s="8"/>
      <c r="O373" s="8"/>
    </row>
    <row r="374" spans="2:15" ht="15.75" customHeight="1" x14ac:dyDescent="0.25">
      <c r="B374" s="605" t="s">
        <v>338</v>
      </c>
      <c r="C374" s="537"/>
      <c r="D374" s="537"/>
      <c r="E374" s="537"/>
      <c r="F374" s="538"/>
      <c r="G374" s="73">
        <v>13.75</v>
      </c>
      <c r="H374" s="14" t="s">
        <v>141</v>
      </c>
      <c r="I374" s="617"/>
      <c r="J374" s="538"/>
      <c r="K374" s="60"/>
      <c r="L374" s="6"/>
      <c r="M374" s="6"/>
      <c r="N374" s="8"/>
      <c r="O374" s="8"/>
    </row>
    <row r="375" spans="2:15" ht="15.75" customHeight="1" x14ac:dyDescent="0.25">
      <c r="B375" s="605" t="s">
        <v>502</v>
      </c>
      <c r="C375" s="537"/>
      <c r="D375" s="537"/>
      <c r="E375" s="537"/>
      <c r="F375" s="538"/>
      <c r="G375" s="14"/>
      <c r="H375" s="14"/>
      <c r="I375" s="556">
        <f>IFERROR(IF(G366&lt;=G365,I364-(G367/(100*G365)*G366)*I364,I364-K367),0)</f>
        <v>16927.742857142854</v>
      </c>
      <c r="J375" s="538"/>
      <c r="K375" s="60"/>
      <c r="L375" s="6"/>
      <c r="M375" s="6"/>
      <c r="N375" s="8"/>
      <c r="O375" s="8"/>
    </row>
    <row r="376" spans="2:15" ht="15.75" customHeight="1" x14ac:dyDescent="0.25">
      <c r="B376" s="605" t="s">
        <v>504</v>
      </c>
      <c r="C376" s="537"/>
      <c r="D376" s="537"/>
      <c r="E376" s="537"/>
      <c r="F376" s="538"/>
      <c r="G376" s="14"/>
      <c r="H376" s="14"/>
      <c r="I376" s="556">
        <f>IFERROR(IF(G366&gt;=G365,I375,((((I375)-(I364-K367))*(((G365-G366)+1)/(2*(G365-G366))))+(I364-K367))),0)</f>
        <v>16927.742857142854</v>
      </c>
      <c r="J376" s="538"/>
      <c r="K376" s="60"/>
      <c r="L376" s="6"/>
      <c r="M376" s="6"/>
      <c r="N376" s="8"/>
      <c r="O376" s="8"/>
    </row>
    <row r="377" spans="2:15" ht="15.75" customHeight="1" x14ac:dyDescent="0.25">
      <c r="B377" s="608" t="s">
        <v>506</v>
      </c>
      <c r="C377" s="564"/>
      <c r="D377" s="564"/>
      <c r="E377" s="564"/>
      <c r="F377" s="565"/>
      <c r="G377" s="178"/>
      <c r="H377" s="178"/>
      <c r="I377" s="657">
        <f>G374*I376/12/100</f>
        <v>193.96372023809519</v>
      </c>
      <c r="J377" s="565"/>
      <c r="K377" s="175">
        <f>I377</f>
        <v>193.96372023809519</v>
      </c>
      <c r="L377" s="6"/>
      <c r="M377" s="6"/>
      <c r="N377" s="8"/>
      <c r="O377" s="8"/>
    </row>
    <row r="378" spans="2:15" ht="15.75" customHeight="1" x14ac:dyDescent="0.25">
      <c r="B378" s="658" t="s">
        <v>349</v>
      </c>
      <c r="C378" s="537"/>
      <c r="D378" s="537"/>
      <c r="E378" s="537"/>
      <c r="F378" s="538"/>
      <c r="G378" s="245">
        <v>1</v>
      </c>
      <c r="H378" s="245" t="s">
        <v>335</v>
      </c>
      <c r="I378" s="659">
        <f>K377</f>
        <v>193.96372023809519</v>
      </c>
      <c r="J378" s="538"/>
      <c r="K378" s="51">
        <f>I378*G378</f>
        <v>193.96372023809519</v>
      </c>
      <c r="L378" s="6"/>
      <c r="M378" s="6"/>
      <c r="N378" s="8"/>
      <c r="O378" s="8"/>
    </row>
    <row r="379" spans="2:15" ht="15.75" customHeight="1" x14ac:dyDescent="0.25">
      <c r="B379" s="179"/>
      <c r="C379" s="179"/>
      <c r="D379" s="179"/>
      <c r="E379" s="179"/>
      <c r="F379" s="179"/>
      <c r="G379" s="38"/>
      <c r="H379" s="38"/>
      <c r="I379" s="38"/>
      <c r="J379" s="38"/>
      <c r="K379" s="169"/>
      <c r="L379" s="6"/>
      <c r="M379" s="6"/>
      <c r="N379" s="8"/>
      <c r="O379" s="8"/>
    </row>
    <row r="380" spans="2:15" ht="15" customHeight="1" x14ac:dyDescent="0.25">
      <c r="B380" s="598" t="s">
        <v>512</v>
      </c>
      <c r="C380" s="537"/>
      <c r="D380" s="537"/>
      <c r="E380" s="537"/>
      <c r="F380" s="537"/>
      <c r="G380" s="537"/>
      <c r="H380" s="537"/>
      <c r="I380" s="537"/>
      <c r="J380" s="537"/>
      <c r="K380" s="538"/>
      <c r="L380" s="6"/>
      <c r="M380" s="6"/>
      <c r="N380" s="8"/>
      <c r="O380" s="8"/>
    </row>
    <row r="381" spans="2:15" ht="15.75" customHeight="1" x14ac:dyDescent="0.25">
      <c r="B381" s="569" t="s">
        <v>239</v>
      </c>
      <c r="C381" s="537"/>
      <c r="D381" s="537"/>
      <c r="E381" s="537"/>
      <c r="F381" s="538"/>
      <c r="G381" s="61" t="s">
        <v>118</v>
      </c>
      <c r="H381" s="61" t="s">
        <v>119</v>
      </c>
      <c r="I381" s="569" t="s">
        <v>319</v>
      </c>
      <c r="J381" s="538"/>
      <c r="K381" s="61" t="s">
        <v>354</v>
      </c>
      <c r="L381" s="6"/>
      <c r="M381" s="6"/>
      <c r="N381" s="8"/>
      <c r="O381" s="8"/>
    </row>
    <row r="382" spans="2:15" ht="15.75" customHeight="1" x14ac:dyDescent="0.25">
      <c r="B382" s="571" t="s">
        <v>355</v>
      </c>
      <c r="C382" s="537"/>
      <c r="D382" s="537"/>
      <c r="E382" s="537"/>
      <c r="F382" s="538"/>
      <c r="G382" s="14">
        <v>1</v>
      </c>
      <c r="H382" s="14" t="s">
        <v>335</v>
      </c>
      <c r="I382" s="556">
        <f>I364*0.03</f>
        <v>1615.83</v>
      </c>
      <c r="J382" s="538"/>
      <c r="K382" s="60">
        <f t="shared" ref="K382:K383" si="44">(I382*G382)/12</f>
        <v>134.6525</v>
      </c>
      <c r="L382" s="6"/>
      <c r="M382" s="6"/>
      <c r="N382" s="8"/>
      <c r="O382" s="8"/>
    </row>
    <row r="383" spans="2:15" ht="15.75" customHeight="1" x14ac:dyDescent="0.25">
      <c r="B383" s="571" t="s">
        <v>356</v>
      </c>
      <c r="C383" s="537"/>
      <c r="D383" s="537"/>
      <c r="E383" s="537"/>
      <c r="F383" s="538"/>
      <c r="G383" s="14">
        <v>1</v>
      </c>
      <c r="H383" s="14" t="s">
        <v>335</v>
      </c>
      <c r="I383" s="556">
        <v>109.27</v>
      </c>
      <c r="J383" s="538"/>
      <c r="K383" s="60">
        <f t="shared" si="44"/>
        <v>9.105833333333333</v>
      </c>
      <c r="L383" s="6"/>
      <c r="M383" s="6"/>
      <c r="N383" s="8"/>
      <c r="O383" s="8"/>
    </row>
    <row r="384" spans="2:15" ht="15.75" customHeight="1" x14ac:dyDescent="0.25">
      <c r="B384" s="571" t="s">
        <v>358</v>
      </c>
      <c r="C384" s="537"/>
      <c r="D384" s="537"/>
      <c r="E384" s="537"/>
      <c r="F384" s="538"/>
      <c r="G384" s="14">
        <v>1</v>
      </c>
      <c r="H384" s="14" t="s">
        <v>335</v>
      </c>
      <c r="I384" s="556">
        <f>'10 - CUSTOS UN'!J252</f>
        <v>858.83333333333337</v>
      </c>
      <c r="J384" s="538"/>
      <c r="K384" s="60">
        <f>(I384/12)*G384</f>
        <v>71.569444444444443</v>
      </c>
      <c r="L384" s="6"/>
      <c r="M384" s="6"/>
      <c r="N384" s="8"/>
      <c r="O384" s="8"/>
    </row>
    <row r="385" spans="2:15" ht="15.75" customHeight="1" x14ac:dyDescent="0.25">
      <c r="B385" s="571" t="s">
        <v>359</v>
      </c>
      <c r="C385" s="537"/>
      <c r="D385" s="537"/>
      <c r="E385" s="537"/>
      <c r="F385" s="538"/>
      <c r="G385" s="14">
        <v>1</v>
      </c>
      <c r="H385" s="14" t="s">
        <v>335</v>
      </c>
      <c r="I385" s="556">
        <f>'10 - CUSTOS UN'!$J$233</f>
        <v>57.093333333333334</v>
      </c>
      <c r="J385" s="538"/>
      <c r="K385" s="60">
        <f>I385</f>
        <v>57.093333333333334</v>
      </c>
      <c r="L385" s="6"/>
      <c r="M385" s="6"/>
      <c r="N385" s="8"/>
      <c r="O385" s="8"/>
    </row>
    <row r="386" spans="2:15" ht="15.75" customHeight="1" x14ac:dyDescent="0.25">
      <c r="B386" s="628" t="s">
        <v>360</v>
      </c>
      <c r="C386" s="611"/>
      <c r="D386" s="611"/>
      <c r="E386" s="611"/>
      <c r="F386" s="612"/>
      <c r="G386" s="181">
        <v>1</v>
      </c>
      <c r="H386" s="181" t="s">
        <v>119</v>
      </c>
      <c r="I386" s="629">
        <f>SUM(K382:K385)/G386</f>
        <v>272.42111111111114</v>
      </c>
      <c r="J386" s="612"/>
      <c r="K386" s="184">
        <f>I386*G386</f>
        <v>272.42111111111114</v>
      </c>
      <c r="L386" s="6"/>
      <c r="M386" s="6"/>
      <c r="N386" s="8"/>
      <c r="O386" s="8"/>
    </row>
    <row r="387" spans="2:15" ht="15.75" customHeight="1" x14ac:dyDescent="0.25">
      <c r="L387" s="6"/>
      <c r="M387" s="6"/>
      <c r="N387" s="8"/>
      <c r="O387" s="8"/>
    </row>
    <row r="388" spans="2:15" ht="15" customHeight="1" x14ac:dyDescent="0.25">
      <c r="B388" s="598" t="s">
        <v>526</v>
      </c>
      <c r="C388" s="537"/>
      <c r="D388" s="537"/>
      <c r="E388" s="537"/>
      <c r="F388" s="537"/>
      <c r="G388" s="537"/>
      <c r="H388" s="537"/>
      <c r="I388" s="537"/>
      <c r="J388" s="537"/>
      <c r="K388" s="538"/>
      <c r="L388" s="6"/>
      <c r="M388" s="6"/>
      <c r="N388" s="8"/>
      <c r="O388" s="8"/>
    </row>
    <row r="389" spans="2:15" ht="15" customHeight="1" x14ac:dyDescent="0.25">
      <c r="B389" s="637" t="s">
        <v>239</v>
      </c>
      <c r="C389" s="564"/>
      <c r="D389" s="564"/>
      <c r="E389" s="564"/>
      <c r="F389" s="565"/>
      <c r="G389" s="170" t="s">
        <v>118</v>
      </c>
      <c r="H389" s="155" t="s">
        <v>119</v>
      </c>
      <c r="I389" s="637" t="s">
        <v>319</v>
      </c>
      <c r="J389" s="565"/>
      <c r="K389" s="155" t="s">
        <v>275</v>
      </c>
      <c r="L389" s="6"/>
      <c r="M389" s="6"/>
      <c r="N389" s="8"/>
      <c r="O389" s="8"/>
    </row>
    <row r="390" spans="2:15" ht="15" customHeight="1" x14ac:dyDescent="0.25">
      <c r="B390" s="675" t="s">
        <v>363</v>
      </c>
      <c r="C390" s="535"/>
      <c r="D390" s="535"/>
      <c r="E390" s="535"/>
      <c r="F390" s="575"/>
      <c r="G390" s="186">
        <v>1500</v>
      </c>
      <c r="H390" s="14" t="s">
        <v>364</v>
      </c>
      <c r="I390" s="676"/>
      <c r="J390" s="575"/>
      <c r="K390" s="60"/>
      <c r="L390" s="6"/>
      <c r="M390" s="6"/>
      <c r="N390" s="8"/>
      <c r="O390" s="8"/>
    </row>
    <row r="391" spans="2:15" ht="15" customHeight="1" x14ac:dyDescent="0.25">
      <c r="B391" s="571" t="s">
        <v>528</v>
      </c>
      <c r="C391" s="537"/>
      <c r="D391" s="537"/>
      <c r="E391" s="537"/>
      <c r="F391" s="538"/>
      <c r="G391" s="14">
        <v>9</v>
      </c>
      <c r="H391" s="14" t="s">
        <v>367</v>
      </c>
      <c r="I391" s="680"/>
      <c r="J391" s="538"/>
      <c r="K391" s="193"/>
      <c r="L391" s="6"/>
      <c r="M391" s="6"/>
      <c r="N391" s="8"/>
      <c r="O391" s="8"/>
    </row>
    <row r="392" spans="2:15" ht="15" customHeight="1" x14ac:dyDescent="0.25">
      <c r="B392" s="571" t="s">
        <v>530</v>
      </c>
      <c r="C392" s="537"/>
      <c r="D392" s="537"/>
      <c r="E392" s="537"/>
      <c r="F392" s="538"/>
      <c r="G392" s="14">
        <v>1</v>
      </c>
      <c r="H392" s="14" t="s">
        <v>369</v>
      </c>
      <c r="I392" s="683">
        <v>6.52</v>
      </c>
      <c r="J392" s="538"/>
      <c r="K392" s="60"/>
      <c r="L392" s="6"/>
      <c r="M392" s="6"/>
      <c r="N392" s="8"/>
      <c r="O392" s="8"/>
    </row>
    <row r="393" spans="2:15" ht="15" customHeight="1" x14ac:dyDescent="0.25">
      <c r="B393" s="684" t="s">
        <v>371</v>
      </c>
      <c r="C393" s="564"/>
      <c r="D393" s="564"/>
      <c r="E393" s="564"/>
      <c r="F393" s="565"/>
      <c r="G393" s="188">
        <f>G390/G391</f>
        <v>166.66666666666666</v>
      </c>
      <c r="H393" s="174" t="s">
        <v>372</v>
      </c>
      <c r="I393" s="657">
        <f>I392</f>
        <v>6.52</v>
      </c>
      <c r="J393" s="565"/>
      <c r="K393" s="175">
        <f t="shared" ref="K393:K394" si="45">I393*G393</f>
        <v>1086.6666666666665</v>
      </c>
      <c r="L393" s="6"/>
      <c r="M393" s="6"/>
      <c r="N393" s="8"/>
      <c r="O393" s="8"/>
    </row>
    <row r="394" spans="2:15" ht="15" customHeight="1" x14ac:dyDescent="0.25">
      <c r="B394" s="628" t="s">
        <v>374</v>
      </c>
      <c r="C394" s="611"/>
      <c r="D394" s="611"/>
      <c r="E394" s="611"/>
      <c r="F394" s="612"/>
      <c r="G394" s="181">
        <v>1</v>
      </c>
      <c r="H394" s="181" t="s">
        <v>119</v>
      </c>
      <c r="I394" s="629">
        <f>K393</f>
        <v>1086.6666666666665</v>
      </c>
      <c r="J394" s="612"/>
      <c r="K394" s="184">
        <f t="shared" si="45"/>
        <v>1086.6666666666665</v>
      </c>
      <c r="L394" s="6"/>
      <c r="M394" s="6"/>
      <c r="N394" s="8"/>
      <c r="O394" s="8"/>
    </row>
    <row r="395" spans="2:15" ht="15" customHeight="1" x14ac:dyDescent="0.25">
      <c r="B395" s="151"/>
      <c r="C395" s="151"/>
      <c r="D395" s="151"/>
      <c r="E395" s="151"/>
      <c r="F395" s="151"/>
      <c r="G395" s="1"/>
      <c r="H395" s="1"/>
      <c r="I395" s="152"/>
      <c r="J395" s="152"/>
      <c r="K395" s="189"/>
      <c r="L395" s="6"/>
      <c r="M395" s="6"/>
      <c r="N395" s="8"/>
      <c r="O395" s="8"/>
    </row>
    <row r="396" spans="2:15" ht="15" customHeight="1" x14ac:dyDescent="0.25">
      <c r="B396" s="598" t="s">
        <v>537</v>
      </c>
      <c r="C396" s="537"/>
      <c r="D396" s="537"/>
      <c r="E396" s="537"/>
      <c r="F396" s="537"/>
      <c r="G396" s="537"/>
      <c r="H396" s="537"/>
      <c r="I396" s="537"/>
      <c r="J396" s="537"/>
      <c r="K396" s="538"/>
      <c r="L396" s="6"/>
      <c r="M396" s="6"/>
      <c r="N396" s="8"/>
      <c r="O396" s="8"/>
    </row>
    <row r="397" spans="2:15" ht="15" customHeight="1" x14ac:dyDescent="0.25">
      <c r="B397" s="637" t="s">
        <v>239</v>
      </c>
      <c r="C397" s="564"/>
      <c r="D397" s="564"/>
      <c r="E397" s="564"/>
      <c r="F397" s="565"/>
      <c r="G397" s="170" t="s">
        <v>118</v>
      </c>
      <c r="H397" s="155" t="s">
        <v>119</v>
      </c>
      <c r="I397" s="637" t="s">
        <v>319</v>
      </c>
      <c r="J397" s="565"/>
      <c r="K397" s="155" t="s">
        <v>320</v>
      </c>
      <c r="L397" s="6"/>
      <c r="M397" s="6"/>
      <c r="N397" s="8"/>
      <c r="O397" s="8"/>
    </row>
    <row r="398" spans="2:15" ht="15" customHeight="1" x14ac:dyDescent="0.25">
      <c r="B398" s="675" t="s">
        <v>381</v>
      </c>
      <c r="C398" s="535"/>
      <c r="D398" s="535"/>
      <c r="E398" s="535"/>
      <c r="F398" s="575"/>
      <c r="G398" s="14">
        <v>0.35</v>
      </c>
      <c r="H398" s="14" t="s">
        <v>382</v>
      </c>
      <c r="I398" s="676">
        <v>41.23</v>
      </c>
      <c r="J398" s="575"/>
      <c r="K398" s="60">
        <f t="shared" ref="K398:K399" si="46">I398*G398</f>
        <v>14.430499999999999</v>
      </c>
      <c r="L398" s="6"/>
      <c r="M398" s="6"/>
      <c r="N398" s="8"/>
      <c r="O398" s="8"/>
    </row>
    <row r="399" spans="2:15" ht="15" customHeight="1" x14ac:dyDescent="0.25">
      <c r="B399" s="679" t="s">
        <v>384</v>
      </c>
      <c r="C399" s="537"/>
      <c r="D399" s="537"/>
      <c r="E399" s="537"/>
      <c r="F399" s="538"/>
      <c r="G399" s="192">
        <f>G390</f>
        <v>1500</v>
      </c>
      <c r="H399" s="17" t="s">
        <v>364</v>
      </c>
      <c r="I399" s="680">
        <f>K398/1000</f>
        <v>1.4430499999999999E-2</v>
      </c>
      <c r="J399" s="538"/>
      <c r="K399" s="193">
        <f t="shared" si="46"/>
        <v>21.64575</v>
      </c>
      <c r="L399" s="6"/>
      <c r="M399" s="6"/>
      <c r="N399" s="8"/>
      <c r="O399" s="8"/>
    </row>
    <row r="400" spans="2:15" ht="15" customHeight="1" x14ac:dyDescent="0.25">
      <c r="B400" s="571" t="s">
        <v>387</v>
      </c>
      <c r="C400" s="537"/>
      <c r="D400" s="537"/>
      <c r="E400" s="537"/>
      <c r="F400" s="538"/>
      <c r="G400" s="171">
        <v>3.3000000000000002E-2</v>
      </c>
      <c r="H400" s="14" t="s">
        <v>382</v>
      </c>
      <c r="I400" s="556">
        <v>87.12</v>
      </c>
      <c r="J400" s="538"/>
      <c r="K400" s="60">
        <f>G400*I400</f>
        <v>2.8749600000000002</v>
      </c>
      <c r="L400" s="6"/>
      <c r="M400" s="6"/>
      <c r="N400" s="8"/>
      <c r="O400" s="8"/>
    </row>
    <row r="401" spans="2:15" ht="15" customHeight="1" x14ac:dyDescent="0.25">
      <c r="B401" s="679" t="s">
        <v>390</v>
      </c>
      <c r="C401" s="537"/>
      <c r="D401" s="537"/>
      <c r="E401" s="537"/>
      <c r="F401" s="538"/>
      <c r="G401" s="192">
        <f>G390</f>
        <v>1500</v>
      </c>
      <c r="H401" s="17" t="s">
        <v>364</v>
      </c>
      <c r="I401" s="692">
        <f>K400/1000</f>
        <v>2.8749600000000002E-3</v>
      </c>
      <c r="J401" s="538"/>
      <c r="K401" s="193">
        <f t="shared" ref="K401:K404" si="47">I401*G401</f>
        <v>4.3124400000000005</v>
      </c>
      <c r="L401" s="6"/>
      <c r="M401" s="6"/>
      <c r="N401" s="8"/>
      <c r="O401" s="8"/>
    </row>
    <row r="402" spans="2:15" ht="15" customHeight="1" x14ac:dyDescent="0.25">
      <c r="B402" s="571" t="s">
        <v>397</v>
      </c>
      <c r="C402" s="537"/>
      <c r="D402" s="537"/>
      <c r="E402" s="537"/>
      <c r="F402" s="538"/>
      <c r="G402" s="14">
        <v>0.03</v>
      </c>
      <c r="H402" s="14" t="s">
        <v>398</v>
      </c>
      <c r="I402" s="556">
        <v>41.26</v>
      </c>
      <c r="J402" s="538"/>
      <c r="K402" s="60">
        <f t="shared" si="47"/>
        <v>1.2377999999999998</v>
      </c>
      <c r="L402" s="6"/>
      <c r="M402" s="6"/>
      <c r="N402" s="8"/>
      <c r="O402" s="8"/>
    </row>
    <row r="403" spans="2:15" ht="15" customHeight="1" x14ac:dyDescent="0.25">
      <c r="B403" s="684" t="s">
        <v>399</v>
      </c>
      <c r="C403" s="564"/>
      <c r="D403" s="564"/>
      <c r="E403" s="564"/>
      <c r="F403" s="565"/>
      <c r="G403" s="188">
        <f>G390</f>
        <v>1500</v>
      </c>
      <c r="H403" s="174" t="s">
        <v>364</v>
      </c>
      <c r="I403" s="693">
        <f>K402/1000</f>
        <v>1.2377999999999998E-3</v>
      </c>
      <c r="J403" s="565"/>
      <c r="K403" s="175">
        <f t="shared" si="47"/>
        <v>1.8566999999999998</v>
      </c>
      <c r="L403" s="6"/>
      <c r="M403" s="6"/>
      <c r="N403" s="8"/>
      <c r="O403" s="8"/>
    </row>
    <row r="404" spans="2:15" ht="15" customHeight="1" x14ac:dyDescent="0.25">
      <c r="B404" s="628" t="s">
        <v>401</v>
      </c>
      <c r="C404" s="611"/>
      <c r="D404" s="611"/>
      <c r="E404" s="611"/>
      <c r="F404" s="612"/>
      <c r="G404" s="181">
        <v>1</v>
      </c>
      <c r="H404" s="181" t="s">
        <v>119</v>
      </c>
      <c r="I404" s="629">
        <f>SUM(K399,K401,K403)</f>
        <v>27.814890000000002</v>
      </c>
      <c r="J404" s="612"/>
      <c r="K404" s="184">
        <f t="shared" si="47"/>
        <v>27.814890000000002</v>
      </c>
      <c r="L404" s="6"/>
      <c r="M404" s="6"/>
      <c r="N404" s="8"/>
      <c r="O404" s="8"/>
    </row>
    <row r="405" spans="2:15" ht="15" customHeight="1" x14ac:dyDescent="0.25">
      <c r="B405" s="148"/>
      <c r="C405" s="148"/>
      <c r="D405" s="148"/>
      <c r="E405" s="148"/>
      <c r="F405" s="148"/>
      <c r="G405" s="148"/>
      <c r="H405" s="148"/>
      <c r="I405" s="148"/>
      <c r="J405" s="148"/>
      <c r="K405" s="148"/>
      <c r="L405" s="6"/>
      <c r="M405" s="6"/>
      <c r="N405" s="8"/>
      <c r="O405" s="8"/>
    </row>
    <row r="406" spans="2:15" ht="15" customHeight="1" x14ac:dyDescent="0.25">
      <c r="B406" s="598" t="s">
        <v>554</v>
      </c>
      <c r="C406" s="537"/>
      <c r="D406" s="537"/>
      <c r="E406" s="537"/>
      <c r="F406" s="537"/>
      <c r="G406" s="537"/>
      <c r="H406" s="537"/>
      <c r="I406" s="537"/>
      <c r="J406" s="537"/>
      <c r="K406" s="538"/>
      <c r="L406" s="6"/>
      <c r="M406" s="6"/>
      <c r="N406" s="8"/>
      <c r="O406" s="8"/>
    </row>
    <row r="407" spans="2:15" ht="15" customHeight="1" x14ac:dyDescent="0.25">
      <c r="B407" s="637" t="s">
        <v>239</v>
      </c>
      <c r="C407" s="564"/>
      <c r="D407" s="564"/>
      <c r="E407" s="564"/>
      <c r="F407" s="565"/>
      <c r="G407" s="170" t="s">
        <v>118</v>
      </c>
      <c r="H407" s="155" t="s">
        <v>119</v>
      </c>
      <c r="I407" s="637" t="s">
        <v>319</v>
      </c>
      <c r="J407" s="565"/>
      <c r="K407" s="155" t="s">
        <v>320</v>
      </c>
      <c r="L407" s="6"/>
      <c r="M407" s="6"/>
      <c r="N407" s="8"/>
      <c r="O407" s="8"/>
    </row>
    <row r="408" spans="2:15" ht="15" customHeight="1" x14ac:dyDescent="0.25">
      <c r="B408" s="675" t="s">
        <v>556</v>
      </c>
      <c r="C408" s="535"/>
      <c r="D408" s="535"/>
      <c r="E408" s="535"/>
      <c r="F408" s="575"/>
      <c r="G408" s="14">
        <v>4</v>
      </c>
      <c r="H408" s="14" t="s">
        <v>335</v>
      </c>
      <c r="I408" s="686">
        <f>'10 - CUSTOS UN'!J198</f>
        <v>374.19333333333338</v>
      </c>
      <c r="J408" s="575"/>
      <c r="K408" s="86">
        <f>I408*G408</f>
        <v>1496.7733333333335</v>
      </c>
      <c r="L408" s="6"/>
      <c r="M408" s="6"/>
      <c r="N408" s="8"/>
      <c r="O408" s="8"/>
    </row>
    <row r="409" spans="2:15" ht="15" customHeight="1" x14ac:dyDescent="0.25">
      <c r="B409" s="571" t="s">
        <v>411</v>
      </c>
      <c r="C409" s="537"/>
      <c r="D409" s="537"/>
      <c r="E409" s="537"/>
      <c r="F409" s="538"/>
      <c r="G409" s="15">
        <v>50000</v>
      </c>
      <c r="H409" s="14" t="s">
        <v>413</v>
      </c>
      <c r="I409" s="617"/>
      <c r="J409" s="538"/>
      <c r="K409" s="173"/>
      <c r="L409" s="6"/>
      <c r="M409" s="6"/>
      <c r="N409" s="8"/>
      <c r="O409" s="8"/>
    </row>
    <row r="410" spans="2:15" ht="15" customHeight="1" x14ac:dyDescent="0.25">
      <c r="B410" s="571" t="s">
        <v>559</v>
      </c>
      <c r="C410" s="537"/>
      <c r="D410" s="537"/>
      <c r="E410" s="537"/>
      <c r="F410" s="538"/>
      <c r="G410" s="15">
        <f>G409</f>
        <v>50000</v>
      </c>
      <c r="H410" s="14" t="s">
        <v>417</v>
      </c>
      <c r="I410" s="556">
        <f>K408</f>
        <v>1496.7733333333335</v>
      </c>
      <c r="J410" s="538"/>
      <c r="K410" s="60">
        <f>I410/G410</f>
        <v>2.9935466666666671E-2</v>
      </c>
      <c r="L410" s="6"/>
      <c r="M410" s="6"/>
      <c r="N410" s="8"/>
      <c r="O410" s="8"/>
    </row>
    <row r="411" spans="2:15" ht="15" customHeight="1" x14ac:dyDescent="0.25">
      <c r="B411" s="684" t="s">
        <v>418</v>
      </c>
      <c r="C411" s="564"/>
      <c r="D411" s="564"/>
      <c r="E411" s="564"/>
      <c r="F411" s="565"/>
      <c r="G411" s="188">
        <f>G390</f>
        <v>1500</v>
      </c>
      <c r="H411" s="174" t="s">
        <v>413</v>
      </c>
      <c r="I411" s="657">
        <f t="shared" ref="I411:I412" si="48">K410</f>
        <v>2.9935466666666671E-2</v>
      </c>
      <c r="J411" s="565"/>
      <c r="K411" s="175">
        <f t="shared" ref="K411:K412" si="49">I411*G411</f>
        <v>44.903200000000005</v>
      </c>
      <c r="L411" s="6"/>
      <c r="M411" s="6"/>
      <c r="N411" s="8"/>
      <c r="O411" s="8"/>
    </row>
    <row r="412" spans="2:15" ht="15" customHeight="1" x14ac:dyDescent="0.25">
      <c r="B412" s="628" t="s">
        <v>420</v>
      </c>
      <c r="C412" s="611"/>
      <c r="D412" s="611"/>
      <c r="E412" s="611"/>
      <c r="F412" s="612"/>
      <c r="G412" s="181">
        <v>1</v>
      </c>
      <c r="H412" s="181" t="s">
        <v>119</v>
      </c>
      <c r="I412" s="629">
        <f t="shared" si="48"/>
        <v>44.903200000000005</v>
      </c>
      <c r="J412" s="612"/>
      <c r="K412" s="184">
        <f t="shared" si="49"/>
        <v>44.903200000000005</v>
      </c>
      <c r="L412" s="6"/>
      <c r="M412" s="6"/>
      <c r="N412" s="8"/>
      <c r="O412" s="8"/>
    </row>
    <row r="413" spans="2:15" ht="15" customHeight="1" x14ac:dyDescent="0.25">
      <c r="B413" s="151"/>
      <c r="C413" s="151"/>
      <c r="D413" s="151"/>
      <c r="E413" s="151"/>
      <c r="F413" s="151"/>
      <c r="G413" s="1"/>
      <c r="H413" s="1"/>
      <c r="I413" s="152"/>
      <c r="J413" s="152"/>
      <c r="K413" s="189"/>
      <c r="L413" s="6"/>
      <c r="M413" s="6"/>
      <c r="N413" s="8"/>
      <c r="O413" s="8"/>
    </row>
    <row r="414" spans="2:15" ht="15" customHeight="1" x14ac:dyDescent="0.25">
      <c r="B414" s="598" t="s">
        <v>564</v>
      </c>
      <c r="C414" s="537"/>
      <c r="D414" s="537"/>
      <c r="E414" s="537"/>
      <c r="F414" s="537"/>
      <c r="G414" s="537"/>
      <c r="H414" s="537"/>
      <c r="I414" s="537"/>
      <c r="J414" s="537"/>
      <c r="K414" s="538"/>
      <c r="L414" s="6"/>
      <c r="M414" s="6"/>
      <c r="N414" s="8"/>
      <c r="O414" s="8"/>
    </row>
    <row r="415" spans="2:15" ht="15" customHeight="1" x14ac:dyDescent="0.25">
      <c r="B415" s="637" t="s">
        <v>239</v>
      </c>
      <c r="C415" s="564"/>
      <c r="D415" s="564"/>
      <c r="E415" s="564"/>
      <c r="F415" s="565"/>
      <c r="G415" s="170" t="s">
        <v>118</v>
      </c>
      <c r="H415" s="155" t="s">
        <v>119</v>
      </c>
      <c r="I415" s="637" t="s">
        <v>319</v>
      </c>
      <c r="J415" s="565"/>
      <c r="K415" s="155" t="s">
        <v>275</v>
      </c>
      <c r="L415" s="6"/>
      <c r="M415" s="6"/>
      <c r="N415" s="8"/>
      <c r="O415" s="8"/>
    </row>
    <row r="416" spans="2:15" ht="15" customHeight="1" x14ac:dyDescent="0.25">
      <c r="B416" s="687" t="s">
        <v>425</v>
      </c>
      <c r="C416" s="532"/>
      <c r="D416" s="532"/>
      <c r="E416" s="532"/>
      <c r="F416" s="688"/>
      <c r="G416" s="203">
        <f>G390</f>
        <v>1500</v>
      </c>
      <c r="H416" s="204" t="s">
        <v>364</v>
      </c>
      <c r="I416" s="689">
        <v>1.18</v>
      </c>
      <c r="J416" s="688"/>
      <c r="K416" s="205">
        <f t="shared" ref="K416:K417" si="50">I416*G416</f>
        <v>1770</v>
      </c>
      <c r="L416" s="6"/>
      <c r="M416" s="6"/>
      <c r="N416" s="8"/>
      <c r="O416" s="8"/>
    </row>
    <row r="417" spans="2:15" ht="15" customHeight="1" x14ac:dyDescent="0.25">
      <c r="B417" s="628" t="s">
        <v>427</v>
      </c>
      <c r="C417" s="611"/>
      <c r="D417" s="611"/>
      <c r="E417" s="611"/>
      <c r="F417" s="612"/>
      <c r="G417" s="181">
        <v>1</v>
      </c>
      <c r="H417" s="181" t="s">
        <v>335</v>
      </c>
      <c r="I417" s="629">
        <f>K416</f>
        <v>1770</v>
      </c>
      <c r="J417" s="612"/>
      <c r="K417" s="184">
        <f t="shared" si="50"/>
        <v>1770</v>
      </c>
      <c r="L417" s="6"/>
      <c r="M417" s="6"/>
      <c r="N417" s="8"/>
      <c r="O417" s="8"/>
    </row>
    <row r="418" spans="2:15" ht="66" customHeight="1" x14ac:dyDescent="0.25">
      <c r="B418" s="695" t="s">
        <v>429</v>
      </c>
      <c r="C418" s="544"/>
      <c r="D418" s="544"/>
      <c r="E418" s="544"/>
      <c r="F418" s="544"/>
      <c r="G418" s="544"/>
      <c r="H418" s="544"/>
      <c r="I418" s="544"/>
      <c r="J418" s="544"/>
      <c r="K418" s="579"/>
      <c r="L418" s="6"/>
      <c r="M418" s="6"/>
      <c r="N418" s="8"/>
      <c r="O418" s="8"/>
    </row>
    <row r="419" spans="2:15" ht="15" customHeight="1" x14ac:dyDescent="0.25">
      <c r="B419" s="148"/>
      <c r="C419" s="148"/>
      <c r="D419" s="148"/>
      <c r="E419" s="148"/>
      <c r="F419" s="148"/>
      <c r="G419" s="148"/>
      <c r="H419" s="148"/>
      <c r="I419" s="148"/>
      <c r="J419" s="148"/>
      <c r="K419" s="148"/>
      <c r="L419" s="6"/>
      <c r="M419" s="6"/>
      <c r="N419" s="8"/>
      <c r="O419" s="8"/>
    </row>
    <row r="420" spans="2:15" ht="15" customHeight="1" x14ac:dyDescent="0.25">
      <c r="B420" s="552" t="s">
        <v>570</v>
      </c>
      <c r="C420" s="537"/>
      <c r="D420" s="537"/>
      <c r="E420" s="537"/>
      <c r="F420" s="537"/>
      <c r="G420" s="537"/>
      <c r="H420" s="537"/>
      <c r="I420" s="537"/>
      <c r="J420" s="538"/>
      <c r="K420" s="209">
        <f>SUM(I417,I412,I404,I394,I386,I378,I369)</f>
        <v>3908.7314927777775</v>
      </c>
      <c r="L420" s="6"/>
      <c r="M420" s="6"/>
      <c r="N420" s="8"/>
      <c r="O420" s="8"/>
    </row>
    <row r="421" spans="2:15" ht="15" customHeight="1" x14ac:dyDescent="0.25">
      <c r="B421" s="552" t="s">
        <v>433</v>
      </c>
      <c r="C421" s="537"/>
      <c r="D421" s="537"/>
      <c r="E421" s="537"/>
      <c r="F421" s="537"/>
      <c r="G421" s="537"/>
      <c r="H421" s="537"/>
      <c r="I421" s="537"/>
      <c r="J421" s="538"/>
      <c r="K421" s="209">
        <f>SUM(K417,K412,K404,K394,K386,K378,K369)</f>
        <v>3908.7314927777775</v>
      </c>
      <c r="L421" s="6"/>
      <c r="M421" s="6"/>
      <c r="N421" s="8"/>
      <c r="O421" s="8"/>
    </row>
    <row r="422" spans="2:15" ht="15.75" customHeight="1" x14ac:dyDescent="0.25">
      <c r="L422" s="6"/>
      <c r="M422" s="6"/>
      <c r="N422" s="8"/>
      <c r="O422" s="8"/>
    </row>
    <row r="423" spans="2:15" ht="15" customHeight="1" x14ac:dyDescent="0.25">
      <c r="B423" s="589" t="s">
        <v>573</v>
      </c>
      <c r="C423" s="537"/>
      <c r="D423" s="537"/>
      <c r="E423" s="537"/>
      <c r="F423" s="537"/>
      <c r="G423" s="537"/>
      <c r="H423" s="537"/>
      <c r="I423" s="537"/>
      <c r="J423" s="538"/>
      <c r="K423" s="283">
        <f>SUM(K278,K358,K421)</f>
        <v>316104.87671464728</v>
      </c>
      <c r="L423" s="6"/>
      <c r="M423" s="6"/>
      <c r="N423" s="8"/>
      <c r="O423" s="8"/>
    </row>
    <row r="424" spans="2:15" ht="15.75" customHeight="1" x14ac:dyDescent="0.25">
      <c r="L424" s="6"/>
      <c r="M424" s="6"/>
      <c r="N424" s="8"/>
      <c r="O424" s="8"/>
    </row>
    <row r="425" spans="2:15" ht="15" customHeight="1" x14ac:dyDescent="0.25">
      <c r="B425" s="566" t="s">
        <v>575</v>
      </c>
      <c r="C425" s="537"/>
      <c r="D425" s="537"/>
      <c r="E425" s="537"/>
      <c r="F425" s="537"/>
      <c r="G425" s="537"/>
      <c r="H425" s="537"/>
      <c r="I425" s="537"/>
      <c r="J425" s="537"/>
      <c r="K425" s="538"/>
      <c r="L425" s="6"/>
      <c r="M425" s="6"/>
      <c r="N425" s="8"/>
      <c r="O425" s="8"/>
    </row>
    <row r="426" spans="2:15" ht="15" customHeight="1" x14ac:dyDescent="0.25">
      <c r="B426" s="286"/>
      <c r="C426" s="286"/>
      <c r="D426" s="286"/>
      <c r="E426" s="286"/>
      <c r="F426" s="286"/>
      <c r="G426" s="286"/>
      <c r="H426" s="286"/>
      <c r="I426" s="286"/>
      <c r="J426" s="286"/>
      <c r="K426" s="287"/>
      <c r="L426" s="6"/>
      <c r="M426" s="6"/>
      <c r="N426" s="8"/>
      <c r="O426" s="8"/>
    </row>
    <row r="427" spans="2:15" ht="15.75" customHeight="1" x14ac:dyDescent="0.25">
      <c r="B427" s="155" t="s">
        <v>273</v>
      </c>
      <c r="C427" s="637" t="s">
        <v>239</v>
      </c>
      <c r="D427" s="564"/>
      <c r="E427" s="564"/>
      <c r="F427" s="565"/>
      <c r="G427" s="170" t="s">
        <v>118</v>
      </c>
      <c r="H427" s="288" t="s">
        <v>578</v>
      </c>
      <c r="I427" s="637" t="s">
        <v>319</v>
      </c>
      <c r="J427" s="565"/>
      <c r="K427" s="155" t="s">
        <v>354</v>
      </c>
      <c r="L427" s="6"/>
      <c r="M427" s="6"/>
      <c r="N427" s="8"/>
      <c r="O427" s="8"/>
    </row>
    <row r="428" spans="2:15" ht="15" customHeight="1" x14ac:dyDescent="0.25">
      <c r="B428" s="145" t="s">
        <v>581</v>
      </c>
      <c r="C428" s="621" t="s">
        <v>582</v>
      </c>
      <c r="D428" s="544"/>
      <c r="E428" s="544"/>
      <c r="F428" s="579"/>
      <c r="G428" s="290">
        <v>72</v>
      </c>
      <c r="H428" s="291">
        <v>24</v>
      </c>
      <c r="I428" s="694">
        <f>'10 - CUSTOS UN'!J117</f>
        <v>53.346666666666664</v>
      </c>
      <c r="J428" s="579"/>
      <c r="K428" s="177">
        <f t="shared" ref="K428:K430" si="51">(I428*G428)/H428</f>
        <v>160.04</v>
      </c>
      <c r="L428" s="6"/>
      <c r="M428" s="6"/>
      <c r="N428" s="8"/>
      <c r="O428" s="8"/>
    </row>
    <row r="429" spans="2:15" ht="15" customHeight="1" x14ac:dyDescent="0.25">
      <c r="B429" s="26" t="s">
        <v>585</v>
      </c>
      <c r="C429" s="545" t="s">
        <v>586</v>
      </c>
      <c r="D429" s="537"/>
      <c r="E429" s="537"/>
      <c r="F429" s="538"/>
      <c r="G429" s="293">
        <v>11</v>
      </c>
      <c r="H429" s="291">
        <v>60</v>
      </c>
      <c r="I429" s="590">
        <f>'10 - CUSTOS UN'!J243</f>
        <v>1727.96</v>
      </c>
      <c r="J429" s="538"/>
      <c r="K429" s="44">
        <f t="shared" si="51"/>
        <v>316.79266666666666</v>
      </c>
      <c r="L429" s="6"/>
      <c r="M429" s="6"/>
      <c r="N429" s="8"/>
      <c r="O429" s="8"/>
    </row>
    <row r="430" spans="2:15" ht="15" customHeight="1" x14ac:dyDescent="0.25">
      <c r="B430" s="145" t="s">
        <v>589</v>
      </c>
      <c r="C430" s="4" t="s">
        <v>590</v>
      </c>
      <c r="D430" s="138"/>
      <c r="E430" s="138"/>
      <c r="F430" s="139"/>
      <c r="G430" s="294">
        <v>1</v>
      </c>
      <c r="H430" s="291">
        <v>60</v>
      </c>
      <c r="I430" s="590">
        <f>'10 - CUSTOS UN'!J246</f>
        <v>147.41999999999999</v>
      </c>
      <c r="J430" s="538"/>
      <c r="K430" s="295">
        <f t="shared" si="51"/>
        <v>2.4569999999999999</v>
      </c>
      <c r="L430" s="6"/>
      <c r="M430" s="6"/>
      <c r="N430" s="8"/>
      <c r="O430" s="8"/>
    </row>
    <row r="431" spans="2:15" ht="15" customHeight="1" x14ac:dyDescent="0.25">
      <c r="B431" s="145" t="s">
        <v>591</v>
      </c>
      <c r="C431" s="545" t="s">
        <v>592</v>
      </c>
      <c r="D431" s="537"/>
      <c r="E431" s="537"/>
      <c r="F431" s="538"/>
      <c r="G431" s="294">
        <v>9</v>
      </c>
      <c r="H431" s="3">
        <v>12</v>
      </c>
      <c r="I431" s="590">
        <f>'10 - CUSTOS UN'!J18</f>
        <v>83.660000000000011</v>
      </c>
      <c r="J431" s="538"/>
      <c r="K431" s="295">
        <f>(G431*I431)/H431</f>
        <v>62.745000000000005</v>
      </c>
      <c r="L431" s="6"/>
      <c r="M431" s="6"/>
      <c r="N431" s="8"/>
      <c r="O431" s="8"/>
    </row>
    <row r="432" spans="2:15" ht="15" customHeight="1" x14ac:dyDescent="0.25">
      <c r="B432" s="26" t="s">
        <v>595</v>
      </c>
      <c r="C432" s="559" t="s">
        <v>596</v>
      </c>
      <c r="D432" s="537"/>
      <c r="E432" s="537"/>
      <c r="F432" s="538"/>
      <c r="G432" s="294">
        <v>18</v>
      </c>
      <c r="H432" s="3">
        <v>12</v>
      </c>
      <c r="I432" s="590">
        <f>'10 - CUSTOS UN'!J60</f>
        <v>4.1399999999999997</v>
      </c>
      <c r="J432" s="538"/>
      <c r="K432" s="295">
        <f t="shared" ref="K432:K433" si="52">(I432*G432)/H432</f>
        <v>6.21</v>
      </c>
      <c r="L432" s="6"/>
      <c r="M432" s="6"/>
      <c r="N432" s="8"/>
      <c r="O432" s="8"/>
    </row>
    <row r="433" spans="2:15" ht="15" customHeight="1" x14ac:dyDescent="0.25">
      <c r="B433" s="145" t="s">
        <v>598</v>
      </c>
      <c r="C433" s="545" t="s">
        <v>599</v>
      </c>
      <c r="D433" s="537"/>
      <c r="E433" s="537"/>
      <c r="F433" s="538"/>
      <c r="G433" s="294">
        <v>2</v>
      </c>
      <c r="H433" s="3">
        <v>1</v>
      </c>
      <c r="I433" s="590">
        <f>'10 - CUSTOS UN'!J105</f>
        <v>22.343333333333334</v>
      </c>
      <c r="J433" s="538"/>
      <c r="K433" s="295">
        <f t="shared" si="52"/>
        <v>44.686666666666667</v>
      </c>
      <c r="L433" s="6"/>
      <c r="M433" s="6"/>
      <c r="N433" s="8"/>
      <c r="O433" s="8"/>
    </row>
    <row r="434" spans="2:15" ht="15" customHeight="1" x14ac:dyDescent="0.25">
      <c r="B434" s="26" t="s">
        <v>602</v>
      </c>
      <c r="C434" s="545" t="s">
        <v>603</v>
      </c>
      <c r="D434" s="537"/>
      <c r="E434" s="537"/>
      <c r="F434" s="538"/>
      <c r="G434" s="294">
        <v>9</v>
      </c>
      <c r="H434" s="3">
        <v>1</v>
      </c>
      <c r="I434" s="590">
        <f>'10 - CUSTOS UN'!J96</f>
        <v>13.38</v>
      </c>
      <c r="J434" s="538"/>
      <c r="K434" s="295">
        <f t="shared" ref="K434:K435" si="53">G434*I434/H434</f>
        <v>120.42</v>
      </c>
      <c r="L434" s="6"/>
      <c r="M434" s="6"/>
      <c r="N434" s="8"/>
      <c r="O434" s="8"/>
    </row>
    <row r="435" spans="2:15" ht="15" customHeight="1" x14ac:dyDescent="0.25">
      <c r="B435" s="165" t="s">
        <v>604</v>
      </c>
      <c r="C435" s="591" t="s">
        <v>605</v>
      </c>
      <c r="D435" s="564"/>
      <c r="E435" s="564"/>
      <c r="F435" s="565"/>
      <c r="G435" s="297">
        <v>2</v>
      </c>
      <c r="H435" s="142">
        <v>1</v>
      </c>
      <c r="I435" s="592">
        <f>'10 - CUSTOS UN'!J6</f>
        <v>34.836666666666666</v>
      </c>
      <c r="J435" s="565"/>
      <c r="K435" s="216">
        <f t="shared" si="53"/>
        <v>69.673333333333332</v>
      </c>
      <c r="L435" s="6"/>
      <c r="M435" s="6"/>
      <c r="N435" s="8"/>
      <c r="O435" s="8"/>
    </row>
    <row r="436" spans="2:15" ht="15" customHeight="1" x14ac:dyDescent="0.25">
      <c r="B436" s="642" t="s">
        <v>608</v>
      </c>
      <c r="C436" s="611"/>
      <c r="D436" s="611"/>
      <c r="E436" s="611"/>
      <c r="F436" s="611"/>
      <c r="G436" s="611"/>
      <c r="H436" s="611"/>
      <c r="I436" s="611"/>
      <c r="J436" s="612"/>
      <c r="K436" s="184">
        <f>SUM(K428:K435)</f>
        <v>783.02466666666669</v>
      </c>
      <c r="L436" s="6"/>
      <c r="M436" s="6"/>
      <c r="N436" s="8"/>
      <c r="O436" s="8"/>
    </row>
    <row r="437" spans="2:15" ht="15" customHeight="1" x14ac:dyDescent="0.25">
      <c r="B437" s="56"/>
      <c r="C437" s="56"/>
      <c r="D437" s="56"/>
      <c r="E437" s="56"/>
      <c r="F437" s="56"/>
      <c r="G437" s="56"/>
      <c r="H437" s="56"/>
      <c r="I437" s="56"/>
      <c r="J437" s="56"/>
      <c r="K437" s="189"/>
      <c r="L437" s="6"/>
      <c r="M437" s="6"/>
      <c r="N437" s="8"/>
      <c r="O437" s="8"/>
    </row>
    <row r="438" spans="2:15" ht="15" customHeight="1" x14ac:dyDescent="0.25">
      <c r="B438" s="56"/>
      <c r="C438" s="56"/>
      <c r="D438" s="56"/>
      <c r="E438" s="56"/>
      <c r="F438" s="56"/>
      <c r="G438" s="56"/>
      <c r="H438" s="56"/>
      <c r="I438" s="56"/>
      <c r="J438" s="56"/>
      <c r="K438" s="189"/>
      <c r="L438" s="6"/>
      <c r="M438" s="6"/>
      <c r="N438" s="8"/>
      <c r="O438" s="8"/>
    </row>
    <row r="439" spans="2:15" ht="15" customHeight="1" x14ac:dyDescent="0.25">
      <c r="B439" s="589" t="s">
        <v>611</v>
      </c>
      <c r="C439" s="537"/>
      <c r="D439" s="537"/>
      <c r="E439" s="537"/>
      <c r="F439" s="537"/>
      <c r="G439" s="537"/>
      <c r="H439" s="537"/>
      <c r="I439" s="537"/>
      <c r="J439" s="538"/>
      <c r="K439" s="283">
        <f>K436+K423+K159+K124</f>
        <v>845925.74702678283</v>
      </c>
      <c r="L439" s="6"/>
      <c r="M439" s="6"/>
      <c r="N439" s="8"/>
      <c r="O439" s="8"/>
    </row>
    <row r="440" spans="2:15" ht="15" customHeight="1" x14ac:dyDescent="0.25">
      <c r="B440" s="286"/>
      <c r="C440" s="286"/>
      <c r="D440" s="286"/>
      <c r="E440" s="286"/>
      <c r="F440" s="286"/>
      <c r="G440" s="286"/>
      <c r="H440" s="286"/>
      <c r="I440" s="286"/>
      <c r="J440" s="286"/>
      <c r="K440" s="287"/>
      <c r="L440" s="6"/>
      <c r="M440" s="6"/>
      <c r="N440" s="8"/>
      <c r="O440" s="8"/>
    </row>
    <row r="441" spans="2:15" ht="15" customHeight="1" x14ac:dyDescent="0.25">
      <c r="B441" s="286"/>
      <c r="C441" s="286"/>
      <c r="D441" s="286"/>
      <c r="E441" s="286"/>
      <c r="F441" s="286"/>
      <c r="G441" s="286"/>
      <c r="H441" s="286"/>
      <c r="I441" s="286"/>
      <c r="J441" s="286"/>
      <c r="K441" s="287"/>
      <c r="L441" s="6"/>
      <c r="M441" s="6"/>
      <c r="N441" s="8"/>
      <c r="O441" s="8"/>
    </row>
    <row r="442" spans="2:15" ht="15" customHeight="1" x14ac:dyDescent="0.25">
      <c r="B442" s="566" t="s">
        <v>613</v>
      </c>
      <c r="C442" s="537"/>
      <c r="D442" s="537"/>
      <c r="E442" s="537"/>
      <c r="F442" s="537"/>
      <c r="G442" s="537"/>
      <c r="H442" s="537"/>
      <c r="I442" s="537"/>
      <c r="J442" s="537"/>
      <c r="K442" s="538"/>
      <c r="L442" s="6"/>
      <c r="M442" s="6"/>
      <c r="N442" s="8"/>
      <c r="O442" s="8"/>
    </row>
    <row r="443" spans="2:15" ht="15" customHeight="1" x14ac:dyDescent="0.25">
      <c r="B443" s="151"/>
      <c r="C443" s="151"/>
      <c r="D443" s="151"/>
      <c r="E443" s="151"/>
      <c r="F443" s="151"/>
      <c r="G443" s="151"/>
      <c r="H443" s="151"/>
      <c r="I443" s="151"/>
      <c r="J443" s="151"/>
      <c r="K443" s="151"/>
      <c r="L443" s="6"/>
      <c r="M443" s="6"/>
      <c r="N443" s="8"/>
      <c r="O443" s="8"/>
    </row>
    <row r="444" spans="2:15" ht="15" customHeight="1" x14ac:dyDescent="0.25">
      <c r="B444" s="105" t="s">
        <v>273</v>
      </c>
      <c r="C444" s="569" t="s">
        <v>239</v>
      </c>
      <c r="D444" s="537"/>
      <c r="E444" s="537"/>
      <c r="F444" s="537"/>
      <c r="G444" s="538"/>
      <c r="H444" s="61" t="s">
        <v>141</v>
      </c>
      <c r="I444" s="569" t="s">
        <v>615</v>
      </c>
      <c r="J444" s="538"/>
      <c r="K444" s="61" t="s">
        <v>616</v>
      </c>
      <c r="L444" s="6"/>
      <c r="M444" s="6"/>
      <c r="N444" s="8"/>
      <c r="O444" s="8"/>
    </row>
    <row r="445" spans="2:15" ht="15" customHeight="1" x14ac:dyDescent="0.25">
      <c r="B445" s="26" t="s">
        <v>617</v>
      </c>
      <c r="C445" s="545" t="s">
        <v>619</v>
      </c>
      <c r="D445" s="537"/>
      <c r="E445" s="537"/>
      <c r="F445" s="537"/>
      <c r="G445" s="538"/>
      <c r="H445" s="26"/>
      <c r="I445" s="602">
        <f>'OK 2 - ADM LOCAL - RSD'!K476</f>
        <v>155871.15628225124</v>
      </c>
      <c r="J445" s="538"/>
      <c r="K445" s="31">
        <f>I445</f>
        <v>155871.15628225124</v>
      </c>
      <c r="L445" s="6"/>
      <c r="M445" s="150"/>
      <c r="N445" s="8"/>
      <c r="O445" s="8"/>
    </row>
    <row r="446" spans="2:15" ht="15" customHeight="1" x14ac:dyDescent="0.25">
      <c r="B446" s="26" t="s">
        <v>620</v>
      </c>
      <c r="C446" s="545" t="s">
        <v>102</v>
      </c>
      <c r="D446" s="537"/>
      <c r="E446" s="537"/>
      <c r="F446" s="537"/>
      <c r="G446" s="538"/>
      <c r="H446" s="133">
        <f>'9 - BDI'!D15</f>
        <v>0.27689893995634196</v>
      </c>
      <c r="I446" s="602">
        <f>K439</f>
        <v>845925.74702678283</v>
      </c>
      <c r="J446" s="538"/>
      <c r="K446" s="31">
        <f>I446*H446</f>
        <v>234235.94263349287</v>
      </c>
      <c r="L446" s="6"/>
      <c r="M446" s="6"/>
      <c r="N446" s="8"/>
      <c r="O446" s="8"/>
    </row>
    <row r="447" spans="2:15" ht="15" customHeight="1" x14ac:dyDescent="0.25">
      <c r="B447" s="690" t="s">
        <v>622</v>
      </c>
      <c r="C447" s="537"/>
      <c r="D447" s="537"/>
      <c r="E447" s="537"/>
      <c r="F447" s="537"/>
      <c r="G447" s="537"/>
      <c r="H447" s="537"/>
      <c r="I447" s="537"/>
      <c r="J447" s="538"/>
      <c r="K447" s="309">
        <f>SUM(K445:K446)</f>
        <v>390107.09891574411</v>
      </c>
      <c r="L447" s="6"/>
      <c r="M447" s="6"/>
      <c r="N447" s="8"/>
      <c r="O447" s="8"/>
    </row>
    <row r="448" spans="2:15" ht="15" customHeight="1" x14ac:dyDescent="0.25">
      <c r="B448" s="311"/>
      <c r="C448" s="311"/>
      <c r="D448" s="311"/>
      <c r="E448" s="311"/>
      <c r="F448" s="311"/>
      <c r="I448" s="1"/>
      <c r="J448" s="1"/>
      <c r="K448" s="211"/>
      <c r="L448" s="6"/>
      <c r="M448" s="6"/>
      <c r="N448" s="8"/>
      <c r="O448" s="8"/>
    </row>
    <row r="449" spans="1:15" ht="15" customHeight="1" x14ac:dyDescent="0.25">
      <c r="B449" s="311"/>
      <c r="C449" s="311"/>
      <c r="D449" s="311"/>
      <c r="E449" s="311"/>
      <c r="F449" s="311"/>
      <c r="I449" s="1"/>
      <c r="J449" s="1"/>
      <c r="K449" s="211"/>
      <c r="L449" s="6"/>
      <c r="M449" s="6"/>
      <c r="N449" s="8"/>
      <c r="O449" s="8"/>
    </row>
    <row r="450" spans="1:15" ht="15" customHeight="1" x14ac:dyDescent="0.25">
      <c r="B450" s="589" t="s">
        <v>625</v>
      </c>
      <c r="C450" s="537"/>
      <c r="D450" s="537"/>
      <c r="E450" s="537"/>
      <c r="F450" s="537"/>
      <c r="G450" s="537"/>
      <c r="H450" s="537"/>
      <c r="I450" s="537"/>
      <c r="J450" s="538"/>
      <c r="K450" s="283">
        <f>K439+K447</f>
        <v>1236032.8459425271</v>
      </c>
      <c r="L450" s="6"/>
      <c r="M450" s="6"/>
      <c r="N450" s="8"/>
      <c r="O450" s="8"/>
    </row>
    <row r="451" spans="1:15" ht="15.75" customHeight="1" x14ac:dyDescent="0.25">
      <c r="L451" s="6"/>
      <c r="M451" s="6"/>
      <c r="N451" s="8"/>
      <c r="O451" s="8"/>
    </row>
    <row r="452" spans="1:15" ht="15" customHeight="1" x14ac:dyDescent="0.25">
      <c r="B452" s="314"/>
      <c r="K452" s="316"/>
      <c r="L452" s="6"/>
      <c r="M452" s="6"/>
      <c r="N452" s="8"/>
      <c r="O452" s="8"/>
    </row>
    <row r="453" spans="1:15" ht="15" customHeight="1" x14ac:dyDescent="0.25">
      <c r="B453" s="314"/>
      <c r="K453" s="1"/>
      <c r="L453" s="6"/>
      <c r="M453" s="6"/>
      <c r="N453" s="8"/>
      <c r="O453" s="8"/>
    </row>
    <row r="454" spans="1:15" ht="36" customHeight="1" x14ac:dyDescent="0.25">
      <c r="B454" s="643"/>
      <c r="C454" s="625"/>
      <c r="D454" s="625"/>
      <c r="E454" s="625"/>
      <c r="F454" s="625"/>
      <c r="G454" s="625"/>
      <c r="H454" s="625"/>
      <c r="I454" s="625"/>
      <c r="J454" s="625"/>
      <c r="K454" s="317"/>
      <c r="L454" s="6"/>
      <c r="M454" s="6"/>
      <c r="N454" s="8"/>
      <c r="O454" s="8"/>
    </row>
    <row r="455" spans="1:15" ht="15.75" customHeight="1" x14ac:dyDescent="0.25">
      <c r="L455" s="6"/>
      <c r="M455" s="6"/>
      <c r="N455" s="8"/>
      <c r="O455" s="8"/>
    </row>
    <row r="456" spans="1:15" ht="36" customHeight="1" x14ac:dyDescent="0.25">
      <c r="A456" s="179"/>
      <c r="B456" s="643"/>
      <c r="C456" s="625"/>
      <c r="D456" s="625"/>
      <c r="E456" s="625"/>
      <c r="F456" s="625"/>
      <c r="G456" s="625"/>
      <c r="H456" s="625"/>
      <c r="I456" s="625"/>
      <c r="J456" s="625"/>
      <c r="K456" s="317"/>
      <c r="L456" s="6"/>
      <c r="M456" s="6"/>
      <c r="N456" s="8"/>
      <c r="O456" s="8"/>
    </row>
    <row r="457" spans="1:15" ht="15.75" customHeight="1" x14ac:dyDescent="0.25">
      <c r="L457" s="6"/>
      <c r="M457" s="6"/>
      <c r="N457" s="8"/>
      <c r="O457" s="8"/>
    </row>
    <row r="458" spans="1:15" ht="15.75" customHeight="1" x14ac:dyDescent="0.25">
      <c r="L458" s="6"/>
      <c r="M458" s="6"/>
      <c r="N458" s="8"/>
      <c r="O458" s="8"/>
    </row>
    <row r="459" spans="1:15" ht="15.75" customHeight="1" x14ac:dyDescent="0.25">
      <c r="L459" s="6"/>
      <c r="M459" s="6"/>
      <c r="N459" s="8"/>
      <c r="O459" s="8"/>
    </row>
    <row r="460" spans="1:15" ht="15.75" customHeight="1" x14ac:dyDescent="0.25">
      <c r="L460" s="6"/>
      <c r="M460" s="6"/>
      <c r="N460" s="8"/>
      <c r="O460" s="8"/>
    </row>
    <row r="461" spans="1:15" ht="15.75" customHeight="1" x14ac:dyDescent="0.25">
      <c r="L461" s="6"/>
      <c r="M461" s="6"/>
      <c r="N461" s="8"/>
      <c r="O461" s="8"/>
    </row>
    <row r="462" spans="1:15" ht="15.75" customHeight="1" x14ac:dyDescent="0.25">
      <c r="L462" s="6"/>
      <c r="M462" s="6"/>
      <c r="N462" s="8"/>
      <c r="O462" s="8"/>
    </row>
    <row r="463" spans="1:15" ht="15.75" customHeight="1" x14ac:dyDescent="0.25">
      <c r="L463" s="6"/>
      <c r="M463" s="6"/>
      <c r="N463" s="8"/>
      <c r="O463" s="8"/>
    </row>
    <row r="464" spans="1:15" ht="15.75" customHeight="1" x14ac:dyDescent="0.25">
      <c r="L464" s="6"/>
      <c r="M464" s="6"/>
      <c r="N464" s="8"/>
      <c r="O464" s="8"/>
    </row>
    <row r="465" spans="12:15" ht="15.75" customHeight="1" x14ac:dyDescent="0.25">
      <c r="L465" s="6"/>
      <c r="M465" s="6"/>
      <c r="N465" s="8"/>
      <c r="O465" s="8"/>
    </row>
    <row r="466" spans="12:15" ht="15.75" customHeight="1" x14ac:dyDescent="0.25">
      <c r="L466" s="6"/>
      <c r="M466" s="6"/>
      <c r="N466" s="8"/>
      <c r="O466" s="8"/>
    </row>
    <row r="467" spans="12:15" ht="15.75" customHeight="1" x14ac:dyDescent="0.25">
      <c r="L467" s="6"/>
      <c r="M467" s="6"/>
      <c r="N467" s="8"/>
      <c r="O467" s="8"/>
    </row>
    <row r="468" spans="12:15" ht="15.75" customHeight="1" x14ac:dyDescent="0.25">
      <c r="L468" s="6"/>
      <c r="M468" s="6"/>
      <c r="N468" s="8"/>
      <c r="O468" s="8"/>
    </row>
    <row r="469" spans="12:15" ht="15.75" customHeight="1" x14ac:dyDescent="0.25">
      <c r="L469" s="6"/>
      <c r="M469" s="6"/>
      <c r="N469" s="8"/>
      <c r="O469" s="8"/>
    </row>
    <row r="470" spans="12:15" ht="15.75" customHeight="1" x14ac:dyDescent="0.25">
      <c r="L470" s="6"/>
      <c r="M470" s="6"/>
      <c r="N470" s="8"/>
      <c r="O470" s="8"/>
    </row>
    <row r="471" spans="12:15" ht="15.75" customHeight="1" x14ac:dyDescent="0.25">
      <c r="L471" s="6"/>
      <c r="M471" s="6"/>
      <c r="N471" s="8"/>
      <c r="O471" s="8"/>
    </row>
    <row r="472" spans="12:15" ht="15.75" customHeight="1" x14ac:dyDescent="0.25">
      <c r="L472" s="6"/>
      <c r="M472" s="6"/>
      <c r="N472" s="8"/>
      <c r="O472" s="8"/>
    </row>
    <row r="473" spans="12:15" ht="15.75" customHeight="1" x14ac:dyDescent="0.25">
      <c r="L473" s="6"/>
      <c r="M473" s="6"/>
      <c r="N473" s="8"/>
      <c r="O473" s="8"/>
    </row>
    <row r="474" spans="12:15" ht="15.75" customHeight="1" x14ac:dyDescent="0.25">
      <c r="L474" s="6"/>
      <c r="M474" s="6"/>
      <c r="N474" s="8"/>
      <c r="O474" s="8"/>
    </row>
    <row r="475" spans="12:15" ht="15.75" customHeight="1" x14ac:dyDescent="0.25">
      <c r="L475" s="6"/>
      <c r="M475" s="6"/>
      <c r="N475" s="8"/>
      <c r="O475" s="8"/>
    </row>
    <row r="476" spans="12:15" ht="15.75" customHeight="1" x14ac:dyDescent="0.25">
      <c r="L476" s="6"/>
      <c r="M476" s="6"/>
      <c r="N476" s="8"/>
      <c r="O476" s="8"/>
    </row>
    <row r="477" spans="12:15" ht="15.75" customHeight="1" x14ac:dyDescent="0.25">
      <c r="L477" s="6"/>
      <c r="M477" s="6"/>
      <c r="N477" s="8"/>
      <c r="O477" s="8"/>
    </row>
    <row r="478" spans="12:15" ht="15.75" customHeight="1" x14ac:dyDescent="0.25">
      <c r="L478" s="6"/>
      <c r="M478" s="6"/>
      <c r="N478" s="8"/>
      <c r="O478" s="8"/>
    </row>
    <row r="479" spans="12:15" ht="15.75" customHeight="1" x14ac:dyDescent="0.25">
      <c r="L479" s="6"/>
      <c r="M479" s="6"/>
      <c r="N479" s="8"/>
      <c r="O479" s="8"/>
    </row>
    <row r="480" spans="12:15" ht="15.75" customHeight="1" x14ac:dyDescent="0.25">
      <c r="L480" s="6"/>
      <c r="M480" s="6"/>
      <c r="N480" s="8"/>
      <c r="O480" s="8"/>
    </row>
    <row r="481" spans="12:15" ht="15.75" customHeight="1" x14ac:dyDescent="0.25">
      <c r="L481" s="6"/>
      <c r="M481" s="6"/>
      <c r="N481" s="8"/>
      <c r="O481" s="8"/>
    </row>
    <row r="482" spans="12:15" ht="15.75" customHeight="1" x14ac:dyDescent="0.25">
      <c r="L482" s="6"/>
      <c r="M482" s="6"/>
      <c r="N482" s="8"/>
      <c r="O482" s="8"/>
    </row>
    <row r="483" spans="12:15" ht="15.75" customHeight="1" x14ac:dyDescent="0.25">
      <c r="L483" s="6"/>
      <c r="M483" s="6"/>
      <c r="N483" s="8"/>
      <c r="O483" s="8"/>
    </row>
    <row r="484" spans="12:15" ht="15.75" customHeight="1" x14ac:dyDescent="0.25">
      <c r="L484" s="6"/>
      <c r="M484" s="6"/>
      <c r="N484" s="8"/>
      <c r="O484" s="8"/>
    </row>
    <row r="485" spans="12:15" ht="15.75" customHeight="1" x14ac:dyDescent="0.25">
      <c r="L485" s="6"/>
      <c r="M485" s="6"/>
      <c r="N485" s="8"/>
      <c r="O485" s="8"/>
    </row>
    <row r="486" spans="12:15" ht="15.75" customHeight="1" x14ac:dyDescent="0.25">
      <c r="L486" s="6"/>
      <c r="M486" s="6"/>
      <c r="N486" s="8"/>
      <c r="O486" s="8"/>
    </row>
    <row r="487" spans="12:15" ht="15.75" customHeight="1" x14ac:dyDescent="0.25">
      <c r="L487" s="6"/>
      <c r="M487" s="6"/>
      <c r="N487" s="8"/>
      <c r="O487" s="8"/>
    </row>
    <row r="488" spans="12:15" ht="15.75" customHeight="1" x14ac:dyDescent="0.25">
      <c r="L488" s="6"/>
      <c r="M488" s="6"/>
      <c r="N488" s="8"/>
      <c r="O488" s="8"/>
    </row>
    <row r="489" spans="12:15" ht="15.75" customHeight="1" x14ac:dyDescent="0.25">
      <c r="L489" s="6"/>
      <c r="M489" s="6"/>
      <c r="N489" s="8"/>
      <c r="O489" s="8"/>
    </row>
    <row r="490" spans="12:15" ht="15.75" customHeight="1" x14ac:dyDescent="0.25">
      <c r="L490" s="6"/>
      <c r="M490" s="6"/>
      <c r="N490" s="8"/>
      <c r="O490" s="8"/>
    </row>
    <row r="491" spans="12:15" ht="15.75" customHeight="1" x14ac:dyDescent="0.25">
      <c r="L491" s="6"/>
      <c r="M491" s="6"/>
      <c r="N491" s="8"/>
      <c r="O491" s="8"/>
    </row>
    <row r="492" spans="12:15" ht="15.75" customHeight="1" x14ac:dyDescent="0.25">
      <c r="L492" s="6"/>
      <c r="M492" s="6"/>
      <c r="N492" s="8"/>
      <c r="O492" s="8"/>
    </row>
    <row r="493" spans="12:15" ht="15.75" customHeight="1" x14ac:dyDescent="0.25">
      <c r="L493" s="6"/>
      <c r="M493" s="6"/>
      <c r="N493" s="8"/>
      <c r="O493" s="8"/>
    </row>
    <row r="494" spans="12:15" ht="15.75" customHeight="1" x14ac:dyDescent="0.25">
      <c r="L494" s="6"/>
      <c r="M494" s="6"/>
      <c r="N494" s="8"/>
      <c r="O494" s="8"/>
    </row>
    <row r="495" spans="12:15" ht="15.75" customHeight="1" x14ac:dyDescent="0.25">
      <c r="L495" s="6"/>
      <c r="M495" s="6"/>
      <c r="N495" s="8"/>
      <c r="O495" s="8"/>
    </row>
    <row r="496" spans="12:15" ht="15.75" customHeight="1" x14ac:dyDescent="0.25">
      <c r="L496" s="6"/>
      <c r="M496" s="6"/>
      <c r="N496" s="8"/>
      <c r="O496" s="8"/>
    </row>
    <row r="497" spans="12:15" ht="15.75" customHeight="1" x14ac:dyDescent="0.25">
      <c r="L497" s="6"/>
      <c r="M497" s="6"/>
      <c r="N497" s="8"/>
      <c r="O497" s="8"/>
    </row>
    <row r="498" spans="12:15" ht="15.75" customHeight="1" x14ac:dyDescent="0.25">
      <c r="L498" s="6"/>
      <c r="M498" s="6"/>
      <c r="N498" s="8"/>
      <c r="O498" s="8"/>
    </row>
    <row r="499" spans="12:15" ht="15.75" customHeight="1" x14ac:dyDescent="0.25">
      <c r="L499" s="6"/>
      <c r="M499" s="6"/>
      <c r="N499" s="8"/>
      <c r="O499" s="8"/>
    </row>
    <row r="500" spans="12:15" ht="15.75" customHeight="1" x14ac:dyDescent="0.25">
      <c r="L500" s="6"/>
      <c r="M500" s="6"/>
      <c r="N500" s="8"/>
      <c r="O500" s="8"/>
    </row>
    <row r="501" spans="12:15" ht="15.75" customHeight="1" x14ac:dyDescent="0.25">
      <c r="L501" s="6"/>
      <c r="M501" s="6"/>
      <c r="N501" s="8"/>
      <c r="O501" s="8"/>
    </row>
    <row r="502" spans="12:15" ht="15.75" customHeight="1" x14ac:dyDescent="0.25">
      <c r="L502" s="6"/>
      <c r="M502" s="6"/>
      <c r="N502" s="8"/>
      <c r="O502" s="8"/>
    </row>
    <row r="503" spans="12:15" ht="15.75" customHeight="1" x14ac:dyDescent="0.25">
      <c r="L503" s="6"/>
      <c r="M503" s="6"/>
      <c r="N503" s="8"/>
      <c r="O503" s="8"/>
    </row>
    <row r="504" spans="12:15" ht="15.75" customHeight="1" x14ac:dyDescent="0.25">
      <c r="L504" s="6"/>
      <c r="M504" s="6"/>
      <c r="N504" s="8"/>
      <c r="O504" s="8"/>
    </row>
    <row r="505" spans="12:15" ht="15.75" customHeight="1" x14ac:dyDescent="0.25">
      <c r="L505" s="6"/>
      <c r="M505" s="6"/>
      <c r="N505" s="8"/>
      <c r="O505" s="8"/>
    </row>
    <row r="506" spans="12:15" ht="15.75" customHeight="1" x14ac:dyDescent="0.25">
      <c r="L506" s="6"/>
      <c r="M506" s="6"/>
      <c r="N506" s="8"/>
      <c r="O506" s="8"/>
    </row>
    <row r="507" spans="12:15" ht="15.75" customHeight="1" x14ac:dyDescent="0.25">
      <c r="L507" s="6"/>
      <c r="M507" s="6"/>
      <c r="N507" s="8"/>
      <c r="O507" s="8"/>
    </row>
    <row r="508" spans="12:15" ht="15.75" customHeight="1" x14ac:dyDescent="0.25">
      <c r="L508" s="6"/>
      <c r="M508" s="6"/>
      <c r="N508" s="8"/>
      <c r="O508" s="8"/>
    </row>
    <row r="509" spans="12:15" ht="15.75" customHeight="1" x14ac:dyDescent="0.25">
      <c r="L509" s="6"/>
      <c r="M509" s="6"/>
      <c r="N509" s="8"/>
      <c r="O509" s="8"/>
    </row>
    <row r="510" spans="12:15" ht="15.75" customHeight="1" x14ac:dyDescent="0.25">
      <c r="L510" s="6"/>
      <c r="M510" s="6"/>
      <c r="N510" s="8"/>
      <c r="O510" s="8"/>
    </row>
    <row r="511" spans="12:15" ht="15.75" customHeight="1" x14ac:dyDescent="0.25">
      <c r="L511" s="6"/>
      <c r="M511" s="6"/>
      <c r="N511" s="8"/>
      <c r="O511" s="8"/>
    </row>
    <row r="512" spans="12:15" ht="15.75" customHeight="1" x14ac:dyDescent="0.25">
      <c r="L512" s="6"/>
      <c r="M512" s="6"/>
      <c r="N512" s="8"/>
      <c r="O512" s="8"/>
    </row>
    <row r="513" spans="12:15" ht="15.75" customHeight="1" x14ac:dyDescent="0.25">
      <c r="L513" s="6"/>
      <c r="M513" s="6"/>
      <c r="N513" s="8"/>
      <c r="O513" s="8"/>
    </row>
    <row r="514" spans="12:15" ht="15.75" customHeight="1" x14ac:dyDescent="0.25">
      <c r="L514" s="6"/>
      <c r="M514" s="6"/>
      <c r="N514" s="8"/>
      <c r="O514" s="8"/>
    </row>
    <row r="515" spans="12:15" ht="15.75" customHeight="1" x14ac:dyDescent="0.25">
      <c r="L515" s="6"/>
      <c r="M515" s="6"/>
      <c r="N515" s="8"/>
      <c r="O515" s="8"/>
    </row>
    <row r="516" spans="12:15" ht="15.75" customHeight="1" x14ac:dyDescent="0.25">
      <c r="L516" s="6"/>
      <c r="M516" s="6"/>
      <c r="N516" s="8"/>
      <c r="O516" s="8"/>
    </row>
    <row r="517" spans="12:15" ht="15.75" customHeight="1" x14ac:dyDescent="0.25">
      <c r="L517" s="6"/>
      <c r="M517" s="6"/>
      <c r="N517" s="8"/>
      <c r="O517" s="8"/>
    </row>
    <row r="518" spans="12:15" ht="15.75" customHeight="1" x14ac:dyDescent="0.25">
      <c r="L518" s="6"/>
      <c r="M518" s="6"/>
      <c r="N518" s="8"/>
      <c r="O518" s="8"/>
    </row>
    <row r="519" spans="12:15" ht="15.75" customHeight="1" x14ac:dyDescent="0.25">
      <c r="L519" s="6"/>
      <c r="M519" s="6"/>
      <c r="N519" s="8"/>
      <c r="O519" s="8"/>
    </row>
    <row r="520" spans="12:15" ht="15.75" customHeight="1" x14ac:dyDescent="0.25">
      <c r="L520" s="6"/>
      <c r="M520" s="6"/>
      <c r="N520" s="8"/>
      <c r="O520" s="8"/>
    </row>
    <row r="521" spans="12:15" ht="15.75" customHeight="1" x14ac:dyDescent="0.25">
      <c r="L521" s="6"/>
      <c r="M521" s="6"/>
      <c r="N521" s="8"/>
      <c r="O521" s="8"/>
    </row>
    <row r="522" spans="12:15" ht="15.75" customHeight="1" x14ac:dyDescent="0.25">
      <c r="L522" s="6"/>
      <c r="M522" s="6"/>
      <c r="N522" s="8"/>
      <c r="O522" s="8"/>
    </row>
    <row r="523" spans="12:15" ht="15.75" customHeight="1" x14ac:dyDescent="0.25">
      <c r="L523" s="6"/>
      <c r="M523" s="6"/>
      <c r="N523" s="8"/>
      <c r="O523" s="8"/>
    </row>
    <row r="524" spans="12:15" ht="15.75" customHeight="1" x14ac:dyDescent="0.25">
      <c r="L524" s="6"/>
      <c r="M524" s="6"/>
      <c r="N524" s="8"/>
      <c r="O524" s="8"/>
    </row>
    <row r="525" spans="12:15" ht="15.75" customHeight="1" x14ac:dyDescent="0.25">
      <c r="L525" s="6"/>
      <c r="M525" s="6"/>
      <c r="N525" s="8"/>
      <c r="O525" s="8"/>
    </row>
    <row r="526" spans="12:15" ht="15.75" customHeight="1" x14ac:dyDescent="0.25">
      <c r="L526" s="6"/>
      <c r="M526" s="6"/>
      <c r="N526" s="8"/>
      <c r="O526" s="8"/>
    </row>
    <row r="527" spans="12:15" ht="15.75" customHeight="1" x14ac:dyDescent="0.25">
      <c r="L527" s="6"/>
      <c r="M527" s="6"/>
      <c r="N527" s="8"/>
      <c r="O527" s="8"/>
    </row>
    <row r="528" spans="12:15" ht="15.75" customHeight="1" x14ac:dyDescent="0.25">
      <c r="L528" s="6"/>
      <c r="M528" s="6"/>
      <c r="N528" s="8"/>
      <c r="O528" s="8"/>
    </row>
    <row r="529" spans="12:15" ht="15.75" customHeight="1" x14ac:dyDescent="0.25">
      <c r="L529" s="6"/>
      <c r="M529" s="6"/>
      <c r="N529" s="8"/>
      <c r="O529" s="8"/>
    </row>
    <row r="530" spans="12:15" ht="15.75" customHeight="1" x14ac:dyDescent="0.25">
      <c r="L530" s="6"/>
      <c r="M530" s="6"/>
      <c r="N530" s="8"/>
      <c r="O530" s="8"/>
    </row>
    <row r="531" spans="12:15" ht="15.75" customHeight="1" x14ac:dyDescent="0.25">
      <c r="L531" s="6"/>
      <c r="M531" s="6"/>
      <c r="N531" s="8"/>
      <c r="O531" s="8"/>
    </row>
    <row r="532" spans="12:15" ht="15.75" customHeight="1" x14ac:dyDescent="0.25">
      <c r="L532" s="6"/>
      <c r="M532" s="6"/>
      <c r="N532" s="8"/>
      <c r="O532" s="8"/>
    </row>
    <row r="533" spans="12:15" ht="15.75" customHeight="1" x14ac:dyDescent="0.25">
      <c r="L533" s="6"/>
      <c r="M533" s="6"/>
      <c r="N533" s="8"/>
      <c r="O533" s="8"/>
    </row>
    <row r="534" spans="12:15" ht="15.75" customHeight="1" x14ac:dyDescent="0.25">
      <c r="L534" s="6"/>
      <c r="M534" s="6"/>
      <c r="N534" s="8"/>
      <c r="O534" s="8"/>
    </row>
    <row r="535" spans="12:15" ht="15.75" customHeight="1" x14ac:dyDescent="0.25">
      <c r="L535" s="6"/>
      <c r="M535" s="6"/>
      <c r="N535" s="8"/>
      <c r="O535" s="8"/>
    </row>
    <row r="536" spans="12:15" ht="15.75" customHeight="1" x14ac:dyDescent="0.25">
      <c r="L536" s="6"/>
      <c r="M536" s="6"/>
      <c r="N536" s="8"/>
      <c r="O536" s="8"/>
    </row>
    <row r="537" spans="12:15" ht="15.75" customHeight="1" x14ac:dyDescent="0.25">
      <c r="L537" s="6"/>
      <c r="M537" s="6"/>
      <c r="N537" s="8"/>
      <c r="O537" s="8"/>
    </row>
    <row r="538" spans="12:15" ht="15.75" customHeight="1" x14ac:dyDescent="0.25">
      <c r="L538" s="6"/>
      <c r="M538" s="6"/>
      <c r="N538" s="8"/>
      <c r="O538" s="8"/>
    </row>
    <row r="539" spans="12:15" ht="15.75" customHeight="1" x14ac:dyDescent="0.25">
      <c r="L539" s="6"/>
      <c r="M539" s="6"/>
      <c r="N539" s="8"/>
      <c r="O539" s="8"/>
    </row>
    <row r="540" spans="12:15" ht="15.75" customHeight="1" x14ac:dyDescent="0.25">
      <c r="L540" s="6"/>
      <c r="M540" s="6"/>
      <c r="N540" s="8"/>
      <c r="O540" s="8"/>
    </row>
    <row r="541" spans="12:15" ht="15.75" customHeight="1" x14ac:dyDescent="0.25">
      <c r="L541" s="6"/>
      <c r="M541" s="6"/>
      <c r="N541" s="8"/>
      <c r="O541" s="8"/>
    </row>
    <row r="542" spans="12:15" ht="15.75" customHeight="1" x14ac:dyDescent="0.25">
      <c r="L542" s="6"/>
      <c r="M542" s="6"/>
      <c r="N542" s="8"/>
      <c r="O542" s="8"/>
    </row>
    <row r="543" spans="12:15" ht="15.75" customHeight="1" x14ac:dyDescent="0.25">
      <c r="L543" s="6"/>
      <c r="M543" s="6"/>
      <c r="N543" s="8"/>
      <c r="O543" s="8"/>
    </row>
    <row r="544" spans="12:15" ht="15.75" customHeight="1" x14ac:dyDescent="0.25">
      <c r="L544" s="6"/>
      <c r="M544" s="6"/>
      <c r="N544" s="8"/>
      <c r="O544" s="8"/>
    </row>
    <row r="545" spans="12:15" ht="15.75" customHeight="1" x14ac:dyDescent="0.25">
      <c r="L545" s="6"/>
      <c r="M545" s="6"/>
      <c r="N545" s="8"/>
      <c r="O545" s="8"/>
    </row>
    <row r="546" spans="12:15" ht="15.75" customHeight="1" x14ac:dyDescent="0.25">
      <c r="L546" s="6"/>
      <c r="M546" s="6"/>
      <c r="N546" s="8"/>
      <c r="O546" s="8"/>
    </row>
    <row r="547" spans="12:15" ht="15.75" customHeight="1" x14ac:dyDescent="0.25">
      <c r="L547" s="6"/>
      <c r="M547" s="6"/>
      <c r="N547" s="8"/>
      <c r="O547" s="8"/>
    </row>
    <row r="548" spans="12:15" ht="15.75" customHeight="1" x14ac:dyDescent="0.25">
      <c r="L548" s="6"/>
      <c r="M548" s="6"/>
      <c r="N548" s="8"/>
      <c r="O548" s="8"/>
    </row>
    <row r="549" spans="12:15" ht="15.75" customHeight="1" x14ac:dyDescent="0.25">
      <c r="L549" s="6"/>
      <c r="M549" s="6"/>
      <c r="N549" s="8"/>
      <c r="O549" s="8"/>
    </row>
    <row r="550" spans="12:15" ht="15.75" customHeight="1" x14ac:dyDescent="0.25">
      <c r="L550" s="6"/>
      <c r="M550" s="6"/>
      <c r="N550" s="8"/>
      <c r="O550" s="8"/>
    </row>
    <row r="551" spans="12:15" ht="15.75" customHeight="1" x14ac:dyDescent="0.25">
      <c r="L551" s="6"/>
      <c r="M551" s="6"/>
      <c r="N551" s="8"/>
      <c r="O551" s="8"/>
    </row>
    <row r="552" spans="12:15" ht="15.75" customHeight="1" x14ac:dyDescent="0.25">
      <c r="L552" s="6"/>
      <c r="M552" s="6"/>
      <c r="N552" s="8"/>
      <c r="O552" s="8"/>
    </row>
    <row r="553" spans="12:15" ht="15.75" customHeight="1" x14ac:dyDescent="0.25">
      <c r="L553" s="6"/>
      <c r="M553" s="6"/>
      <c r="N553" s="8"/>
      <c r="O553" s="8"/>
    </row>
    <row r="554" spans="12:15" ht="15.75" customHeight="1" x14ac:dyDescent="0.25">
      <c r="L554" s="6"/>
      <c r="M554" s="6"/>
      <c r="N554" s="8"/>
      <c r="O554" s="8"/>
    </row>
    <row r="555" spans="12:15" ht="15.75" customHeight="1" x14ac:dyDescent="0.25">
      <c r="L555" s="6"/>
      <c r="M555" s="6"/>
      <c r="N555" s="8"/>
      <c r="O555" s="8"/>
    </row>
    <row r="556" spans="12:15" ht="15.75" customHeight="1" x14ac:dyDescent="0.25">
      <c r="L556" s="6"/>
      <c r="M556" s="6"/>
      <c r="N556" s="8"/>
      <c r="O556" s="8"/>
    </row>
    <row r="557" spans="12:15" ht="15.75" customHeight="1" x14ac:dyDescent="0.25">
      <c r="L557" s="6"/>
      <c r="M557" s="6"/>
      <c r="N557" s="8"/>
      <c r="O557" s="8"/>
    </row>
    <row r="558" spans="12:15" ht="15.75" customHeight="1" x14ac:dyDescent="0.25">
      <c r="L558" s="6"/>
      <c r="M558" s="6"/>
      <c r="N558" s="8"/>
      <c r="O558" s="8"/>
    </row>
    <row r="559" spans="12:15" ht="15.75" customHeight="1" x14ac:dyDescent="0.25">
      <c r="L559" s="6"/>
      <c r="M559" s="6"/>
      <c r="N559" s="8"/>
      <c r="O559" s="8"/>
    </row>
    <row r="560" spans="12:15" ht="15.75" customHeight="1" x14ac:dyDescent="0.25">
      <c r="L560" s="6"/>
      <c r="M560" s="6"/>
      <c r="N560" s="8"/>
      <c r="O560" s="8"/>
    </row>
    <row r="561" spans="12:15" ht="15.75" customHeight="1" x14ac:dyDescent="0.25">
      <c r="L561" s="6"/>
      <c r="M561" s="6"/>
      <c r="N561" s="8"/>
      <c r="O561" s="8"/>
    </row>
    <row r="562" spans="12:15" ht="15.75" customHeight="1" x14ac:dyDescent="0.25">
      <c r="L562" s="6"/>
      <c r="M562" s="6"/>
      <c r="N562" s="8"/>
      <c r="O562" s="8"/>
    </row>
    <row r="563" spans="12:15" ht="15.75" customHeight="1" x14ac:dyDescent="0.25">
      <c r="L563" s="6"/>
      <c r="M563" s="6"/>
      <c r="N563" s="8"/>
      <c r="O563" s="8"/>
    </row>
    <row r="564" spans="12:15" ht="15.75" customHeight="1" x14ac:dyDescent="0.25">
      <c r="L564" s="6"/>
      <c r="M564" s="6"/>
      <c r="N564" s="8"/>
      <c r="O564" s="8"/>
    </row>
    <row r="565" spans="12:15" ht="15.75" customHeight="1" x14ac:dyDescent="0.25">
      <c r="L565" s="6"/>
      <c r="M565" s="6"/>
      <c r="N565" s="8"/>
      <c r="O565" s="8"/>
    </row>
    <row r="566" spans="12:15" ht="15.75" customHeight="1" x14ac:dyDescent="0.25">
      <c r="L566" s="6"/>
      <c r="M566" s="6"/>
      <c r="N566" s="8"/>
      <c r="O566" s="8"/>
    </row>
    <row r="567" spans="12:15" ht="15.75" customHeight="1" x14ac:dyDescent="0.25">
      <c r="L567" s="6"/>
      <c r="M567" s="6"/>
      <c r="N567" s="8"/>
      <c r="O567" s="8"/>
    </row>
    <row r="568" spans="12:15" ht="15.75" customHeight="1" x14ac:dyDescent="0.25">
      <c r="L568" s="6"/>
      <c r="M568" s="6"/>
      <c r="N568" s="8"/>
      <c r="O568" s="8"/>
    </row>
    <row r="569" spans="12:15" ht="15.75" customHeight="1" x14ac:dyDescent="0.25">
      <c r="L569" s="6"/>
      <c r="M569" s="6"/>
      <c r="N569" s="8"/>
      <c r="O569" s="8"/>
    </row>
    <row r="570" spans="12:15" ht="15.75" customHeight="1" x14ac:dyDescent="0.25">
      <c r="L570" s="6"/>
      <c r="M570" s="6"/>
      <c r="N570" s="8"/>
      <c r="O570" s="8"/>
    </row>
    <row r="571" spans="12:15" ht="15.75" customHeight="1" x14ac:dyDescent="0.25">
      <c r="L571" s="6"/>
      <c r="M571" s="6"/>
      <c r="N571" s="8"/>
      <c r="O571" s="8"/>
    </row>
    <row r="572" spans="12:15" ht="15.75" customHeight="1" x14ac:dyDescent="0.25">
      <c r="L572" s="6"/>
      <c r="M572" s="6"/>
      <c r="N572" s="8"/>
      <c r="O572" s="8"/>
    </row>
    <row r="573" spans="12:15" ht="15.75" customHeight="1" x14ac:dyDescent="0.25">
      <c r="L573" s="6"/>
      <c r="M573" s="6"/>
      <c r="N573" s="8"/>
      <c r="O573" s="8"/>
    </row>
    <row r="574" spans="12:15" ht="15.75" customHeight="1" x14ac:dyDescent="0.25">
      <c r="L574" s="6"/>
      <c r="M574" s="6"/>
      <c r="N574" s="8"/>
      <c r="O574" s="8"/>
    </row>
    <row r="575" spans="12:15" ht="15.75" customHeight="1" x14ac:dyDescent="0.25">
      <c r="L575" s="6"/>
      <c r="M575" s="6"/>
      <c r="N575" s="8"/>
      <c r="O575" s="8"/>
    </row>
    <row r="576" spans="12:15" ht="15.75" customHeight="1" x14ac:dyDescent="0.25">
      <c r="L576" s="6"/>
      <c r="M576" s="6"/>
      <c r="N576" s="8"/>
      <c r="O576" s="8"/>
    </row>
    <row r="577" spans="12:15" ht="15.75" customHeight="1" x14ac:dyDescent="0.25">
      <c r="L577" s="6"/>
      <c r="M577" s="6"/>
      <c r="N577" s="8"/>
      <c r="O577" s="8"/>
    </row>
    <row r="578" spans="12:15" ht="15.75" customHeight="1" x14ac:dyDescent="0.25">
      <c r="L578" s="6"/>
      <c r="M578" s="6"/>
      <c r="N578" s="8"/>
      <c r="O578" s="8"/>
    </row>
    <row r="579" spans="12:15" ht="15.75" customHeight="1" x14ac:dyDescent="0.25">
      <c r="L579" s="6"/>
      <c r="M579" s="6"/>
      <c r="N579" s="8"/>
      <c r="O579" s="8"/>
    </row>
    <row r="580" spans="12:15" ht="15.75" customHeight="1" x14ac:dyDescent="0.25">
      <c r="L580" s="6"/>
      <c r="M580" s="6"/>
      <c r="N580" s="8"/>
      <c r="O580" s="8"/>
    </row>
    <row r="581" spans="12:15" ht="15.75" customHeight="1" x14ac:dyDescent="0.25">
      <c r="L581" s="6"/>
      <c r="M581" s="6"/>
      <c r="N581" s="8"/>
      <c r="O581" s="8"/>
    </row>
    <row r="582" spans="12:15" ht="15.75" customHeight="1" x14ac:dyDescent="0.25">
      <c r="L582" s="6"/>
      <c r="M582" s="6"/>
      <c r="N582" s="8"/>
      <c r="O582" s="8"/>
    </row>
    <row r="583" spans="12:15" ht="15.75" customHeight="1" x14ac:dyDescent="0.25">
      <c r="L583" s="6"/>
      <c r="M583" s="6"/>
      <c r="N583" s="8"/>
      <c r="O583" s="8"/>
    </row>
    <row r="584" spans="12:15" ht="15.75" customHeight="1" x14ac:dyDescent="0.25">
      <c r="L584" s="6"/>
      <c r="M584" s="6"/>
      <c r="N584" s="8"/>
      <c r="O584" s="8"/>
    </row>
    <row r="585" spans="12:15" ht="15.75" customHeight="1" x14ac:dyDescent="0.25">
      <c r="L585" s="6"/>
      <c r="M585" s="6"/>
      <c r="N585" s="8"/>
      <c r="O585" s="8"/>
    </row>
    <row r="586" spans="12:15" ht="15.75" customHeight="1" x14ac:dyDescent="0.25">
      <c r="L586" s="6"/>
      <c r="M586" s="6"/>
      <c r="N586" s="8"/>
      <c r="O586" s="8"/>
    </row>
    <row r="587" spans="12:15" ht="15.75" customHeight="1" x14ac:dyDescent="0.25">
      <c r="L587" s="6"/>
      <c r="M587" s="6"/>
      <c r="N587" s="8"/>
      <c r="O587" s="8"/>
    </row>
    <row r="588" spans="12:15" ht="15.75" customHeight="1" x14ac:dyDescent="0.25">
      <c r="L588" s="6"/>
      <c r="M588" s="6"/>
      <c r="N588" s="8"/>
      <c r="O588" s="8"/>
    </row>
    <row r="589" spans="12:15" ht="15.75" customHeight="1" x14ac:dyDescent="0.25">
      <c r="L589" s="6"/>
      <c r="M589" s="6"/>
      <c r="N589" s="8"/>
      <c r="O589" s="8"/>
    </row>
    <row r="590" spans="12:15" ht="15.75" customHeight="1" x14ac:dyDescent="0.25">
      <c r="L590" s="6"/>
      <c r="M590" s="6"/>
      <c r="N590" s="8"/>
      <c r="O590" s="8"/>
    </row>
    <row r="591" spans="12:15" ht="15.75" customHeight="1" x14ac:dyDescent="0.25">
      <c r="L591" s="6"/>
      <c r="M591" s="6"/>
      <c r="N591" s="8"/>
      <c r="O591" s="8"/>
    </row>
    <row r="592" spans="12:15" ht="15.75" customHeight="1" x14ac:dyDescent="0.25">
      <c r="L592" s="6"/>
      <c r="M592" s="6"/>
      <c r="N592" s="8"/>
      <c r="O592" s="8"/>
    </row>
    <row r="593" spans="12:15" ht="15.75" customHeight="1" x14ac:dyDescent="0.25">
      <c r="L593" s="6"/>
      <c r="M593" s="6"/>
      <c r="N593" s="8"/>
      <c r="O593" s="8"/>
    </row>
    <row r="594" spans="12:15" ht="15.75" customHeight="1" x14ac:dyDescent="0.25">
      <c r="L594" s="6"/>
      <c r="M594" s="6"/>
      <c r="N594" s="8"/>
      <c r="O594" s="8"/>
    </row>
    <row r="595" spans="12:15" ht="15.75" customHeight="1" x14ac:dyDescent="0.25">
      <c r="L595" s="6"/>
      <c r="M595" s="6"/>
      <c r="N595" s="8"/>
      <c r="O595" s="8"/>
    </row>
    <row r="596" spans="12:15" ht="15.75" customHeight="1" x14ac:dyDescent="0.25">
      <c r="L596" s="6"/>
      <c r="M596" s="6"/>
      <c r="N596" s="8"/>
      <c r="O596" s="8"/>
    </row>
    <row r="597" spans="12:15" ht="15.75" customHeight="1" x14ac:dyDescent="0.25">
      <c r="L597" s="6"/>
      <c r="M597" s="6"/>
      <c r="N597" s="8"/>
      <c r="O597" s="8"/>
    </row>
    <row r="598" spans="12:15" ht="15.75" customHeight="1" x14ac:dyDescent="0.25">
      <c r="L598" s="6"/>
      <c r="M598" s="6"/>
      <c r="N598" s="8"/>
      <c r="O598" s="8"/>
    </row>
    <row r="599" spans="12:15" ht="15.75" customHeight="1" x14ac:dyDescent="0.25">
      <c r="L599" s="6"/>
      <c r="M599" s="6"/>
      <c r="N599" s="8"/>
      <c r="O599" s="8"/>
    </row>
    <row r="600" spans="12:15" ht="15.75" customHeight="1" x14ac:dyDescent="0.25">
      <c r="L600" s="6"/>
      <c r="M600" s="6"/>
      <c r="N600" s="8"/>
      <c r="O600" s="8"/>
    </row>
    <row r="601" spans="12:15" ht="15.75" customHeight="1" x14ac:dyDescent="0.25">
      <c r="L601" s="6"/>
      <c r="M601" s="6"/>
      <c r="N601" s="8"/>
      <c r="O601" s="8"/>
    </row>
    <row r="602" spans="12:15" ht="15.75" customHeight="1" x14ac:dyDescent="0.25">
      <c r="L602" s="6"/>
      <c r="M602" s="6"/>
      <c r="N602" s="8"/>
      <c r="O602" s="8"/>
    </row>
    <row r="603" spans="12:15" ht="15.75" customHeight="1" x14ac:dyDescent="0.25">
      <c r="L603" s="6"/>
      <c r="M603" s="6"/>
      <c r="N603" s="8"/>
      <c r="O603" s="8"/>
    </row>
    <row r="604" spans="12:15" ht="15.75" customHeight="1" x14ac:dyDescent="0.25">
      <c r="L604" s="6"/>
      <c r="M604" s="6"/>
      <c r="N604" s="8"/>
      <c r="O604" s="8"/>
    </row>
    <row r="605" spans="12:15" ht="15.75" customHeight="1" x14ac:dyDescent="0.25">
      <c r="L605" s="6"/>
      <c r="M605" s="6"/>
      <c r="N605" s="8"/>
      <c r="O605" s="8"/>
    </row>
    <row r="606" spans="12:15" ht="15.75" customHeight="1" x14ac:dyDescent="0.25">
      <c r="L606" s="6"/>
      <c r="M606" s="6"/>
      <c r="N606" s="8"/>
      <c r="O606" s="8"/>
    </row>
    <row r="607" spans="12:15" ht="15.75" customHeight="1" x14ac:dyDescent="0.25">
      <c r="L607" s="6"/>
      <c r="M607" s="6"/>
      <c r="N607" s="8"/>
      <c r="O607" s="8"/>
    </row>
    <row r="608" spans="12:15" ht="15.75" customHeight="1" x14ac:dyDescent="0.25">
      <c r="L608" s="6"/>
      <c r="M608" s="6"/>
      <c r="N608" s="8"/>
      <c r="O608" s="8"/>
    </row>
    <row r="609" spans="12:15" ht="15.75" customHeight="1" x14ac:dyDescent="0.25">
      <c r="L609" s="6"/>
      <c r="M609" s="6"/>
      <c r="N609" s="8"/>
      <c r="O609" s="8"/>
    </row>
    <row r="610" spans="12:15" ht="15.75" customHeight="1" x14ac:dyDescent="0.25">
      <c r="L610" s="6"/>
      <c r="M610" s="6"/>
      <c r="N610" s="8"/>
      <c r="O610" s="8"/>
    </row>
    <row r="611" spans="12:15" ht="15.75" customHeight="1" x14ac:dyDescent="0.25">
      <c r="L611" s="6"/>
      <c r="M611" s="6"/>
      <c r="N611" s="8"/>
      <c r="O611" s="8"/>
    </row>
    <row r="612" spans="12:15" ht="15.75" customHeight="1" x14ac:dyDescent="0.25">
      <c r="L612" s="6"/>
      <c r="M612" s="6"/>
      <c r="N612" s="8"/>
      <c r="O612" s="8"/>
    </row>
    <row r="613" spans="12:15" ht="15.75" customHeight="1" x14ac:dyDescent="0.25">
      <c r="L613" s="6"/>
      <c r="M613" s="6"/>
      <c r="N613" s="8"/>
      <c r="O613" s="8"/>
    </row>
    <row r="614" spans="12:15" ht="15.75" customHeight="1" x14ac:dyDescent="0.25">
      <c r="L614" s="6"/>
      <c r="M614" s="6"/>
      <c r="N614" s="8"/>
      <c r="O614" s="8"/>
    </row>
    <row r="615" spans="12:15" ht="15.75" customHeight="1" x14ac:dyDescent="0.25">
      <c r="L615" s="6"/>
      <c r="M615" s="6"/>
      <c r="N615" s="8"/>
      <c r="O615" s="8"/>
    </row>
    <row r="616" spans="12:15" ht="15.75" customHeight="1" x14ac:dyDescent="0.25">
      <c r="L616" s="6"/>
      <c r="M616" s="6"/>
      <c r="N616" s="8"/>
      <c r="O616" s="8"/>
    </row>
    <row r="617" spans="12:15" ht="15.75" customHeight="1" x14ac:dyDescent="0.25">
      <c r="L617" s="6"/>
      <c r="M617" s="6"/>
      <c r="N617" s="8"/>
      <c r="O617" s="8"/>
    </row>
    <row r="618" spans="12:15" ht="15.75" customHeight="1" x14ac:dyDescent="0.25">
      <c r="L618" s="6"/>
      <c r="M618" s="6"/>
      <c r="N618" s="8"/>
      <c r="O618" s="8"/>
    </row>
    <row r="619" spans="12:15" ht="15.75" customHeight="1" x14ac:dyDescent="0.25">
      <c r="L619" s="6"/>
      <c r="M619" s="6"/>
      <c r="N619" s="8"/>
      <c r="O619" s="8"/>
    </row>
    <row r="620" spans="12:15" ht="15.75" customHeight="1" x14ac:dyDescent="0.25">
      <c r="L620" s="6"/>
      <c r="M620" s="6"/>
      <c r="N620" s="8"/>
      <c r="O620" s="8"/>
    </row>
    <row r="621" spans="12:15" ht="15.75" customHeight="1" x14ac:dyDescent="0.25">
      <c r="L621" s="6"/>
      <c r="M621" s="6"/>
      <c r="N621" s="8"/>
      <c r="O621" s="8"/>
    </row>
    <row r="622" spans="12:15" ht="15.75" customHeight="1" x14ac:dyDescent="0.25">
      <c r="L622" s="6"/>
      <c r="M622" s="6"/>
      <c r="N622" s="8"/>
      <c r="O622" s="8"/>
    </row>
    <row r="623" spans="12:15" ht="15.75" customHeight="1" x14ac:dyDescent="0.25">
      <c r="L623" s="6"/>
      <c r="M623" s="6"/>
      <c r="N623" s="8"/>
      <c r="O623" s="8"/>
    </row>
    <row r="624" spans="12:15" ht="15.75" customHeight="1" x14ac:dyDescent="0.25">
      <c r="L624" s="6"/>
      <c r="M624" s="6"/>
      <c r="N624" s="8"/>
      <c r="O624" s="8"/>
    </row>
    <row r="625" spans="12:15" ht="15.75" customHeight="1" x14ac:dyDescent="0.25">
      <c r="L625" s="6"/>
      <c r="M625" s="6"/>
      <c r="N625" s="8"/>
      <c r="O625" s="8"/>
    </row>
    <row r="626" spans="12:15" ht="15.75" customHeight="1" x14ac:dyDescent="0.25">
      <c r="L626" s="6"/>
      <c r="M626" s="6"/>
      <c r="N626" s="8"/>
      <c r="O626" s="8"/>
    </row>
    <row r="627" spans="12:15" ht="15.75" customHeight="1" x14ac:dyDescent="0.25">
      <c r="L627" s="6"/>
      <c r="M627" s="6"/>
      <c r="N627" s="8"/>
      <c r="O627" s="8"/>
    </row>
    <row r="628" spans="12:15" ht="15.75" customHeight="1" x14ac:dyDescent="0.25">
      <c r="L628" s="6"/>
      <c r="M628" s="6"/>
      <c r="N628" s="8"/>
      <c r="O628" s="8"/>
    </row>
    <row r="629" spans="12:15" ht="15.75" customHeight="1" x14ac:dyDescent="0.25">
      <c r="L629" s="6"/>
      <c r="M629" s="6"/>
      <c r="N629" s="8"/>
      <c r="O629" s="8"/>
    </row>
    <row r="630" spans="12:15" ht="15.75" customHeight="1" x14ac:dyDescent="0.25">
      <c r="L630" s="6"/>
      <c r="M630" s="6"/>
      <c r="N630" s="8"/>
      <c r="O630" s="8"/>
    </row>
    <row r="631" spans="12:15" ht="15.75" customHeight="1" x14ac:dyDescent="0.25">
      <c r="L631" s="6"/>
      <c r="M631" s="6"/>
      <c r="N631" s="8"/>
      <c r="O631" s="8"/>
    </row>
    <row r="632" spans="12:15" ht="15.75" customHeight="1" x14ac:dyDescent="0.25">
      <c r="L632" s="6"/>
      <c r="M632" s="6"/>
      <c r="N632" s="8"/>
      <c r="O632" s="8"/>
    </row>
    <row r="633" spans="12:15" ht="15.75" customHeight="1" x14ac:dyDescent="0.25">
      <c r="L633" s="6"/>
      <c r="M633" s="6"/>
      <c r="N633" s="8"/>
      <c r="O633" s="8"/>
    </row>
    <row r="634" spans="12:15" ht="15.75" customHeight="1" x14ac:dyDescent="0.25">
      <c r="L634" s="6"/>
      <c r="M634" s="6"/>
      <c r="N634" s="8"/>
      <c r="O634" s="8"/>
    </row>
    <row r="635" spans="12:15" ht="15.75" customHeight="1" x14ac:dyDescent="0.25">
      <c r="L635" s="6"/>
      <c r="M635" s="6"/>
      <c r="N635" s="8"/>
      <c r="O635" s="8"/>
    </row>
    <row r="636" spans="12:15" ht="15.75" customHeight="1" x14ac:dyDescent="0.25">
      <c r="L636" s="6"/>
      <c r="M636" s="6"/>
      <c r="N636" s="8"/>
      <c r="O636" s="8"/>
    </row>
    <row r="637" spans="12:15" ht="15.75" customHeight="1" x14ac:dyDescent="0.25">
      <c r="L637" s="6"/>
      <c r="M637" s="6"/>
      <c r="N637" s="8"/>
      <c r="O637" s="8"/>
    </row>
    <row r="638" spans="12:15" ht="15.75" customHeight="1" x14ac:dyDescent="0.25">
      <c r="L638" s="6"/>
      <c r="M638" s="6"/>
      <c r="N638" s="8"/>
      <c r="O638" s="8"/>
    </row>
    <row r="639" spans="12:15" ht="15.75" customHeight="1" x14ac:dyDescent="0.25">
      <c r="L639" s="6"/>
      <c r="M639" s="6"/>
      <c r="N639" s="8"/>
      <c r="O639" s="8"/>
    </row>
    <row r="640" spans="12:15" ht="15.75" customHeight="1" x14ac:dyDescent="0.25">
      <c r="L640" s="6"/>
      <c r="M640" s="6"/>
      <c r="N640" s="8"/>
      <c r="O640" s="8"/>
    </row>
    <row r="641" spans="12:15" ht="15.75" customHeight="1" x14ac:dyDescent="0.25">
      <c r="L641" s="6"/>
      <c r="M641" s="6"/>
      <c r="N641" s="8"/>
      <c r="O641" s="8"/>
    </row>
    <row r="642" spans="12:15" ht="15.75" customHeight="1" x14ac:dyDescent="0.25">
      <c r="L642" s="6"/>
      <c r="M642" s="6"/>
      <c r="N642" s="8"/>
      <c r="O642" s="8"/>
    </row>
    <row r="643" spans="12:15" ht="15.75" customHeight="1" x14ac:dyDescent="0.25">
      <c r="L643" s="6"/>
      <c r="M643" s="6"/>
      <c r="N643" s="8"/>
      <c r="O643" s="8"/>
    </row>
    <row r="644" spans="12:15" ht="15.75" customHeight="1" x14ac:dyDescent="0.25">
      <c r="L644" s="6"/>
      <c r="M644" s="6"/>
      <c r="N644" s="8"/>
      <c r="O644" s="8"/>
    </row>
    <row r="645" spans="12:15" ht="15.75" customHeight="1" x14ac:dyDescent="0.25">
      <c r="L645" s="6"/>
      <c r="M645" s="6"/>
      <c r="N645" s="8"/>
      <c r="O645" s="8"/>
    </row>
    <row r="646" spans="12:15" ht="15.75" customHeight="1" x14ac:dyDescent="0.25">
      <c r="L646" s="6"/>
      <c r="M646" s="6"/>
      <c r="N646" s="8"/>
      <c r="O646" s="8"/>
    </row>
    <row r="647" spans="12:15" ht="15.75" customHeight="1" x14ac:dyDescent="0.25">
      <c r="L647" s="6"/>
      <c r="M647" s="6"/>
      <c r="N647" s="8"/>
      <c r="O647" s="8"/>
    </row>
    <row r="648" spans="12:15" ht="15.75" customHeight="1" x14ac:dyDescent="0.25">
      <c r="L648" s="6"/>
      <c r="M648" s="6"/>
      <c r="N648" s="8"/>
      <c r="O648" s="8"/>
    </row>
    <row r="649" spans="12:15" ht="15.75" customHeight="1" x14ac:dyDescent="0.25">
      <c r="L649" s="6"/>
      <c r="M649" s="6"/>
      <c r="N649" s="8"/>
      <c r="O649" s="8"/>
    </row>
    <row r="650" spans="12:15" ht="15.75" customHeight="1" x14ac:dyDescent="0.25">
      <c r="L650" s="6"/>
      <c r="M650" s="6"/>
      <c r="N650" s="8"/>
      <c r="O650" s="8"/>
    </row>
    <row r="651" spans="12:15" ht="15.75" customHeight="1" x14ac:dyDescent="0.25">
      <c r="L651" s="6"/>
      <c r="M651" s="6"/>
      <c r="N651" s="8"/>
      <c r="O651" s="8"/>
    </row>
    <row r="652" spans="12:15" ht="15.75" customHeight="1" x14ac:dyDescent="0.25">
      <c r="L652" s="6"/>
      <c r="M652" s="6"/>
      <c r="N652" s="8"/>
      <c r="O652" s="8"/>
    </row>
    <row r="653" spans="12:15" ht="15.75" customHeight="1" x14ac:dyDescent="0.25">
      <c r="L653" s="6"/>
      <c r="M653" s="6"/>
      <c r="N653" s="8"/>
      <c r="O653" s="8"/>
    </row>
    <row r="654" spans="12:15" ht="15.75" customHeight="1" x14ac:dyDescent="0.25">
      <c r="L654" s="6"/>
      <c r="M654" s="6"/>
      <c r="N654" s="8"/>
      <c r="O654" s="8"/>
    </row>
    <row r="655" spans="12:15" ht="15.75" customHeight="1" x14ac:dyDescent="0.25">
      <c r="L655" s="6"/>
      <c r="M655" s="6"/>
      <c r="N655" s="8"/>
      <c r="O655" s="8"/>
    </row>
    <row r="656" spans="12:15" ht="15.75" customHeight="1" x14ac:dyDescent="0.25">
      <c r="L656" s="6"/>
      <c r="M656" s="6"/>
      <c r="N656" s="8"/>
      <c r="O656" s="8"/>
    </row>
    <row r="657" spans="12:15" ht="15.75" customHeight="1" x14ac:dyDescent="0.25">
      <c r="L657" s="6"/>
      <c r="M657" s="6"/>
      <c r="N657" s="8"/>
      <c r="O657" s="8"/>
    </row>
    <row r="658" spans="12:15" ht="15.75" customHeight="1" x14ac:dyDescent="0.25">
      <c r="L658" s="6"/>
      <c r="M658" s="6"/>
      <c r="N658" s="8"/>
      <c r="O658" s="8"/>
    </row>
    <row r="659" spans="12:15" ht="15.75" customHeight="1" x14ac:dyDescent="0.25">
      <c r="L659" s="6"/>
      <c r="M659" s="6"/>
      <c r="N659" s="8"/>
      <c r="O659" s="8"/>
    </row>
    <row r="660" spans="12:15" ht="15.75" customHeight="1" x14ac:dyDescent="0.25">
      <c r="L660" s="6"/>
      <c r="M660" s="6"/>
      <c r="N660" s="8"/>
      <c r="O660" s="8"/>
    </row>
    <row r="661" spans="12:15" ht="15.75" customHeight="1" x14ac:dyDescent="0.25">
      <c r="L661" s="6"/>
      <c r="M661" s="6"/>
      <c r="N661" s="8"/>
      <c r="O661" s="8"/>
    </row>
    <row r="662" spans="12:15" ht="15.75" customHeight="1" x14ac:dyDescent="0.25">
      <c r="L662" s="6"/>
      <c r="M662" s="6"/>
      <c r="N662" s="8"/>
      <c r="O662" s="8"/>
    </row>
    <row r="663" spans="12:15" ht="15.75" customHeight="1" x14ac:dyDescent="0.25">
      <c r="L663" s="6"/>
      <c r="M663" s="6"/>
      <c r="N663" s="8"/>
      <c r="O663" s="8"/>
    </row>
    <row r="664" spans="12:15" ht="15.75" customHeight="1" x14ac:dyDescent="0.25">
      <c r="L664" s="6"/>
      <c r="M664" s="6"/>
      <c r="N664" s="8"/>
      <c r="O664" s="8"/>
    </row>
    <row r="665" spans="12:15" ht="15.75" customHeight="1" x14ac:dyDescent="0.25">
      <c r="L665" s="6"/>
      <c r="M665" s="6"/>
      <c r="N665" s="8"/>
      <c r="O665" s="8"/>
    </row>
    <row r="666" spans="12:15" ht="15.75" customHeight="1" x14ac:dyDescent="0.25">
      <c r="L666" s="6"/>
      <c r="M666" s="6"/>
      <c r="N666" s="8"/>
      <c r="O666" s="8"/>
    </row>
    <row r="667" spans="12:15" ht="15.75" customHeight="1" x14ac:dyDescent="0.25">
      <c r="L667" s="6"/>
      <c r="M667" s="6"/>
      <c r="N667" s="8"/>
      <c r="O667" s="8"/>
    </row>
    <row r="668" spans="12:15" ht="15.75" customHeight="1" x14ac:dyDescent="0.25">
      <c r="L668" s="6"/>
      <c r="M668" s="6"/>
      <c r="N668" s="8"/>
      <c r="O668" s="8"/>
    </row>
    <row r="669" spans="12:15" ht="15.75" customHeight="1" x14ac:dyDescent="0.25">
      <c r="L669" s="6"/>
      <c r="M669" s="6"/>
      <c r="N669" s="8"/>
      <c r="O669" s="8"/>
    </row>
    <row r="670" spans="12:15" ht="15.75" customHeight="1" x14ac:dyDescent="0.25">
      <c r="L670" s="6"/>
      <c r="M670" s="6"/>
      <c r="N670" s="8"/>
      <c r="O670" s="8"/>
    </row>
    <row r="671" spans="12:15" ht="15.75" customHeight="1" x14ac:dyDescent="0.25">
      <c r="L671" s="6"/>
      <c r="M671" s="6"/>
      <c r="N671" s="8"/>
      <c r="O671" s="8"/>
    </row>
    <row r="672" spans="12:15" ht="15.75" customHeight="1" x14ac:dyDescent="0.25">
      <c r="L672" s="6"/>
      <c r="M672" s="6"/>
      <c r="N672" s="8"/>
      <c r="O672" s="8"/>
    </row>
    <row r="673" spans="12:15" ht="15.75" customHeight="1" x14ac:dyDescent="0.25">
      <c r="L673" s="6"/>
      <c r="M673" s="6"/>
      <c r="N673" s="8"/>
      <c r="O673" s="8"/>
    </row>
    <row r="674" spans="12:15" ht="15.75" customHeight="1" x14ac:dyDescent="0.25">
      <c r="L674" s="6"/>
      <c r="M674" s="6"/>
      <c r="N674" s="8"/>
      <c r="O674" s="8"/>
    </row>
    <row r="675" spans="12:15" ht="15.75" customHeight="1" x14ac:dyDescent="0.25">
      <c r="L675" s="6"/>
      <c r="M675" s="6"/>
      <c r="N675" s="8"/>
      <c r="O675" s="8"/>
    </row>
    <row r="676" spans="12:15" ht="15.75" customHeight="1" x14ac:dyDescent="0.25">
      <c r="L676" s="6"/>
      <c r="M676" s="6"/>
      <c r="N676" s="8"/>
      <c r="O676" s="8"/>
    </row>
    <row r="677" spans="12:15" ht="15.75" customHeight="1" x14ac:dyDescent="0.25">
      <c r="L677" s="6"/>
      <c r="M677" s="6"/>
      <c r="N677" s="8"/>
      <c r="O677" s="8"/>
    </row>
    <row r="678" spans="12:15" ht="15.75" customHeight="1" x14ac:dyDescent="0.25">
      <c r="L678" s="6"/>
      <c r="M678" s="6"/>
      <c r="N678" s="8"/>
      <c r="O678" s="8"/>
    </row>
    <row r="679" spans="12:15" ht="15.75" customHeight="1" x14ac:dyDescent="0.25">
      <c r="L679" s="6"/>
      <c r="M679" s="6"/>
      <c r="N679" s="8"/>
      <c r="O679" s="8"/>
    </row>
    <row r="680" spans="12:15" ht="15.75" customHeight="1" x14ac:dyDescent="0.25">
      <c r="L680" s="6"/>
      <c r="M680" s="6"/>
      <c r="N680" s="8"/>
      <c r="O680" s="8"/>
    </row>
    <row r="681" spans="12:15" ht="15.75" customHeight="1" x14ac:dyDescent="0.25">
      <c r="L681" s="6"/>
      <c r="M681" s="6"/>
      <c r="N681" s="8"/>
      <c r="O681" s="8"/>
    </row>
    <row r="682" spans="12:15" ht="15.75" customHeight="1" x14ac:dyDescent="0.25">
      <c r="L682" s="6"/>
      <c r="M682" s="6"/>
      <c r="N682" s="8"/>
      <c r="O682" s="8"/>
    </row>
    <row r="683" spans="12:15" ht="15.75" customHeight="1" x14ac:dyDescent="0.25">
      <c r="L683" s="6"/>
      <c r="M683" s="6"/>
      <c r="N683" s="8"/>
      <c r="O683" s="8"/>
    </row>
    <row r="684" spans="12:15" ht="15.75" customHeight="1" x14ac:dyDescent="0.25">
      <c r="L684" s="6"/>
      <c r="M684" s="6"/>
      <c r="N684" s="8"/>
      <c r="O684" s="8"/>
    </row>
    <row r="685" spans="12:15" ht="15.75" customHeight="1" x14ac:dyDescent="0.25">
      <c r="L685" s="6"/>
      <c r="M685" s="6"/>
      <c r="N685" s="8"/>
      <c r="O685" s="8"/>
    </row>
    <row r="686" spans="12:15" ht="15.75" customHeight="1" x14ac:dyDescent="0.25">
      <c r="L686" s="6"/>
      <c r="M686" s="6"/>
      <c r="N686" s="8"/>
      <c r="O686" s="8"/>
    </row>
    <row r="687" spans="12:15" ht="15.75" customHeight="1" x14ac:dyDescent="0.25">
      <c r="L687" s="6"/>
      <c r="M687" s="6"/>
      <c r="N687" s="8"/>
      <c r="O687" s="8"/>
    </row>
    <row r="688" spans="12:15" ht="15.75" customHeight="1" x14ac:dyDescent="0.25">
      <c r="L688" s="6"/>
      <c r="M688" s="6"/>
      <c r="N688" s="8"/>
      <c r="O688" s="8"/>
    </row>
    <row r="689" spans="12:15" ht="15.75" customHeight="1" x14ac:dyDescent="0.25">
      <c r="L689" s="6"/>
      <c r="M689" s="6"/>
      <c r="N689" s="8"/>
      <c r="O689" s="8"/>
    </row>
    <row r="690" spans="12:15" ht="15.75" customHeight="1" x14ac:dyDescent="0.25">
      <c r="L690" s="6"/>
      <c r="M690" s="6"/>
      <c r="N690" s="8"/>
      <c r="O690" s="8"/>
    </row>
    <row r="691" spans="12:15" ht="15.75" customHeight="1" x14ac:dyDescent="0.25">
      <c r="L691" s="6"/>
      <c r="M691" s="6"/>
      <c r="N691" s="8"/>
      <c r="O691" s="8"/>
    </row>
    <row r="692" spans="12:15" ht="15.75" customHeight="1" x14ac:dyDescent="0.25">
      <c r="L692" s="6"/>
      <c r="M692" s="6"/>
      <c r="N692" s="8"/>
      <c r="O692" s="8"/>
    </row>
    <row r="693" spans="12:15" ht="15.75" customHeight="1" x14ac:dyDescent="0.25">
      <c r="L693" s="6"/>
      <c r="M693" s="6"/>
      <c r="N693" s="8"/>
      <c r="O693" s="8"/>
    </row>
    <row r="694" spans="12:15" ht="15.75" customHeight="1" x14ac:dyDescent="0.25">
      <c r="L694" s="6"/>
      <c r="M694" s="6"/>
      <c r="N694" s="8"/>
      <c r="O694" s="8"/>
    </row>
    <row r="695" spans="12:15" ht="15.75" customHeight="1" x14ac:dyDescent="0.25">
      <c r="L695" s="6"/>
      <c r="M695" s="6"/>
      <c r="N695" s="8"/>
      <c r="O695" s="8"/>
    </row>
    <row r="696" spans="12:15" ht="15.75" customHeight="1" x14ac:dyDescent="0.25">
      <c r="L696" s="6"/>
      <c r="M696" s="6"/>
      <c r="N696" s="8"/>
      <c r="O696" s="8"/>
    </row>
    <row r="697" spans="12:15" ht="15.75" customHeight="1" x14ac:dyDescent="0.25">
      <c r="L697" s="6"/>
      <c r="M697" s="6"/>
      <c r="N697" s="8"/>
      <c r="O697" s="8"/>
    </row>
    <row r="698" spans="12:15" ht="15.75" customHeight="1" x14ac:dyDescent="0.25">
      <c r="L698" s="6"/>
      <c r="M698" s="6"/>
      <c r="N698" s="8"/>
      <c r="O698" s="8"/>
    </row>
    <row r="699" spans="12:15" ht="15.75" customHeight="1" x14ac:dyDescent="0.25">
      <c r="L699" s="6"/>
      <c r="M699" s="6"/>
      <c r="N699" s="8"/>
      <c r="O699" s="8"/>
    </row>
    <row r="700" spans="12:15" ht="15.75" customHeight="1" x14ac:dyDescent="0.25">
      <c r="L700" s="6"/>
      <c r="M700" s="6"/>
      <c r="N700" s="8"/>
      <c r="O700" s="8"/>
    </row>
    <row r="701" spans="12:15" ht="15.75" customHeight="1" x14ac:dyDescent="0.25">
      <c r="L701" s="6"/>
      <c r="M701" s="6"/>
      <c r="N701" s="8"/>
      <c r="O701" s="8"/>
    </row>
    <row r="702" spans="12:15" ht="15.75" customHeight="1" x14ac:dyDescent="0.25">
      <c r="L702" s="6"/>
      <c r="M702" s="6"/>
      <c r="N702" s="8"/>
      <c r="O702" s="8"/>
    </row>
    <row r="703" spans="12:15" ht="15.75" customHeight="1" x14ac:dyDescent="0.25">
      <c r="L703" s="6"/>
      <c r="M703" s="6"/>
      <c r="N703" s="8"/>
      <c r="O703" s="8"/>
    </row>
    <row r="704" spans="12:15" ht="15.75" customHeight="1" x14ac:dyDescent="0.25">
      <c r="L704" s="6"/>
      <c r="M704" s="6"/>
      <c r="N704" s="8"/>
      <c r="O704" s="8"/>
    </row>
    <row r="705" spans="12:15" ht="15.75" customHeight="1" x14ac:dyDescent="0.25">
      <c r="L705" s="6"/>
      <c r="M705" s="6"/>
      <c r="N705" s="8"/>
      <c r="O705" s="8"/>
    </row>
    <row r="706" spans="12:15" ht="15.75" customHeight="1" x14ac:dyDescent="0.25">
      <c r="L706" s="6"/>
      <c r="M706" s="6"/>
      <c r="N706" s="8"/>
      <c r="O706" s="8"/>
    </row>
    <row r="707" spans="12:15" ht="15.75" customHeight="1" x14ac:dyDescent="0.25">
      <c r="L707" s="6"/>
      <c r="M707" s="6"/>
      <c r="N707" s="8"/>
      <c r="O707" s="8"/>
    </row>
    <row r="708" spans="12:15" ht="15.75" customHeight="1" x14ac:dyDescent="0.25">
      <c r="L708" s="6"/>
      <c r="M708" s="6"/>
      <c r="N708" s="8"/>
      <c r="O708" s="8"/>
    </row>
    <row r="709" spans="12:15" ht="15.75" customHeight="1" x14ac:dyDescent="0.25">
      <c r="L709" s="6"/>
      <c r="M709" s="6"/>
      <c r="N709" s="8"/>
      <c r="O709" s="8"/>
    </row>
    <row r="710" spans="12:15" ht="15.75" customHeight="1" x14ac:dyDescent="0.25">
      <c r="L710" s="6"/>
      <c r="M710" s="6"/>
      <c r="N710" s="8"/>
      <c r="O710" s="8"/>
    </row>
    <row r="711" spans="12:15" ht="15.75" customHeight="1" x14ac:dyDescent="0.25">
      <c r="L711" s="6"/>
      <c r="M711" s="6"/>
      <c r="N711" s="8"/>
      <c r="O711" s="8"/>
    </row>
    <row r="712" spans="12:15" ht="15.75" customHeight="1" x14ac:dyDescent="0.25">
      <c r="L712" s="6"/>
      <c r="M712" s="6"/>
      <c r="N712" s="8"/>
      <c r="O712" s="8"/>
    </row>
    <row r="713" spans="12:15" ht="15.75" customHeight="1" x14ac:dyDescent="0.25">
      <c r="L713" s="6"/>
      <c r="M713" s="6"/>
      <c r="N713" s="8"/>
      <c r="O713" s="8"/>
    </row>
    <row r="714" spans="12:15" ht="15.75" customHeight="1" x14ac:dyDescent="0.25">
      <c r="L714" s="6"/>
      <c r="M714" s="6"/>
      <c r="N714" s="8"/>
      <c r="O714" s="8"/>
    </row>
    <row r="715" spans="12:15" ht="15.75" customHeight="1" x14ac:dyDescent="0.25">
      <c r="L715" s="6"/>
      <c r="M715" s="6"/>
      <c r="N715" s="8"/>
      <c r="O715" s="8"/>
    </row>
    <row r="716" spans="12:15" ht="15.75" customHeight="1" x14ac:dyDescent="0.25">
      <c r="L716" s="6"/>
      <c r="M716" s="6"/>
      <c r="N716" s="8"/>
      <c r="O716" s="8"/>
    </row>
    <row r="717" spans="12:15" ht="15.75" customHeight="1" x14ac:dyDescent="0.25">
      <c r="L717" s="6"/>
      <c r="M717" s="6"/>
      <c r="N717" s="8"/>
      <c r="O717" s="8"/>
    </row>
    <row r="718" spans="12:15" ht="15.75" customHeight="1" x14ac:dyDescent="0.25">
      <c r="L718" s="6"/>
      <c r="M718" s="6"/>
      <c r="N718" s="8"/>
      <c r="O718" s="8"/>
    </row>
    <row r="719" spans="12:15" ht="15.75" customHeight="1" x14ac:dyDescent="0.25">
      <c r="L719" s="6"/>
      <c r="M719" s="6"/>
      <c r="N719" s="8"/>
      <c r="O719" s="8"/>
    </row>
    <row r="720" spans="12:15" ht="15.75" customHeight="1" x14ac:dyDescent="0.25">
      <c r="L720" s="6"/>
      <c r="M720" s="6"/>
      <c r="N720" s="8"/>
      <c r="O720" s="8"/>
    </row>
    <row r="721" spans="12:15" ht="15.75" customHeight="1" x14ac:dyDescent="0.25">
      <c r="L721" s="6"/>
      <c r="M721" s="6"/>
      <c r="N721" s="8"/>
      <c r="O721" s="8"/>
    </row>
    <row r="722" spans="12:15" ht="15.75" customHeight="1" x14ac:dyDescent="0.25">
      <c r="L722" s="6"/>
      <c r="M722" s="6"/>
      <c r="N722" s="8"/>
      <c r="O722" s="8"/>
    </row>
    <row r="723" spans="12:15" ht="15.75" customHeight="1" x14ac:dyDescent="0.25">
      <c r="L723" s="6"/>
      <c r="M723" s="6"/>
      <c r="N723" s="8"/>
      <c r="O723" s="8"/>
    </row>
    <row r="724" spans="12:15" ht="15.75" customHeight="1" x14ac:dyDescent="0.25">
      <c r="L724" s="6"/>
      <c r="M724" s="6"/>
      <c r="N724" s="8"/>
      <c r="O724" s="8"/>
    </row>
    <row r="725" spans="12:15" ht="15.75" customHeight="1" x14ac:dyDescent="0.25">
      <c r="L725" s="6"/>
      <c r="M725" s="6"/>
      <c r="N725" s="8"/>
      <c r="O725" s="8"/>
    </row>
    <row r="726" spans="12:15" ht="15.75" customHeight="1" x14ac:dyDescent="0.25">
      <c r="L726" s="6"/>
      <c r="M726" s="6"/>
      <c r="N726" s="8"/>
      <c r="O726" s="8"/>
    </row>
    <row r="727" spans="12:15" ht="15.75" customHeight="1" x14ac:dyDescent="0.25">
      <c r="L727" s="6"/>
      <c r="M727" s="6"/>
      <c r="N727" s="8"/>
      <c r="O727" s="8"/>
    </row>
    <row r="728" spans="12:15" ht="15.75" customHeight="1" x14ac:dyDescent="0.25">
      <c r="L728" s="6"/>
      <c r="M728" s="6"/>
      <c r="N728" s="8"/>
      <c r="O728" s="8"/>
    </row>
    <row r="729" spans="12:15" ht="15.75" customHeight="1" x14ac:dyDescent="0.25">
      <c r="L729" s="6"/>
      <c r="M729" s="6"/>
      <c r="N729" s="8"/>
      <c r="O729" s="8"/>
    </row>
    <row r="730" spans="12:15" ht="15.75" customHeight="1" x14ac:dyDescent="0.25">
      <c r="L730" s="6"/>
      <c r="M730" s="6"/>
      <c r="N730" s="8"/>
      <c r="O730" s="8"/>
    </row>
    <row r="731" spans="12:15" ht="15.75" customHeight="1" x14ac:dyDescent="0.25">
      <c r="L731" s="6"/>
      <c r="M731" s="6"/>
      <c r="N731" s="8"/>
      <c r="O731" s="8"/>
    </row>
    <row r="732" spans="12:15" ht="15.75" customHeight="1" x14ac:dyDescent="0.25">
      <c r="L732" s="6"/>
      <c r="M732" s="6"/>
      <c r="N732" s="8"/>
      <c r="O732" s="8"/>
    </row>
    <row r="733" spans="12:15" ht="15.75" customHeight="1" x14ac:dyDescent="0.25">
      <c r="L733" s="6"/>
      <c r="M733" s="6"/>
      <c r="N733" s="8"/>
      <c r="O733" s="8"/>
    </row>
    <row r="734" spans="12:15" ht="15.75" customHeight="1" x14ac:dyDescent="0.25">
      <c r="L734" s="6"/>
      <c r="M734" s="6"/>
      <c r="N734" s="8"/>
      <c r="O734" s="8"/>
    </row>
    <row r="735" spans="12:15" ht="15.75" customHeight="1" x14ac:dyDescent="0.25">
      <c r="L735" s="6"/>
      <c r="M735" s="6"/>
      <c r="N735" s="8"/>
      <c r="O735" s="8"/>
    </row>
    <row r="736" spans="12:15" ht="15.75" customHeight="1" x14ac:dyDescent="0.25">
      <c r="L736" s="6"/>
      <c r="M736" s="6"/>
      <c r="N736" s="8"/>
      <c r="O736" s="8"/>
    </row>
    <row r="737" spans="12:15" ht="15.75" customHeight="1" x14ac:dyDescent="0.25">
      <c r="L737" s="6"/>
      <c r="M737" s="6"/>
      <c r="N737" s="8"/>
      <c r="O737" s="8"/>
    </row>
    <row r="738" spans="12:15" ht="15.75" customHeight="1" x14ac:dyDescent="0.25">
      <c r="L738" s="6"/>
      <c r="M738" s="6"/>
      <c r="N738" s="8"/>
      <c r="O738" s="8"/>
    </row>
    <row r="739" spans="12:15" ht="15.75" customHeight="1" x14ac:dyDescent="0.25">
      <c r="L739" s="6"/>
      <c r="M739" s="6"/>
      <c r="N739" s="8"/>
      <c r="O739" s="8"/>
    </row>
    <row r="740" spans="12:15" ht="15.75" customHeight="1" x14ac:dyDescent="0.25">
      <c r="L740" s="6"/>
      <c r="M740" s="6"/>
      <c r="N740" s="8"/>
      <c r="O740" s="8"/>
    </row>
    <row r="741" spans="12:15" ht="15.75" customHeight="1" x14ac:dyDescent="0.25">
      <c r="L741" s="6"/>
      <c r="M741" s="6"/>
      <c r="N741" s="8"/>
      <c r="O741" s="8"/>
    </row>
    <row r="742" spans="12:15" ht="15.75" customHeight="1" x14ac:dyDescent="0.25">
      <c r="L742" s="6"/>
      <c r="M742" s="6"/>
      <c r="N742" s="8"/>
      <c r="O742" s="8"/>
    </row>
    <row r="743" spans="12:15" ht="15.75" customHeight="1" x14ac:dyDescent="0.25">
      <c r="L743" s="6"/>
      <c r="M743" s="6"/>
      <c r="N743" s="8"/>
      <c r="O743" s="8"/>
    </row>
    <row r="744" spans="12:15" ht="15.75" customHeight="1" x14ac:dyDescent="0.25">
      <c r="L744" s="6"/>
      <c r="M744" s="6"/>
      <c r="N744" s="8"/>
      <c r="O744" s="8"/>
    </row>
    <row r="745" spans="12:15" ht="15.75" customHeight="1" x14ac:dyDescent="0.25">
      <c r="L745" s="6"/>
      <c r="M745" s="6"/>
      <c r="N745" s="8"/>
      <c r="O745" s="8"/>
    </row>
    <row r="746" spans="12:15" ht="15.75" customHeight="1" x14ac:dyDescent="0.25">
      <c r="L746" s="6"/>
      <c r="M746" s="6"/>
      <c r="N746" s="8"/>
      <c r="O746" s="8"/>
    </row>
    <row r="747" spans="12:15" ht="15.75" customHeight="1" x14ac:dyDescent="0.25">
      <c r="L747" s="6"/>
      <c r="M747" s="6"/>
      <c r="N747" s="8"/>
      <c r="O747" s="8"/>
    </row>
    <row r="748" spans="12:15" ht="15.75" customHeight="1" x14ac:dyDescent="0.25">
      <c r="L748" s="6"/>
      <c r="M748" s="6"/>
      <c r="N748" s="8"/>
      <c r="O748" s="8"/>
    </row>
    <row r="749" spans="12:15" ht="15.75" customHeight="1" x14ac:dyDescent="0.25">
      <c r="L749" s="6"/>
      <c r="M749" s="6"/>
      <c r="N749" s="8"/>
      <c r="O749" s="8"/>
    </row>
    <row r="750" spans="12:15" ht="15.75" customHeight="1" x14ac:dyDescent="0.25">
      <c r="L750" s="6"/>
      <c r="M750" s="6"/>
      <c r="N750" s="8"/>
      <c r="O750" s="8"/>
    </row>
    <row r="751" spans="12:15" ht="15.75" customHeight="1" x14ac:dyDescent="0.25">
      <c r="L751" s="6"/>
      <c r="M751" s="6"/>
      <c r="N751" s="8"/>
      <c r="O751" s="8"/>
    </row>
    <row r="752" spans="12:15" ht="15.75" customHeight="1" x14ac:dyDescent="0.25">
      <c r="L752" s="6"/>
      <c r="M752" s="6"/>
      <c r="N752" s="8"/>
      <c r="O752" s="8"/>
    </row>
    <row r="753" spans="12:15" ht="15.75" customHeight="1" x14ac:dyDescent="0.25">
      <c r="L753" s="6"/>
      <c r="M753" s="6"/>
      <c r="N753" s="8"/>
      <c r="O753" s="8"/>
    </row>
    <row r="754" spans="12:15" ht="15.75" customHeight="1" x14ac:dyDescent="0.25">
      <c r="L754" s="6"/>
      <c r="M754" s="6"/>
      <c r="N754" s="8"/>
      <c r="O754" s="8"/>
    </row>
    <row r="755" spans="12:15" ht="15.75" customHeight="1" x14ac:dyDescent="0.25">
      <c r="L755" s="6"/>
      <c r="M755" s="6"/>
      <c r="N755" s="8"/>
      <c r="O755" s="8"/>
    </row>
    <row r="756" spans="12:15" ht="15.75" customHeight="1" x14ac:dyDescent="0.25">
      <c r="L756" s="6"/>
      <c r="M756" s="6"/>
      <c r="N756" s="8"/>
      <c r="O756" s="8"/>
    </row>
    <row r="757" spans="12:15" ht="15.75" customHeight="1" x14ac:dyDescent="0.25">
      <c r="L757" s="6"/>
      <c r="M757" s="6"/>
      <c r="N757" s="8"/>
      <c r="O757" s="8"/>
    </row>
    <row r="758" spans="12:15" ht="15.75" customHeight="1" x14ac:dyDescent="0.25">
      <c r="L758" s="6"/>
      <c r="M758" s="6"/>
      <c r="N758" s="8"/>
      <c r="O758" s="8"/>
    </row>
    <row r="759" spans="12:15" ht="15.75" customHeight="1" x14ac:dyDescent="0.25">
      <c r="L759" s="6"/>
      <c r="M759" s="6"/>
      <c r="N759" s="8"/>
      <c r="O759" s="8"/>
    </row>
    <row r="760" spans="12:15" ht="15.75" customHeight="1" x14ac:dyDescent="0.25">
      <c r="L760" s="6"/>
      <c r="M760" s="6"/>
      <c r="N760" s="8"/>
      <c r="O760" s="8"/>
    </row>
    <row r="761" spans="12:15" ht="15.75" customHeight="1" x14ac:dyDescent="0.25">
      <c r="L761" s="6"/>
      <c r="M761" s="6"/>
      <c r="N761" s="8"/>
      <c r="O761" s="8"/>
    </row>
    <row r="762" spans="12:15" ht="15.75" customHeight="1" x14ac:dyDescent="0.25">
      <c r="L762" s="6"/>
      <c r="M762" s="6"/>
      <c r="N762" s="8"/>
      <c r="O762" s="8"/>
    </row>
    <row r="763" spans="12:15" ht="15.75" customHeight="1" x14ac:dyDescent="0.25">
      <c r="L763" s="6"/>
      <c r="M763" s="6"/>
      <c r="N763" s="8"/>
      <c r="O763" s="8"/>
    </row>
    <row r="764" spans="12:15" ht="15.75" customHeight="1" x14ac:dyDescent="0.25">
      <c r="L764" s="6"/>
      <c r="M764" s="6"/>
      <c r="N764" s="8"/>
      <c r="O764" s="8"/>
    </row>
    <row r="765" spans="12:15" ht="15.75" customHeight="1" x14ac:dyDescent="0.25">
      <c r="L765" s="6"/>
      <c r="M765" s="6"/>
      <c r="N765" s="8"/>
      <c r="O765" s="8"/>
    </row>
    <row r="766" spans="12:15" ht="15.75" customHeight="1" x14ac:dyDescent="0.25">
      <c r="L766" s="6"/>
      <c r="M766" s="6"/>
      <c r="N766" s="8"/>
      <c r="O766" s="8"/>
    </row>
    <row r="767" spans="12:15" ht="15.75" customHeight="1" x14ac:dyDescent="0.25">
      <c r="L767" s="6"/>
      <c r="M767" s="6"/>
      <c r="N767" s="8"/>
      <c r="O767" s="8"/>
    </row>
    <row r="768" spans="12:15" ht="15.75" customHeight="1" x14ac:dyDescent="0.25">
      <c r="L768" s="6"/>
      <c r="M768" s="6"/>
      <c r="N768" s="8"/>
      <c r="O768" s="8"/>
    </row>
    <row r="769" spans="12:15" ht="15.75" customHeight="1" x14ac:dyDescent="0.25">
      <c r="L769" s="6"/>
      <c r="M769" s="6"/>
      <c r="N769" s="8"/>
      <c r="O769" s="8"/>
    </row>
    <row r="770" spans="12:15" ht="15.75" customHeight="1" x14ac:dyDescent="0.25">
      <c r="L770" s="6"/>
      <c r="M770" s="6"/>
      <c r="N770" s="8"/>
      <c r="O770" s="8"/>
    </row>
    <row r="771" spans="12:15" ht="15.75" customHeight="1" x14ac:dyDescent="0.25">
      <c r="L771" s="6"/>
      <c r="M771" s="6"/>
      <c r="N771" s="8"/>
      <c r="O771" s="8"/>
    </row>
    <row r="772" spans="12:15" ht="15.75" customHeight="1" x14ac:dyDescent="0.25">
      <c r="L772" s="6"/>
      <c r="M772" s="6"/>
      <c r="N772" s="8"/>
      <c r="O772" s="8"/>
    </row>
    <row r="773" spans="12:15" ht="15.75" customHeight="1" x14ac:dyDescent="0.25">
      <c r="L773" s="6"/>
      <c r="M773" s="6"/>
      <c r="N773" s="8"/>
      <c r="O773" s="8"/>
    </row>
    <row r="774" spans="12:15" ht="15.75" customHeight="1" x14ac:dyDescent="0.25">
      <c r="L774" s="6"/>
      <c r="M774" s="6"/>
      <c r="N774" s="8"/>
      <c r="O774" s="8"/>
    </row>
    <row r="775" spans="12:15" ht="15.75" customHeight="1" x14ac:dyDescent="0.25">
      <c r="L775" s="6"/>
      <c r="M775" s="6"/>
      <c r="N775" s="8"/>
      <c r="O775" s="8"/>
    </row>
    <row r="776" spans="12:15" ht="15.75" customHeight="1" x14ac:dyDescent="0.25">
      <c r="L776" s="6"/>
      <c r="M776" s="6"/>
      <c r="N776" s="8"/>
      <c r="O776" s="8"/>
    </row>
    <row r="777" spans="12:15" ht="15.75" customHeight="1" x14ac:dyDescent="0.25">
      <c r="L777" s="6"/>
      <c r="M777" s="6"/>
      <c r="N777" s="8"/>
      <c r="O777" s="8"/>
    </row>
    <row r="778" spans="12:15" ht="15.75" customHeight="1" x14ac:dyDescent="0.25">
      <c r="L778" s="6"/>
      <c r="M778" s="6"/>
      <c r="N778" s="8"/>
      <c r="O778" s="8"/>
    </row>
    <row r="779" spans="12:15" ht="15.75" customHeight="1" x14ac:dyDescent="0.25">
      <c r="L779" s="6"/>
      <c r="M779" s="6"/>
      <c r="N779" s="8"/>
      <c r="O779" s="8"/>
    </row>
    <row r="780" spans="12:15" ht="15.75" customHeight="1" x14ac:dyDescent="0.25">
      <c r="L780" s="6"/>
      <c r="M780" s="6"/>
      <c r="N780" s="8"/>
      <c r="O780" s="8"/>
    </row>
    <row r="781" spans="12:15" ht="15.75" customHeight="1" x14ac:dyDescent="0.25">
      <c r="L781" s="6"/>
      <c r="M781" s="6"/>
      <c r="N781" s="8"/>
      <c r="O781" s="8"/>
    </row>
    <row r="782" spans="12:15" ht="15.75" customHeight="1" x14ac:dyDescent="0.25">
      <c r="L782" s="6"/>
      <c r="M782" s="6"/>
      <c r="N782" s="8"/>
      <c r="O782" s="8"/>
    </row>
    <row r="783" spans="12:15" ht="15.75" customHeight="1" x14ac:dyDescent="0.25">
      <c r="L783" s="6"/>
      <c r="M783" s="6"/>
      <c r="N783" s="8"/>
      <c r="O783" s="8"/>
    </row>
    <row r="784" spans="12:15" ht="15.75" customHeight="1" x14ac:dyDescent="0.25">
      <c r="L784" s="6"/>
      <c r="M784" s="6"/>
      <c r="N784" s="8"/>
      <c r="O784" s="8"/>
    </row>
    <row r="785" spans="12:15" ht="15.75" customHeight="1" x14ac:dyDescent="0.25">
      <c r="L785" s="6"/>
      <c r="M785" s="6"/>
      <c r="N785" s="8"/>
      <c r="O785" s="8"/>
    </row>
    <row r="786" spans="12:15" ht="15.75" customHeight="1" x14ac:dyDescent="0.25">
      <c r="L786" s="6"/>
      <c r="M786" s="6"/>
      <c r="N786" s="8"/>
      <c r="O786" s="8"/>
    </row>
    <row r="787" spans="12:15" ht="15.75" customHeight="1" x14ac:dyDescent="0.25">
      <c r="L787" s="6"/>
      <c r="M787" s="6"/>
      <c r="N787" s="8"/>
      <c r="O787" s="8"/>
    </row>
    <row r="788" spans="12:15" ht="15.75" customHeight="1" x14ac:dyDescent="0.25">
      <c r="L788" s="6"/>
      <c r="M788" s="6"/>
      <c r="N788" s="8"/>
      <c r="O788" s="8"/>
    </row>
    <row r="789" spans="12:15" ht="15.75" customHeight="1" x14ac:dyDescent="0.25">
      <c r="L789" s="6"/>
      <c r="M789" s="6"/>
      <c r="N789" s="8"/>
      <c r="O789" s="8"/>
    </row>
    <row r="790" spans="12:15" ht="15.75" customHeight="1" x14ac:dyDescent="0.25">
      <c r="L790" s="6"/>
      <c r="M790" s="6"/>
      <c r="N790" s="8"/>
      <c r="O790" s="8"/>
    </row>
    <row r="791" spans="12:15" ht="15.75" customHeight="1" x14ac:dyDescent="0.25">
      <c r="L791" s="6"/>
      <c r="M791" s="6"/>
      <c r="N791" s="8"/>
      <c r="O791" s="8"/>
    </row>
    <row r="792" spans="12:15" ht="15.75" customHeight="1" x14ac:dyDescent="0.25">
      <c r="L792" s="6"/>
      <c r="M792" s="6"/>
      <c r="N792" s="8"/>
      <c r="O792" s="8"/>
    </row>
    <row r="793" spans="12:15" ht="15.75" customHeight="1" x14ac:dyDescent="0.25">
      <c r="L793" s="6"/>
      <c r="M793" s="6"/>
      <c r="N793" s="8"/>
      <c r="O793" s="8"/>
    </row>
    <row r="794" spans="12:15" ht="15.75" customHeight="1" x14ac:dyDescent="0.25">
      <c r="L794" s="6"/>
      <c r="M794" s="6"/>
      <c r="N794" s="8"/>
      <c r="O794" s="8"/>
    </row>
    <row r="795" spans="12:15" ht="15.75" customHeight="1" x14ac:dyDescent="0.25">
      <c r="L795" s="6"/>
      <c r="M795" s="6"/>
      <c r="N795" s="8"/>
      <c r="O795" s="8"/>
    </row>
    <row r="796" spans="12:15" ht="15.75" customHeight="1" x14ac:dyDescent="0.25">
      <c r="L796" s="6"/>
      <c r="M796" s="6"/>
      <c r="N796" s="8"/>
      <c r="O796" s="8"/>
    </row>
    <row r="797" spans="12:15" ht="15.75" customHeight="1" x14ac:dyDescent="0.25">
      <c r="L797" s="6"/>
      <c r="M797" s="6"/>
      <c r="N797" s="8"/>
      <c r="O797" s="8"/>
    </row>
    <row r="798" spans="12:15" ht="15.75" customHeight="1" x14ac:dyDescent="0.25">
      <c r="L798" s="6"/>
      <c r="M798" s="6"/>
      <c r="N798" s="8"/>
      <c r="O798" s="8"/>
    </row>
    <row r="799" spans="12:15" ht="15.75" customHeight="1" x14ac:dyDescent="0.25">
      <c r="L799" s="6"/>
      <c r="M799" s="6"/>
      <c r="N799" s="8"/>
      <c r="O799" s="8"/>
    </row>
    <row r="800" spans="12:15" ht="15.75" customHeight="1" x14ac:dyDescent="0.25">
      <c r="L800" s="6"/>
      <c r="M800" s="6"/>
      <c r="N800" s="8"/>
      <c r="O800" s="8"/>
    </row>
    <row r="801" spans="12:15" ht="15.75" customHeight="1" x14ac:dyDescent="0.25">
      <c r="L801" s="6"/>
      <c r="M801" s="6"/>
      <c r="N801" s="8"/>
      <c r="O801" s="8"/>
    </row>
    <row r="802" spans="12:15" ht="15.75" customHeight="1" x14ac:dyDescent="0.25">
      <c r="L802" s="6"/>
      <c r="M802" s="6"/>
      <c r="N802" s="8"/>
      <c r="O802" s="8"/>
    </row>
    <row r="803" spans="12:15" ht="15.75" customHeight="1" x14ac:dyDescent="0.25">
      <c r="L803" s="6"/>
      <c r="M803" s="6"/>
      <c r="N803" s="8"/>
      <c r="O803" s="8"/>
    </row>
    <row r="804" spans="12:15" ht="15.75" customHeight="1" x14ac:dyDescent="0.25">
      <c r="L804" s="6"/>
      <c r="M804" s="6"/>
      <c r="N804" s="8"/>
      <c r="O804" s="8"/>
    </row>
    <row r="805" spans="12:15" ht="15.75" customHeight="1" x14ac:dyDescent="0.25">
      <c r="L805" s="6"/>
      <c r="M805" s="6"/>
      <c r="N805" s="8"/>
      <c r="O805" s="8"/>
    </row>
    <row r="806" spans="12:15" ht="15.75" customHeight="1" x14ac:dyDescent="0.25">
      <c r="L806" s="6"/>
      <c r="M806" s="6"/>
      <c r="N806" s="8"/>
      <c r="O806" s="8"/>
    </row>
    <row r="807" spans="12:15" ht="15.75" customHeight="1" x14ac:dyDescent="0.25">
      <c r="L807" s="6"/>
      <c r="M807" s="6"/>
      <c r="N807" s="8"/>
      <c r="O807" s="8"/>
    </row>
    <row r="808" spans="12:15" ht="15.75" customHeight="1" x14ac:dyDescent="0.25">
      <c r="L808" s="6"/>
      <c r="M808" s="6"/>
      <c r="N808" s="8"/>
      <c r="O808" s="8"/>
    </row>
    <row r="809" spans="12:15" ht="15.75" customHeight="1" x14ac:dyDescent="0.25">
      <c r="L809" s="6"/>
      <c r="M809" s="6"/>
      <c r="N809" s="8"/>
      <c r="O809" s="8"/>
    </row>
    <row r="810" spans="12:15" ht="15.75" customHeight="1" x14ac:dyDescent="0.25">
      <c r="L810" s="6"/>
      <c r="M810" s="6"/>
      <c r="N810" s="8"/>
      <c r="O810" s="8"/>
    </row>
    <row r="811" spans="12:15" ht="15.75" customHeight="1" x14ac:dyDescent="0.25">
      <c r="L811" s="6"/>
      <c r="M811" s="6"/>
      <c r="N811" s="8"/>
      <c r="O811" s="8"/>
    </row>
    <row r="812" spans="12:15" ht="15.75" customHeight="1" x14ac:dyDescent="0.25">
      <c r="L812" s="6"/>
      <c r="M812" s="6"/>
      <c r="N812" s="8"/>
      <c r="O812" s="8"/>
    </row>
    <row r="813" spans="12:15" ht="15.75" customHeight="1" x14ac:dyDescent="0.25">
      <c r="L813" s="6"/>
      <c r="M813" s="6"/>
      <c r="N813" s="8"/>
      <c r="O813" s="8"/>
    </row>
    <row r="814" spans="12:15" ht="15.75" customHeight="1" x14ac:dyDescent="0.25">
      <c r="L814" s="6"/>
      <c r="M814" s="6"/>
      <c r="N814" s="8"/>
      <c r="O814" s="8"/>
    </row>
    <row r="815" spans="12:15" ht="15.75" customHeight="1" x14ac:dyDescent="0.25">
      <c r="L815" s="6"/>
      <c r="M815" s="6"/>
      <c r="N815" s="8"/>
      <c r="O815" s="8"/>
    </row>
    <row r="816" spans="12:15" ht="15.75" customHeight="1" x14ac:dyDescent="0.25">
      <c r="L816" s="6"/>
      <c r="M816" s="6"/>
      <c r="N816" s="8"/>
      <c r="O816" s="8"/>
    </row>
    <row r="817" spans="12:15" ht="15.75" customHeight="1" x14ac:dyDescent="0.25">
      <c r="L817" s="6"/>
      <c r="M817" s="6"/>
      <c r="N817" s="8"/>
      <c r="O817" s="8"/>
    </row>
    <row r="818" spans="12:15" ht="15.75" customHeight="1" x14ac:dyDescent="0.25">
      <c r="L818" s="6"/>
      <c r="M818" s="6"/>
      <c r="N818" s="8"/>
      <c r="O818" s="8"/>
    </row>
    <row r="819" spans="12:15" ht="15.75" customHeight="1" x14ac:dyDescent="0.25">
      <c r="L819" s="6"/>
      <c r="M819" s="6"/>
      <c r="N819" s="8"/>
      <c r="O819" s="8"/>
    </row>
    <row r="820" spans="12:15" ht="15.75" customHeight="1" x14ac:dyDescent="0.25">
      <c r="L820" s="6"/>
      <c r="M820" s="6"/>
      <c r="N820" s="8"/>
      <c r="O820" s="8"/>
    </row>
    <row r="821" spans="12:15" ht="15.75" customHeight="1" x14ac:dyDescent="0.25">
      <c r="L821" s="6"/>
      <c r="M821" s="6"/>
      <c r="N821" s="8"/>
      <c r="O821" s="8"/>
    </row>
    <row r="822" spans="12:15" ht="15.75" customHeight="1" x14ac:dyDescent="0.25">
      <c r="L822" s="6"/>
      <c r="M822" s="6"/>
      <c r="N822" s="8"/>
      <c r="O822" s="8"/>
    </row>
    <row r="823" spans="12:15" ht="15.75" customHeight="1" x14ac:dyDescent="0.25">
      <c r="L823" s="6"/>
      <c r="M823" s="6"/>
      <c r="N823" s="8"/>
      <c r="O823" s="8"/>
    </row>
    <row r="824" spans="12:15" ht="15.75" customHeight="1" x14ac:dyDescent="0.25">
      <c r="L824" s="6"/>
      <c r="M824" s="6"/>
      <c r="N824" s="8"/>
      <c r="O824" s="8"/>
    </row>
    <row r="825" spans="12:15" ht="15.75" customHeight="1" x14ac:dyDescent="0.25">
      <c r="L825" s="6"/>
      <c r="M825" s="6"/>
      <c r="N825" s="8"/>
      <c r="O825" s="8"/>
    </row>
    <row r="826" spans="12:15" ht="15.75" customHeight="1" x14ac:dyDescent="0.25">
      <c r="L826" s="6"/>
      <c r="M826" s="6"/>
      <c r="N826" s="8"/>
      <c r="O826" s="8"/>
    </row>
    <row r="827" spans="12:15" ht="15.75" customHeight="1" x14ac:dyDescent="0.25">
      <c r="L827" s="6"/>
      <c r="M827" s="6"/>
      <c r="N827" s="8"/>
      <c r="O827" s="8"/>
    </row>
    <row r="828" spans="12:15" ht="15.75" customHeight="1" x14ac:dyDescent="0.25">
      <c r="L828" s="6"/>
      <c r="M828" s="6"/>
      <c r="N828" s="8"/>
      <c r="O828" s="8"/>
    </row>
    <row r="829" spans="12:15" ht="15.75" customHeight="1" x14ac:dyDescent="0.25">
      <c r="L829" s="6"/>
      <c r="M829" s="6"/>
      <c r="N829" s="8"/>
      <c r="O829" s="8"/>
    </row>
    <row r="830" spans="12:15" ht="15.75" customHeight="1" x14ac:dyDescent="0.25">
      <c r="L830" s="6"/>
      <c r="M830" s="6"/>
      <c r="N830" s="8"/>
      <c r="O830" s="8"/>
    </row>
    <row r="831" spans="12:15" ht="15.75" customHeight="1" x14ac:dyDescent="0.25">
      <c r="L831" s="6"/>
      <c r="M831" s="6"/>
      <c r="N831" s="8"/>
      <c r="O831" s="8"/>
    </row>
    <row r="832" spans="12:15" ht="15.75" customHeight="1" x14ac:dyDescent="0.25">
      <c r="L832" s="6"/>
      <c r="M832" s="6"/>
      <c r="N832" s="8"/>
      <c r="O832" s="8"/>
    </row>
    <row r="833" spans="12:15" ht="15.75" customHeight="1" x14ac:dyDescent="0.25">
      <c r="L833" s="6"/>
      <c r="M833" s="6"/>
      <c r="N833" s="8"/>
      <c r="O833" s="8"/>
    </row>
    <row r="834" spans="12:15" ht="15.75" customHeight="1" x14ac:dyDescent="0.25">
      <c r="L834" s="6"/>
      <c r="M834" s="6"/>
      <c r="N834" s="8"/>
      <c r="O834" s="8"/>
    </row>
    <row r="835" spans="12:15" ht="15.75" customHeight="1" x14ac:dyDescent="0.25">
      <c r="L835" s="6"/>
      <c r="M835" s="6"/>
      <c r="N835" s="8"/>
      <c r="O835" s="8"/>
    </row>
    <row r="836" spans="12:15" ht="15.75" customHeight="1" x14ac:dyDescent="0.25">
      <c r="L836" s="6"/>
      <c r="M836" s="6"/>
      <c r="N836" s="8"/>
      <c r="O836" s="8"/>
    </row>
    <row r="837" spans="12:15" ht="15.75" customHeight="1" x14ac:dyDescent="0.25">
      <c r="L837" s="6"/>
      <c r="M837" s="6"/>
      <c r="N837" s="8"/>
      <c r="O837" s="8"/>
    </row>
    <row r="838" spans="12:15" ht="15.75" customHeight="1" x14ac:dyDescent="0.25">
      <c r="L838" s="6"/>
      <c r="M838" s="6"/>
      <c r="N838" s="8"/>
      <c r="O838" s="8"/>
    </row>
    <row r="839" spans="12:15" ht="15.75" customHeight="1" x14ac:dyDescent="0.25">
      <c r="L839" s="6"/>
      <c r="M839" s="6"/>
      <c r="N839" s="8"/>
      <c r="O839" s="8"/>
    </row>
    <row r="840" spans="12:15" ht="15.75" customHeight="1" x14ac:dyDescent="0.25">
      <c r="L840" s="6"/>
      <c r="M840" s="6"/>
      <c r="N840" s="8"/>
      <c r="O840" s="8"/>
    </row>
    <row r="841" spans="12:15" ht="15.75" customHeight="1" x14ac:dyDescent="0.25">
      <c r="L841" s="6"/>
      <c r="M841" s="6"/>
      <c r="N841" s="8"/>
      <c r="O841" s="8"/>
    </row>
    <row r="842" spans="12:15" ht="15.75" customHeight="1" x14ac:dyDescent="0.25">
      <c r="L842" s="6"/>
      <c r="M842" s="6"/>
      <c r="N842" s="8"/>
      <c r="O842" s="8"/>
    </row>
    <row r="843" spans="12:15" ht="15.75" customHeight="1" x14ac:dyDescent="0.25">
      <c r="L843" s="6"/>
      <c r="M843" s="6"/>
      <c r="N843" s="8"/>
      <c r="O843" s="8"/>
    </row>
    <row r="844" spans="12:15" ht="15.75" customHeight="1" x14ac:dyDescent="0.25">
      <c r="L844" s="6"/>
      <c r="M844" s="6"/>
      <c r="N844" s="8"/>
      <c r="O844" s="8"/>
    </row>
    <row r="845" spans="12:15" ht="15.75" customHeight="1" x14ac:dyDescent="0.25">
      <c r="L845" s="6"/>
      <c r="M845" s="6"/>
      <c r="N845" s="8"/>
      <c r="O845" s="8"/>
    </row>
    <row r="846" spans="12:15" ht="15.75" customHeight="1" x14ac:dyDescent="0.25">
      <c r="L846" s="6"/>
      <c r="M846" s="6"/>
      <c r="N846" s="8"/>
      <c r="O846" s="8"/>
    </row>
    <row r="847" spans="12:15" ht="15.75" customHeight="1" x14ac:dyDescent="0.25">
      <c r="L847" s="6"/>
      <c r="M847" s="6"/>
      <c r="N847" s="8"/>
      <c r="O847" s="8"/>
    </row>
    <row r="848" spans="12:15" ht="15.75" customHeight="1" x14ac:dyDescent="0.25">
      <c r="L848" s="6"/>
      <c r="M848" s="6"/>
      <c r="N848" s="8"/>
      <c r="O848" s="8"/>
    </row>
    <row r="849" spans="12:15" ht="15.75" customHeight="1" x14ac:dyDescent="0.25">
      <c r="L849" s="6"/>
      <c r="M849" s="6"/>
      <c r="N849" s="8"/>
      <c r="O849" s="8"/>
    </row>
    <row r="850" spans="12:15" ht="15.75" customHeight="1" x14ac:dyDescent="0.25">
      <c r="L850" s="6"/>
      <c r="M850" s="6"/>
      <c r="N850" s="8"/>
      <c r="O850" s="8"/>
    </row>
    <row r="851" spans="12:15" ht="15.75" customHeight="1" x14ac:dyDescent="0.25">
      <c r="L851" s="6"/>
      <c r="M851" s="6"/>
      <c r="N851" s="8"/>
      <c r="O851" s="8"/>
    </row>
    <row r="852" spans="12:15" ht="15.75" customHeight="1" x14ac:dyDescent="0.25">
      <c r="L852" s="6"/>
      <c r="M852" s="6"/>
      <c r="N852" s="8"/>
      <c r="O852" s="8"/>
    </row>
    <row r="853" spans="12:15" ht="15.75" customHeight="1" x14ac:dyDescent="0.25">
      <c r="L853" s="6"/>
      <c r="M853" s="6"/>
      <c r="N853" s="8"/>
      <c r="O853" s="8"/>
    </row>
    <row r="854" spans="12:15" ht="15.75" customHeight="1" x14ac:dyDescent="0.25">
      <c r="L854" s="6"/>
      <c r="M854" s="6"/>
      <c r="N854" s="8"/>
      <c r="O854" s="8"/>
    </row>
    <row r="855" spans="12:15" ht="15.75" customHeight="1" x14ac:dyDescent="0.25">
      <c r="L855" s="6"/>
      <c r="M855" s="6"/>
      <c r="N855" s="8"/>
      <c r="O855" s="8"/>
    </row>
    <row r="856" spans="12:15" ht="15.75" customHeight="1" x14ac:dyDescent="0.25">
      <c r="L856" s="6"/>
      <c r="M856" s="6"/>
      <c r="N856" s="8"/>
      <c r="O856" s="8"/>
    </row>
    <row r="857" spans="12:15" ht="15.75" customHeight="1" x14ac:dyDescent="0.25">
      <c r="L857" s="6"/>
      <c r="M857" s="6"/>
      <c r="N857" s="8"/>
      <c r="O857" s="8"/>
    </row>
    <row r="858" spans="12:15" ht="15.75" customHeight="1" x14ac:dyDescent="0.25">
      <c r="L858" s="6"/>
      <c r="M858" s="6"/>
      <c r="N858" s="8"/>
      <c r="O858" s="8"/>
    </row>
    <row r="859" spans="12:15" ht="15.75" customHeight="1" x14ac:dyDescent="0.25">
      <c r="L859" s="6"/>
      <c r="M859" s="6"/>
      <c r="N859" s="8"/>
      <c r="O859" s="8"/>
    </row>
    <row r="860" spans="12:15" ht="15.75" customHeight="1" x14ac:dyDescent="0.25">
      <c r="L860" s="6"/>
      <c r="M860" s="6"/>
      <c r="N860" s="8"/>
      <c r="O860" s="8"/>
    </row>
    <row r="861" spans="12:15" ht="15.75" customHeight="1" x14ac:dyDescent="0.25">
      <c r="L861" s="6"/>
      <c r="M861" s="6"/>
      <c r="N861" s="8"/>
      <c r="O861" s="8"/>
    </row>
    <row r="862" spans="12:15" ht="15.75" customHeight="1" x14ac:dyDescent="0.25">
      <c r="L862" s="6"/>
      <c r="M862" s="6"/>
      <c r="N862" s="8"/>
      <c r="O862" s="8"/>
    </row>
    <row r="863" spans="12:15" ht="15.75" customHeight="1" x14ac:dyDescent="0.25">
      <c r="L863" s="6"/>
      <c r="M863" s="6"/>
      <c r="N863" s="8"/>
      <c r="O863" s="8"/>
    </row>
    <row r="864" spans="12:15" ht="15.75" customHeight="1" x14ac:dyDescent="0.25">
      <c r="L864" s="6"/>
      <c r="M864" s="6"/>
      <c r="N864" s="8"/>
      <c r="O864" s="8"/>
    </row>
    <row r="865" spans="12:15" ht="15.75" customHeight="1" x14ac:dyDescent="0.25">
      <c r="L865" s="6"/>
      <c r="M865" s="6"/>
      <c r="N865" s="8"/>
      <c r="O865" s="8"/>
    </row>
    <row r="866" spans="12:15" ht="15.75" customHeight="1" x14ac:dyDescent="0.25">
      <c r="L866" s="6"/>
      <c r="M866" s="6"/>
      <c r="N866" s="8"/>
      <c r="O866" s="8"/>
    </row>
    <row r="867" spans="12:15" ht="15.75" customHeight="1" x14ac:dyDescent="0.25">
      <c r="L867" s="6"/>
      <c r="M867" s="6"/>
      <c r="N867" s="8"/>
      <c r="O867" s="8"/>
    </row>
    <row r="868" spans="12:15" ht="15.75" customHeight="1" x14ac:dyDescent="0.25">
      <c r="L868" s="6"/>
      <c r="M868" s="6"/>
      <c r="N868" s="8"/>
      <c r="O868" s="8"/>
    </row>
    <row r="869" spans="12:15" ht="15.75" customHeight="1" x14ac:dyDescent="0.25">
      <c r="L869" s="6"/>
      <c r="M869" s="6"/>
      <c r="N869" s="8"/>
      <c r="O869" s="8"/>
    </row>
    <row r="870" spans="12:15" ht="15.75" customHeight="1" x14ac:dyDescent="0.25">
      <c r="L870" s="6"/>
      <c r="M870" s="6"/>
      <c r="N870" s="8"/>
      <c r="O870" s="8"/>
    </row>
    <row r="871" spans="12:15" ht="15.75" customHeight="1" x14ac:dyDescent="0.25">
      <c r="L871" s="6"/>
      <c r="M871" s="6"/>
      <c r="N871" s="8"/>
      <c r="O871" s="8"/>
    </row>
    <row r="872" spans="12:15" ht="15.75" customHeight="1" x14ac:dyDescent="0.25">
      <c r="L872" s="6"/>
      <c r="M872" s="6"/>
      <c r="N872" s="8"/>
      <c r="O872" s="8"/>
    </row>
    <row r="873" spans="12:15" ht="15.75" customHeight="1" x14ac:dyDescent="0.25">
      <c r="L873" s="6"/>
      <c r="M873" s="6"/>
      <c r="N873" s="8"/>
      <c r="O873" s="8"/>
    </row>
    <row r="874" spans="12:15" ht="15.75" customHeight="1" x14ac:dyDescent="0.25">
      <c r="L874" s="6"/>
      <c r="M874" s="6"/>
      <c r="N874" s="8"/>
      <c r="O874" s="8"/>
    </row>
    <row r="875" spans="12:15" ht="15.75" customHeight="1" x14ac:dyDescent="0.25">
      <c r="L875" s="6"/>
      <c r="M875" s="6"/>
      <c r="N875" s="8"/>
      <c r="O875" s="8"/>
    </row>
    <row r="876" spans="12:15" ht="15.75" customHeight="1" x14ac:dyDescent="0.25">
      <c r="L876" s="6"/>
      <c r="M876" s="6"/>
      <c r="N876" s="8"/>
      <c r="O876" s="8"/>
    </row>
    <row r="877" spans="12:15" ht="15.75" customHeight="1" x14ac:dyDescent="0.25">
      <c r="L877" s="6"/>
      <c r="M877" s="6"/>
      <c r="N877" s="8"/>
      <c r="O877" s="8"/>
    </row>
    <row r="878" spans="12:15" ht="15.75" customHeight="1" x14ac:dyDescent="0.25">
      <c r="L878" s="6"/>
      <c r="M878" s="6"/>
      <c r="N878" s="8"/>
      <c r="O878" s="8"/>
    </row>
    <row r="879" spans="12:15" ht="15.75" customHeight="1" x14ac:dyDescent="0.25">
      <c r="L879" s="6"/>
      <c r="M879" s="6"/>
      <c r="N879" s="8"/>
      <c r="O879" s="8"/>
    </row>
    <row r="880" spans="12:15" ht="15.75" customHeight="1" x14ac:dyDescent="0.25">
      <c r="L880" s="6"/>
      <c r="M880" s="6"/>
      <c r="N880" s="8"/>
      <c r="O880" s="8"/>
    </row>
    <row r="881" spans="12:15" ht="15.75" customHeight="1" x14ac:dyDescent="0.25">
      <c r="L881" s="6"/>
      <c r="M881" s="6"/>
      <c r="N881" s="8"/>
      <c r="O881" s="8"/>
    </row>
    <row r="882" spans="12:15" ht="15.75" customHeight="1" x14ac:dyDescent="0.25">
      <c r="L882" s="6"/>
      <c r="M882" s="6"/>
      <c r="N882" s="8"/>
      <c r="O882" s="8"/>
    </row>
    <row r="883" spans="12:15" ht="15.75" customHeight="1" x14ac:dyDescent="0.25">
      <c r="L883" s="6"/>
      <c r="M883" s="6"/>
      <c r="N883" s="8"/>
      <c r="O883" s="8"/>
    </row>
    <row r="884" spans="12:15" ht="15.75" customHeight="1" x14ac:dyDescent="0.25">
      <c r="L884" s="6"/>
      <c r="M884" s="6"/>
      <c r="N884" s="8"/>
      <c r="O884" s="8"/>
    </row>
    <row r="885" spans="12:15" ht="15.75" customHeight="1" x14ac:dyDescent="0.25">
      <c r="L885" s="6"/>
      <c r="M885" s="6"/>
      <c r="N885" s="8"/>
      <c r="O885" s="8"/>
    </row>
    <row r="886" spans="12:15" ht="15.75" customHeight="1" x14ac:dyDescent="0.25">
      <c r="L886" s="6"/>
      <c r="M886" s="6"/>
      <c r="N886" s="8"/>
      <c r="O886" s="8"/>
    </row>
    <row r="887" spans="12:15" ht="15.75" customHeight="1" x14ac:dyDescent="0.25">
      <c r="L887" s="6"/>
      <c r="M887" s="6"/>
      <c r="N887" s="8"/>
      <c r="O887" s="8"/>
    </row>
    <row r="888" spans="12:15" ht="15.75" customHeight="1" x14ac:dyDescent="0.25">
      <c r="L888" s="6"/>
      <c r="M888" s="6"/>
      <c r="N888" s="8"/>
      <c r="O888" s="8"/>
    </row>
    <row r="889" spans="12:15" ht="15.75" customHeight="1" x14ac:dyDescent="0.25">
      <c r="L889" s="6"/>
      <c r="M889" s="6"/>
      <c r="N889" s="8"/>
      <c r="O889" s="8"/>
    </row>
    <row r="890" spans="12:15" ht="15.75" customHeight="1" x14ac:dyDescent="0.25">
      <c r="L890" s="6"/>
      <c r="M890" s="6"/>
      <c r="N890" s="8"/>
      <c r="O890" s="8"/>
    </row>
    <row r="891" spans="12:15" ht="15.75" customHeight="1" x14ac:dyDescent="0.25">
      <c r="L891" s="6"/>
      <c r="M891" s="6"/>
      <c r="N891" s="8"/>
      <c r="O891" s="8"/>
    </row>
    <row r="892" spans="12:15" ht="15.75" customHeight="1" x14ac:dyDescent="0.25">
      <c r="L892" s="6"/>
      <c r="M892" s="6"/>
      <c r="N892" s="8"/>
      <c r="O892" s="8"/>
    </row>
    <row r="893" spans="12:15" ht="15.75" customHeight="1" x14ac:dyDescent="0.25">
      <c r="L893" s="6"/>
      <c r="M893" s="6"/>
      <c r="N893" s="8"/>
      <c r="O893" s="8"/>
    </row>
    <row r="894" spans="12:15" ht="15.75" customHeight="1" x14ac:dyDescent="0.25">
      <c r="L894" s="6"/>
      <c r="M894" s="6"/>
      <c r="N894" s="8"/>
      <c r="O894" s="8"/>
    </row>
    <row r="895" spans="12:15" ht="15.75" customHeight="1" x14ac:dyDescent="0.25">
      <c r="L895" s="6"/>
      <c r="M895" s="6"/>
      <c r="N895" s="8"/>
      <c r="O895" s="8"/>
    </row>
    <row r="896" spans="12:15" ht="15.75" customHeight="1" x14ac:dyDescent="0.25">
      <c r="L896" s="6"/>
      <c r="M896" s="6"/>
      <c r="N896" s="8"/>
      <c r="O896" s="8"/>
    </row>
    <row r="897" spans="12:15" ht="15.75" customHeight="1" x14ac:dyDescent="0.25">
      <c r="L897" s="6"/>
      <c r="M897" s="6"/>
      <c r="N897" s="8"/>
      <c r="O897" s="8"/>
    </row>
    <row r="898" spans="12:15" ht="15.75" customHeight="1" x14ac:dyDescent="0.25">
      <c r="L898" s="6"/>
      <c r="M898" s="6"/>
      <c r="N898" s="8"/>
      <c r="O898" s="8"/>
    </row>
    <row r="899" spans="12:15" ht="15.75" customHeight="1" x14ac:dyDescent="0.25">
      <c r="L899" s="6"/>
      <c r="M899" s="6"/>
      <c r="N899" s="8"/>
      <c r="O899" s="8"/>
    </row>
    <row r="900" spans="12:15" ht="15.75" customHeight="1" x14ac:dyDescent="0.25">
      <c r="L900" s="6"/>
      <c r="M900" s="6"/>
      <c r="N900" s="8"/>
      <c r="O900" s="8"/>
    </row>
    <row r="901" spans="12:15" ht="15.75" customHeight="1" x14ac:dyDescent="0.25">
      <c r="L901" s="6"/>
      <c r="M901" s="6"/>
      <c r="N901" s="8"/>
      <c r="O901" s="8"/>
    </row>
    <row r="902" spans="12:15" ht="15.75" customHeight="1" x14ac:dyDescent="0.25">
      <c r="L902" s="6"/>
      <c r="M902" s="6"/>
      <c r="N902" s="8"/>
      <c r="O902" s="8"/>
    </row>
    <row r="903" spans="12:15" ht="15.75" customHeight="1" x14ac:dyDescent="0.25">
      <c r="L903" s="6"/>
      <c r="M903" s="6"/>
      <c r="N903" s="8"/>
      <c r="O903" s="8"/>
    </row>
    <row r="904" spans="12:15" ht="15.75" customHeight="1" x14ac:dyDescent="0.25">
      <c r="L904" s="6"/>
      <c r="M904" s="6"/>
      <c r="N904" s="8"/>
      <c r="O904" s="8"/>
    </row>
    <row r="905" spans="12:15" ht="15.75" customHeight="1" x14ac:dyDescent="0.25">
      <c r="L905" s="6"/>
      <c r="M905" s="6"/>
      <c r="N905" s="8"/>
      <c r="O905" s="8"/>
    </row>
    <row r="906" spans="12:15" ht="15.75" customHeight="1" x14ac:dyDescent="0.25">
      <c r="L906" s="6"/>
      <c r="M906" s="6"/>
      <c r="N906" s="8"/>
      <c r="O906" s="8"/>
    </row>
    <row r="907" spans="12:15" ht="15.75" customHeight="1" x14ac:dyDescent="0.25">
      <c r="L907" s="6"/>
      <c r="M907" s="6"/>
      <c r="N907" s="8"/>
      <c r="O907" s="8"/>
    </row>
    <row r="908" spans="12:15" ht="15.75" customHeight="1" x14ac:dyDescent="0.25">
      <c r="L908" s="6"/>
      <c r="M908" s="6"/>
      <c r="N908" s="8"/>
      <c r="O908" s="8"/>
    </row>
    <row r="909" spans="12:15" ht="15.75" customHeight="1" x14ac:dyDescent="0.25">
      <c r="L909" s="6"/>
      <c r="M909" s="6"/>
      <c r="N909" s="8"/>
      <c r="O909" s="8"/>
    </row>
    <row r="910" spans="12:15" ht="15.75" customHeight="1" x14ac:dyDescent="0.25">
      <c r="L910" s="6"/>
      <c r="M910" s="6"/>
      <c r="N910" s="8"/>
      <c r="O910" s="8"/>
    </row>
    <row r="911" spans="12:15" ht="15.75" customHeight="1" x14ac:dyDescent="0.25">
      <c r="L911" s="6"/>
      <c r="M911" s="6"/>
      <c r="N911" s="8"/>
      <c r="O911" s="8"/>
    </row>
    <row r="912" spans="12:15" ht="15.75" customHeight="1" x14ac:dyDescent="0.25">
      <c r="L912" s="6"/>
      <c r="M912" s="6"/>
      <c r="N912" s="8"/>
      <c r="O912" s="8"/>
    </row>
    <row r="913" spans="12:15" ht="15.75" customHeight="1" x14ac:dyDescent="0.25">
      <c r="L913" s="6"/>
      <c r="M913" s="6"/>
      <c r="N913" s="8"/>
      <c r="O913" s="8"/>
    </row>
    <row r="914" spans="12:15" ht="15.75" customHeight="1" x14ac:dyDescent="0.25">
      <c r="L914" s="6"/>
      <c r="M914" s="6"/>
      <c r="N914" s="8"/>
      <c r="O914" s="8"/>
    </row>
    <row r="915" spans="12:15" ht="15.75" customHeight="1" x14ac:dyDescent="0.25">
      <c r="L915" s="6"/>
      <c r="M915" s="6"/>
      <c r="N915" s="8"/>
      <c r="O915" s="8"/>
    </row>
    <row r="916" spans="12:15" ht="15.75" customHeight="1" x14ac:dyDescent="0.25">
      <c r="L916" s="6"/>
      <c r="M916" s="6"/>
      <c r="N916" s="8"/>
      <c r="O916" s="8"/>
    </row>
    <row r="917" spans="12:15" ht="15.75" customHeight="1" x14ac:dyDescent="0.25">
      <c r="L917" s="6"/>
      <c r="M917" s="6"/>
      <c r="N917" s="8"/>
      <c r="O917" s="8"/>
    </row>
    <row r="918" spans="12:15" ht="15.75" customHeight="1" x14ac:dyDescent="0.25">
      <c r="L918" s="6"/>
      <c r="M918" s="6"/>
      <c r="N918" s="8"/>
      <c r="O918" s="8"/>
    </row>
    <row r="919" spans="12:15" ht="15.75" customHeight="1" x14ac:dyDescent="0.25">
      <c r="L919" s="6"/>
      <c r="M919" s="6"/>
      <c r="N919" s="8"/>
      <c r="O919" s="8"/>
    </row>
    <row r="920" spans="12:15" ht="15.75" customHeight="1" x14ac:dyDescent="0.25">
      <c r="L920" s="6"/>
      <c r="M920" s="6"/>
      <c r="N920" s="8"/>
      <c r="O920" s="8"/>
    </row>
    <row r="921" spans="12:15" ht="15.75" customHeight="1" x14ac:dyDescent="0.25">
      <c r="L921" s="6"/>
      <c r="M921" s="6"/>
      <c r="N921" s="8"/>
      <c r="O921" s="8"/>
    </row>
    <row r="922" spans="12:15" ht="15.75" customHeight="1" x14ac:dyDescent="0.25">
      <c r="L922" s="6"/>
      <c r="M922" s="6"/>
      <c r="N922" s="8"/>
      <c r="O922" s="8"/>
    </row>
    <row r="923" spans="12:15" ht="15.75" customHeight="1" x14ac:dyDescent="0.25">
      <c r="L923" s="6"/>
      <c r="M923" s="6"/>
      <c r="N923" s="8"/>
      <c r="O923" s="8"/>
    </row>
    <row r="924" spans="12:15" ht="15.75" customHeight="1" x14ac:dyDescent="0.25">
      <c r="L924" s="6"/>
      <c r="M924" s="6"/>
      <c r="N924" s="8"/>
      <c r="O924" s="8"/>
    </row>
    <row r="925" spans="12:15" ht="15.75" customHeight="1" x14ac:dyDescent="0.25">
      <c r="L925" s="6"/>
      <c r="M925" s="6"/>
      <c r="N925" s="8"/>
      <c r="O925" s="8"/>
    </row>
    <row r="926" spans="12:15" ht="15.75" customHeight="1" x14ac:dyDescent="0.25">
      <c r="L926" s="6"/>
      <c r="M926" s="6"/>
      <c r="N926" s="8"/>
      <c r="O926" s="8"/>
    </row>
    <row r="927" spans="12:15" ht="15.75" customHeight="1" x14ac:dyDescent="0.25">
      <c r="L927" s="6"/>
      <c r="M927" s="6"/>
      <c r="N927" s="8"/>
      <c r="O927" s="8"/>
    </row>
    <row r="928" spans="12:15" ht="15.75" customHeight="1" x14ac:dyDescent="0.25">
      <c r="L928" s="6"/>
      <c r="M928" s="6"/>
      <c r="N928" s="8"/>
      <c r="O928" s="8"/>
    </row>
    <row r="929" spans="12:15" ht="15.75" customHeight="1" x14ac:dyDescent="0.25">
      <c r="L929" s="6"/>
      <c r="M929" s="6"/>
      <c r="N929" s="8"/>
      <c r="O929" s="8"/>
    </row>
    <row r="930" spans="12:15" ht="15.75" customHeight="1" x14ac:dyDescent="0.25">
      <c r="L930" s="6"/>
      <c r="M930" s="6"/>
      <c r="N930" s="8"/>
      <c r="O930" s="8"/>
    </row>
    <row r="931" spans="12:15" ht="15.75" customHeight="1" x14ac:dyDescent="0.25">
      <c r="L931" s="6"/>
      <c r="M931" s="6"/>
      <c r="N931" s="8"/>
      <c r="O931" s="8"/>
    </row>
    <row r="932" spans="12:15" ht="15.75" customHeight="1" x14ac:dyDescent="0.25">
      <c r="L932" s="6"/>
      <c r="M932" s="6"/>
      <c r="N932" s="8"/>
      <c r="O932" s="8"/>
    </row>
    <row r="933" spans="12:15" ht="15.75" customHeight="1" x14ac:dyDescent="0.25">
      <c r="L933" s="6"/>
      <c r="M933" s="6"/>
      <c r="N933" s="8"/>
      <c r="O933" s="8"/>
    </row>
    <row r="934" spans="12:15" ht="15.75" customHeight="1" x14ac:dyDescent="0.25">
      <c r="L934" s="6"/>
      <c r="M934" s="6"/>
      <c r="N934" s="8"/>
      <c r="O934" s="8"/>
    </row>
    <row r="935" spans="12:15" ht="15.75" customHeight="1" x14ac:dyDescent="0.25">
      <c r="L935" s="6"/>
      <c r="M935" s="6"/>
      <c r="N935" s="8"/>
      <c r="O935" s="8"/>
    </row>
    <row r="936" spans="12:15" ht="15.75" customHeight="1" x14ac:dyDescent="0.25">
      <c r="L936" s="6"/>
      <c r="M936" s="6"/>
      <c r="N936" s="8"/>
      <c r="O936" s="8"/>
    </row>
    <row r="937" spans="12:15" ht="15.75" customHeight="1" x14ac:dyDescent="0.25">
      <c r="L937" s="6"/>
      <c r="M937" s="6"/>
      <c r="N937" s="8"/>
      <c r="O937" s="8"/>
    </row>
    <row r="938" spans="12:15" ht="15.75" customHeight="1" x14ac:dyDescent="0.25">
      <c r="L938" s="6"/>
      <c r="M938" s="6"/>
      <c r="N938" s="8"/>
      <c r="O938" s="8"/>
    </row>
    <row r="939" spans="12:15" ht="15.75" customHeight="1" x14ac:dyDescent="0.25">
      <c r="L939" s="6"/>
      <c r="M939" s="6"/>
      <c r="N939" s="8"/>
      <c r="O939" s="8"/>
    </row>
    <row r="940" spans="12:15" ht="15.75" customHeight="1" x14ac:dyDescent="0.25">
      <c r="L940" s="6"/>
      <c r="M940" s="6"/>
      <c r="N940" s="8"/>
      <c r="O940" s="8"/>
    </row>
    <row r="941" spans="12:15" ht="15.75" customHeight="1" x14ac:dyDescent="0.25">
      <c r="L941" s="6"/>
      <c r="M941" s="6"/>
      <c r="N941" s="8"/>
      <c r="O941" s="8"/>
    </row>
    <row r="942" spans="12:15" ht="15.75" customHeight="1" x14ac:dyDescent="0.25">
      <c r="L942" s="6"/>
      <c r="M942" s="6"/>
      <c r="N942" s="8"/>
      <c r="O942" s="8"/>
    </row>
    <row r="943" spans="12:15" ht="15.75" customHeight="1" x14ac:dyDescent="0.25">
      <c r="L943" s="6"/>
      <c r="M943" s="6"/>
      <c r="N943" s="8"/>
      <c r="O943" s="8"/>
    </row>
    <row r="944" spans="12:15" ht="15.75" customHeight="1" x14ac:dyDescent="0.25">
      <c r="L944" s="6"/>
      <c r="M944" s="6"/>
      <c r="N944" s="8"/>
      <c r="O944" s="8"/>
    </row>
    <row r="945" spans="12:15" ht="15.75" customHeight="1" x14ac:dyDescent="0.25">
      <c r="L945" s="6"/>
      <c r="M945" s="6"/>
      <c r="N945" s="8"/>
      <c r="O945" s="8"/>
    </row>
    <row r="946" spans="12:15" ht="15.75" customHeight="1" x14ac:dyDescent="0.25">
      <c r="L946" s="6"/>
      <c r="M946" s="6"/>
      <c r="N946" s="8"/>
      <c r="O946" s="8"/>
    </row>
    <row r="947" spans="12:15" ht="15.75" customHeight="1" x14ac:dyDescent="0.25">
      <c r="L947" s="6"/>
      <c r="M947" s="6"/>
      <c r="N947" s="8"/>
      <c r="O947" s="8"/>
    </row>
    <row r="948" spans="12:15" ht="15.75" customHeight="1" x14ac:dyDescent="0.25">
      <c r="L948" s="6"/>
      <c r="M948" s="6"/>
      <c r="N948" s="8"/>
      <c r="O948" s="8"/>
    </row>
    <row r="949" spans="12:15" ht="15.75" customHeight="1" x14ac:dyDescent="0.25">
      <c r="L949" s="6"/>
      <c r="M949" s="6"/>
      <c r="N949" s="8"/>
      <c r="O949" s="8"/>
    </row>
    <row r="950" spans="12:15" ht="15.75" customHeight="1" x14ac:dyDescent="0.25">
      <c r="L950" s="6"/>
      <c r="M950" s="6"/>
      <c r="N950" s="8"/>
      <c r="O950" s="8"/>
    </row>
    <row r="951" spans="12:15" ht="15.75" customHeight="1" x14ac:dyDescent="0.25">
      <c r="L951" s="6"/>
      <c r="M951" s="6"/>
      <c r="N951" s="8"/>
      <c r="O951" s="8"/>
    </row>
    <row r="952" spans="12:15" ht="15.75" customHeight="1" x14ac:dyDescent="0.25">
      <c r="L952" s="6"/>
      <c r="M952" s="6"/>
      <c r="N952" s="8"/>
      <c r="O952" s="8"/>
    </row>
    <row r="953" spans="12:15" ht="15.75" customHeight="1" x14ac:dyDescent="0.25">
      <c r="L953" s="6"/>
      <c r="M953" s="6"/>
      <c r="N953" s="8"/>
      <c r="O953" s="8"/>
    </row>
    <row r="954" spans="12:15" ht="15.75" customHeight="1" x14ac:dyDescent="0.25">
      <c r="L954" s="6"/>
      <c r="M954" s="6"/>
      <c r="N954" s="8"/>
      <c r="O954" s="8"/>
    </row>
    <row r="955" spans="12:15" ht="15.75" customHeight="1" x14ac:dyDescent="0.25">
      <c r="L955" s="6"/>
      <c r="M955" s="6"/>
      <c r="N955" s="8"/>
      <c r="O955" s="8"/>
    </row>
    <row r="956" spans="12:15" ht="15.75" customHeight="1" x14ac:dyDescent="0.25">
      <c r="L956" s="6"/>
      <c r="M956" s="6"/>
      <c r="N956" s="8"/>
      <c r="O956" s="8"/>
    </row>
    <row r="957" spans="12:15" ht="15.75" customHeight="1" x14ac:dyDescent="0.25">
      <c r="L957" s="6"/>
      <c r="M957" s="6"/>
      <c r="N957" s="8"/>
      <c r="O957" s="8"/>
    </row>
    <row r="958" spans="12:15" ht="15.75" customHeight="1" x14ac:dyDescent="0.25">
      <c r="L958" s="6"/>
      <c r="M958" s="6"/>
      <c r="N958" s="8"/>
      <c r="O958" s="8"/>
    </row>
    <row r="959" spans="12:15" ht="15.75" customHeight="1" x14ac:dyDescent="0.25">
      <c r="L959" s="6"/>
      <c r="M959" s="6"/>
      <c r="N959" s="8"/>
      <c r="O959" s="8"/>
    </row>
    <row r="960" spans="12:15" ht="15.75" customHeight="1" x14ac:dyDescent="0.25">
      <c r="L960" s="6"/>
      <c r="M960" s="6"/>
      <c r="N960" s="8"/>
      <c r="O960" s="8"/>
    </row>
    <row r="961" spans="12:15" ht="15.75" customHeight="1" x14ac:dyDescent="0.25">
      <c r="L961" s="6"/>
      <c r="M961" s="6"/>
      <c r="N961" s="8"/>
      <c r="O961" s="8"/>
    </row>
    <row r="962" spans="12:15" ht="15.75" customHeight="1" x14ac:dyDescent="0.25">
      <c r="L962" s="6"/>
      <c r="M962" s="6"/>
      <c r="N962" s="8"/>
      <c r="O962" s="8"/>
    </row>
    <row r="963" spans="12:15" ht="15.75" customHeight="1" x14ac:dyDescent="0.25">
      <c r="L963" s="6"/>
      <c r="M963" s="6"/>
      <c r="N963" s="8"/>
      <c r="O963" s="8"/>
    </row>
    <row r="964" spans="12:15" ht="15.75" customHeight="1" x14ac:dyDescent="0.25">
      <c r="L964" s="6"/>
      <c r="M964" s="6"/>
      <c r="N964" s="8"/>
      <c r="O964" s="8"/>
    </row>
    <row r="965" spans="12:15" ht="15.75" customHeight="1" x14ac:dyDescent="0.25">
      <c r="L965" s="6"/>
      <c r="M965" s="6"/>
      <c r="N965" s="8"/>
      <c r="O965" s="8"/>
    </row>
    <row r="966" spans="12:15" ht="15.75" customHeight="1" x14ac:dyDescent="0.25">
      <c r="L966" s="6"/>
      <c r="M966" s="6"/>
      <c r="N966" s="8"/>
      <c r="O966" s="8"/>
    </row>
    <row r="967" spans="12:15" ht="15.75" customHeight="1" x14ac:dyDescent="0.25">
      <c r="L967" s="6"/>
      <c r="M967" s="6"/>
      <c r="N967" s="8"/>
      <c r="O967" s="8"/>
    </row>
    <row r="968" spans="12:15" ht="15.75" customHeight="1" x14ac:dyDescent="0.25">
      <c r="L968" s="6"/>
      <c r="M968" s="6"/>
      <c r="N968" s="8"/>
      <c r="O968" s="8"/>
    </row>
    <row r="969" spans="12:15" ht="15.75" customHeight="1" x14ac:dyDescent="0.25">
      <c r="L969" s="6"/>
      <c r="M969" s="6"/>
      <c r="N969" s="8"/>
      <c r="O969" s="8"/>
    </row>
    <row r="970" spans="12:15" ht="15.75" customHeight="1" x14ac:dyDescent="0.25">
      <c r="L970" s="6"/>
      <c r="M970" s="6"/>
      <c r="N970" s="8"/>
      <c r="O970" s="8"/>
    </row>
    <row r="971" spans="12:15" ht="15.75" customHeight="1" x14ac:dyDescent="0.25">
      <c r="L971" s="6"/>
      <c r="M971" s="6"/>
      <c r="N971" s="8"/>
      <c r="O971" s="8"/>
    </row>
    <row r="972" spans="12:15" ht="15.75" customHeight="1" x14ac:dyDescent="0.25">
      <c r="L972" s="6"/>
      <c r="M972" s="6"/>
      <c r="N972" s="8"/>
      <c r="O972" s="8"/>
    </row>
    <row r="973" spans="12:15" ht="15.75" customHeight="1" x14ac:dyDescent="0.25">
      <c r="L973" s="6"/>
      <c r="M973" s="6"/>
      <c r="N973" s="8"/>
      <c r="O973" s="8"/>
    </row>
    <row r="974" spans="12:15" ht="15.75" customHeight="1" x14ac:dyDescent="0.25">
      <c r="L974" s="6"/>
      <c r="M974" s="6"/>
      <c r="N974" s="8"/>
      <c r="O974" s="8"/>
    </row>
    <row r="975" spans="12:15" ht="15.75" customHeight="1" x14ac:dyDescent="0.25">
      <c r="L975" s="6"/>
      <c r="M975" s="6"/>
      <c r="N975" s="8"/>
      <c r="O975" s="8"/>
    </row>
    <row r="976" spans="12:15" ht="15.75" customHeight="1" x14ac:dyDescent="0.25">
      <c r="L976" s="6"/>
      <c r="M976" s="6"/>
      <c r="N976" s="8"/>
      <c r="O976" s="8"/>
    </row>
    <row r="977" spans="12:15" ht="15.75" customHeight="1" x14ac:dyDescent="0.25">
      <c r="L977" s="6"/>
      <c r="M977" s="6"/>
      <c r="N977" s="8"/>
      <c r="O977" s="8"/>
    </row>
    <row r="978" spans="12:15" ht="15.75" customHeight="1" x14ac:dyDescent="0.25">
      <c r="L978" s="6"/>
      <c r="M978" s="6"/>
      <c r="N978" s="8"/>
      <c r="O978" s="8"/>
    </row>
    <row r="979" spans="12:15" ht="15.75" customHeight="1" x14ac:dyDescent="0.25">
      <c r="L979" s="6"/>
      <c r="M979" s="6"/>
      <c r="N979" s="8"/>
      <c r="O979" s="8"/>
    </row>
    <row r="980" spans="12:15" ht="15.75" customHeight="1" x14ac:dyDescent="0.25">
      <c r="L980" s="6"/>
      <c r="M980" s="6"/>
      <c r="N980" s="8"/>
      <c r="O980" s="8"/>
    </row>
    <row r="981" spans="12:15" ht="15.75" customHeight="1" x14ac:dyDescent="0.25">
      <c r="L981" s="6"/>
      <c r="M981" s="6"/>
      <c r="N981" s="8"/>
      <c r="O981" s="8"/>
    </row>
    <row r="982" spans="12:15" ht="15.75" customHeight="1" x14ac:dyDescent="0.25">
      <c r="L982" s="6"/>
      <c r="M982" s="6"/>
      <c r="N982" s="8"/>
      <c r="O982" s="8"/>
    </row>
    <row r="983" spans="12:15" ht="15.75" customHeight="1" x14ac:dyDescent="0.25">
      <c r="L983" s="6"/>
      <c r="M983" s="6"/>
      <c r="N983" s="8"/>
      <c r="O983" s="8"/>
    </row>
    <row r="984" spans="12:15" ht="15.75" customHeight="1" x14ac:dyDescent="0.25">
      <c r="L984" s="6"/>
      <c r="M984" s="6"/>
      <c r="N984" s="8"/>
      <c r="O984" s="8"/>
    </row>
    <row r="985" spans="12:15" ht="15.75" customHeight="1" x14ac:dyDescent="0.25">
      <c r="L985" s="6"/>
      <c r="M985" s="6"/>
      <c r="N985" s="8"/>
      <c r="O985" s="8"/>
    </row>
    <row r="986" spans="12:15" ht="15.75" customHeight="1" x14ac:dyDescent="0.25">
      <c r="L986" s="6"/>
      <c r="M986" s="6"/>
      <c r="N986" s="8"/>
      <c r="O986" s="8"/>
    </row>
    <row r="987" spans="12:15" ht="15.75" customHeight="1" x14ac:dyDescent="0.25">
      <c r="L987" s="6"/>
      <c r="M987" s="6"/>
      <c r="N987" s="8"/>
      <c r="O987" s="8"/>
    </row>
    <row r="988" spans="12:15" ht="15.75" customHeight="1" x14ac:dyDescent="0.25">
      <c r="L988" s="6"/>
      <c r="M988" s="6"/>
      <c r="N988" s="8"/>
      <c r="O988" s="8"/>
    </row>
    <row r="989" spans="12:15" ht="15.75" customHeight="1" x14ac:dyDescent="0.25">
      <c r="L989" s="6"/>
      <c r="M989" s="6"/>
      <c r="N989" s="8"/>
      <c r="O989" s="8"/>
    </row>
    <row r="990" spans="12:15" ht="15.75" customHeight="1" x14ac:dyDescent="0.25">
      <c r="L990" s="6"/>
      <c r="M990" s="6"/>
      <c r="N990" s="8"/>
      <c r="O990" s="8"/>
    </row>
    <row r="991" spans="12:15" ht="15.75" customHeight="1" x14ac:dyDescent="0.25">
      <c r="L991" s="6"/>
      <c r="M991" s="6"/>
      <c r="N991" s="8"/>
      <c r="O991" s="8"/>
    </row>
    <row r="992" spans="12:15" ht="15.75" customHeight="1" x14ac:dyDescent="0.25">
      <c r="L992" s="6"/>
      <c r="M992" s="6"/>
      <c r="N992" s="8"/>
      <c r="O992" s="8"/>
    </row>
    <row r="993" spans="12:15" ht="15.75" customHeight="1" x14ac:dyDescent="0.25">
      <c r="L993" s="6"/>
      <c r="M993" s="6"/>
      <c r="N993" s="8"/>
      <c r="O993" s="8"/>
    </row>
    <row r="994" spans="12:15" ht="15.75" customHeight="1" x14ac:dyDescent="0.25">
      <c r="L994" s="6"/>
      <c r="M994" s="6"/>
      <c r="N994" s="8"/>
      <c r="O994" s="8"/>
    </row>
    <row r="995" spans="12:15" ht="15.75" customHeight="1" x14ac:dyDescent="0.25">
      <c r="L995" s="6"/>
      <c r="M995" s="6"/>
      <c r="N995" s="8"/>
      <c r="O995" s="8"/>
    </row>
    <row r="996" spans="12:15" ht="15.75" customHeight="1" x14ac:dyDescent="0.25">
      <c r="L996" s="6"/>
      <c r="M996" s="6"/>
      <c r="N996" s="8"/>
      <c r="O996" s="8"/>
    </row>
    <row r="997" spans="12:15" ht="15.75" customHeight="1" x14ac:dyDescent="0.25">
      <c r="L997" s="6"/>
      <c r="M997" s="6"/>
      <c r="N997" s="8"/>
      <c r="O997" s="8"/>
    </row>
    <row r="998" spans="12:15" ht="15.75" customHeight="1" x14ac:dyDescent="0.25">
      <c r="L998" s="6"/>
      <c r="M998" s="6"/>
      <c r="N998" s="8"/>
      <c r="O998" s="8"/>
    </row>
    <row r="999" spans="12:15" ht="15.75" customHeight="1" x14ac:dyDescent="0.25">
      <c r="L999" s="6"/>
      <c r="M999" s="6"/>
      <c r="N999" s="8"/>
      <c r="O999" s="8"/>
    </row>
    <row r="1000" spans="12:15" ht="15.75" customHeight="1" x14ac:dyDescent="0.25">
      <c r="L1000" s="6"/>
      <c r="M1000" s="6"/>
      <c r="N1000" s="8"/>
      <c r="O1000" s="8"/>
    </row>
  </sheetData>
  <mergeCells count="635">
    <mergeCell ref="I432:J432"/>
    <mergeCell ref="I433:J433"/>
    <mergeCell ref="C429:F429"/>
    <mergeCell ref="I429:J429"/>
    <mergeCell ref="I430:J430"/>
    <mergeCell ref="C431:F431"/>
    <mergeCell ref="I431:J431"/>
    <mergeCell ref="C432:F432"/>
    <mergeCell ref="C433:F433"/>
    <mergeCell ref="I427:J427"/>
    <mergeCell ref="I428:J428"/>
    <mergeCell ref="B418:K418"/>
    <mergeCell ref="B420:J420"/>
    <mergeCell ref="B421:J421"/>
    <mergeCell ref="B423:J423"/>
    <mergeCell ref="B425:K425"/>
    <mergeCell ref="C427:F427"/>
    <mergeCell ref="C428:F428"/>
    <mergeCell ref="I416:J416"/>
    <mergeCell ref="I417:J417"/>
    <mergeCell ref="B412:F412"/>
    <mergeCell ref="I412:J412"/>
    <mergeCell ref="B414:K414"/>
    <mergeCell ref="B415:F415"/>
    <mergeCell ref="I415:J415"/>
    <mergeCell ref="B416:F416"/>
    <mergeCell ref="B417:F417"/>
    <mergeCell ref="I407:J407"/>
    <mergeCell ref="I410:J410"/>
    <mergeCell ref="I411:J411"/>
    <mergeCell ref="B407:F407"/>
    <mergeCell ref="B408:F408"/>
    <mergeCell ref="I408:J408"/>
    <mergeCell ref="B409:F409"/>
    <mergeCell ref="I409:J409"/>
    <mergeCell ref="B410:F410"/>
    <mergeCell ref="B411:F411"/>
    <mergeCell ref="B401:F401"/>
    <mergeCell ref="I401:J401"/>
    <mergeCell ref="I402:J402"/>
    <mergeCell ref="B402:F402"/>
    <mergeCell ref="B403:F403"/>
    <mergeCell ref="I403:J403"/>
    <mergeCell ref="B404:F404"/>
    <mergeCell ref="I404:J404"/>
    <mergeCell ref="B406:K406"/>
    <mergeCell ref="B394:F394"/>
    <mergeCell ref="I394:J394"/>
    <mergeCell ref="B396:K396"/>
    <mergeCell ref="B397:F397"/>
    <mergeCell ref="B398:F398"/>
    <mergeCell ref="B399:F399"/>
    <mergeCell ref="I399:J399"/>
    <mergeCell ref="B400:F400"/>
    <mergeCell ref="I400:J400"/>
    <mergeCell ref="B377:F377"/>
    <mergeCell ref="I377:J377"/>
    <mergeCell ref="I378:J378"/>
    <mergeCell ref="B450:J450"/>
    <mergeCell ref="B454:J454"/>
    <mergeCell ref="B456:J456"/>
    <mergeCell ref="B378:F378"/>
    <mergeCell ref="B380:K380"/>
    <mergeCell ref="B381:F381"/>
    <mergeCell ref="I381:J381"/>
    <mergeCell ref="B382:F382"/>
    <mergeCell ref="I382:J382"/>
    <mergeCell ref="I383:J383"/>
    <mergeCell ref="B383:F383"/>
    <mergeCell ref="B384:F384"/>
    <mergeCell ref="I384:J384"/>
    <mergeCell ref="B385:F385"/>
    <mergeCell ref="I385:J385"/>
    <mergeCell ref="B386:F386"/>
    <mergeCell ref="I386:J386"/>
    <mergeCell ref="I397:J397"/>
    <mergeCell ref="I398:J398"/>
    <mergeCell ref="B393:F393"/>
    <mergeCell ref="I393:J393"/>
    <mergeCell ref="I369:J369"/>
    <mergeCell ref="B371:K371"/>
    <mergeCell ref="B372:F372"/>
    <mergeCell ref="I372:J372"/>
    <mergeCell ref="B373:F373"/>
    <mergeCell ref="B374:F374"/>
    <mergeCell ref="B375:F375"/>
    <mergeCell ref="I375:J375"/>
    <mergeCell ref="B376:F376"/>
    <mergeCell ref="I376:J376"/>
    <mergeCell ref="C445:G445"/>
    <mergeCell ref="I445:J445"/>
    <mergeCell ref="C446:G446"/>
    <mergeCell ref="I446:J446"/>
    <mergeCell ref="B447:J447"/>
    <mergeCell ref="B355:K355"/>
    <mergeCell ref="B357:J357"/>
    <mergeCell ref="B358:J358"/>
    <mergeCell ref="B360:K360"/>
    <mergeCell ref="B362:K362"/>
    <mergeCell ref="I363:J363"/>
    <mergeCell ref="I364:J364"/>
    <mergeCell ref="I367:J367"/>
    <mergeCell ref="I368:J368"/>
    <mergeCell ref="B364:F364"/>
    <mergeCell ref="B365:F365"/>
    <mergeCell ref="I365:J365"/>
    <mergeCell ref="B366:F366"/>
    <mergeCell ref="I366:J366"/>
    <mergeCell ref="B367:F367"/>
    <mergeCell ref="B368:F368"/>
    <mergeCell ref="I373:J373"/>
    <mergeCell ref="I374:J374"/>
    <mergeCell ref="B369:F369"/>
    <mergeCell ref="C434:F434"/>
    <mergeCell ref="I434:J434"/>
    <mergeCell ref="C435:F435"/>
    <mergeCell ref="I435:J435"/>
    <mergeCell ref="B436:J436"/>
    <mergeCell ref="B439:J439"/>
    <mergeCell ref="B442:K442"/>
    <mergeCell ref="C444:G444"/>
    <mergeCell ref="I444:J444"/>
    <mergeCell ref="I391:J391"/>
    <mergeCell ref="I392:J392"/>
    <mergeCell ref="B388:K388"/>
    <mergeCell ref="B389:F389"/>
    <mergeCell ref="I389:J389"/>
    <mergeCell ref="B390:F390"/>
    <mergeCell ref="I390:J390"/>
    <mergeCell ref="B391:F391"/>
    <mergeCell ref="B392:F392"/>
    <mergeCell ref="I341:J341"/>
    <mergeCell ref="I342:J342"/>
    <mergeCell ref="B337:F337"/>
    <mergeCell ref="I337:J337"/>
    <mergeCell ref="B338:F338"/>
    <mergeCell ref="I338:J338"/>
    <mergeCell ref="B340:K340"/>
    <mergeCell ref="B341:F341"/>
    <mergeCell ref="B342:F342"/>
    <mergeCell ref="M284:M295"/>
    <mergeCell ref="M299:M310"/>
    <mergeCell ref="M312:M318"/>
    <mergeCell ref="I307:J307"/>
    <mergeCell ref="I308:J308"/>
    <mergeCell ref="B309:F309"/>
    <mergeCell ref="I309:J309"/>
    <mergeCell ref="B310:F310"/>
    <mergeCell ref="I310:J310"/>
    <mergeCell ref="B312:K312"/>
    <mergeCell ref="B294:F294"/>
    <mergeCell ref="B295:F295"/>
    <mergeCell ref="I283:J283"/>
    <mergeCell ref="B284:F284"/>
    <mergeCell ref="I284:J284"/>
    <mergeCell ref="B285:F285"/>
    <mergeCell ref="B286:F286"/>
    <mergeCell ref="B287:F287"/>
    <mergeCell ref="B288:F288"/>
    <mergeCell ref="I289:J289"/>
    <mergeCell ref="I290:J290"/>
    <mergeCell ref="B266:F266"/>
    <mergeCell ref="I266:J266"/>
    <mergeCell ref="B268:K268"/>
    <mergeCell ref="B269:F269"/>
    <mergeCell ref="B270:F270"/>
    <mergeCell ref="B271:F271"/>
    <mergeCell ref="I271:J271"/>
    <mergeCell ref="B272:K275"/>
    <mergeCell ref="B277:J277"/>
    <mergeCell ref="B317:F317"/>
    <mergeCell ref="I317:J317"/>
    <mergeCell ref="B313:F313"/>
    <mergeCell ref="I313:J313"/>
    <mergeCell ref="B314:F314"/>
    <mergeCell ref="I314:J314"/>
    <mergeCell ref="B315:F315"/>
    <mergeCell ref="I315:J315"/>
    <mergeCell ref="I316:J316"/>
    <mergeCell ref="I269:J269"/>
    <mergeCell ref="I270:J270"/>
    <mergeCell ref="I285:J285"/>
    <mergeCell ref="I286:J286"/>
    <mergeCell ref="I287:J287"/>
    <mergeCell ref="I288:J288"/>
    <mergeCell ref="I295:J295"/>
    <mergeCell ref="I299:J299"/>
    <mergeCell ref="I300:J300"/>
    <mergeCell ref="I293:J293"/>
    <mergeCell ref="I294:J294"/>
    <mergeCell ref="B297:K297"/>
    <mergeCell ref="B298:F298"/>
    <mergeCell ref="I298:J298"/>
    <mergeCell ref="B299:F299"/>
    <mergeCell ref="B300:F300"/>
    <mergeCell ref="B278:J278"/>
    <mergeCell ref="B280:K280"/>
    <mergeCell ref="B282:K282"/>
    <mergeCell ref="B289:F289"/>
    <mergeCell ref="B290:F290"/>
    <mergeCell ref="B291:F291"/>
    <mergeCell ref="B292:F292"/>
    <mergeCell ref="B293:F293"/>
    <mergeCell ref="B351:K351"/>
    <mergeCell ref="B352:F352"/>
    <mergeCell ref="I352:J352"/>
    <mergeCell ref="B353:F353"/>
    <mergeCell ref="I353:J353"/>
    <mergeCell ref="B354:F354"/>
    <mergeCell ref="I354:J354"/>
    <mergeCell ref="I291:J291"/>
    <mergeCell ref="I292:J292"/>
    <mergeCell ref="B301:F301"/>
    <mergeCell ref="I301:J301"/>
    <mergeCell ref="B302:F302"/>
    <mergeCell ref="I302:J302"/>
    <mergeCell ref="B303:F303"/>
    <mergeCell ref="I303:J303"/>
    <mergeCell ref="I304:J304"/>
    <mergeCell ref="B304:F304"/>
    <mergeCell ref="B305:F305"/>
    <mergeCell ref="I305:J305"/>
    <mergeCell ref="B306:F306"/>
    <mergeCell ref="I306:J306"/>
    <mergeCell ref="B307:F307"/>
    <mergeCell ref="B308:F308"/>
    <mergeCell ref="B316:F316"/>
    <mergeCell ref="B331:F331"/>
    <mergeCell ref="I331:J331"/>
    <mergeCell ref="I332:J332"/>
    <mergeCell ref="I335:J335"/>
    <mergeCell ref="I336:J336"/>
    <mergeCell ref="B332:F332"/>
    <mergeCell ref="B333:F333"/>
    <mergeCell ref="I333:J333"/>
    <mergeCell ref="B334:F334"/>
    <mergeCell ref="I334:J334"/>
    <mergeCell ref="B335:F335"/>
    <mergeCell ref="B336:F336"/>
    <mergeCell ref="B348:F348"/>
    <mergeCell ref="I348:J348"/>
    <mergeCell ref="B349:F349"/>
    <mergeCell ref="I349:J349"/>
    <mergeCell ref="I322:J322"/>
    <mergeCell ref="I323:J323"/>
    <mergeCell ref="B318:F318"/>
    <mergeCell ref="I318:J318"/>
    <mergeCell ref="B320:K320"/>
    <mergeCell ref="B321:F321"/>
    <mergeCell ref="I321:J321"/>
    <mergeCell ref="B322:F322"/>
    <mergeCell ref="B323:F323"/>
    <mergeCell ref="B324:F324"/>
    <mergeCell ref="I324:J324"/>
    <mergeCell ref="B325:F325"/>
    <mergeCell ref="I325:J325"/>
    <mergeCell ref="B326:F326"/>
    <mergeCell ref="I326:J326"/>
    <mergeCell ref="B328:K328"/>
    <mergeCell ref="B329:F329"/>
    <mergeCell ref="I329:J329"/>
    <mergeCell ref="B330:F330"/>
    <mergeCell ref="I330:J330"/>
    <mergeCell ref="B343:F343"/>
    <mergeCell ref="I343:J343"/>
    <mergeCell ref="B344:F344"/>
    <mergeCell ref="I344:J344"/>
    <mergeCell ref="B345:F345"/>
    <mergeCell ref="I345:J345"/>
    <mergeCell ref="I346:J346"/>
    <mergeCell ref="B346:F346"/>
    <mergeCell ref="B347:F347"/>
    <mergeCell ref="I347:J347"/>
    <mergeCell ref="B260:F260"/>
    <mergeCell ref="I260:J260"/>
    <mergeCell ref="B261:F261"/>
    <mergeCell ref="I261:J261"/>
    <mergeCell ref="B262:F262"/>
    <mergeCell ref="I262:J262"/>
    <mergeCell ref="B263:F263"/>
    <mergeCell ref="I263:J263"/>
    <mergeCell ref="B264:F264"/>
    <mergeCell ref="I264:J264"/>
    <mergeCell ref="B258:F258"/>
    <mergeCell ref="B259:F259"/>
    <mergeCell ref="I240:J240"/>
    <mergeCell ref="B241:F241"/>
    <mergeCell ref="I241:J241"/>
    <mergeCell ref="B242:F242"/>
    <mergeCell ref="I242:J242"/>
    <mergeCell ref="B243:K243"/>
    <mergeCell ref="M245:M254"/>
    <mergeCell ref="I259:J259"/>
    <mergeCell ref="B254:F254"/>
    <mergeCell ref="I254:J254"/>
    <mergeCell ref="B255:F255"/>
    <mergeCell ref="I255:J255"/>
    <mergeCell ref="B257:K257"/>
    <mergeCell ref="M257:M265"/>
    <mergeCell ref="I258:J258"/>
    <mergeCell ref="B265:F265"/>
    <mergeCell ref="I265:J265"/>
    <mergeCell ref="B249:F249"/>
    <mergeCell ref="I249:J249"/>
    <mergeCell ref="B250:F250"/>
    <mergeCell ref="I250:J250"/>
    <mergeCell ref="B251:F251"/>
    <mergeCell ref="I251:J251"/>
    <mergeCell ref="B252:F252"/>
    <mergeCell ref="I252:J252"/>
    <mergeCell ref="B253:F253"/>
    <mergeCell ref="I253:J253"/>
    <mergeCell ref="B245:K245"/>
    <mergeCell ref="B246:F246"/>
    <mergeCell ref="I246:J246"/>
    <mergeCell ref="B247:F247"/>
    <mergeCell ref="I247:J247"/>
    <mergeCell ref="B248:F248"/>
    <mergeCell ref="I248:J248"/>
    <mergeCell ref="B234:F234"/>
    <mergeCell ref="I234:J234"/>
    <mergeCell ref="B236:K236"/>
    <mergeCell ref="I237:J237"/>
    <mergeCell ref="I238:J238"/>
    <mergeCell ref="I239:J239"/>
    <mergeCell ref="M228:M234"/>
    <mergeCell ref="B229:F229"/>
    <mergeCell ref="I229:J229"/>
    <mergeCell ref="B230:F230"/>
    <mergeCell ref="B231:F231"/>
    <mergeCell ref="B238:F238"/>
    <mergeCell ref="B239:F239"/>
    <mergeCell ref="B237:F237"/>
    <mergeCell ref="B240:F240"/>
    <mergeCell ref="M236:M241"/>
    <mergeCell ref="B223:F223"/>
    <mergeCell ref="I223:J223"/>
    <mergeCell ref="I230:J230"/>
    <mergeCell ref="I231:J231"/>
    <mergeCell ref="B232:F232"/>
    <mergeCell ref="I232:J232"/>
    <mergeCell ref="B233:F233"/>
    <mergeCell ref="I233:J233"/>
    <mergeCell ref="B208:F208"/>
    <mergeCell ref="I208:J208"/>
    <mergeCell ref="B210:K210"/>
    <mergeCell ref="I211:J211"/>
    <mergeCell ref="I212:J212"/>
    <mergeCell ref="I213:J213"/>
    <mergeCell ref="B224:K226"/>
    <mergeCell ref="B228:K228"/>
    <mergeCell ref="B219:F219"/>
    <mergeCell ref="I219:J219"/>
    <mergeCell ref="B220:F220"/>
    <mergeCell ref="I220:J220"/>
    <mergeCell ref="B211:F211"/>
    <mergeCell ref="B214:F214"/>
    <mergeCell ref="B221:F221"/>
    <mergeCell ref="I221:J221"/>
    <mergeCell ref="B222:F222"/>
    <mergeCell ref="I222:J222"/>
    <mergeCell ref="I214:J214"/>
    <mergeCell ref="B215:F215"/>
    <mergeCell ref="I215:J215"/>
    <mergeCell ref="B216:F216"/>
    <mergeCell ref="I216:J216"/>
    <mergeCell ref="B217:F217"/>
    <mergeCell ref="I217:J217"/>
    <mergeCell ref="B218:F218"/>
    <mergeCell ref="I218:J218"/>
    <mergeCell ref="B212:F212"/>
    <mergeCell ref="B213:F213"/>
    <mergeCell ref="C190:H190"/>
    <mergeCell ref="B193:K193"/>
    <mergeCell ref="B195:K195"/>
    <mergeCell ref="I196:J196"/>
    <mergeCell ref="I197:J197"/>
    <mergeCell ref="M197:M208"/>
    <mergeCell ref="I198:J198"/>
    <mergeCell ref="M212:M226"/>
    <mergeCell ref="B203:F203"/>
    <mergeCell ref="I203:J203"/>
    <mergeCell ref="B204:F204"/>
    <mergeCell ref="I204:J204"/>
    <mergeCell ref="B205:F205"/>
    <mergeCell ref="I205:J205"/>
    <mergeCell ref="B206:F206"/>
    <mergeCell ref="I206:J206"/>
    <mergeCell ref="B207:F207"/>
    <mergeCell ref="I207:J207"/>
    <mergeCell ref="I199:J199"/>
    <mergeCell ref="B200:F200"/>
    <mergeCell ref="I200:J200"/>
    <mergeCell ref="B201:F201"/>
    <mergeCell ref="I201:J201"/>
    <mergeCell ref="B202:F202"/>
    <mergeCell ref="I202:J202"/>
    <mergeCell ref="B196:F196"/>
    <mergeCell ref="B199:F199"/>
    <mergeCell ref="C187:H187"/>
    <mergeCell ref="I187:J187"/>
    <mergeCell ref="C188:H188"/>
    <mergeCell ref="I188:J188"/>
    <mergeCell ref="C189:H189"/>
    <mergeCell ref="I189:J189"/>
    <mergeCell ref="I190:J190"/>
    <mergeCell ref="B197:F197"/>
    <mergeCell ref="B198:F198"/>
    <mergeCell ref="C182:H182"/>
    <mergeCell ref="I182:J182"/>
    <mergeCell ref="I183:J183"/>
    <mergeCell ref="C183:H183"/>
    <mergeCell ref="C184:H184"/>
    <mergeCell ref="I184:J184"/>
    <mergeCell ref="C185:H185"/>
    <mergeCell ref="I185:J185"/>
    <mergeCell ref="C186:H186"/>
    <mergeCell ref="I186:J186"/>
    <mergeCell ref="C177:H177"/>
    <mergeCell ref="I177:J177"/>
    <mergeCell ref="C178:H178"/>
    <mergeCell ref="I178:J178"/>
    <mergeCell ref="C179:H179"/>
    <mergeCell ref="I179:J179"/>
    <mergeCell ref="C180:H180"/>
    <mergeCell ref="I180:J180"/>
    <mergeCell ref="C181:H181"/>
    <mergeCell ref="I181:J181"/>
    <mergeCell ref="C172:H172"/>
    <mergeCell ref="I172:J172"/>
    <mergeCell ref="C173:H173"/>
    <mergeCell ref="I173:J173"/>
    <mergeCell ref="C174:H174"/>
    <mergeCell ref="I174:J174"/>
    <mergeCell ref="C175:H175"/>
    <mergeCell ref="I175:J175"/>
    <mergeCell ref="I176:J176"/>
    <mergeCell ref="C176:H176"/>
    <mergeCell ref="C167:H167"/>
    <mergeCell ref="I167:J167"/>
    <mergeCell ref="C168:H168"/>
    <mergeCell ref="I168:J168"/>
    <mergeCell ref="I169:J169"/>
    <mergeCell ref="C169:H169"/>
    <mergeCell ref="C170:H170"/>
    <mergeCell ref="I170:J170"/>
    <mergeCell ref="C171:H171"/>
    <mergeCell ref="I171:J171"/>
    <mergeCell ref="B158:F158"/>
    <mergeCell ref="I158:J158"/>
    <mergeCell ref="B159:J159"/>
    <mergeCell ref="B162:K162"/>
    <mergeCell ref="B164:K164"/>
    <mergeCell ref="C165:H165"/>
    <mergeCell ref="I165:J165"/>
    <mergeCell ref="C166:H166"/>
    <mergeCell ref="I166:J166"/>
    <mergeCell ref="I156:J156"/>
    <mergeCell ref="I157:J157"/>
    <mergeCell ref="B150:F150"/>
    <mergeCell ref="I150:J150"/>
    <mergeCell ref="B151:F151"/>
    <mergeCell ref="I151:J151"/>
    <mergeCell ref="B152:F152"/>
    <mergeCell ref="I152:J152"/>
    <mergeCell ref="I153:J153"/>
    <mergeCell ref="B153:F153"/>
    <mergeCell ref="B154:F154"/>
    <mergeCell ref="I154:J154"/>
    <mergeCell ref="B155:F155"/>
    <mergeCell ref="I155:J155"/>
    <mergeCell ref="B156:F156"/>
    <mergeCell ref="B157:F157"/>
    <mergeCell ref="B130:F130"/>
    <mergeCell ref="I130:J130"/>
    <mergeCell ref="B131:F131"/>
    <mergeCell ref="I131:J131"/>
    <mergeCell ref="I132:J132"/>
    <mergeCell ref="I135:J135"/>
    <mergeCell ref="I136:J136"/>
    <mergeCell ref="B132:F132"/>
    <mergeCell ref="B133:F133"/>
    <mergeCell ref="I133:J133"/>
    <mergeCell ref="B134:F134"/>
    <mergeCell ref="I134:J134"/>
    <mergeCell ref="B135:F135"/>
    <mergeCell ref="B136:F136"/>
    <mergeCell ref="C117:G117"/>
    <mergeCell ref="C118:G118"/>
    <mergeCell ref="C119:I119"/>
    <mergeCell ref="B120:J120"/>
    <mergeCell ref="B121:H121"/>
    <mergeCell ref="B122:K122"/>
    <mergeCell ref="B124:J124"/>
    <mergeCell ref="B127:K127"/>
    <mergeCell ref="B129:K129"/>
    <mergeCell ref="B141:F141"/>
    <mergeCell ref="I141:J141"/>
    <mergeCell ref="B142:F142"/>
    <mergeCell ref="I142:J142"/>
    <mergeCell ref="B143:F143"/>
    <mergeCell ref="B144:F144"/>
    <mergeCell ref="I148:J148"/>
    <mergeCell ref="I149:J149"/>
    <mergeCell ref="I143:J143"/>
    <mergeCell ref="I144:J144"/>
    <mergeCell ref="B146:K146"/>
    <mergeCell ref="B147:F147"/>
    <mergeCell ref="I147:J147"/>
    <mergeCell ref="B148:F148"/>
    <mergeCell ref="B149:F149"/>
    <mergeCell ref="B96:H96"/>
    <mergeCell ref="B98:K98"/>
    <mergeCell ref="B137:F137"/>
    <mergeCell ref="I137:J137"/>
    <mergeCell ref="B138:F138"/>
    <mergeCell ref="I138:J138"/>
    <mergeCell ref="B139:F139"/>
    <mergeCell ref="I139:J139"/>
    <mergeCell ref="I140:J140"/>
    <mergeCell ref="B140:F140"/>
    <mergeCell ref="C99:G99"/>
    <mergeCell ref="C100:G100"/>
    <mergeCell ref="B101:B102"/>
    <mergeCell ref="C101:G102"/>
    <mergeCell ref="C107:G107"/>
    <mergeCell ref="C108:I108"/>
    <mergeCell ref="C109:I109"/>
    <mergeCell ref="C110:I110"/>
    <mergeCell ref="C111:I111"/>
    <mergeCell ref="C112:I112"/>
    <mergeCell ref="C113:I113"/>
    <mergeCell ref="C114:I114"/>
    <mergeCell ref="C115:G115"/>
    <mergeCell ref="C116:G116"/>
    <mergeCell ref="C87:I87"/>
    <mergeCell ref="C88:I88"/>
    <mergeCell ref="C89:I89"/>
    <mergeCell ref="C90:G90"/>
    <mergeCell ref="C91:G91"/>
    <mergeCell ref="C92:G92"/>
    <mergeCell ref="C93:G93"/>
    <mergeCell ref="C94:I94"/>
    <mergeCell ref="B95:J95"/>
    <mergeCell ref="B75:H75"/>
    <mergeCell ref="B77:K77"/>
    <mergeCell ref="C78:G78"/>
    <mergeCell ref="C79:G79"/>
    <mergeCell ref="C82:G82"/>
    <mergeCell ref="C83:I83"/>
    <mergeCell ref="C84:I84"/>
    <mergeCell ref="C85:I85"/>
    <mergeCell ref="C86:I86"/>
    <mergeCell ref="C66:I66"/>
    <mergeCell ref="C67:I67"/>
    <mergeCell ref="C68:G68"/>
    <mergeCell ref="C69:G69"/>
    <mergeCell ref="C70:G70"/>
    <mergeCell ref="C71:G71"/>
    <mergeCell ref="C72:G72"/>
    <mergeCell ref="C73:I73"/>
    <mergeCell ref="B74:J74"/>
    <mergeCell ref="B54:B55"/>
    <mergeCell ref="C54:G55"/>
    <mergeCell ref="C59:G59"/>
    <mergeCell ref="C60:G60"/>
    <mergeCell ref="C61:I61"/>
    <mergeCell ref="C62:I62"/>
    <mergeCell ref="C63:I63"/>
    <mergeCell ref="C64:I64"/>
    <mergeCell ref="C65:I65"/>
    <mergeCell ref="C44:G44"/>
    <mergeCell ref="C45:G45"/>
    <mergeCell ref="C46:G46"/>
    <mergeCell ref="C47:I47"/>
    <mergeCell ref="B48:J48"/>
    <mergeCell ref="B49:H49"/>
    <mergeCell ref="B51:K51"/>
    <mergeCell ref="C52:G52"/>
    <mergeCell ref="C53:G53"/>
    <mergeCell ref="C35:I35"/>
    <mergeCell ref="C36:I36"/>
    <mergeCell ref="C37:I37"/>
    <mergeCell ref="C38:I38"/>
    <mergeCell ref="C39:I39"/>
    <mergeCell ref="C40:I40"/>
    <mergeCell ref="C41:I41"/>
    <mergeCell ref="C42:G42"/>
    <mergeCell ref="C43:G43"/>
    <mergeCell ref="I13:J13"/>
    <mergeCell ref="C14:G14"/>
    <mergeCell ref="I14:J14"/>
    <mergeCell ref="I15:J15"/>
    <mergeCell ref="I18:J18"/>
    <mergeCell ref="I19:J19"/>
    <mergeCell ref="C15:G15"/>
    <mergeCell ref="C16:G16"/>
    <mergeCell ref="I16:J16"/>
    <mergeCell ref="C17:G17"/>
    <mergeCell ref="I17:J17"/>
    <mergeCell ref="C18:G18"/>
    <mergeCell ref="C19:G19"/>
    <mergeCell ref="B28:K28"/>
    <mergeCell ref="B29:K29"/>
    <mergeCell ref="C30:G30"/>
    <mergeCell ref="C31:G31"/>
    <mergeCell ref="C34:G34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  <mergeCell ref="C12:G12"/>
    <mergeCell ref="I12:J12"/>
    <mergeCell ref="C13:G13"/>
    <mergeCell ref="C20:G20"/>
    <mergeCell ref="I20:J20"/>
    <mergeCell ref="C21:G21"/>
    <mergeCell ref="I21:J21"/>
    <mergeCell ref="B22:J22"/>
    <mergeCell ref="B23:J23"/>
    <mergeCell ref="I24:J24"/>
    <mergeCell ref="B24:G24"/>
    <mergeCell ref="B27:K27"/>
  </mergeCell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00"/>
  <sheetViews>
    <sheetView workbookViewId="0"/>
  </sheetViews>
  <sheetFormatPr defaultColWidth="14.42578125" defaultRowHeight="15" customHeight="1" x14ac:dyDescent="0.25"/>
  <cols>
    <col min="1" max="10" width="14.28515625" customWidth="1"/>
    <col min="11" max="11" width="18.5703125" customWidth="1"/>
    <col min="12" max="12" width="31" customWidth="1"/>
    <col min="13" max="26" width="14.28515625" customWidth="1"/>
  </cols>
  <sheetData>
    <row r="1" spans="1:15" ht="15.75" customHeight="1" x14ac:dyDescent="0.25">
      <c r="A1" s="5"/>
      <c r="B1" s="7"/>
      <c r="C1" s="7"/>
      <c r="D1" s="7"/>
      <c r="E1" s="7"/>
      <c r="F1" s="7"/>
      <c r="G1" s="7"/>
      <c r="H1" s="7"/>
      <c r="I1" s="7"/>
      <c r="J1" s="7"/>
      <c r="K1" s="10"/>
      <c r="L1" s="6"/>
      <c r="M1" s="8"/>
      <c r="N1" s="8"/>
      <c r="O1" s="8"/>
    </row>
    <row r="2" spans="1:15" ht="15.75" customHeight="1" x14ac:dyDescent="0.25">
      <c r="A2" s="7"/>
      <c r="B2" s="696" t="s">
        <v>27</v>
      </c>
      <c r="C2" s="532"/>
      <c r="D2" s="532"/>
      <c r="E2" s="532"/>
      <c r="F2" s="532"/>
      <c r="G2" s="532"/>
      <c r="H2" s="532"/>
      <c r="I2" s="532"/>
      <c r="J2" s="532"/>
      <c r="K2" s="533"/>
      <c r="L2" s="6"/>
      <c r="M2" s="8"/>
      <c r="N2" s="8"/>
      <c r="O2" s="8"/>
    </row>
    <row r="3" spans="1:15" ht="15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10"/>
      <c r="L3" s="6"/>
      <c r="M3" s="8"/>
      <c r="N3" s="8"/>
      <c r="O3" s="8"/>
    </row>
    <row r="4" spans="1:15" ht="15.75" customHeight="1" x14ac:dyDescent="0.25">
      <c r="A4" s="7"/>
      <c r="B4" s="697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8"/>
      <c r="N4" s="8"/>
      <c r="O4" s="8"/>
    </row>
    <row r="5" spans="1:15" ht="15.75" customHeight="1" x14ac:dyDescent="0.25">
      <c r="A5" s="7"/>
      <c r="B5" s="586" t="s">
        <v>31</v>
      </c>
      <c r="C5" s="537"/>
      <c r="D5" s="537"/>
      <c r="E5" s="537"/>
      <c r="F5" s="537"/>
      <c r="G5" s="538"/>
      <c r="H5" s="20" t="s">
        <v>32</v>
      </c>
      <c r="I5" s="698" t="s">
        <v>33</v>
      </c>
      <c r="J5" s="538"/>
      <c r="K5" s="22" t="s">
        <v>34</v>
      </c>
      <c r="L5" s="6"/>
      <c r="M5" s="8"/>
      <c r="N5" s="8"/>
      <c r="O5" s="8"/>
    </row>
    <row r="6" spans="1:15" ht="15.75" customHeight="1" x14ac:dyDescent="0.25">
      <c r="A6" s="10"/>
      <c r="B6" s="24" t="s">
        <v>39</v>
      </c>
      <c r="C6" s="699" t="s">
        <v>40</v>
      </c>
      <c r="D6" s="537"/>
      <c r="E6" s="537"/>
      <c r="F6" s="537"/>
      <c r="G6" s="538"/>
      <c r="H6" s="28">
        <f>SUM(H7:H18)</f>
        <v>14</v>
      </c>
      <c r="I6" s="700"/>
      <c r="J6" s="538"/>
      <c r="K6" s="32">
        <f>SUM(K7:K18)</f>
        <v>102201.62465215185</v>
      </c>
      <c r="L6" s="6"/>
      <c r="M6" s="8"/>
      <c r="N6" s="8"/>
      <c r="O6" s="8"/>
    </row>
    <row r="7" spans="1:15" ht="15.75" customHeight="1" x14ac:dyDescent="0.25">
      <c r="A7" s="10"/>
      <c r="B7" s="33" t="s">
        <v>53</v>
      </c>
      <c r="C7" s="702" t="s">
        <v>54</v>
      </c>
      <c r="D7" s="537"/>
      <c r="E7" s="537"/>
      <c r="F7" s="537"/>
      <c r="G7" s="538"/>
      <c r="H7" s="36">
        <v>1</v>
      </c>
      <c r="I7" s="701">
        <f>K48</f>
        <v>12578.929312692355</v>
      </c>
      <c r="J7" s="538"/>
      <c r="K7" s="42">
        <f t="shared" ref="K7:K18" si="0">I7*H7</f>
        <v>12578.929312692355</v>
      </c>
      <c r="L7" s="6"/>
      <c r="M7" s="8"/>
      <c r="N7" s="8"/>
      <c r="O7" s="8"/>
    </row>
    <row r="8" spans="1:15" ht="15.75" customHeight="1" x14ac:dyDescent="0.25">
      <c r="A8" s="10"/>
      <c r="B8" s="33" t="s">
        <v>59</v>
      </c>
      <c r="C8" s="702" t="s">
        <v>60</v>
      </c>
      <c r="D8" s="537"/>
      <c r="E8" s="537"/>
      <c r="F8" s="537"/>
      <c r="G8" s="538"/>
      <c r="H8" s="36">
        <v>1</v>
      </c>
      <c r="I8" s="701">
        <f>K69</f>
        <v>10130.342291755216</v>
      </c>
      <c r="J8" s="538"/>
      <c r="K8" s="42">
        <f t="shared" si="0"/>
        <v>10130.342291755216</v>
      </c>
      <c r="L8" s="6"/>
      <c r="M8" s="8"/>
      <c r="N8" s="8"/>
      <c r="O8" s="8"/>
    </row>
    <row r="9" spans="1:15" ht="15.75" customHeight="1" x14ac:dyDescent="0.25">
      <c r="A9" s="10"/>
      <c r="B9" s="33" t="s">
        <v>63</v>
      </c>
      <c r="C9" s="702" t="s">
        <v>64</v>
      </c>
      <c r="D9" s="537"/>
      <c r="E9" s="537"/>
      <c r="F9" s="537"/>
      <c r="G9" s="538"/>
      <c r="H9" s="36">
        <v>1</v>
      </c>
      <c r="I9" s="701">
        <f>K94</f>
        <v>11102.637751129234</v>
      </c>
      <c r="J9" s="538"/>
      <c r="K9" s="42">
        <f t="shared" si="0"/>
        <v>11102.637751129234</v>
      </c>
      <c r="L9" s="6"/>
      <c r="M9" s="8"/>
      <c r="N9" s="8"/>
      <c r="O9" s="8"/>
    </row>
    <row r="10" spans="1:15" ht="15.75" customHeight="1" x14ac:dyDescent="0.25">
      <c r="A10" s="10"/>
      <c r="B10" s="33" t="s">
        <v>67</v>
      </c>
      <c r="C10" s="702" t="s">
        <v>68</v>
      </c>
      <c r="D10" s="537"/>
      <c r="E10" s="537"/>
      <c r="F10" s="537"/>
      <c r="G10" s="538"/>
      <c r="H10" s="46">
        <v>1</v>
      </c>
      <c r="I10" s="701">
        <f>K113</f>
        <v>5130.0715059133481</v>
      </c>
      <c r="J10" s="538"/>
      <c r="K10" s="42">
        <f t="shared" si="0"/>
        <v>5130.0715059133481</v>
      </c>
      <c r="L10" s="6"/>
      <c r="M10" s="8"/>
      <c r="N10" s="8"/>
      <c r="O10" s="8"/>
    </row>
    <row r="11" spans="1:15" ht="15.75" customHeight="1" x14ac:dyDescent="0.25">
      <c r="A11" s="10"/>
      <c r="B11" s="33" t="s">
        <v>71</v>
      </c>
      <c r="C11" s="702" t="s">
        <v>72</v>
      </c>
      <c r="D11" s="537"/>
      <c r="E11" s="537"/>
      <c r="F11" s="537"/>
      <c r="G11" s="538"/>
      <c r="H11" s="36">
        <v>1</v>
      </c>
      <c r="I11" s="701">
        <f>K134</f>
        <v>6496.190580617138</v>
      </c>
      <c r="J11" s="538"/>
      <c r="K11" s="42">
        <f t="shared" si="0"/>
        <v>6496.190580617138</v>
      </c>
      <c r="L11" s="6"/>
      <c r="M11" s="8"/>
      <c r="N11" s="8"/>
      <c r="O11" s="8"/>
    </row>
    <row r="12" spans="1:15" ht="15.75" customHeight="1" x14ac:dyDescent="0.25">
      <c r="A12" s="10"/>
      <c r="B12" s="33" t="s">
        <v>75</v>
      </c>
      <c r="C12" s="702" t="s">
        <v>76</v>
      </c>
      <c r="D12" s="537"/>
      <c r="E12" s="537"/>
      <c r="F12" s="537"/>
      <c r="G12" s="538"/>
      <c r="H12" s="36">
        <v>1</v>
      </c>
      <c r="I12" s="703">
        <f>K160</f>
        <v>7070.7016115313463</v>
      </c>
      <c r="J12" s="538"/>
      <c r="K12" s="42">
        <f t="shared" si="0"/>
        <v>7070.7016115313463</v>
      </c>
      <c r="L12" s="6"/>
      <c r="M12" s="8"/>
      <c r="N12" s="8"/>
      <c r="O12" s="8"/>
    </row>
    <row r="13" spans="1:15" ht="15.75" customHeight="1" x14ac:dyDescent="0.25">
      <c r="A13" s="10"/>
      <c r="B13" s="33" t="s">
        <v>81</v>
      </c>
      <c r="C13" s="702" t="s">
        <v>82</v>
      </c>
      <c r="D13" s="537"/>
      <c r="E13" s="537"/>
      <c r="F13" s="537"/>
      <c r="G13" s="538"/>
      <c r="H13" s="46">
        <v>1</v>
      </c>
      <c r="I13" s="701">
        <f>K180</f>
        <v>5926.5901046535892</v>
      </c>
      <c r="J13" s="538"/>
      <c r="K13" s="42">
        <f t="shared" si="0"/>
        <v>5926.5901046535892</v>
      </c>
      <c r="L13" s="6"/>
      <c r="M13" s="8"/>
      <c r="N13" s="8"/>
      <c r="O13" s="8"/>
    </row>
    <row r="14" spans="1:15" ht="15.75" customHeight="1" x14ac:dyDescent="0.25">
      <c r="A14" s="10"/>
      <c r="B14" s="33" t="s">
        <v>86</v>
      </c>
      <c r="C14" s="702" t="s">
        <v>87</v>
      </c>
      <c r="D14" s="537"/>
      <c r="E14" s="537"/>
      <c r="F14" s="537"/>
      <c r="G14" s="538"/>
      <c r="H14" s="46">
        <v>1</v>
      </c>
      <c r="I14" s="701">
        <f>K205</f>
        <v>6591.8172284100037</v>
      </c>
      <c r="J14" s="538"/>
      <c r="K14" s="42">
        <f t="shared" si="0"/>
        <v>6591.8172284100037</v>
      </c>
      <c r="L14" s="6"/>
      <c r="M14" s="8"/>
      <c r="N14" s="8"/>
      <c r="O14" s="8"/>
    </row>
    <row r="15" spans="1:15" ht="15.75" customHeight="1" x14ac:dyDescent="0.25">
      <c r="A15" s="10"/>
      <c r="B15" s="33" t="s">
        <v>88</v>
      </c>
      <c r="C15" s="702" t="s">
        <v>90</v>
      </c>
      <c r="D15" s="537"/>
      <c r="E15" s="537"/>
      <c r="F15" s="537"/>
      <c r="G15" s="538"/>
      <c r="H15" s="36">
        <v>1</v>
      </c>
      <c r="I15" s="701">
        <f>K227</f>
        <v>5684.5797853274617</v>
      </c>
      <c r="J15" s="538"/>
      <c r="K15" s="42">
        <f t="shared" si="0"/>
        <v>5684.5797853274617</v>
      </c>
      <c r="L15" s="6"/>
      <c r="M15" s="8"/>
      <c r="N15" s="8"/>
      <c r="O15" s="8"/>
    </row>
    <row r="16" spans="1:15" ht="15.75" customHeight="1" x14ac:dyDescent="0.25">
      <c r="A16" s="10"/>
      <c r="B16" s="33" t="s">
        <v>93</v>
      </c>
      <c r="C16" s="702" t="s">
        <v>94</v>
      </c>
      <c r="D16" s="537"/>
      <c r="E16" s="537"/>
      <c r="F16" s="537"/>
      <c r="G16" s="538"/>
      <c r="H16" s="36">
        <v>1</v>
      </c>
      <c r="I16" s="701">
        <f>K249</f>
        <v>5684.5797853274617</v>
      </c>
      <c r="J16" s="538"/>
      <c r="K16" s="42">
        <f t="shared" si="0"/>
        <v>5684.5797853274617</v>
      </c>
      <c r="L16" s="6"/>
      <c r="M16" s="8"/>
      <c r="N16" s="8"/>
      <c r="O16" s="8"/>
    </row>
    <row r="17" spans="1:15" ht="15.75" customHeight="1" x14ac:dyDescent="0.25">
      <c r="A17" s="10"/>
      <c r="B17" s="33" t="s">
        <v>97</v>
      </c>
      <c r="C17" s="705" t="s">
        <v>100</v>
      </c>
      <c r="D17" s="537"/>
      <c r="E17" s="537"/>
      <c r="F17" s="537"/>
      <c r="G17" s="538"/>
      <c r="H17" s="46">
        <v>2</v>
      </c>
      <c r="I17" s="701">
        <f>K271</f>
        <v>6121.6611467860021</v>
      </c>
      <c r="J17" s="538"/>
      <c r="K17" s="42">
        <f t="shared" si="0"/>
        <v>12243.322293572004</v>
      </c>
      <c r="L17" s="6"/>
      <c r="M17" s="8"/>
      <c r="N17" s="8"/>
      <c r="O17" s="8"/>
    </row>
    <row r="18" spans="1:15" ht="15.75" customHeight="1" x14ac:dyDescent="0.25">
      <c r="A18" s="10"/>
      <c r="B18" s="33" t="s">
        <v>103</v>
      </c>
      <c r="C18" s="705" t="s">
        <v>104</v>
      </c>
      <c r="D18" s="537"/>
      <c r="E18" s="537"/>
      <c r="F18" s="537"/>
      <c r="G18" s="538"/>
      <c r="H18" s="46">
        <v>2</v>
      </c>
      <c r="I18" s="701">
        <f>K297</f>
        <v>6780.931200611356</v>
      </c>
      <c r="J18" s="538"/>
      <c r="K18" s="42">
        <f t="shared" si="0"/>
        <v>13561.862401222712</v>
      </c>
      <c r="L18" s="6"/>
      <c r="M18" s="8"/>
      <c r="N18" s="8"/>
      <c r="O18" s="8"/>
    </row>
    <row r="19" spans="1:15" ht="15.75" customHeight="1" x14ac:dyDescent="0.25">
      <c r="A19" s="10"/>
      <c r="B19" s="24" t="s">
        <v>106</v>
      </c>
      <c r="C19" s="700" t="s">
        <v>58</v>
      </c>
      <c r="D19" s="537"/>
      <c r="E19" s="537"/>
      <c r="F19" s="537"/>
      <c r="G19" s="538"/>
      <c r="H19" s="28">
        <f>SUM(H20:H24)</f>
        <v>14</v>
      </c>
      <c r="I19" s="704"/>
      <c r="J19" s="538"/>
      <c r="K19" s="32">
        <f>SUM(K20:K24)</f>
        <v>1043.9366666666667</v>
      </c>
      <c r="L19" s="6"/>
      <c r="M19" s="8"/>
      <c r="N19" s="8"/>
      <c r="O19" s="8"/>
    </row>
    <row r="20" spans="1:15" ht="15.75" customHeight="1" x14ac:dyDescent="0.25">
      <c r="A20" s="10"/>
      <c r="B20" s="52" t="s">
        <v>109</v>
      </c>
      <c r="C20" s="702" t="s">
        <v>111</v>
      </c>
      <c r="D20" s="537"/>
      <c r="E20" s="537"/>
      <c r="F20" s="537"/>
      <c r="G20" s="538"/>
      <c r="H20" s="36">
        <f>H7+H10</f>
        <v>2</v>
      </c>
      <c r="I20" s="701">
        <f>K309</f>
        <v>25.710555555555555</v>
      </c>
      <c r="J20" s="538"/>
      <c r="K20" s="57">
        <f t="shared" ref="K20:K24" si="1">I20*H20</f>
        <v>51.421111111111109</v>
      </c>
      <c r="L20" s="6"/>
      <c r="M20" s="8"/>
      <c r="N20" s="8"/>
      <c r="O20" s="8"/>
    </row>
    <row r="21" spans="1:15" ht="15.75" customHeight="1" x14ac:dyDescent="0.25">
      <c r="A21" s="10"/>
      <c r="B21" s="52" t="s">
        <v>114</v>
      </c>
      <c r="C21" s="707" t="s">
        <v>115</v>
      </c>
      <c r="D21" s="537"/>
      <c r="E21" s="537"/>
      <c r="F21" s="537"/>
      <c r="G21" s="538"/>
      <c r="H21" s="36">
        <f>H8+H9</f>
        <v>2</v>
      </c>
      <c r="I21" s="701">
        <f>K321</f>
        <v>99.687777777777768</v>
      </c>
      <c r="J21" s="538"/>
      <c r="K21" s="57">
        <f t="shared" si="1"/>
        <v>199.37555555555554</v>
      </c>
      <c r="L21" s="6"/>
      <c r="M21" s="8"/>
      <c r="N21" s="8"/>
      <c r="O21" s="8"/>
    </row>
    <row r="22" spans="1:15" ht="15.75" customHeight="1" x14ac:dyDescent="0.25">
      <c r="A22" s="10"/>
      <c r="B22" s="52" t="s">
        <v>124</v>
      </c>
      <c r="C22" s="702" t="s">
        <v>125</v>
      </c>
      <c r="D22" s="537"/>
      <c r="E22" s="537"/>
      <c r="F22" s="537"/>
      <c r="G22" s="538"/>
      <c r="H22" s="36">
        <v>4</v>
      </c>
      <c r="I22" s="701">
        <f>K335</f>
        <v>94.211111111111094</v>
      </c>
      <c r="J22" s="538"/>
      <c r="K22" s="57">
        <f t="shared" si="1"/>
        <v>376.84444444444438</v>
      </c>
      <c r="L22" s="6"/>
      <c r="M22" s="8"/>
      <c r="N22" s="8"/>
      <c r="O22" s="8"/>
    </row>
    <row r="23" spans="1:15" ht="15.75" customHeight="1" x14ac:dyDescent="0.25">
      <c r="A23" s="10"/>
      <c r="B23" s="52" t="s">
        <v>127</v>
      </c>
      <c r="C23" s="707" t="s">
        <v>128</v>
      </c>
      <c r="D23" s="537"/>
      <c r="E23" s="537"/>
      <c r="F23" s="537"/>
      <c r="G23" s="538"/>
      <c r="H23" s="36">
        <f>H15+H16</f>
        <v>2</v>
      </c>
      <c r="I23" s="701">
        <f>K348</f>
        <v>77.268888888888881</v>
      </c>
      <c r="J23" s="538"/>
      <c r="K23" s="57">
        <f t="shared" si="1"/>
        <v>154.53777777777776</v>
      </c>
      <c r="L23" s="6"/>
      <c r="M23" s="8"/>
      <c r="N23" s="8"/>
      <c r="O23" s="8"/>
    </row>
    <row r="24" spans="1:15" ht="15.75" customHeight="1" x14ac:dyDescent="0.25">
      <c r="A24" s="10"/>
      <c r="B24" s="52" t="s">
        <v>131</v>
      </c>
      <c r="C24" s="705" t="s">
        <v>132</v>
      </c>
      <c r="D24" s="537"/>
      <c r="E24" s="537"/>
      <c r="F24" s="537"/>
      <c r="G24" s="538"/>
      <c r="H24" s="36">
        <v>4</v>
      </c>
      <c r="I24" s="701">
        <f>K358</f>
        <v>65.439444444444447</v>
      </c>
      <c r="J24" s="538"/>
      <c r="K24" s="57">
        <f t="shared" si="1"/>
        <v>261.75777777777779</v>
      </c>
      <c r="L24" s="6"/>
      <c r="M24" s="8"/>
      <c r="N24" s="8"/>
      <c r="O24" s="8"/>
    </row>
    <row r="25" spans="1:15" ht="15.75" customHeight="1" x14ac:dyDescent="0.25">
      <c r="A25" s="10"/>
      <c r="B25" s="24" t="s">
        <v>133</v>
      </c>
      <c r="C25" s="700" t="s">
        <v>70</v>
      </c>
      <c r="D25" s="537"/>
      <c r="E25" s="537"/>
      <c r="F25" s="537"/>
      <c r="G25" s="538"/>
      <c r="H25" s="28">
        <v>1</v>
      </c>
      <c r="I25" s="704"/>
      <c r="J25" s="538"/>
      <c r="K25" s="32">
        <f>K434</f>
        <v>1791.2198898142765</v>
      </c>
      <c r="L25" s="6"/>
      <c r="M25" s="8"/>
      <c r="N25" s="8"/>
      <c r="O25" s="8"/>
    </row>
    <row r="26" spans="1:15" ht="15.75" customHeight="1" x14ac:dyDescent="0.25">
      <c r="A26" s="10"/>
      <c r="B26" s="33" t="s">
        <v>136</v>
      </c>
      <c r="C26" s="702" t="s">
        <v>137</v>
      </c>
      <c r="D26" s="537"/>
      <c r="E26" s="537"/>
      <c r="F26" s="537"/>
      <c r="G26" s="538"/>
      <c r="H26" s="72">
        <v>1</v>
      </c>
      <c r="I26" s="701">
        <f>K374+K382+K393+I408+K418+K431</f>
        <v>1791.2198898142765</v>
      </c>
      <c r="J26" s="538"/>
      <c r="K26" s="42">
        <f>I26*H26</f>
        <v>1791.2198898142765</v>
      </c>
      <c r="L26" s="6"/>
      <c r="M26" s="8"/>
      <c r="N26" s="8"/>
      <c r="O26" s="8"/>
    </row>
    <row r="27" spans="1:15" ht="15.75" customHeight="1" x14ac:dyDescent="0.25">
      <c r="A27" s="10"/>
      <c r="B27" s="24" t="s">
        <v>140</v>
      </c>
      <c r="C27" s="700" t="s">
        <v>96</v>
      </c>
      <c r="D27" s="537"/>
      <c r="E27" s="537"/>
      <c r="F27" s="537"/>
      <c r="G27" s="538"/>
      <c r="H27" s="28">
        <v>1</v>
      </c>
      <c r="I27" s="706"/>
      <c r="J27" s="538"/>
      <c r="K27" s="32">
        <f>K443</f>
        <v>17000</v>
      </c>
      <c r="L27" s="6"/>
      <c r="M27" s="8"/>
      <c r="N27" s="8"/>
      <c r="O27" s="8"/>
    </row>
    <row r="28" spans="1:15" ht="15.75" customHeight="1" x14ac:dyDescent="0.25">
      <c r="A28" s="10"/>
      <c r="B28" s="24" t="s">
        <v>143</v>
      </c>
      <c r="C28" s="700" t="s">
        <v>102</v>
      </c>
      <c r="D28" s="537"/>
      <c r="E28" s="537"/>
      <c r="F28" s="537"/>
      <c r="G28" s="538"/>
      <c r="H28" s="28">
        <v>1</v>
      </c>
      <c r="I28" s="706"/>
      <c r="J28" s="538"/>
      <c r="K28" s="32">
        <f>K452</f>
        <v>33791.855352354462</v>
      </c>
      <c r="L28" s="6"/>
      <c r="M28" s="8"/>
      <c r="N28" s="8"/>
      <c r="O28" s="8"/>
    </row>
    <row r="29" spans="1:15" ht="15.75" customHeight="1" x14ac:dyDescent="0.25">
      <c r="A29" s="7"/>
      <c r="B29" s="708" t="s">
        <v>144</v>
      </c>
      <c r="C29" s="564"/>
      <c r="D29" s="564"/>
      <c r="E29" s="564"/>
      <c r="F29" s="564"/>
      <c r="G29" s="564"/>
      <c r="H29" s="564"/>
      <c r="I29" s="564"/>
      <c r="J29" s="565"/>
      <c r="K29" s="77">
        <f>K27+K25+K19+K6+K28</f>
        <v>155828.63656098724</v>
      </c>
      <c r="L29" s="6"/>
      <c r="M29" s="8"/>
      <c r="N29" s="8"/>
      <c r="O29" s="8"/>
    </row>
    <row r="30" spans="1:15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10"/>
      <c r="L30" s="6"/>
      <c r="M30" s="8"/>
      <c r="N30" s="8"/>
      <c r="O30" s="8"/>
    </row>
    <row r="31" spans="1:15" ht="15.75" customHeight="1" x14ac:dyDescent="0.25">
      <c r="A31" s="7"/>
      <c r="B31" s="709" t="s">
        <v>149</v>
      </c>
      <c r="C31" s="537"/>
      <c r="D31" s="537"/>
      <c r="E31" s="537"/>
      <c r="F31" s="537"/>
      <c r="G31" s="537"/>
      <c r="H31" s="537"/>
      <c r="I31" s="537"/>
      <c r="J31" s="537"/>
      <c r="K31" s="538"/>
      <c r="L31" s="6"/>
      <c r="M31" s="8"/>
      <c r="N31" s="8"/>
      <c r="O31" s="8"/>
    </row>
    <row r="32" spans="1:15" ht="15.75" customHeight="1" x14ac:dyDescent="0.25">
      <c r="A32" s="7"/>
      <c r="B32" s="710"/>
      <c r="C32" s="537"/>
      <c r="D32" s="537"/>
      <c r="E32" s="537"/>
      <c r="F32" s="537"/>
      <c r="G32" s="537"/>
      <c r="H32" s="537"/>
      <c r="I32" s="537"/>
      <c r="J32" s="537"/>
      <c r="K32" s="537"/>
      <c r="L32" s="6"/>
      <c r="M32" s="8"/>
      <c r="N32" s="8"/>
      <c r="O32" s="8"/>
    </row>
    <row r="33" spans="1:15" ht="15.75" customHeight="1" x14ac:dyDescent="0.25">
      <c r="A33" s="7"/>
      <c r="B33" s="581" t="s">
        <v>154</v>
      </c>
      <c r="C33" s="537"/>
      <c r="D33" s="537"/>
      <c r="E33" s="537"/>
      <c r="F33" s="537"/>
      <c r="G33" s="537"/>
      <c r="H33" s="537"/>
      <c r="I33" s="537"/>
      <c r="J33" s="537"/>
      <c r="K33" s="538"/>
      <c r="L33" s="6"/>
      <c r="M33" s="8"/>
      <c r="N33" s="8"/>
      <c r="O33" s="8"/>
    </row>
    <row r="34" spans="1:15" ht="15.75" customHeight="1" x14ac:dyDescent="0.25">
      <c r="A34" s="7"/>
      <c r="B34" s="80" t="s">
        <v>116</v>
      </c>
      <c r="C34" s="582" t="s">
        <v>117</v>
      </c>
      <c r="D34" s="537"/>
      <c r="E34" s="537"/>
      <c r="F34" s="537"/>
      <c r="G34" s="537"/>
      <c r="H34" s="537"/>
      <c r="I34" s="538"/>
      <c r="J34" s="81"/>
      <c r="K34" s="81" t="s">
        <v>121</v>
      </c>
      <c r="L34" s="6"/>
      <c r="M34" s="8"/>
      <c r="N34" s="8"/>
      <c r="O34" s="8"/>
    </row>
    <row r="35" spans="1:15" ht="15.75" customHeight="1" x14ac:dyDescent="0.25">
      <c r="A35" s="7"/>
      <c r="B35" s="33" t="s">
        <v>122</v>
      </c>
      <c r="C35" s="705" t="s">
        <v>123</v>
      </c>
      <c r="D35" s="537"/>
      <c r="E35" s="537"/>
      <c r="F35" s="537"/>
      <c r="G35" s="537"/>
      <c r="H35" s="537"/>
      <c r="I35" s="538"/>
      <c r="J35" s="82"/>
      <c r="K35" s="85">
        <f>'6 - DADOS CC MO'!E113</f>
        <v>6876.95</v>
      </c>
      <c r="L35" s="6"/>
      <c r="M35" s="8"/>
      <c r="N35" s="8"/>
      <c r="O35" s="8"/>
    </row>
    <row r="36" spans="1:15" ht="15.75" customHeight="1" x14ac:dyDescent="0.25">
      <c r="A36" s="7"/>
      <c r="B36" s="33"/>
      <c r="C36" s="585" t="s">
        <v>142</v>
      </c>
      <c r="D36" s="537"/>
      <c r="E36" s="537"/>
      <c r="F36" s="537"/>
      <c r="G36" s="537"/>
      <c r="H36" s="537"/>
      <c r="I36" s="538"/>
      <c r="J36" s="52"/>
      <c r="K36" s="87">
        <f>K35</f>
        <v>6876.95</v>
      </c>
      <c r="L36" s="6"/>
      <c r="M36" s="8"/>
      <c r="N36" s="8"/>
      <c r="O36" s="8"/>
    </row>
    <row r="37" spans="1:15" ht="15.75" customHeight="1" x14ac:dyDescent="0.25">
      <c r="A37" s="7"/>
      <c r="B37" s="81" t="s">
        <v>145</v>
      </c>
      <c r="C37" s="582" t="s">
        <v>146</v>
      </c>
      <c r="D37" s="537"/>
      <c r="E37" s="537"/>
      <c r="F37" s="537"/>
      <c r="G37" s="537"/>
      <c r="H37" s="537"/>
      <c r="I37" s="538"/>
      <c r="J37" s="81" t="s">
        <v>141</v>
      </c>
      <c r="K37" s="81" t="s">
        <v>121</v>
      </c>
      <c r="L37" s="6"/>
      <c r="M37" s="8"/>
      <c r="N37" s="8"/>
      <c r="O37" s="8"/>
    </row>
    <row r="38" spans="1:15" ht="15.75" customHeight="1" x14ac:dyDescent="0.25">
      <c r="A38" s="7"/>
      <c r="B38" s="36" t="s">
        <v>147</v>
      </c>
      <c r="C38" s="580" t="s">
        <v>148</v>
      </c>
      <c r="D38" s="537"/>
      <c r="E38" s="537"/>
      <c r="F38" s="537"/>
      <c r="G38" s="537"/>
      <c r="H38" s="537"/>
      <c r="I38" s="538"/>
      <c r="J38" s="92">
        <f>'7 - ENCARGOS SOCIAIS'!$D$13</f>
        <v>0.36800000000000005</v>
      </c>
      <c r="K38" s="85">
        <f>J38*K36</f>
        <v>2530.7176000000004</v>
      </c>
      <c r="L38" s="6"/>
      <c r="M38" s="8"/>
      <c r="N38" s="8"/>
      <c r="O38" s="8"/>
    </row>
    <row r="39" spans="1:15" ht="15.75" customHeight="1" x14ac:dyDescent="0.25">
      <c r="A39" s="7"/>
      <c r="B39" s="36" t="s">
        <v>150</v>
      </c>
      <c r="C39" s="580" t="s">
        <v>151</v>
      </c>
      <c r="D39" s="537"/>
      <c r="E39" s="537"/>
      <c r="F39" s="537"/>
      <c r="G39" s="537"/>
      <c r="H39" s="537"/>
      <c r="I39" s="538"/>
      <c r="J39" s="92">
        <f>'7 - ENCARGOS SOCIAIS'!$D$21</f>
        <v>0.15387245147090212</v>
      </c>
      <c r="K39" s="85">
        <f>J39*K36</f>
        <v>1058.1731551428202</v>
      </c>
      <c r="L39" s="6"/>
      <c r="M39" s="8"/>
      <c r="N39" s="8"/>
      <c r="O39" s="8"/>
    </row>
    <row r="40" spans="1:15" ht="15.75" customHeight="1" x14ac:dyDescent="0.25">
      <c r="A40" s="7"/>
      <c r="B40" s="36" t="s">
        <v>152</v>
      </c>
      <c r="C40" s="580" t="s">
        <v>153</v>
      </c>
      <c r="D40" s="537"/>
      <c r="E40" s="537"/>
      <c r="F40" s="537"/>
      <c r="G40" s="537"/>
      <c r="H40" s="537"/>
      <c r="I40" s="538"/>
      <c r="J40" s="92">
        <f>'7 - ENCARGOS SOCIAIS'!$D$28</f>
        <v>0.12666581537651095</v>
      </c>
      <c r="K40" s="85">
        <f>J40*K36</f>
        <v>871.07447905349693</v>
      </c>
      <c r="L40" s="6"/>
      <c r="M40" s="8"/>
      <c r="N40" s="8"/>
      <c r="O40" s="8"/>
    </row>
    <row r="41" spans="1:15" ht="15.75" customHeight="1" x14ac:dyDescent="0.25">
      <c r="A41" s="7"/>
      <c r="B41" s="36" t="s">
        <v>155</v>
      </c>
      <c r="C41" s="580" t="s">
        <v>156</v>
      </c>
      <c r="D41" s="537"/>
      <c r="E41" s="537"/>
      <c r="F41" s="537"/>
      <c r="G41" s="537"/>
      <c r="H41" s="537"/>
      <c r="I41" s="538"/>
      <c r="J41" s="92">
        <f>'7 - ENCARGOS SOCIAIS'!$D$32</f>
        <v>5.9231502118822603E-2</v>
      </c>
      <c r="K41" s="85">
        <f>J41*K36</f>
        <v>407.33207849603707</v>
      </c>
      <c r="L41" s="6"/>
      <c r="M41" s="8"/>
      <c r="N41" s="8"/>
      <c r="O41" s="8"/>
    </row>
    <row r="42" spans="1:15" ht="15.75" customHeight="1" x14ac:dyDescent="0.25">
      <c r="A42" s="7"/>
      <c r="B42" s="20"/>
      <c r="C42" s="586" t="s">
        <v>157</v>
      </c>
      <c r="D42" s="537"/>
      <c r="E42" s="537"/>
      <c r="F42" s="537"/>
      <c r="G42" s="537"/>
      <c r="H42" s="537"/>
      <c r="I42" s="538"/>
      <c r="J42" s="96">
        <f t="shared" ref="J42:K42" si="2">SUM(J38:J41)</f>
        <v>0.70776976896623567</v>
      </c>
      <c r="K42" s="97">
        <f t="shared" si="2"/>
        <v>4867.2973126923544</v>
      </c>
      <c r="L42" s="6"/>
      <c r="M42" s="8"/>
      <c r="N42" s="8"/>
      <c r="O42" s="8"/>
    </row>
    <row r="43" spans="1:15" ht="15.75" customHeight="1" x14ac:dyDescent="0.25">
      <c r="A43" s="7"/>
      <c r="B43" s="81" t="s">
        <v>158</v>
      </c>
      <c r="C43" s="587" t="s">
        <v>159</v>
      </c>
      <c r="D43" s="537"/>
      <c r="E43" s="537"/>
      <c r="F43" s="537"/>
      <c r="G43" s="538"/>
      <c r="H43" s="100" t="s">
        <v>160</v>
      </c>
      <c r="I43" s="81" t="s">
        <v>120</v>
      </c>
      <c r="J43" s="81" t="s">
        <v>161</v>
      </c>
      <c r="K43" s="81" t="s">
        <v>121</v>
      </c>
      <c r="L43" s="6"/>
      <c r="M43" s="8"/>
      <c r="N43" s="8"/>
      <c r="O43" s="8"/>
    </row>
    <row r="44" spans="1:15" ht="15.75" customHeight="1" x14ac:dyDescent="0.25">
      <c r="A44" s="7"/>
      <c r="B44" s="36" t="s">
        <v>162</v>
      </c>
      <c r="C44" s="580" t="s">
        <v>174</v>
      </c>
      <c r="D44" s="537"/>
      <c r="E44" s="537"/>
      <c r="F44" s="537"/>
      <c r="G44" s="538"/>
      <c r="H44" s="36">
        <v>26</v>
      </c>
      <c r="I44" s="102">
        <v>27.15</v>
      </c>
      <c r="J44" s="103">
        <v>0.19</v>
      </c>
      <c r="K44" s="42">
        <f>(H44*I44)-((H44*I44)*0.19)</f>
        <v>571.779</v>
      </c>
      <c r="L44" s="6"/>
      <c r="M44" s="8"/>
      <c r="N44" s="8"/>
      <c r="O44" s="8"/>
    </row>
    <row r="45" spans="1:15" ht="15.75" customHeight="1" x14ac:dyDescent="0.25">
      <c r="A45" s="7"/>
      <c r="B45" s="36" t="s">
        <v>164</v>
      </c>
      <c r="C45" s="580" t="s">
        <v>177</v>
      </c>
      <c r="D45" s="537"/>
      <c r="E45" s="537"/>
      <c r="F45" s="537"/>
      <c r="G45" s="538"/>
      <c r="H45" s="36">
        <f>H44*4</f>
        <v>104</v>
      </c>
      <c r="I45" s="106">
        <v>6.25</v>
      </c>
      <c r="J45" s="103">
        <v>0.06</v>
      </c>
      <c r="K45" s="42">
        <f>(H45*I45)-(K35*0.06)</f>
        <v>237.38300000000004</v>
      </c>
      <c r="L45" s="6"/>
      <c r="M45" s="8"/>
      <c r="N45" s="8"/>
      <c r="O45" s="8"/>
    </row>
    <row r="46" spans="1:15" ht="15.75" customHeight="1" x14ac:dyDescent="0.25">
      <c r="A46" s="7"/>
      <c r="B46" s="36" t="s">
        <v>166</v>
      </c>
      <c r="C46" s="580" t="s">
        <v>167</v>
      </c>
      <c r="D46" s="537"/>
      <c r="E46" s="537"/>
      <c r="F46" s="537"/>
      <c r="G46" s="538"/>
      <c r="H46" s="33">
        <v>1</v>
      </c>
      <c r="I46" s="102">
        <v>25.52</v>
      </c>
      <c r="J46" s="107"/>
      <c r="K46" s="109">
        <f>I46</f>
        <v>25.52</v>
      </c>
      <c r="L46" s="6"/>
      <c r="M46" s="8"/>
      <c r="N46" s="8"/>
      <c r="O46" s="8"/>
    </row>
    <row r="47" spans="1:15" ht="15.75" customHeight="1" x14ac:dyDescent="0.25">
      <c r="A47" s="7"/>
      <c r="B47" s="107"/>
      <c r="C47" s="585" t="s">
        <v>170</v>
      </c>
      <c r="D47" s="537"/>
      <c r="E47" s="537"/>
      <c r="F47" s="537"/>
      <c r="G47" s="537"/>
      <c r="H47" s="537"/>
      <c r="I47" s="538"/>
      <c r="J47" s="52"/>
      <c r="K47" s="110">
        <f>SUM(K44:K46)</f>
        <v>834.68200000000002</v>
      </c>
      <c r="L47" s="6"/>
      <c r="M47" s="8"/>
      <c r="N47" s="8"/>
      <c r="O47" s="8"/>
    </row>
    <row r="48" spans="1:15" ht="15.75" customHeight="1" x14ac:dyDescent="0.25">
      <c r="A48" s="7"/>
      <c r="B48" s="588" t="s">
        <v>182</v>
      </c>
      <c r="C48" s="564"/>
      <c r="D48" s="564"/>
      <c r="E48" s="564"/>
      <c r="F48" s="564"/>
      <c r="G48" s="564"/>
      <c r="H48" s="564"/>
      <c r="I48" s="564"/>
      <c r="J48" s="565"/>
      <c r="K48" s="113">
        <f>K47+K42+K36</f>
        <v>12578.929312692355</v>
      </c>
      <c r="L48" s="6"/>
      <c r="M48" s="8"/>
      <c r="N48" s="8"/>
      <c r="O48" s="8"/>
    </row>
    <row r="49" spans="1:15" ht="15.75" customHeight="1" x14ac:dyDescent="0.25">
      <c r="A49" s="7"/>
      <c r="B49" s="711" t="s">
        <v>187</v>
      </c>
      <c r="C49" s="611"/>
      <c r="D49" s="611"/>
      <c r="E49" s="611"/>
      <c r="F49" s="611"/>
      <c r="G49" s="611"/>
      <c r="H49" s="611"/>
      <c r="I49" s="611"/>
      <c r="J49" s="612"/>
      <c r="K49" s="114">
        <f>K48*1</f>
        <v>12578.929312692355</v>
      </c>
      <c r="L49" s="6"/>
      <c r="M49" s="8"/>
      <c r="N49" s="8"/>
      <c r="O49" s="8"/>
    </row>
    <row r="50" spans="1:15" ht="15.75" customHeight="1" x14ac:dyDescent="0.25">
      <c r="A50" s="7"/>
      <c r="B50" s="7"/>
      <c r="C50" s="7"/>
      <c r="D50" s="7"/>
      <c r="E50" s="7"/>
      <c r="F50" s="7"/>
      <c r="G50" s="7"/>
      <c r="H50" s="115"/>
      <c r="I50" s="7"/>
      <c r="J50" s="7"/>
      <c r="K50" s="10"/>
      <c r="L50" s="6"/>
      <c r="M50" s="8"/>
      <c r="N50" s="8"/>
      <c r="O50" s="8"/>
    </row>
    <row r="51" spans="1:15" ht="15.75" customHeight="1" x14ac:dyDescent="0.25">
      <c r="A51" s="7"/>
      <c r="B51" s="581" t="s">
        <v>193</v>
      </c>
      <c r="C51" s="537"/>
      <c r="D51" s="537"/>
      <c r="E51" s="537"/>
      <c r="F51" s="537"/>
      <c r="G51" s="537"/>
      <c r="H51" s="537"/>
      <c r="I51" s="537"/>
      <c r="J51" s="537"/>
      <c r="K51" s="538"/>
      <c r="L51" s="6"/>
      <c r="M51" s="8"/>
      <c r="N51" s="8"/>
      <c r="O51" s="8"/>
    </row>
    <row r="52" spans="1:15" ht="15.75" customHeight="1" x14ac:dyDescent="0.25">
      <c r="A52" s="7"/>
      <c r="B52" s="80" t="s">
        <v>116</v>
      </c>
      <c r="C52" s="582" t="s">
        <v>117</v>
      </c>
      <c r="D52" s="537"/>
      <c r="E52" s="537"/>
      <c r="F52" s="537"/>
      <c r="G52" s="538"/>
      <c r="H52" s="100" t="s">
        <v>118</v>
      </c>
      <c r="I52" s="117" t="s">
        <v>119</v>
      </c>
      <c r="J52" s="81" t="s">
        <v>120</v>
      </c>
      <c r="K52" s="81" t="s">
        <v>121</v>
      </c>
      <c r="L52" s="6"/>
      <c r="M52" s="8"/>
      <c r="N52" s="8"/>
      <c r="O52" s="8"/>
    </row>
    <row r="53" spans="1:15" ht="15.75" customHeight="1" x14ac:dyDescent="0.25">
      <c r="A53" s="7"/>
      <c r="B53" s="33" t="s">
        <v>122</v>
      </c>
      <c r="C53" s="702" t="s">
        <v>123</v>
      </c>
      <c r="D53" s="537"/>
      <c r="E53" s="537"/>
      <c r="F53" s="537"/>
      <c r="G53" s="538"/>
      <c r="H53" s="33">
        <v>220</v>
      </c>
      <c r="I53" s="36" t="s">
        <v>126</v>
      </c>
      <c r="J53" s="118">
        <f>K53/H53</f>
        <v>16.363636363636363</v>
      </c>
      <c r="K53" s="85">
        <f>'6 - DADOS CC MO'!E102</f>
        <v>3600</v>
      </c>
      <c r="L53" s="6"/>
      <c r="M53" s="8"/>
      <c r="N53" s="8"/>
      <c r="O53" s="8"/>
    </row>
    <row r="54" spans="1:15" ht="15.75" customHeight="1" x14ac:dyDescent="0.25">
      <c r="A54" s="7"/>
      <c r="B54" s="33" t="s">
        <v>195</v>
      </c>
      <c r="C54" s="50" t="s">
        <v>130</v>
      </c>
      <c r="D54" s="119"/>
      <c r="E54" s="119"/>
      <c r="F54" s="119"/>
      <c r="G54" s="120"/>
      <c r="H54" s="121">
        <v>7.33</v>
      </c>
      <c r="I54" s="33" t="s">
        <v>126</v>
      </c>
      <c r="J54" s="122">
        <f>J53*2</f>
        <v>32.727272727272727</v>
      </c>
      <c r="K54" s="85">
        <f>J54*H54</f>
        <v>239.89090909090908</v>
      </c>
      <c r="L54" s="6"/>
      <c r="M54" s="8"/>
      <c r="N54" s="8"/>
      <c r="O54" s="8"/>
    </row>
    <row r="55" spans="1:15" ht="15.75" customHeight="1" x14ac:dyDescent="0.25">
      <c r="A55" s="7"/>
      <c r="B55" s="33" t="s">
        <v>198</v>
      </c>
      <c r="C55" s="50" t="s">
        <v>200</v>
      </c>
      <c r="D55" s="119"/>
      <c r="E55" s="119"/>
      <c r="F55" s="119"/>
      <c r="G55" s="120"/>
      <c r="H55" s="33"/>
      <c r="I55" s="7"/>
      <c r="J55" s="122">
        <f>61/304*(SUM(K54))</f>
        <v>48.136004784688993</v>
      </c>
      <c r="K55" s="85">
        <f>J55</f>
        <v>48.136004784688993</v>
      </c>
      <c r="L55" s="6"/>
      <c r="M55" s="8"/>
      <c r="N55" s="8"/>
      <c r="O55" s="8"/>
    </row>
    <row r="56" spans="1:15" ht="15.75" customHeight="1" x14ac:dyDescent="0.25">
      <c r="A56" s="7"/>
      <c r="B56" s="33" t="s">
        <v>129</v>
      </c>
      <c r="C56" s="702" t="s">
        <v>139</v>
      </c>
      <c r="D56" s="537"/>
      <c r="E56" s="537"/>
      <c r="F56" s="537"/>
      <c r="G56" s="538"/>
      <c r="H56" s="33">
        <v>40</v>
      </c>
      <c r="I56" s="36" t="s">
        <v>141</v>
      </c>
      <c r="J56" s="33"/>
      <c r="K56" s="85">
        <f>K53*40%</f>
        <v>1440</v>
      </c>
      <c r="L56" s="6"/>
      <c r="M56" s="8"/>
      <c r="N56" s="8"/>
      <c r="O56" s="8"/>
    </row>
    <row r="57" spans="1:15" ht="15.75" customHeight="1" x14ac:dyDescent="0.25">
      <c r="A57" s="7"/>
      <c r="B57" s="33"/>
      <c r="C57" s="585" t="s">
        <v>142</v>
      </c>
      <c r="D57" s="537"/>
      <c r="E57" s="537"/>
      <c r="F57" s="537"/>
      <c r="G57" s="537"/>
      <c r="H57" s="537"/>
      <c r="I57" s="538"/>
      <c r="J57" s="52"/>
      <c r="K57" s="97">
        <f>SUM(K53:K56)</f>
        <v>5328.0269138755975</v>
      </c>
      <c r="L57" s="6"/>
      <c r="M57" s="8"/>
      <c r="N57" s="8"/>
      <c r="O57" s="8"/>
    </row>
    <row r="58" spans="1:15" ht="15.75" customHeight="1" x14ac:dyDescent="0.25">
      <c r="A58" s="7"/>
      <c r="B58" s="81" t="s">
        <v>145</v>
      </c>
      <c r="C58" s="582" t="s">
        <v>146</v>
      </c>
      <c r="D58" s="537"/>
      <c r="E58" s="537"/>
      <c r="F58" s="537"/>
      <c r="G58" s="537"/>
      <c r="H58" s="537"/>
      <c r="I58" s="538"/>
      <c r="J58" s="81" t="s">
        <v>141</v>
      </c>
      <c r="K58" s="81" t="s">
        <v>121</v>
      </c>
      <c r="L58" s="6"/>
      <c r="M58" s="8"/>
      <c r="N58" s="8"/>
      <c r="O58" s="8"/>
    </row>
    <row r="59" spans="1:15" ht="15.75" customHeight="1" x14ac:dyDescent="0.25">
      <c r="A59" s="7"/>
      <c r="B59" s="36" t="s">
        <v>147</v>
      </c>
      <c r="C59" s="580" t="s">
        <v>148</v>
      </c>
      <c r="D59" s="537"/>
      <c r="E59" s="537"/>
      <c r="F59" s="537"/>
      <c r="G59" s="537"/>
      <c r="H59" s="537"/>
      <c r="I59" s="538"/>
      <c r="J59" s="92">
        <f>'7 - ENCARGOS SOCIAIS'!$D$13</f>
        <v>0.36800000000000005</v>
      </c>
      <c r="K59" s="85">
        <f>J59*K57</f>
        <v>1960.7139043062202</v>
      </c>
      <c r="L59" s="6"/>
      <c r="M59" s="8"/>
      <c r="N59" s="8"/>
      <c r="O59" s="8"/>
    </row>
    <row r="60" spans="1:15" ht="15.75" customHeight="1" x14ac:dyDescent="0.25">
      <c r="A60" s="7"/>
      <c r="B60" s="36" t="s">
        <v>150</v>
      </c>
      <c r="C60" s="580" t="s">
        <v>151</v>
      </c>
      <c r="D60" s="537"/>
      <c r="E60" s="537"/>
      <c r="F60" s="537"/>
      <c r="G60" s="537"/>
      <c r="H60" s="537"/>
      <c r="I60" s="538"/>
      <c r="J60" s="92">
        <f>'7 - ENCARGOS SOCIAIS'!$D$21</f>
        <v>0.15387245147090212</v>
      </c>
      <c r="K60" s="85">
        <f>J60*K57</f>
        <v>819.83656274098325</v>
      </c>
      <c r="L60" s="6"/>
      <c r="M60" s="8"/>
      <c r="N60" s="8"/>
      <c r="O60" s="8"/>
    </row>
    <row r="61" spans="1:15" ht="15.75" customHeight="1" x14ac:dyDescent="0.25">
      <c r="A61" s="7"/>
      <c r="B61" s="36" t="s">
        <v>152</v>
      </c>
      <c r="C61" s="580" t="s">
        <v>153</v>
      </c>
      <c r="D61" s="537"/>
      <c r="E61" s="537"/>
      <c r="F61" s="537"/>
      <c r="G61" s="537"/>
      <c r="H61" s="537"/>
      <c r="I61" s="538"/>
      <c r="J61" s="92">
        <f>'7 - ENCARGOS SOCIAIS'!$D$28</f>
        <v>0.12666581537651095</v>
      </c>
      <c r="K61" s="85">
        <f>J61*K57</f>
        <v>674.87887339404779</v>
      </c>
      <c r="L61" s="6"/>
      <c r="M61" s="8"/>
      <c r="N61" s="8"/>
      <c r="O61" s="8"/>
    </row>
    <row r="62" spans="1:15" ht="15.75" customHeight="1" x14ac:dyDescent="0.25">
      <c r="A62" s="7"/>
      <c r="B62" s="36" t="s">
        <v>155</v>
      </c>
      <c r="C62" s="580" t="s">
        <v>156</v>
      </c>
      <c r="D62" s="537"/>
      <c r="E62" s="537"/>
      <c r="F62" s="537"/>
      <c r="G62" s="537"/>
      <c r="H62" s="537"/>
      <c r="I62" s="538"/>
      <c r="J62" s="92">
        <f>'7 - ENCARGOS SOCIAIS'!$D$32</f>
        <v>5.9231502118822603E-2</v>
      </c>
      <c r="K62" s="85">
        <f>J62*K57</f>
        <v>315.58703743836634</v>
      </c>
      <c r="L62" s="6"/>
      <c r="M62" s="8"/>
      <c r="N62" s="8"/>
      <c r="O62" s="8"/>
    </row>
    <row r="63" spans="1:15" ht="15.75" customHeight="1" x14ac:dyDescent="0.25">
      <c r="A63" s="7"/>
      <c r="B63" s="20"/>
      <c r="C63" s="586" t="s">
        <v>157</v>
      </c>
      <c r="D63" s="537"/>
      <c r="E63" s="537"/>
      <c r="F63" s="537"/>
      <c r="G63" s="537"/>
      <c r="H63" s="537"/>
      <c r="I63" s="538"/>
      <c r="J63" s="96">
        <f t="shared" ref="J63:K63" si="3">SUM(J59:J62)</f>
        <v>0.70776976896623567</v>
      </c>
      <c r="K63" s="97">
        <f t="shared" si="3"/>
        <v>3771.0163778796177</v>
      </c>
      <c r="L63" s="6"/>
      <c r="M63" s="8"/>
      <c r="N63" s="8"/>
      <c r="O63" s="8"/>
    </row>
    <row r="64" spans="1:15" ht="15.75" customHeight="1" x14ac:dyDescent="0.25">
      <c r="A64" s="7"/>
      <c r="B64" s="81" t="s">
        <v>158</v>
      </c>
      <c r="C64" s="587" t="s">
        <v>159</v>
      </c>
      <c r="D64" s="537"/>
      <c r="E64" s="537"/>
      <c r="F64" s="537"/>
      <c r="G64" s="538"/>
      <c r="H64" s="100" t="s">
        <v>160</v>
      </c>
      <c r="I64" s="81" t="s">
        <v>120</v>
      </c>
      <c r="J64" s="81" t="s">
        <v>161</v>
      </c>
      <c r="K64" s="81" t="s">
        <v>121</v>
      </c>
      <c r="L64" s="6"/>
      <c r="M64" s="8"/>
      <c r="N64" s="8"/>
      <c r="O64" s="8"/>
    </row>
    <row r="65" spans="1:15" ht="15.75" customHeight="1" x14ac:dyDescent="0.25">
      <c r="A65" s="7"/>
      <c r="B65" s="36" t="s">
        <v>162</v>
      </c>
      <c r="C65" s="580" t="s">
        <v>174</v>
      </c>
      <c r="D65" s="537"/>
      <c r="E65" s="537"/>
      <c r="F65" s="537"/>
      <c r="G65" s="538"/>
      <c r="H65" s="36">
        <v>26</v>
      </c>
      <c r="I65" s="102">
        <v>27.15</v>
      </c>
      <c r="J65" s="103">
        <v>0.19</v>
      </c>
      <c r="K65" s="42">
        <f>(H65*I65)-((H65*I65)*0.19)</f>
        <v>571.779</v>
      </c>
      <c r="L65" s="6"/>
      <c r="M65" s="8"/>
      <c r="N65" s="8"/>
      <c r="O65" s="8"/>
    </row>
    <row r="66" spans="1:15" ht="15.75" customHeight="1" x14ac:dyDescent="0.25">
      <c r="A66" s="7"/>
      <c r="B66" s="36" t="s">
        <v>164</v>
      </c>
      <c r="C66" s="580" t="s">
        <v>177</v>
      </c>
      <c r="D66" s="537"/>
      <c r="E66" s="537"/>
      <c r="F66" s="537"/>
      <c r="G66" s="538"/>
      <c r="H66" s="36">
        <f>H65*4</f>
        <v>104</v>
      </c>
      <c r="I66" s="106">
        <v>6.25</v>
      </c>
      <c r="J66" s="103">
        <v>0.06</v>
      </c>
      <c r="K66" s="42">
        <f>(H66*I66)-(K53*0.06)</f>
        <v>434</v>
      </c>
      <c r="L66" s="6"/>
      <c r="M66" s="8"/>
      <c r="N66" s="8"/>
      <c r="O66" s="8"/>
    </row>
    <row r="67" spans="1:15" ht="15.75" customHeight="1" x14ac:dyDescent="0.25">
      <c r="A67" s="7"/>
      <c r="B67" s="36" t="s">
        <v>166</v>
      </c>
      <c r="C67" s="580" t="s">
        <v>167</v>
      </c>
      <c r="D67" s="537"/>
      <c r="E67" s="537"/>
      <c r="F67" s="537"/>
      <c r="G67" s="538"/>
      <c r="H67" s="33">
        <v>1</v>
      </c>
      <c r="I67" s="102">
        <v>25.52</v>
      </c>
      <c r="J67" s="107"/>
      <c r="K67" s="85">
        <f>I67</f>
        <v>25.52</v>
      </c>
      <c r="L67" s="6"/>
      <c r="M67" s="8"/>
      <c r="N67" s="8"/>
      <c r="O67" s="8"/>
    </row>
    <row r="68" spans="1:15" ht="15.75" customHeight="1" x14ac:dyDescent="0.25">
      <c r="A68" s="7"/>
      <c r="B68" s="107"/>
      <c r="C68" s="585" t="s">
        <v>170</v>
      </c>
      <c r="D68" s="537"/>
      <c r="E68" s="537"/>
      <c r="F68" s="537"/>
      <c r="G68" s="537"/>
      <c r="H68" s="537"/>
      <c r="I68" s="538"/>
      <c r="J68" s="52"/>
      <c r="K68" s="97">
        <f>SUM(K65:K67)</f>
        <v>1031.299</v>
      </c>
      <c r="L68" s="6"/>
      <c r="M68" s="8"/>
      <c r="N68" s="8"/>
      <c r="O68" s="8"/>
    </row>
    <row r="69" spans="1:15" ht="15.75" customHeight="1" x14ac:dyDescent="0.25">
      <c r="A69" s="7"/>
      <c r="B69" s="588" t="s">
        <v>218</v>
      </c>
      <c r="C69" s="564"/>
      <c r="D69" s="564"/>
      <c r="E69" s="564"/>
      <c r="F69" s="564"/>
      <c r="G69" s="564"/>
      <c r="H69" s="564"/>
      <c r="I69" s="564"/>
      <c r="J69" s="565"/>
      <c r="K69" s="124">
        <f>K57+K63+K68</f>
        <v>10130.342291755216</v>
      </c>
      <c r="L69" s="6"/>
      <c r="M69" s="8"/>
      <c r="N69" s="8"/>
      <c r="O69" s="8"/>
    </row>
    <row r="70" spans="1:15" ht="15.75" customHeight="1" x14ac:dyDescent="0.25">
      <c r="A70" s="7"/>
      <c r="B70" s="711" t="s">
        <v>187</v>
      </c>
      <c r="C70" s="611"/>
      <c r="D70" s="611"/>
      <c r="E70" s="611"/>
      <c r="F70" s="611"/>
      <c r="G70" s="611"/>
      <c r="H70" s="611"/>
      <c r="I70" s="611"/>
      <c r="J70" s="612"/>
      <c r="K70" s="125">
        <f>K69</f>
        <v>10130.342291755216</v>
      </c>
      <c r="L70" s="6"/>
      <c r="M70" s="8"/>
      <c r="N70" s="8"/>
      <c r="O70" s="8"/>
    </row>
    <row r="71" spans="1:15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10"/>
      <c r="L71" s="6"/>
      <c r="M71" s="8"/>
      <c r="N71" s="8"/>
      <c r="O71" s="8"/>
    </row>
    <row r="72" spans="1:15" ht="15.75" customHeight="1" x14ac:dyDescent="0.25">
      <c r="A72" s="7"/>
      <c r="B72" s="581" t="s">
        <v>222</v>
      </c>
      <c r="C72" s="537"/>
      <c r="D72" s="537"/>
      <c r="E72" s="537"/>
      <c r="F72" s="537"/>
      <c r="G72" s="537"/>
      <c r="H72" s="537"/>
      <c r="I72" s="537"/>
      <c r="J72" s="537"/>
      <c r="K72" s="538"/>
      <c r="L72" s="6"/>
      <c r="M72" s="8"/>
      <c r="N72" s="8"/>
      <c r="O72" s="8"/>
    </row>
    <row r="73" spans="1:15" ht="15.75" customHeight="1" x14ac:dyDescent="0.25">
      <c r="A73" s="7"/>
      <c r="B73" s="80" t="s">
        <v>116</v>
      </c>
      <c r="C73" s="582" t="s">
        <v>117</v>
      </c>
      <c r="D73" s="537"/>
      <c r="E73" s="537"/>
      <c r="F73" s="537"/>
      <c r="G73" s="538"/>
      <c r="H73" s="100" t="s">
        <v>118</v>
      </c>
      <c r="I73" s="117" t="s">
        <v>119</v>
      </c>
      <c r="J73" s="81" t="s">
        <v>120</v>
      </c>
      <c r="K73" s="81" t="s">
        <v>121</v>
      </c>
      <c r="L73" s="6"/>
      <c r="M73" s="8"/>
      <c r="N73" s="8"/>
      <c r="O73" s="8"/>
    </row>
    <row r="74" spans="1:15" ht="15.75" customHeight="1" x14ac:dyDescent="0.25">
      <c r="A74" s="7"/>
      <c r="B74" s="36" t="s">
        <v>122</v>
      </c>
      <c r="C74" s="580" t="s">
        <v>123</v>
      </c>
      <c r="D74" s="537"/>
      <c r="E74" s="537"/>
      <c r="F74" s="537"/>
      <c r="G74" s="538"/>
      <c r="H74" s="33">
        <v>220</v>
      </c>
      <c r="I74" s="36" t="s">
        <v>126</v>
      </c>
      <c r="J74" s="118">
        <f>K74/H74</f>
        <v>16.363636363636363</v>
      </c>
      <c r="K74" s="85">
        <f>'6 - DADOS CC MO'!E102</f>
        <v>3600</v>
      </c>
      <c r="L74" s="6"/>
      <c r="M74" s="8"/>
      <c r="N74" s="8"/>
      <c r="O74" s="8"/>
    </row>
    <row r="75" spans="1:15" ht="15.75" customHeight="1" x14ac:dyDescent="0.25">
      <c r="A75" s="7"/>
      <c r="B75" s="583" t="s">
        <v>129</v>
      </c>
      <c r="C75" s="584" t="s">
        <v>178</v>
      </c>
      <c r="D75" s="542"/>
      <c r="E75" s="542"/>
      <c r="F75" s="542"/>
      <c r="G75" s="577"/>
      <c r="H75" s="121">
        <f>H78*H90</f>
        <v>112.66666666666666</v>
      </c>
      <c r="I75" s="33" t="s">
        <v>180</v>
      </c>
      <c r="J75" s="82"/>
      <c r="K75" s="85"/>
      <c r="L75" s="6"/>
      <c r="M75" s="8"/>
      <c r="N75" s="8"/>
      <c r="O75" s="8"/>
    </row>
    <row r="76" spans="1:15" ht="15.75" customHeight="1" x14ac:dyDescent="0.25">
      <c r="A76" s="7"/>
      <c r="B76" s="550"/>
      <c r="C76" s="578"/>
      <c r="D76" s="544"/>
      <c r="E76" s="544"/>
      <c r="F76" s="544"/>
      <c r="G76" s="579"/>
      <c r="H76" s="127">
        <f>H75*8/7</f>
        <v>128.76190476190476</v>
      </c>
      <c r="I76" s="33" t="s">
        <v>181</v>
      </c>
      <c r="J76" s="122">
        <f>J74*0.2</f>
        <v>3.2727272727272729</v>
      </c>
      <c r="K76" s="85">
        <f t="shared" ref="K76:K77" si="4">J76*H76</f>
        <v>421.40259740259739</v>
      </c>
      <c r="L76" s="6"/>
      <c r="M76" s="8"/>
      <c r="N76" s="8"/>
      <c r="O76" s="8"/>
    </row>
    <row r="77" spans="1:15" ht="15.75" customHeight="1" x14ac:dyDescent="0.25">
      <c r="A77" s="7"/>
      <c r="B77" s="36" t="s">
        <v>183</v>
      </c>
      <c r="C77" s="50" t="s">
        <v>130</v>
      </c>
      <c r="D77" s="119"/>
      <c r="E77" s="119"/>
      <c r="F77" s="119"/>
      <c r="G77" s="120"/>
      <c r="H77" s="121">
        <f>7+1/3-H78</f>
        <v>3</v>
      </c>
      <c r="I77" s="33" t="s">
        <v>126</v>
      </c>
      <c r="J77" s="122">
        <f>J74*2</f>
        <v>32.727272727272727</v>
      </c>
      <c r="K77" s="85">
        <f t="shared" si="4"/>
        <v>98.181818181818187</v>
      </c>
      <c r="L77" s="6"/>
      <c r="M77" s="8"/>
      <c r="N77" s="8"/>
      <c r="O77" s="8"/>
    </row>
    <row r="78" spans="1:15" ht="15.75" customHeight="1" x14ac:dyDescent="0.25">
      <c r="A78" s="7"/>
      <c r="B78" s="36" t="s">
        <v>185</v>
      </c>
      <c r="C78" s="50" t="s">
        <v>186</v>
      </c>
      <c r="D78" s="119"/>
      <c r="E78" s="119"/>
      <c r="F78" s="119"/>
      <c r="G78" s="120"/>
      <c r="H78" s="121">
        <f>4+1/3</f>
        <v>4.333333333333333</v>
      </c>
      <c r="I78" s="33" t="s">
        <v>126</v>
      </c>
      <c r="J78" s="122"/>
      <c r="K78" s="85"/>
      <c r="L78" s="6"/>
      <c r="M78" s="8"/>
      <c r="N78" s="8"/>
      <c r="O78" s="8"/>
    </row>
    <row r="79" spans="1:15" ht="15.75" customHeight="1" x14ac:dyDescent="0.25">
      <c r="A79" s="7"/>
      <c r="B79" s="36" t="s">
        <v>188</v>
      </c>
      <c r="C79" s="50" t="s">
        <v>189</v>
      </c>
      <c r="D79" s="119"/>
      <c r="E79" s="119"/>
      <c r="F79" s="119"/>
      <c r="G79" s="120"/>
      <c r="H79" s="121">
        <f>H78*8/7</f>
        <v>4.9523809523809517</v>
      </c>
      <c r="I79" s="33" t="s">
        <v>126</v>
      </c>
      <c r="J79" s="122">
        <f>J74*2*1.2</f>
        <v>39.272727272727273</v>
      </c>
      <c r="K79" s="85">
        <f>J79*H79</f>
        <v>194.49350649350646</v>
      </c>
      <c r="L79" s="6"/>
      <c r="M79" s="8"/>
      <c r="N79" s="8"/>
      <c r="O79" s="8"/>
    </row>
    <row r="80" spans="1:15" ht="15.75" customHeight="1" x14ac:dyDescent="0.25">
      <c r="A80" s="7"/>
      <c r="B80" s="36" t="s">
        <v>192</v>
      </c>
      <c r="C80" s="50" t="s">
        <v>200</v>
      </c>
      <c r="D80" s="119"/>
      <c r="E80" s="119"/>
      <c r="F80" s="119"/>
      <c r="G80" s="120"/>
      <c r="H80" s="33"/>
      <c r="I80" s="7"/>
      <c r="J80" s="122">
        <f>61/304*(SUM(K76:K79))</f>
        <v>143.28537252221463</v>
      </c>
      <c r="K80" s="85">
        <f>J80</f>
        <v>143.28537252221463</v>
      </c>
      <c r="L80" s="6"/>
      <c r="M80" s="8"/>
      <c r="N80" s="8"/>
      <c r="O80" s="8"/>
    </row>
    <row r="81" spans="1:15" ht="15.75" customHeight="1" x14ac:dyDescent="0.25">
      <c r="A81" s="7"/>
      <c r="B81" s="36" t="s">
        <v>134</v>
      </c>
      <c r="C81" s="580" t="s">
        <v>139</v>
      </c>
      <c r="D81" s="537"/>
      <c r="E81" s="537"/>
      <c r="F81" s="537"/>
      <c r="G81" s="538"/>
      <c r="H81" s="33">
        <v>40</v>
      </c>
      <c r="I81" s="36" t="s">
        <v>141</v>
      </c>
      <c r="J81" s="82"/>
      <c r="K81" s="85">
        <f>K74*40%</f>
        <v>1440</v>
      </c>
      <c r="L81" s="6"/>
      <c r="M81" s="8"/>
      <c r="N81" s="8"/>
      <c r="O81" s="8"/>
    </row>
    <row r="82" spans="1:15" ht="15.75" customHeight="1" x14ac:dyDescent="0.25">
      <c r="A82" s="7"/>
      <c r="B82" s="33"/>
      <c r="C82" s="585" t="s">
        <v>142</v>
      </c>
      <c r="D82" s="537"/>
      <c r="E82" s="537"/>
      <c r="F82" s="537"/>
      <c r="G82" s="537"/>
      <c r="H82" s="537"/>
      <c r="I82" s="538"/>
      <c r="J82" s="52"/>
      <c r="K82" s="87">
        <f>SUM(K74:K81)</f>
        <v>5897.3632946001362</v>
      </c>
      <c r="L82" s="6"/>
      <c r="M82" s="8"/>
      <c r="N82" s="8"/>
      <c r="O82" s="8"/>
    </row>
    <row r="83" spans="1:15" ht="15.75" customHeight="1" x14ac:dyDescent="0.25">
      <c r="A83" s="7"/>
      <c r="B83" s="81" t="s">
        <v>145</v>
      </c>
      <c r="C83" s="582" t="s">
        <v>146</v>
      </c>
      <c r="D83" s="537"/>
      <c r="E83" s="537"/>
      <c r="F83" s="537"/>
      <c r="G83" s="537"/>
      <c r="H83" s="537"/>
      <c r="I83" s="538"/>
      <c r="J83" s="81" t="s">
        <v>141</v>
      </c>
      <c r="K83" s="81" t="s">
        <v>121</v>
      </c>
      <c r="L83" s="6"/>
      <c r="M83" s="8"/>
      <c r="N83" s="8"/>
      <c r="O83" s="8"/>
    </row>
    <row r="84" spans="1:15" ht="15.75" customHeight="1" x14ac:dyDescent="0.25">
      <c r="A84" s="7"/>
      <c r="B84" s="36" t="s">
        <v>147</v>
      </c>
      <c r="C84" s="580" t="s">
        <v>148</v>
      </c>
      <c r="D84" s="537"/>
      <c r="E84" s="537"/>
      <c r="F84" s="537"/>
      <c r="G84" s="537"/>
      <c r="H84" s="537"/>
      <c r="I84" s="538"/>
      <c r="J84" s="92">
        <f>'7 - ENCARGOS SOCIAIS'!$D$13</f>
        <v>0.36800000000000005</v>
      </c>
      <c r="K84" s="85">
        <f t="shared" ref="K84:K87" si="5">J84*$K$82</f>
        <v>2170.2296924128505</v>
      </c>
      <c r="L84" s="6"/>
      <c r="M84" s="8"/>
      <c r="N84" s="8"/>
      <c r="O84" s="8"/>
    </row>
    <row r="85" spans="1:15" ht="15.75" customHeight="1" x14ac:dyDescent="0.25">
      <c r="A85" s="7"/>
      <c r="B85" s="36" t="s">
        <v>150</v>
      </c>
      <c r="C85" s="580" t="s">
        <v>151</v>
      </c>
      <c r="D85" s="537"/>
      <c r="E85" s="537"/>
      <c r="F85" s="537"/>
      <c r="G85" s="537"/>
      <c r="H85" s="537"/>
      <c r="I85" s="538"/>
      <c r="J85" s="92">
        <f>'7 - ENCARGOS SOCIAIS'!$D$21</f>
        <v>0.15387245147090212</v>
      </c>
      <c r="K85" s="85">
        <f t="shared" si="5"/>
        <v>907.44174735463889</v>
      </c>
      <c r="L85" s="6"/>
      <c r="M85" s="8"/>
      <c r="N85" s="8"/>
      <c r="O85" s="8"/>
    </row>
    <row r="86" spans="1:15" ht="15.75" customHeight="1" x14ac:dyDescent="0.25">
      <c r="A86" s="7"/>
      <c r="B86" s="36" t="s">
        <v>152</v>
      </c>
      <c r="C86" s="580" t="s">
        <v>153</v>
      </c>
      <c r="D86" s="537"/>
      <c r="E86" s="537"/>
      <c r="F86" s="537"/>
      <c r="G86" s="537"/>
      <c r="H86" s="537"/>
      <c r="I86" s="538"/>
      <c r="J86" s="92">
        <f>'7 - ENCARGOS SOCIAIS'!$D$28</f>
        <v>0.12666581537651095</v>
      </c>
      <c r="K86" s="85">
        <f t="shared" si="5"/>
        <v>746.99433028203316</v>
      </c>
      <c r="L86" s="6"/>
      <c r="M86" s="8"/>
      <c r="N86" s="8"/>
      <c r="O86" s="8"/>
    </row>
    <row r="87" spans="1:15" ht="15.75" customHeight="1" x14ac:dyDescent="0.25">
      <c r="A87" s="7"/>
      <c r="B87" s="36" t="s">
        <v>155</v>
      </c>
      <c r="C87" s="580" t="s">
        <v>156</v>
      </c>
      <c r="D87" s="537"/>
      <c r="E87" s="537"/>
      <c r="F87" s="537"/>
      <c r="G87" s="537"/>
      <c r="H87" s="537"/>
      <c r="I87" s="538"/>
      <c r="J87" s="92">
        <f>'7 - ENCARGOS SOCIAIS'!$D$32</f>
        <v>5.9231502118822603E-2</v>
      </c>
      <c r="K87" s="85">
        <f t="shared" si="5"/>
        <v>349.30968647957462</v>
      </c>
      <c r="L87" s="6"/>
      <c r="M87" s="8"/>
      <c r="N87" s="8"/>
      <c r="O87" s="8"/>
    </row>
    <row r="88" spans="1:15" ht="15.75" customHeight="1" x14ac:dyDescent="0.25">
      <c r="A88" s="7"/>
      <c r="B88" s="20"/>
      <c r="C88" s="586" t="s">
        <v>157</v>
      </c>
      <c r="D88" s="537"/>
      <c r="E88" s="537"/>
      <c r="F88" s="537"/>
      <c r="G88" s="537"/>
      <c r="H88" s="537"/>
      <c r="I88" s="538"/>
      <c r="J88" s="96">
        <f t="shared" ref="J88:K88" si="6">SUM(J84:J87)</f>
        <v>0.70776976896623567</v>
      </c>
      <c r="K88" s="97">
        <f t="shared" si="6"/>
        <v>4173.9754565290968</v>
      </c>
      <c r="L88" s="6"/>
      <c r="M88" s="8"/>
      <c r="N88" s="8"/>
      <c r="O88" s="8"/>
    </row>
    <row r="89" spans="1:15" ht="15.75" customHeight="1" x14ac:dyDescent="0.25">
      <c r="A89" s="7"/>
      <c r="B89" s="81" t="s">
        <v>158</v>
      </c>
      <c r="C89" s="587" t="s">
        <v>159</v>
      </c>
      <c r="D89" s="537"/>
      <c r="E89" s="537"/>
      <c r="F89" s="537"/>
      <c r="G89" s="538"/>
      <c r="H89" s="100" t="s">
        <v>160</v>
      </c>
      <c r="I89" s="81" t="s">
        <v>120</v>
      </c>
      <c r="J89" s="81" t="s">
        <v>161</v>
      </c>
      <c r="K89" s="81" t="s">
        <v>121</v>
      </c>
      <c r="L89" s="6"/>
      <c r="M89" s="8"/>
      <c r="N89" s="8"/>
      <c r="O89" s="8"/>
    </row>
    <row r="90" spans="1:15" ht="15.75" customHeight="1" x14ac:dyDescent="0.25">
      <c r="A90" s="7"/>
      <c r="B90" s="36" t="s">
        <v>162</v>
      </c>
      <c r="C90" s="580" t="s">
        <v>174</v>
      </c>
      <c r="D90" s="537"/>
      <c r="E90" s="537"/>
      <c r="F90" s="537"/>
      <c r="G90" s="538"/>
      <c r="H90" s="36">
        <v>26</v>
      </c>
      <c r="I90" s="102">
        <v>27.15</v>
      </c>
      <c r="J90" s="103">
        <v>0.19</v>
      </c>
      <c r="K90" s="42">
        <f>(H90*I90)-((H90*I90)*0.19)</f>
        <v>571.779</v>
      </c>
      <c r="L90" s="6"/>
      <c r="M90" s="8"/>
      <c r="N90" s="8"/>
      <c r="O90" s="8"/>
    </row>
    <row r="91" spans="1:15" ht="15.75" customHeight="1" x14ac:dyDescent="0.25">
      <c r="A91" s="7"/>
      <c r="B91" s="36" t="s">
        <v>164</v>
      </c>
      <c r="C91" s="580" t="s">
        <v>177</v>
      </c>
      <c r="D91" s="537"/>
      <c r="E91" s="537"/>
      <c r="F91" s="537"/>
      <c r="G91" s="538"/>
      <c r="H91" s="36">
        <f>H90*4</f>
        <v>104</v>
      </c>
      <c r="I91" s="106">
        <v>6.25</v>
      </c>
      <c r="J91" s="103">
        <v>0.06</v>
      </c>
      <c r="K91" s="42">
        <f>(H91*I91)-(K74*0.06)</f>
        <v>434</v>
      </c>
      <c r="L91" s="6"/>
      <c r="M91" s="8"/>
      <c r="N91" s="8"/>
      <c r="O91" s="8"/>
    </row>
    <row r="92" spans="1:15" ht="15.75" customHeight="1" x14ac:dyDescent="0.25">
      <c r="A92" s="7"/>
      <c r="B92" s="36" t="s">
        <v>166</v>
      </c>
      <c r="C92" s="580" t="s">
        <v>167</v>
      </c>
      <c r="D92" s="537"/>
      <c r="E92" s="537"/>
      <c r="F92" s="537"/>
      <c r="G92" s="538"/>
      <c r="H92" s="33">
        <v>1</v>
      </c>
      <c r="I92" s="102">
        <v>25.52</v>
      </c>
      <c r="J92" s="107"/>
      <c r="K92" s="109">
        <f>I92</f>
        <v>25.52</v>
      </c>
      <c r="L92" s="6"/>
      <c r="M92" s="8"/>
      <c r="N92" s="8"/>
      <c r="O92" s="8"/>
    </row>
    <row r="93" spans="1:15" ht="15.75" customHeight="1" x14ac:dyDescent="0.25">
      <c r="A93" s="7"/>
      <c r="B93" s="107"/>
      <c r="C93" s="585" t="s">
        <v>170</v>
      </c>
      <c r="D93" s="537"/>
      <c r="E93" s="537"/>
      <c r="F93" s="537"/>
      <c r="G93" s="537"/>
      <c r="H93" s="537"/>
      <c r="I93" s="538"/>
      <c r="J93" s="52"/>
      <c r="K93" s="110">
        <f>SUM(K90:K92)</f>
        <v>1031.299</v>
      </c>
      <c r="L93" s="6"/>
      <c r="M93" s="8"/>
      <c r="N93" s="8"/>
      <c r="O93" s="8"/>
    </row>
    <row r="94" spans="1:15" ht="15.75" customHeight="1" x14ac:dyDescent="0.25">
      <c r="A94" s="7"/>
      <c r="B94" s="588" t="s">
        <v>227</v>
      </c>
      <c r="C94" s="564"/>
      <c r="D94" s="564"/>
      <c r="E94" s="564"/>
      <c r="F94" s="564"/>
      <c r="G94" s="564"/>
      <c r="H94" s="564"/>
      <c r="I94" s="564"/>
      <c r="J94" s="565"/>
      <c r="K94" s="113">
        <f>K93+K88+K82</f>
        <v>11102.637751129234</v>
      </c>
      <c r="L94" s="6"/>
      <c r="M94" s="8"/>
      <c r="N94" s="8"/>
      <c r="O94" s="8"/>
    </row>
    <row r="95" spans="1:15" ht="15.75" customHeight="1" x14ac:dyDescent="0.25">
      <c r="A95" s="7"/>
      <c r="B95" s="711" t="s">
        <v>187</v>
      </c>
      <c r="C95" s="611"/>
      <c r="D95" s="611"/>
      <c r="E95" s="611"/>
      <c r="F95" s="611"/>
      <c r="G95" s="611"/>
      <c r="H95" s="611"/>
      <c r="I95" s="611"/>
      <c r="J95" s="612"/>
      <c r="K95" s="114">
        <f>K94*1</f>
        <v>11102.637751129234</v>
      </c>
      <c r="L95" s="6"/>
      <c r="M95" s="8"/>
      <c r="N95" s="8"/>
      <c r="O95" s="8"/>
    </row>
    <row r="96" spans="1:15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10"/>
      <c r="L96" s="6"/>
      <c r="M96" s="8"/>
      <c r="N96" s="8"/>
      <c r="O96" s="8"/>
    </row>
    <row r="97" spans="1:15" ht="15.75" customHeight="1" x14ac:dyDescent="0.25">
      <c r="A97" s="7"/>
      <c r="B97" s="581" t="s">
        <v>229</v>
      </c>
      <c r="C97" s="537"/>
      <c r="D97" s="537"/>
      <c r="E97" s="537"/>
      <c r="F97" s="537"/>
      <c r="G97" s="537"/>
      <c r="H97" s="537"/>
      <c r="I97" s="537"/>
      <c r="J97" s="537"/>
      <c r="K97" s="538"/>
      <c r="L97" s="6"/>
      <c r="M97" s="8"/>
      <c r="N97" s="8"/>
      <c r="O97" s="8"/>
    </row>
    <row r="98" spans="1:15" ht="15.75" customHeight="1" x14ac:dyDescent="0.25">
      <c r="A98" s="7"/>
      <c r="B98" s="80" t="s">
        <v>116</v>
      </c>
      <c r="C98" s="582" t="s">
        <v>117</v>
      </c>
      <c r="D98" s="537"/>
      <c r="E98" s="537"/>
      <c r="F98" s="537"/>
      <c r="G98" s="537"/>
      <c r="H98" s="537"/>
      <c r="I98" s="538"/>
      <c r="J98" s="81"/>
      <c r="K98" s="81" t="s">
        <v>121</v>
      </c>
      <c r="L98" s="6"/>
      <c r="M98" s="8"/>
      <c r="N98" s="8"/>
      <c r="O98" s="8"/>
    </row>
    <row r="99" spans="1:15" ht="15.75" customHeight="1" x14ac:dyDescent="0.25">
      <c r="A99" s="7"/>
      <c r="B99" s="33" t="s">
        <v>122</v>
      </c>
      <c r="C99" s="705" t="s">
        <v>123</v>
      </c>
      <c r="D99" s="537"/>
      <c r="E99" s="537"/>
      <c r="F99" s="537"/>
      <c r="G99" s="537"/>
      <c r="H99" s="537"/>
      <c r="I99" s="538"/>
      <c r="J99" s="82"/>
      <c r="K99" s="85">
        <f>'6 - DADOS CC MO'!E56</f>
        <v>2307.83</v>
      </c>
      <c r="L99" s="6"/>
      <c r="M99" s="8"/>
      <c r="N99" s="8"/>
      <c r="O99" s="8"/>
    </row>
    <row r="100" spans="1:15" ht="15.75" customHeight="1" x14ac:dyDescent="0.25">
      <c r="A100" s="7"/>
      <c r="B100" s="33"/>
      <c r="C100" s="585" t="s">
        <v>142</v>
      </c>
      <c r="D100" s="537"/>
      <c r="E100" s="537"/>
      <c r="F100" s="537"/>
      <c r="G100" s="537"/>
      <c r="H100" s="537"/>
      <c r="I100" s="538"/>
      <c r="J100" s="52"/>
      <c r="K100" s="87">
        <f>K99</f>
        <v>2307.83</v>
      </c>
      <c r="L100" s="6"/>
      <c r="M100" s="8"/>
      <c r="N100" s="8"/>
      <c r="O100" s="8"/>
    </row>
    <row r="101" spans="1:15" ht="15.75" customHeight="1" x14ac:dyDescent="0.25">
      <c r="A101" s="7"/>
      <c r="B101" s="81" t="s">
        <v>145</v>
      </c>
      <c r="C101" s="582" t="s">
        <v>146</v>
      </c>
      <c r="D101" s="537"/>
      <c r="E101" s="537"/>
      <c r="F101" s="537"/>
      <c r="G101" s="537"/>
      <c r="H101" s="537"/>
      <c r="I101" s="538"/>
      <c r="J101" s="81" t="s">
        <v>141</v>
      </c>
      <c r="K101" s="81" t="s">
        <v>121</v>
      </c>
      <c r="L101" s="6"/>
      <c r="M101" s="8"/>
      <c r="N101" s="8"/>
      <c r="O101" s="8"/>
    </row>
    <row r="102" spans="1:15" ht="15.75" customHeight="1" x14ac:dyDescent="0.25">
      <c r="A102" s="7"/>
      <c r="B102" s="36" t="s">
        <v>147</v>
      </c>
      <c r="C102" s="580" t="s">
        <v>148</v>
      </c>
      <c r="D102" s="537"/>
      <c r="E102" s="537"/>
      <c r="F102" s="537"/>
      <c r="G102" s="537"/>
      <c r="H102" s="537"/>
      <c r="I102" s="538"/>
      <c r="J102" s="92">
        <f>'7 - ENCARGOS SOCIAIS'!$D$13</f>
        <v>0.36800000000000005</v>
      </c>
      <c r="K102" s="85">
        <f t="shared" ref="K102:K105" si="7">J102*$K$100</f>
        <v>849.28144000000009</v>
      </c>
      <c r="L102" s="6"/>
      <c r="M102" s="8"/>
      <c r="N102" s="8"/>
      <c r="O102" s="8"/>
    </row>
    <row r="103" spans="1:15" ht="15.75" customHeight="1" x14ac:dyDescent="0.25">
      <c r="A103" s="7"/>
      <c r="B103" s="36" t="s">
        <v>150</v>
      </c>
      <c r="C103" s="580" t="s">
        <v>151</v>
      </c>
      <c r="D103" s="537"/>
      <c r="E103" s="537"/>
      <c r="F103" s="537"/>
      <c r="G103" s="537"/>
      <c r="H103" s="537"/>
      <c r="I103" s="538"/>
      <c r="J103" s="92">
        <f>'7 - ENCARGOS SOCIAIS'!$D$21</f>
        <v>0.15387245147090212</v>
      </c>
      <c r="K103" s="85">
        <f t="shared" si="7"/>
        <v>355.11145967809205</v>
      </c>
      <c r="L103" s="6"/>
      <c r="M103" s="8"/>
      <c r="N103" s="8"/>
      <c r="O103" s="8"/>
    </row>
    <row r="104" spans="1:15" ht="15.75" customHeight="1" x14ac:dyDescent="0.25">
      <c r="A104" s="7"/>
      <c r="B104" s="36" t="s">
        <v>152</v>
      </c>
      <c r="C104" s="580" t="s">
        <v>153</v>
      </c>
      <c r="D104" s="537"/>
      <c r="E104" s="537"/>
      <c r="F104" s="537"/>
      <c r="G104" s="537"/>
      <c r="H104" s="537"/>
      <c r="I104" s="538"/>
      <c r="J104" s="92">
        <f>'7 - ENCARGOS SOCIAIS'!$D$28</f>
        <v>0.12666581537651095</v>
      </c>
      <c r="K104" s="85">
        <f t="shared" si="7"/>
        <v>292.32316870037323</v>
      </c>
      <c r="L104" s="6"/>
      <c r="M104" s="8"/>
      <c r="N104" s="8"/>
      <c r="O104" s="8"/>
    </row>
    <row r="105" spans="1:15" ht="15.75" customHeight="1" x14ac:dyDescent="0.25">
      <c r="A105" s="7"/>
      <c r="B105" s="36" t="s">
        <v>155</v>
      </c>
      <c r="C105" s="580" t="s">
        <v>156</v>
      </c>
      <c r="D105" s="537"/>
      <c r="E105" s="537"/>
      <c r="F105" s="537"/>
      <c r="G105" s="537"/>
      <c r="H105" s="537"/>
      <c r="I105" s="538"/>
      <c r="J105" s="92">
        <f>'7 - ENCARGOS SOCIAIS'!$D$32</f>
        <v>5.9231502118822603E-2</v>
      </c>
      <c r="K105" s="85">
        <f t="shared" si="7"/>
        <v>136.69623753488236</v>
      </c>
      <c r="L105" s="6"/>
      <c r="M105" s="8"/>
      <c r="N105" s="8"/>
      <c r="O105" s="8"/>
    </row>
    <row r="106" spans="1:15" ht="15.75" customHeight="1" x14ac:dyDescent="0.25">
      <c r="A106" s="7"/>
      <c r="B106" s="20"/>
      <c r="C106" s="586" t="s">
        <v>157</v>
      </c>
      <c r="D106" s="537"/>
      <c r="E106" s="537"/>
      <c r="F106" s="537"/>
      <c r="G106" s="537"/>
      <c r="H106" s="537"/>
      <c r="I106" s="538"/>
      <c r="J106" s="96">
        <f t="shared" ref="J106:K106" si="8">SUM(J102:J105)</f>
        <v>0.70776976896623567</v>
      </c>
      <c r="K106" s="97">
        <f t="shared" si="8"/>
        <v>1633.4123059133478</v>
      </c>
      <c r="L106" s="6"/>
      <c r="M106" s="8"/>
      <c r="N106" s="8"/>
      <c r="O106" s="8"/>
    </row>
    <row r="107" spans="1:15" ht="15.75" customHeight="1" x14ac:dyDescent="0.25">
      <c r="A107" s="7"/>
      <c r="B107" s="81" t="s">
        <v>158</v>
      </c>
      <c r="C107" s="587" t="s">
        <v>159</v>
      </c>
      <c r="D107" s="537"/>
      <c r="E107" s="537"/>
      <c r="F107" s="537"/>
      <c r="G107" s="538"/>
      <c r="H107" s="100" t="s">
        <v>160</v>
      </c>
      <c r="I107" s="81" t="s">
        <v>120</v>
      </c>
      <c r="J107" s="81" t="s">
        <v>161</v>
      </c>
      <c r="K107" s="81" t="s">
        <v>121</v>
      </c>
      <c r="L107" s="6"/>
      <c r="M107" s="8"/>
      <c r="N107" s="8"/>
      <c r="O107" s="8"/>
    </row>
    <row r="108" spans="1:15" ht="15.75" customHeight="1" x14ac:dyDescent="0.25">
      <c r="A108" s="7"/>
      <c r="B108" s="36" t="s">
        <v>162</v>
      </c>
      <c r="C108" s="580" t="s">
        <v>174</v>
      </c>
      <c r="D108" s="537"/>
      <c r="E108" s="537"/>
      <c r="F108" s="537"/>
      <c r="G108" s="538"/>
      <c r="H108" s="36">
        <v>26</v>
      </c>
      <c r="I108" s="102">
        <v>27.15</v>
      </c>
      <c r="J108" s="103">
        <v>0.19</v>
      </c>
      <c r="K108" s="42">
        <f>(H108*I108)-((H108*I108)*0.19)</f>
        <v>571.779</v>
      </c>
      <c r="L108" s="6"/>
      <c r="M108" s="8"/>
      <c r="N108" s="8"/>
      <c r="O108" s="8"/>
    </row>
    <row r="109" spans="1:15" ht="15.75" customHeight="1" x14ac:dyDescent="0.25">
      <c r="A109" s="7"/>
      <c r="B109" s="36" t="s">
        <v>164</v>
      </c>
      <c r="C109" s="580" t="s">
        <v>177</v>
      </c>
      <c r="D109" s="537"/>
      <c r="E109" s="537"/>
      <c r="F109" s="537"/>
      <c r="G109" s="538"/>
      <c r="H109" s="36">
        <f>H108*4</f>
        <v>104</v>
      </c>
      <c r="I109" s="106">
        <v>6.25</v>
      </c>
      <c r="J109" s="103">
        <v>0.06</v>
      </c>
      <c r="K109" s="42">
        <f>(H109*I109)-(K99*0.06)</f>
        <v>511.53020000000004</v>
      </c>
      <c r="L109" s="6"/>
      <c r="M109" s="8"/>
      <c r="N109" s="8"/>
      <c r="O109" s="8"/>
    </row>
    <row r="110" spans="1:15" ht="15.75" customHeight="1" x14ac:dyDescent="0.25">
      <c r="A110" s="7"/>
      <c r="B110" s="36" t="s">
        <v>166</v>
      </c>
      <c r="C110" s="580" t="s">
        <v>167</v>
      </c>
      <c r="D110" s="537"/>
      <c r="E110" s="537"/>
      <c r="F110" s="537"/>
      <c r="G110" s="538"/>
      <c r="H110" s="33">
        <v>1</v>
      </c>
      <c r="I110" s="102">
        <f>'6 - DADOS CC MO'!E58</f>
        <v>25.52</v>
      </c>
      <c r="J110" s="107"/>
      <c r="K110" s="132">
        <f t="shared" ref="K110:K111" si="9">I110</f>
        <v>25.52</v>
      </c>
      <c r="L110" s="6"/>
      <c r="M110" s="8"/>
      <c r="N110" s="8"/>
      <c r="O110" s="8"/>
    </row>
    <row r="111" spans="1:15" ht="15.75" customHeight="1" x14ac:dyDescent="0.25">
      <c r="A111" s="7"/>
      <c r="B111" s="36" t="s">
        <v>168</v>
      </c>
      <c r="C111" s="580" t="s">
        <v>207</v>
      </c>
      <c r="D111" s="537"/>
      <c r="E111" s="537"/>
      <c r="F111" s="537"/>
      <c r="G111" s="538"/>
      <c r="H111" s="33">
        <v>1</v>
      </c>
      <c r="I111" s="102">
        <v>80</v>
      </c>
      <c r="J111" s="107"/>
      <c r="K111" s="132">
        <f t="shared" si="9"/>
        <v>80</v>
      </c>
      <c r="L111" s="6"/>
      <c r="M111" s="8"/>
      <c r="N111" s="8"/>
      <c r="O111" s="8"/>
    </row>
    <row r="112" spans="1:15" ht="15.75" customHeight="1" x14ac:dyDescent="0.25">
      <c r="A112" s="7"/>
      <c r="B112" s="107"/>
      <c r="C112" s="585" t="s">
        <v>170</v>
      </c>
      <c r="D112" s="537"/>
      <c r="E112" s="537"/>
      <c r="F112" s="537"/>
      <c r="G112" s="537"/>
      <c r="H112" s="537"/>
      <c r="I112" s="538"/>
      <c r="J112" s="52"/>
      <c r="K112" s="110">
        <f>SUM(K108:K111)</f>
        <v>1188.8292000000001</v>
      </c>
      <c r="L112" s="6"/>
      <c r="M112" s="8"/>
      <c r="N112" s="8"/>
      <c r="O112" s="8"/>
    </row>
    <row r="113" spans="1:15" ht="15.75" customHeight="1" x14ac:dyDescent="0.25">
      <c r="A113" s="7"/>
      <c r="B113" s="588" t="s">
        <v>232</v>
      </c>
      <c r="C113" s="564"/>
      <c r="D113" s="564"/>
      <c r="E113" s="564"/>
      <c r="F113" s="564"/>
      <c r="G113" s="564"/>
      <c r="H113" s="564"/>
      <c r="I113" s="564"/>
      <c r="J113" s="565"/>
      <c r="K113" s="113">
        <f>K112+K106+K100</f>
        <v>5130.0715059133481</v>
      </c>
      <c r="L113" s="6"/>
      <c r="M113" s="8"/>
      <c r="N113" s="8"/>
      <c r="O113" s="8"/>
    </row>
    <row r="114" spans="1:15" ht="15.75" customHeight="1" x14ac:dyDescent="0.25">
      <c r="A114" s="7"/>
      <c r="B114" s="711" t="s">
        <v>187</v>
      </c>
      <c r="C114" s="611"/>
      <c r="D114" s="611"/>
      <c r="E114" s="611"/>
      <c r="F114" s="611"/>
      <c r="G114" s="611"/>
      <c r="H114" s="611"/>
      <c r="I114" s="611"/>
      <c r="J114" s="612"/>
      <c r="K114" s="114">
        <f>K113*1</f>
        <v>5130.0715059133481</v>
      </c>
      <c r="L114" s="6"/>
      <c r="M114" s="8"/>
      <c r="N114" s="8"/>
      <c r="O114" s="8"/>
    </row>
    <row r="115" spans="1:15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10"/>
      <c r="L115" s="6"/>
      <c r="M115" s="8"/>
      <c r="N115" s="8"/>
      <c r="O115" s="8"/>
    </row>
    <row r="116" spans="1:15" ht="15.75" customHeight="1" x14ac:dyDescent="0.25">
      <c r="A116" s="7"/>
      <c r="B116" s="581" t="s">
        <v>233</v>
      </c>
      <c r="C116" s="537"/>
      <c r="D116" s="537"/>
      <c r="E116" s="537"/>
      <c r="F116" s="537"/>
      <c r="G116" s="537"/>
      <c r="H116" s="537"/>
      <c r="I116" s="537"/>
      <c r="J116" s="537"/>
      <c r="K116" s="538"/>
      <c r="L116" s="6"/>
      <c r="M116" s="8"/>
      <c r="N116" s="8"/>
      <c r="O116" s="8"/>
    </row>
    <row r="117" spans="1:15" ht="15.75" customHeight="1" x14ac:dyDescent="0.25">
      <c r="A117" s="7"/>
      <c r="B117" s="80" t="s">
        <v>116</v>
      </c>
      <c r="C117" s="582" t="s">
        <v>117</v>
      </c>
      <c r="D117" s="537"/>
      <c r="E117" s="537"/>
      <c r="F117" s="537"/>
      <c r="G117" s="538"/>
      <c r="H117" s="100" t="s">
        <v>118</v>
      </c>
      <c r="I117" s="117" t="s">
        <v>119</v>
      </c>
      <c r="J117" s="81" t="s">
        <v>120</v>
      </c>
      <c r="K117" s="81" t="s">
        <v>121</v>
      </c>
      <c r="L117" s="6"/>
      <c r="M117" s="8"/>
      <c r="N117" s="8"/>
      <c r="O117" s="8"/>
    </row>
    <row r="118" spans="1:15" ht="15.75" customHeight="1" x14ac:dyDescent="0.25">
      <c r="A118" s="7"/>
      <c r="B118" s="36" t="s">
        <v>122</v>
      </c>
      <c r="C118" s="580" t="s">
        <v>123</v>
      </c>
      <c r="D118" s="537"/>
      <c r="E118" s="537"/>
      <c r="F118" s="537"/>
      <c r="G118" s="538"/>
      <c r="H118" s="33">
        <v>220</v>
      </c>
      <c r="I118" s="36" t="s">
        <v>126</v>
      </c>
      <c r="J118" s="118">
        <f>K118/H118</f>
        <v>9.6690909090909081</v>
      </c>
      <c r="K118" s="85">
        <f>'6 - DADOS CC MO'!E34</f>
        <v>2127.1999999999998</v>
      </c>
      <c r="L118" s="6"/>
      <c r="M118" s="8"/>
      <c r="N118" s="8"/>
      <c r="O118" s="8"/>
    </row>
    <row r="119" spans="1:15" ht="15.75" customHeight="1" x14ac:dyDescent="0.25">
      <c r="A119" s="7"/>
      <c r="B119" s="33" t="s">
        <v>195</v>
      </c>
      <c r="C119" s="50" t="s">
        <v>130</v>
      </c>
      <c r="D119" s="119"/>
      <c r="E119" s="119"/>
      <c r="F119" s="119"/>
      <c r="G119" s="120"/>
      <c r="H119" s="121">
        <v>7.33</v>
      </c>
      <c r="I119" s="33" t="s">
        <v>126</v>
      </c>
      <c r="J119" s="122">
        <f>J118*2</f>
        <v>19.338181818181816</v>
      </c>
      <c r="K119" s="85">
        <f>J119*H119</f>
        <v>141.74887272727273</v>
      </c>
      <c r="L119" s="6"/>
      <c r="M119" s="8"/>
      <c r="N119" s="8"/>
      <c r="O119" s="8"/>
    </row>
    <row r="120" spans="1:15" ht="15.75" customHeight="1" x14ac:dyDescent="0.25">
      <c r="A120" s="7"/>
      <c r="B120" s="36" t="s">
        <v>198</v>
      </c>
      <c r="C120" s="91" t="s">
        <v>135</v>
      </c>
      <c r="D120" s="134"/>
      <c r="E120" s="134"/>
      <c r="F120" s="134"/>
      <c r="G120" s="129"/>
      <c r="H120" s="121"/>
      <c r="I120" s="36"/>
      <c r="J120" s="118">
        <f>61/304*(SUM(K119))</f>
        <v>28.44303038277512</v>
      </c>
      <c r="K120" s="128">
        <f>J120</f>
        <v>28.44303038277512</v>
      </c>
      <c r="L120" s="6"/>
      <c r="M120" s="8"/>
      <c r="N120" s="8"/>
      <c r="O120" s="8"/>
    </row>
    <row r="121" spans="1:15" ht="15.75" customHeight="1" x14ac:dyDescent="0.25">
      <c r="A121" s="7"/>
      <c r="B121" s="36" t="s">
        <v>129</v>
      </c>
      <c r="C121" s="580" t="s">
        <v>139</v>
      </c>
      <c r="D121" s="537"/>
      <c r="E121" s="537"/>
      <c r="F121" s="537"/>
      <c r="G121" s="538"/>
      <c r="H121" s="33">
        <v>40</v>
      </c>
      <c r="I121" s="36" t="s">
        <v>141</v>
      </c>
      <c r="J121" s="82"/>
      <c r="K121" s="85">
        <f>K118*40%</f>
        <v>850.88</v>
      </c>
      <c r="L121" s="6"/>
      <c r="M121" s="8"/>
      <c r="N121" s="8"/>
      <c r="O121" s="8"/>
    </row>
    <row r="122" spans="1:15" ht="15.75" customHeight="1" x14ac:dyDescent="0.25">
      <c r="A122" s="7"/>
      <c r="B122" s="33"/>
      <c r="C122" s="585" t="s">
        <v>142</v>
      </c>
      <c r="D122" s="537"/>
      <c r="E122" s="537"/>
      <c r="F122" s="537"/>
      <c r="G122" s="537"/>
      <c r="H122" s="537"/>
      <c r="I122" s="538"/>
      <c r="J122" s="52"/>
      <c r="K122" s="87">
        <f>SUM(K118:K121)</f>
        <v>3148.2719031100478</v>
      </c>
      <c r="L122" s="6"/>
      <c r="M122" s="8"/>
      <c r="N122" s="8"/>
      <c r="O122" s="8"/>
    </row>
    <row r="123" spans="1:15" ht="15.75" customHeight="1" x14ac:dyDescent="0.25">
      <c r="A123" s="7"/>
      <c r="B123" s="81" t="s">
        <v>145</v>
      </c>
      <c r="C123" s="582" t="s">
        <v>146</v>
      </c>
      <c r="D123" s="537"/>
      <c r="E123" s="537"/>
      <c r="F123" s="537"/>
      <c r="G123" s="537"/>
      <c r="H123" s="537"/>
      <c r="I123" s="538"/>
      <c r="J123" s="81" t="s">
        <v>141</v>
      </c>
      <c r="K123" s="81" t="s">
        <v>121</v>
      </c>
      <c r="L123" s="6"/>
      <c r="M123" s="8"/>
      <c r="N123" s="8"/>
      <c r="O123" s="8"/>
    </row>
    <row r="124" spans="1:15" ht="15.75" customHeight="1" x14ac:dyDescent="0.25">
      <c r="A124" s="7"/>
      <c r="B124" s="36" t="s">
        <v>147</v>
      </c>
      <c r="C124" s="580" t="s">
        <v>148</v>
      </c>
      <c r="D124" s="537"/>
      <c r="E124" s="537"/>
      <c r="F124" s="537"/>
      <c r="G124" s="537"/>
      <c r="H124" s="537"/>
      <c r="I124" s="538"/>
      <c r="J124" s="92">
        <f>'7 - ENCARGOS SOCIAIS'!$D$13</f>
        <v>0.36800000000000005</v>
      </c>
      <c r="K124" s="85">
        <f t="shared" ref="K124:K127" si="10">J124*$K$122</f>
        <v>1158.5640603444976</v>
      </c>
      <c r="L124" s="6"/>
      <c r="M124" s="8"/>
      <c r="N124" s="8"/>
      <c r="O124" s="8"/>
    </row>
    <row r="125" spans="1:15" ht="15.75" customHeight="1" x14ac:dyDescent="0.25">
      <c r="A125" s="7"/>
      <c r="B125" s="36" t="s">
        <v>150</v>
      </c>
      <c r="C125" s="580" t="s">
        <v>151</v>
      </c>
      <c r="D125" s="537"/>
      <c r="E125" s="537"/>
      <c r="F125" s="537"/>
      <c r="G125" s="537"/>
      <c r="H125" s="537"/>
      <c r="I125" s="538"/>
      <c r="J125" s="92">
        <f>'7 - ENCARGOS SOCIAIS'!$D$21</f>
        <v>0.15387245147090212</v>
      </c>
      <c r="K125" s="85">
        <f t="shared" si="10"/>
        <v>484.43231562850548</v>
      </c>
      <c r="L125" s="6"/>
      <c r="M125" s="8"/>
      <c r="N125" s="8"/>
      <c r="O125" s="8"/>
    </row>
    <row r="126" spans="1:15" ht="15.75" customHeight="1" x14ac:dyDescent="0.25">
      <c r="A126" s="7"/>
      <c r="B126" s="36" t="s">
        <v>152</v>
      </c>
      <c r="C126" s="580" t="s">
        <v>153</v>
      </c>
      <c r="D126" s="537"/>
      <c r="E126" s="537"/>
      <c r="F126" s="537"/>
      <c r="G126" s="537"/>
      <c r="H126" s="537"/>
      <c r="I126" s="538"/>
      <c r="J126" s="92">
        <f>'7 - ENCARGOS SOCIAIS'!$D$28</f>
        <v>0.12666581537651095</v>
      </c>
      <c r="K126" s="85">
        <f t="shared" si="10"/>
        <v>398.77842763439406</v>
      </c>
      <c r="L126" s="6"/>
      <c r="M126" s="8"/>
      <c r="N126" s="8"/>
      <c r="O126" s="8"/>
    </row>
    <row r="127" spans="1:15" ht="15.75" customHeight="1" x14ac:dyDescent="0.25">
      <c r="A127" s="7"/>
      <c r="B127" s="36" t="s">
        <v>155</v>
      </c>
      <c r="C127" s="580" t="s">
        <v>156</v>
      </c>
      <c r="D127" s="537"/>
      <c r="E127" s="537"/>
      <c r="F127" s="537"/>
      <c r="G127" s="537"/>
      <c r="H127" s="537"/>
      <c r="I127" s="538"/>
      <c r="J127" s="92">
        <f>'7 - ENCARGOS SOCIAIS'!$D$32</f>
        <v>5.9231502118822603E-2</v>
      </c>
      <c r="K127" s="85">
        <f t="shared" si="10"/>
        <v>186.47687389969246</v>
      </c>
      <c r="L127" s="6"/>
      <c r="M127" s="8"/>
      <c r="N127" s="8"/>
      <c r="O127" s="8"/>
    </row>
    <row r="128" spans="1:15" ht="15.75" customHeight="1" x14ac:dyDescent="0.25">
      <c r="A128" s="7"/>
      <c r="B128" s="81"/>
      <c r="C128" s="582" t="s">
        <v>157</v>
      </c>
      <c r="D128" s="537"/>
      <c r="E128" s="537"/>
      <c r="F128" s="537"/>
      <c r="G128" s="537"/>
      <c r="H128" s="537"/>
      <c r="I128" s="538"/>
      <c r="J128" s="136">
        <f t="shared" ref="J128:K128" si="11">SUM(J124:J127)</f>
        <v>0.70776976896623567</v>
      </c>
      <c r="K128" s="137">
        <f t="shared" si="11"/>
        <v>2228.2516775070899</v>
      </c>
      <c r="L128" s="6"/>
      <c r="M128" s="8"/>
      <c r="N128" s="8"/>
      <c r="O128" s="8"/>
    </row>
    <row r="129" spans="1:15" ht="15.75" customHeight="1" x14ac:dyDescent="0.25">
      <c r="A129" s="7"/>
      <c r="B129" s="20" t="s">
        <v>158</v>
      </c>
      <c r="C129" s="698" t="s">
        <v>159</v>
      </c>
      <c r="D129" s="537"/>
      <c r="E129" s="537"/>
      <c r="F129" s="537"/>
      <c r="G129" s="538"/>
      <c r="H129" s="22" t="s">
        <v>160</v>
      </c>
      <c r="I129" s="20" t="s">
        <v>120</v>
      </c>
      <c r="J129" s="20" t="s">
        <v>161</v>
      </c>
      <c r="K129" s="20" t="s">
        <v>121</v>
      </c>
      <c r="L129" s="6"/>
      <c r="M129" s="8"/>
      <c r="N129" s="8"/>
      <c r="O129" s="8"/>
    </row>
    <row r="130" spans="1:15" ht="15.75" customHeight="1" x14ac:dyDescent="0.25">
      <c r="A130" s="7"/>
      <c r="B130" s="36" t="s">
        <v>162</v>
      </c>
      <c r="C130" s="580" t="s">
        <v>174</v>
      </c>
      <c r="D130" s="537"/>
      <c r="E130" s="537"/>
      <c r="F130" s="537"/>
      <c r="G130" s="538"/>
      <c r="H130" s="36">
        <v>26</v>
      </c>
      <c r="I130" s="102">
        <v>27.15</v>
      </c>
      <c r="J130" s="103">
        <v>0.19</v>
      </c>
      <c r="K130" s="42">
        <f>(H130*I130)-((H130*I130)*0.19)</f>
        <v>571.779</v>
      </c>
      <c r="L130" s="6"/>
      <c r="M130" s="8"/>
      <c r="N130" s="8"/>
      <c r="O130" s="8"/>
    </row>
    <row r="131" spans="1:15" ht="15.75" customHeight="1" x14ac:dyDescent="0.25">
      <c r="A131" s="7"/>
      <c r="B131" s="36" t="s">
        <v>164</v>
      </c>
      <c r="C131" s="580" t="s">
        <v>177</v>
      </c>
      <c r="D131" s="537"/>
      <c r="E131" s="537"/>
      <c r="F131" s="537"/>
      <c r="G131" s="538"/>
      <c r="H131" s="36">
        <f>H130*4</f>
        <v>104</v>
      </c>
      <c r="I131" s="106">
        <v>6.25</v>
      </c>
      <c r="J131" s="103">
        <v>0.06</v>
      </c>
      <c r="K131" s="42">
        <f>(H131*I131)-(K118*0.06)</f>
        <v>522.36800000000005</v>
      </c>
      <c r="L131" s="6"/>
      <c r="M131" s="8"/>
      <c r="N131" s="8"/>
      <c r="O131" s="8"/>
    </row>
    <row r="132" spans="1:15" ht="15.75" customHeight="1" x14ac:dyDescent="0.25">
      <c r="A132" s="7"/>
      <c r="B132" s="36" t="s">
        <v>166</v>
      </c>
      <c r="C132" s="580" t="s">
        <v>167</v>
      </c>
      <c r="D132" s="537"/>
      <c r="E132" s="537"/>
      <c r="F132" s="537"/>
      <c r="G132" s="538"/>
      <c r="H132" s="33">
        <v>1</v>
      </c>
      <c r="I132" s="102">
        <f>'6 - DADOS CC MO'!E37</f>
        <v>25.52</v>
      </c>
      <c r="J132" s="107"/>
      <c r="K132" s="132">
        <f>I132</f>
        <v>25.52</v>
      </c>
      <c r="L132" s="6"/>
      <c r="M132" s="8"/>
      <c r="N132" s="8"/>
      <c r="O132" s="8"/>
    </row>
    <row r="133" spans="1:15" ht="15.75" customHeight="1" x14ac:dyDescent="0.25">
      <c r="A133" s="7"/>
      <c r="B133" s="107"/>
      <c r="C133" s="585" t="s">
        <v>170</v>
      </c>
      <c r="D133" s="537"/>
      <c r="E133" s="537"/>
      <c r="F133" s="537"/>
      <c r="G133" s="537"/>
      <c r="H133" s="537"/>
      <c r="I133" s="538"/>
      <c r="J133" s="52"/>
      <c r="K133" s="110">
        <f>SUM(K130:K132)</f>
        <v>1119.6669999999999</v>
      </c>
      <c r="L133" s="6"/>
      <c r="M133" s="8"/>
      <c r="N133" s="8"/>
      <c r="O133" s="8"/>
    </row>
    <row r="134" spans="1:15" ht="15.75" customHeight="1" x14ac:dyDescent="0.25">
      <c r="A134" s="7"/>
      <c r="B134" s="588" t="s">
        <v>253</v>
      </c>
      <c r="C134" s="564"/>
      <c r="D134" s="564"/>
      <c r="E134" s="564"/>
      <c r="F134" s="564"/>
      <c r="G134" s="564"/>
      <c r="H134" s="564"/>
      <c r="I134" s="564"/>
      <c r="J134" s="565"/>
      <c r="K134" s="113">
        <f>K133+K128+K122</f>
        <v>6496.190580617138</v>
      </c>
      <c r="L134" s="6"/>
      <c r="M134" s="8"/>
      <c r="N134" s="8"/>
      <c r="O134" s="8"/>
    </row>
    <row r="135" spans="1:15" ht="15.75" customHeight="1" x14ac:dyDescent="0.25">
      <c r="A135" s="7"/>
      <c r="B135" s="711" t="s">
        <v>187</v>
      </c>
      <c r="C135" s="611"/>
      <c r="D135" s="611"/>
      <c r="E135" s="611"/>
      <c r="F135" s="611"/>
      <c r="G135" s="611"/>
      <c r="H135" s="611"/>
      <c r="I135" s="611"/>
      <c r="J135" s="612"/>
      <c r="K135" s="114">
        <f>K134*1</f>
        <v>6496.190580617138</v>
      </c>
      <c r="L135" s="6"/>
      <c r="M135" s="8"/>
      <c r="N135" s="8"/>
      <c r="O135" s="8"/>
    </row>
    <row r="136" spans="1:15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10"/>
      <c r="L136" s="6"/>
      <c r="M136" s="8"/>
      <c r="N136" s="8"/>
      <c r="O136" s="8"/>
    </row>
    <row r="137" spans="1:15" ht="15.75" customHeight="1" x14ac:dyDescent="0.25">
      <c r="A137" s="7"/>
      <c r="B137" s="581" t="s">
        <v>257</v>
      </c>
      <c r="C137" s="537"/>
      <c r="D137" s="537"/>
      <c r="E137" s="537"/>
      <c r="F137" s="537"/>
      <c r="G137" s="537"/>
      <c r="H137" s="537"/>
      <c r="I137" s="537"/>
      <c r="J137" s="537"/>
      <c r="K137" s="538"/>
      <c r="L137" s="6"/>
      <c r="M137" s="8"/>
      <c r="N137" s="8"/>
      <c r="O137" s="8"/>
    </row>
    <row r="138" spans="1:15" ht="15.75" customHeight="1" x14ac:dyDescent="0.25">
      <c r="A138" s="7"/>
      <c r="B138" s="80" t="s">
        <v>116</v>
      </c>
      <c r="C138" s="582" t="s">
        <v>117</v>
      </c>
      <c r="D138" s="537"/>
      <c r="E138" s="537"/>
      <c r="F138" s="537"/>
      <c r="G138" s="538"/>
      <c r="H138" s="100" t="s">
        <v>118</v>
      </c>
      <c r="I138" s="117" t="s">
        <v>119</v>
      </c>
      <c r="J138" s="81" t="s">
        <v>120</v>
      </c>
      <c r="K138" s="81" t="s">
        <v>121</v>
      </c>
      <c r="L138" s="6"/>
      <c r="M138" s="8"/>
      <c r="N138" s="8"/>
      <c r="O138" s="8"/>
    </row>
    <row r="139" spans="1:15" ht="15.75" customHeight="1" x14ac:dyDescent="0.25">
      <c r="A139" s="7"/>
      <c r="B139" s="36" t="s">
        <v>122</v>
      </c>
      <c r="C139" s="580" t="s">
        <v>123</v>
      </c>
      <c r="D139" s="537"/>
      <c r="E139" s="537"/>
      <c r="F139" s="537"/>
      <c r="G139" s="538"/>
      <c r="H139" s="33">
        <v>220</v>
      </c>
      <c r="I139" s="36" t="s">
        <v>126</v>
      </c>
      <c r="J139" s="118">
        <f>K139/H139</f>
        <v>9.6690909090909081</v>
      </c>
      <c r="K139" s="85">
        <f>'6 - DADOS CC MO'!E34</f>
        <v>2127.1999999999998</v>
      </c>
      <c r="L139" s="6"/>
      <c r="M139" s="8"/>
      <c r="N139" s="8"/>
      <c r="O139" s="8"/>
    </row>
    <row r="140" spans="1:15" ht="15.75" customHeight="1" x14ac:dyDescent="0.25">
      <c r="A140" s="7"/>
      <c r="B140" s="583" t="s">
        <v>129</v>
      </c>
      <c r="C140" s="584" t="s">
        <v>178</v>
      </c>
      <c r="D140" s="542"/>
      <c r="E140" s="542"/>
      <c r="F140" s="542"/>
      <c r="G140" s="577"/>
      <c r="H140" s="121">
        <v>112.67</v>
      </c>
      <c r="I140" s="33" t="s">
        <v>180</v>
      </c>
      <c r="J140" s="144"/>
      <c r="K140" s="85"/>
      <c r="L140" s="6"/>
      <c r="M140" s="8"/>
      <c r="N140" s="8"/>
      <c r="O140" s="8"/>
    </row>
    <row r="141" spans="1:15" ht="15.75" customHeight="1" x14ac:dyDescent="0.25">
      <c r="A141" s="7"/>
      <c r="B141" s="550"/>
      <c r="C141" s="578"/>
      <c r="D141" s="544"/>
      <c r="E141" s="544"/>
      <c r="F141" s="544"/>
      <c r="G141" s="579"/>
      <c r="H141" s="127">
        <v>128.76</v>
      </c>
      <c r="I141" s="33" t="s">
        <v>181</v>
      </c>
      <c r="J141" s="122">
        <f>J139*0.2</f>
        <v>1.9338181818181817</v>
      </c>
      <c r="K141" s="85">
        <f t="shared" ref="K141:K142" si="12">J141*H141</f>
        <v>248.99842909090904</v>
      </c>
      <c r="L141" s="6"/>
      <c r="M141" s="8"/>
      <c r="N141" s="8"/>
      <c r="O141" s="8"/>
    </row>
    <row r="142" spans="1:15" ht="15.75" customHeight="1" x14ac:dyDescent="0.25">
      <c r="A142" s="7"/>
      <c r="B142" s="36" t="s">
        <v>183</v>
      </c>
      <c r="C142" s="50" t="s">
        <v>130</v>
      </c>
      <c r="D142" s="119"/>
      <c r="E142" s="119"/>
      <c r="F142" s="119"/>
      <c r="G142" s="120"/>
      <c r="H142" s="121">
        <f>7+1/3-H143</f>
        <v>3</v>
      </c>
      <c r="I142" s="33" t="s">
        <v>126</v>
      </c>
      <c r="J142" s="122">
        <f>J139*2</f>
        <v>19.338181818181816</v>
      </c>
      <c r="K142" s="85">
        <f t="shared" si="12"/>
        <v>58.014545454545448</v>
      </c>
      <c r="L142" s="6"/>
      <c r="M142" s="8"/>
      <c r="N142" s="8"/>
      <c r="O142" s="8"/>
    </row>
    <row r="143" spans="1:15" ht="15.75" customHeight="1" x14ac:dyDescent="0.25">
      <c r="A143" s="7"/>
      <c r="B143" s="36" t="s">
        <v>185</v>
      </c>
      <c r="C143" s="50" t="s">
        <v>186</v>
      </c>
      <c r="D143" s="119"/>
      <c r="E143" s="119"/>
      <c r="F143" s="119"/>
      <c r="G143" s="120"/>
      <c r="H143" s="121">
        <f>4+1/3</f>
        <v>4.333333333333333</v>
      </c>
      <c r="I143" s="33" t="s">
        <v>126</v>
      </c>
      <c r="J143" s="122"/>
      <c r="K143" s="85"/>
      <c r="L143" s="6"/>
      <c r="M143" s="8"/>
      <c r="N143" s="8"/>
      <c r="O143" s="8"/>
    </row>
    <row r="144" spans="1:15" ht="15.75" customHeight="1" x14ac:dyDescent="0.25">
      <c r="A144" s="7"/>
      <c r="B144" s="36" t="s">
        <v>188</v>
      </c>
      <c r="C144" s="50" t="s">
        <v>189</v>
      </c>
      <c r="D144" s="119"/>
      <c r="E144" s="119"/>
      <c r="F144" s="119"/>
      <c r="G144" s="120"/>
      <c r="H144" s="121">
        <f>H143*8/7</f>
        <v>4.9523809523809517</v>
      </c>
      <c r="I144" s="33" t="s">
        <v>126</v>
      </c>
      <c r="J144" s="122">
        <f>J139*2*1.2</f>
        <v>23.205818181818177</v>
      </c>
      <c r="K144" s="85">
        <f>J144*H144</f>
        <v>114.92405194805191</v>
      </c>
      <c r="L144" s="6"/>
      <c r="M144" s="8"/>
      <c r="N144" s="8"/>
      <c r="O144" s="8"/>
    </row>
    <row r="145" spans="1:15" ht="15.75" customHeight="1" x14ac:dyDescent="0.25">
      <c r="A145" s="7"/>
      <c r="B145" s="36" t="s">
        <v>192</v>
      </c>
      <c r="C145" s="50" t="s">
        <v>200</v>
      </c>
      <c r="D145" s="119"/>
      <c r="E145" s="119"/>
      <c r="F145" s="119"/>
      <c r="G145" s="120"/>
      <c r="H145" s="33"/>
      <c r="I145" s="7"/>
      <c r="J145" s="122">
        <f>61/304*(SUM(K141:K144))</f>
        <v>84.664995447710169</v>
      </c>
      <c r="K145" s="85">
        <f>J145</f>
        <v>84.664995447710169</v>
      </c>
      <c r="L145" s="6"/>
      <c r="M145" s="8"/>
      <c r="N145" s="8"/>
      <c r="O145" s="8"/>
    </row>
    <row r="146" spans="1:15" ht="15.75" customHeight="1" x14ac:dyDescent="0.25">
      <c r="A146" s="7"/>
      <c r="B146" s="36" t="s">
        <v>134</v>
      </c>
      <c r="C146" s="580" t="s">
        <v>139</v>
      </c>
      <c r="D146" s="537"/>
      <c r="E146" s="537"/>
      <c r="F146" s="537"/>
      <c r="G146" s="538"/>
      <c r="H146" s="33">
        <v>40</v>
      </c>
      <c r="I146" s="36" t="s">
        <v>141</v>
      </c>
      <c r="J146" s="82"/>
      <c r="K146" s="85">
        <f>K139*40%</f>
        <v>850.88</v>
      </c>
      <c r="L146" s="6"/>
      <c r="M146" s="8"/>
      <c r="N146" s="8"/>
      <c r="O146" s="8"/>
    </row>
    <row r="147" spans="1:15" ht="15.75" customHeight="1" x14ac:dyDescent="0.25">
      <c r="A147" s="7"/>
      <c r="B147" s="33"/>
      <c r="C147" s="585" t="s">
        <v>142</v>
      </c>
      <c r="D147" s="537"/>
      <c r="E147" s="537"/>
      <c r="F147" s="537"/>
      <c r="G147" s="537"/>
      <c r="H147" s="537"/>
      <c r="I147" s="538"/>
      <c r="J147" s="52"/>
      <c r="K147" s="87">
        <f>SUM(K139:K146)</f>
        <v>3484.6820219412166</v>
      </c>
      <c r="L147" s="6"/>
      <c r="M147" s="8"/>
      <c r="N147" s="8"/>
      <c r="O147" s="8"/>
    </row>
    <row r="148" spans="1:15" ht="15.75" customHeight="1" x14ac:dyDescent="0.25">
      <c r="A148" s="7"/>
      <c r="B148" s="81" t="s">
        <v>145</v>
      </c>
      <c r="C148" s="582" t="s">
        <v>146</v>
      </c>
      <c r="D148" s="537"/>
      <c r="E148" s="537"/>
      <c r="F148" s="537"/>
      <c r="G148" s="537"/>
      <c r="H148" s="537"/>
      <c r="I148" s="538"/>
      <c r="J148" s="81" t="s">
        <v>141</v>
      </c>
      <c r="K148" s="81" t="s">
        <v>121</v>
      </c>
      <c r="L148" s="6"/>
      <c r="M148" s="8"/>
      <c r="N148" s="8"/>
      <c r="O148" s="8"/>
    </row>
    <row r="149" spans="1:15" ht="15.75" customHeight="1" x14ac:dyDescent="0.25">
      <c r="A149" s="7"/>
      <c r="B149" s="36" t="s">
        <v>147</v>
      </c>
      <c r="C149" s="580" t="s">
        <v>148</v>
      </c>
      <c r="D149" s="537"/>
      <c r="E149" s="537"/>
      <c r="F149" s="537"/>
      <c r="G149" s="537"/>
      <c r="H149" s="537"/>
      <c r="I149" s="538"/>
      <c r="J149" s="92">
        <f>'7 - ENCARGOS SOCIAIS'!$D$13</f>
        <v>0.36800000000000005</v>
      </c>
      <c r="K149" s="85">
        <f>J149*K147</f>
        <v>1282.3629840743679</v>
      </c>
      <c r="L149" s="6"/>
      <c r="M149" s="8"/>
      <c r="N149" s="8"/>
      <c r="O149" s="8"/>
    </row>
    <row r="150" spans="1:15" ht="15.75" customHeight="1" x14ac:dyDescent="0.25">
      <c r="A150" s="7"/>
      <c r="B150" s="36" t="s">
        <v>150</v>
      </c>
      <c r="C150" s="580" t="s">
        <v>151</v>
      </c>
      <c r="D150" s="537"/>
      <c r="E150" s="537"/>
      <c r="F150" s="537"/>
      <c r="G150" s="537"/>
      <c r="H150" s="537"/>
      <c r="I150" s="538"/>
      <c r="J150" s="92">
        <f>'7 - ENCARGOS SOCIAIS'!$D$21</f>
        <v>0.15387245147090212</v>
      </c>
      <c r="K150" s="85">
        <f>J150*K147</f>
        <v>536.19656531267492</v>
      </c>
      <c r="L150" s="6"/>
      <c r="M150" s="8"/>
      <c r="N150" s="8"/>
      <c r="O150" s="8"/>
    </row>
    <row r="151" spans="1:15" ht="15.75" customHeight="1" x14ac:dyDescent="0.25">
      <c r="A151" s="7"/>
      <c r="B151" s="36" t="s">
        <v>152</v>
      </c>
      <c r="C151" s="580" t="s">
        <v>153</v>
      </c>
      <c r="D151" s="537"/>
      <c r="E151" s="537"/>
      <c r="F151" s="537"/>
      <c r="G151" s="537"/>
      <c r="H151" s="537"/>
      <c r="I151" s="538"/>
      <c r="J151" s="92">
        <f>'7 - ENCARGOS SOCIAIS'!$D$28</f>
        <v>0.12666581537651095</v>
      </c>
      <c r="K151" s="85">
        <f>J151*K147</f>
        <v>441.39008963705299</v>
      </c>
      <c r="L151" s="6"/>
      <c r="M151" s="8"/>
      <c r="N151" s="8"/>
      <c r="O151" s="8"/>
    </row>
    <row r="152" spans="1:15" ht="15.75" customHeight="1" x14ac:dyDescent="0.25">
      <c r="A152" s="7"/>
      <c r="B152" s="36" t="s">
        <v>155</v>
      </c>
      <c r="C152" s="580" t="s">
        <v>156</v>
      </c>
      <c r="D152" s="537"/>
      <c r="E152" s="537"/>
      <c r="F152" s="537"/>
      <c r="G152" s="537"/>
      <c r="H152" s="537"/>
      <c r="I152" s="538"/>
      <c r="J152" s="92">
        <f>'7 - ENCARGOS SOCIAIS'!$D$32</f>
        <v>5.9231502118822603E-2</v>
      </c>
      <c r="K152" s="85">
        <f>J152*K147</f>
        <v>206.40295056603421</v>
      </c>
      <c r="L152" s="6"/>
      <c r="M152" s="8"/>
      <c r="N152" s="8"/>
      <c r="O152" s="8"/>
    </row>
    <row r="153" spans="1:15" ht="15.75" customHeight="1" x14ac:dyDescent="0.25">
      <c r="A153" s="7"/>
      <c r="B153" s="20"/>
      <c r="C153" s="586" t="s">
        <v>157</v>
      </c>
      <c r="D153" s="537"/>
      <c r="E153" s="537"/>
      <c r="F153" s="537"/>
      <c r="G153" s="537"/>
      <c r="H153" s="537"/>
      <c r="I153" s="538"/>
      <c r="J153" s="96">
        <f t="shared" ref="J153:K153" si="13">SUM(J149:J152)</f>
        <v>0.70776976896623567</v>
      </c>
      <c r="K153" s="97">
        <f t="shared" si="13"/>
        <v>2466.3525895901298</v>
      </c>
      <c r="L153" s="6"/>
      <c r="M153" s="8"/>
      <c r="N153" s="8"/>
      <c r="O153" s="8"/>
    </row>
    <row r="154" spans="1:15" ht="15.75" customHeight="1" x14ac:dyDescent="0.25">
      <c r="A154" s="7"/>
      <c r="B154" s="81" t="s">
        <v>158</v>
      </c>
      <c r="C154" s="587" t="s">
        <v>159</v>
      </c>
      <c r="D154" s="537"/>
      <c r="E154" s="537"/>
      <c r="F154" s="537"/>
      <c r="G154" s="538"/>
      <c r="H154" s="100" t="s">
        <v>160</v>
      </c>
      <c r="I154" s="81" t="s">
        <v>120</v>
      </c>
      <c r="J154" s="81" t="s">
        <v>161</v>
      </c>
      <c r="K154" s="81" t="s">
        <v>121</v>
      </c>
      <c r="L154" s="6"/>
      <c r="M154" s="8"/>
      <c r="N154" s="8"/>
      <c r="O154" s="8"/>
    </row>
    <row r="155" spans="1:15" ht="15.75" customHeight="1" x14ac:dyDescent="0.25">
      <c r="A155" s="7"/>
      <c r="B155" s="36" t="s">
        <v>162</v>
      </c>
      <c r="C155" s="580" t="s">
        <v>174</v>
      </c>
      <c r="D155" s="537"/>
      <c r="E155" s="537"/>
      <c r="F155" s="537"/>
      <c r="G155" s="538"/>
      <c r="H155" s="36">
        <v>26</v>
      </c>
      <c r="I155" s="102">
        <v>27.15</v>
      </c>
      <c r="J155" s="103">
        <v>0.19</v>
      </c>
      <c r="K155" s="42">
        <f>(H155*I155)-((H155*I155)*0.19)</f>
        <v>571.779</v>
      </c>
      <c r="L155" s="6"/>
      <c r="M155" s="8"/>
      <c r="N155" s="8"/>
      <c r="O155" s="8"/>
    </row>
    <row r="156" spans="1:15" ht="15.75" customHeight="1" x14ac:dyDescent="0.25">
      <c r="A156" s="7"/>
      <c r="B156" s="36" t="s">
        <v>164</v>
      </c>
      <c r="C156" s="580" t="s">
        <v>177</v>
      </c>
      <c r="D156" s="537"/>
      <c r="E156" s="537"/>
      <c r="F156" s="537"/>
      <c r="G156" s="538"/>
      <c r="H156" s="36">
        <f>H155*4</f>
        <v>104</v>
      </c>
      <c r="I156" s="106">
        <v>6.25</v>
      </c>
      <c r="J156" s="103">
        <v>0.06</v>
      </c>
      <c r="K156" s="42">
        <f>(H156*I156)-(K139*0.06)</f>
        <v>522.36800000000005</v>
      </c>
      <c r="L156" s="6"/>
      <c r="M156" s="8"/>
      <c r="N156" s="8"/>
      <c r="O156" s="8"/>
    </row>
    <row r="157" spans="1:15" ht="15.75" customHeight="1" x14ac:dyDescent="0.25">
      <c r="A157" s="7"/>
      <c r="B157" s="36" t="s">
        <v>166</v>
      </c>
      <c r="C157" s="580" t="s">
        <v>167</v>
      </c>
      <c r="D157" s="537"/>
      <c r="E157" s="537"/>
      <c r="F157" s="537"/>
      <c r="G157" s="538"/>
      <c r="H157" s="33">
        <v>1</v>
      </c>
      <c r="I157" s="102">
        <f>'6 - DADOS CC MO'!E37</f>
        <v>25.52</v>
      </c>
      <c r="J157" s="107"/>
      <c r="K157" s="132">
        <f>I157</f>
        <v>25.52</v>
      </c>
      <c r="L157" s="6"/>
      <c r="M157" s="8"/>
      <c r="N157" s="8"/>
      <c r="O157" s="8"/>
    </row>
    <row r="158" spans="1:15" ht="15.75" customHeight="1" x14ac:dyDescent="0.25">
      <c r="A158" s="7"/>
      <c r="B158" s="107"/>
      <c r="C158" s="585" t="s">
        <v>170</v>
      </c>
      <c r="D158" s="537"/>
      <c r="E158" s="537"/>
      <c r="F158" s="537"/>
      <c r="G158" s="537"/>
      <c r="H158" s="537"/>
      <c r="I158" s="538"/>
      <c r="J158" s="52"/>
      <c r="K158" s="110">
        <f>SUM(K155:K157)</f>
        <v>1119.6669999999999</v>
      </c>
      <c r="L158" s="6"/>
      <c r="M158" s="8"/>
      <c r="N158" s="8"/>
      <c r="O158" s="8"/>
    </row>
    <row r="159" spans="1:15" ht="15.75" customHeight="1" x14ac:dyDescent="0.25">
      <c r="A159" s="7"/>
      <c r="B159" s="588" t="s">
        <v>253</v>
      </c>
      <c r="C159" s="564"/>
      <c r="D159" s="564"/>
      <c r="E159" s="564"/>
      <c r="F159" s="564"/>
      <c r="G159" s="564"/>
      <c r="H159" s="564"/>
      <c r="I159" s="564"/>
      <c r="J159" s="565"/>
      <c r="K159" s="113">
        <f>K158+K153+K147</f>
        <v>7070.7016115313463</v>
      </c>
      <c r="L159" s="6"/>
      <c r="M159" s="8"/>
      <c r="N159" s="8"/>
      <c r="O159" s="8"/>
    </row>
    <row r="160" spans="1:15" ht="15.75" customHeight="1" x14ac:dyDescent="0.25">
      <c r="A160" s="7"/>
      <c r="B160" s="711" t="s">
        <v>187</v>
      </c>
      <c r="C160" s="611"/>
      <c r="D160" s="611"/>
      <c r="E160" s="611"/>
      <c r="F160" s="611"/>
      <c r="G160" s="611"/>
      <c r="H160" s="611"/>
      <c r="I160" s="611"/>
      <c r="J160" s="612"/>
      <c r="K160" s="114">
        <f>K159*1</f>
        <v>7070.7016115313463</v>
      </c>
      <c r="L160" s="6"/>
      <c r="M160" s="8"/>
      <c r="N160" s="8"/>
      <c r="O160" s="8"/>
    </row>
    <row r="161" spans="1:15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10"/>
      <c r="L161" s="6"/>
      <c r="M161" s="8"/>
      <c r="N161" s="8"/>
      <c r="O161" s="8"/>
    </row>
    <row r="162" spans="1:15" ht="15.75" customHeight="1" x14ac:dyDescent="0.25">
      <c r="A162" s="7"/>
      <c r="B162" s="581" t="s">
        <v>279</v>
      </c>
      <c r="C162" s="537"/>
      <c r="D162" s="537"/>
      <c r="E162" s="537"/>
      <c r="F162" s="537"/>
      <c r="G162" s="537"/>
      <c r="H162" s="537"/>
      <c r="I162" s="537"/>
      <c r="J162" s="537"/>
      <c r="K162" s="538"/>
      <c r="L162" s="6"/>
      <c r="M162" s="8"/>
      <c r="N162" s="8"/>
      <c r="O162" s="8"/>
    </row>
    <row r="163" spans="1:15" ht="15.75" customHeight="1" x14ac:dyDescent="0.25">
      <c r="A163" s="7"/>
      <c r="B163" s="80" t="s">
        <v>116</v>
      </c>
      <c r="C163" s="582" t="s">
        <v>117</v>
      </c>
      <c r="D163" s="537"/>
      <c r="E163" s="537"/>
      <c r="F163" s="537"/>
      <c r="G163" s="538"/>
      <c r="H163" s="100" t="s">
        <v>118</v>
      </c>
      <c r="I163" s="117" t="s">
        <v>119</v>
      </c>
      <c r="J163" s="81" t="s">
        <v>120</v>
      </c>
      <c r="K163" s="81" t="s">
        <v>121</v>
      </c>
      <c r="L163" s="6"/>
      <c r="M163" s="8"/>
      <c r="N163" s="8"/>
      <c r="O163" s="8"/>
    </row>
    <row r="164" spans="1:15" ht="15.75" customHeight="1" x14ac:dyDescent="0.25">
      <c r="A164" s="7"/>
      <c r="B164" s="36" t="s">
        <v>122</v>
      </c>
      <c r="C164" s="580" t="s">
        <v>123</v>
      </c>
      <c r="D164" s="537"/>
      <c r="E164" s="537"/>
      <c r="F164" s="537"/>
      <c r="G164" s="538"/>
      <c r="H164" s="33">
        <v>220</v>
      </c>
      <c r="I164" s="36" t="s">
        <v>126</v>
      </c>
      <c r="J164" s="118">
        <f>K164/H164</f>
        <v>8.6198181818181805</v>
      </c>
      <c r="K164" s="85">
        <f>'6 - DADOS CC MO'!E45</f>
        <v>1896.36</v>
      </c>
      <c r="L164" s="6"/>
      <c r="M164" s="8"/>
      <c r="N164" s="8"/>
      <c r="O164" s="8"/>
    </row>
    <row r="165" spans="1:15" ht="15.75" customHeight="1" x14ac:dyDescent="0.25">
      <c r="A165" s="7"/>
      <c r="B165" s="33" t="s">
        <v>195</v>
      </c>
      <c r="C165" s="50" t="s">
        <v>130</v>
      </c>
      <c r="D165" s="119"/>
      <c r="E165" s="119"/>
      <c r="F165" s="119"/>
      <c r="G165" s="120"/>
      <c r="H165" s="121">
        <v>7.33</v>
      </c>
      <c r="I165" s="33" t="s">
        <v>126</v>
      </c>
      <c r="J165" s="122">
        <f>J164*2</f>
        <v>17.239636363636361</v>
      </c>
      <c r="K165" s="85">
        <f>J165*H165</f>
        <v>126.36653454545453</v>
      </c>
      <c r="L165" s="6"/>
      <c r="M165" s="8"/>
      <c r="N165" s="8"/>
      <c r="O165" s="8"/>
    </row>
    <row r="166" spans="1:15" ht="15.75" customHeight="1" x14ac:dyDescent="0.25">
      <c r="A166" s="7"/>
      <c r="B166" s="36" t="s">
        <v>198</v>
      </c>
      <c r="C166" s="91" t="s">
        <v>135</v>
      </c>
      <c r="D166" s="134"/>
      <c r="E166" s="134"/>
      <c r="F166" s="134"/>
      <c r="G166" s="129"/>
      <c r="H166" s="121"/>
      <c r="I166" s="36"/>
      <c r="J166" s="118">
        <f>61/304*(SUM(K165))</f>
        <v>25.356442787081338</v>
      </c>
      <c r="K166" s="128">
        <f>J166</f>
        <v>25.356442787081338</v>
      </c>
      <c r="L166" s="6"/>
      <c r="M166" s="8"/>
      <c r="N166" s="8"/>
      <c r="O166" s="8"/>
    </row>
    <row r="167" spans="1:15" ht="15.75" customHeight="1" x14ac:dyDescent="0.25">
      <c r="A167" s="7"/>
      <c r="B167" s="36" t="s">
        <v>129</v>
      </c>
      <c r="C167" s="580" t="s">
        <v>139</v>
      </c>
      <c r="D167" s="537"/>
      <c r="E167" s="537"/>
      <c r="F167" s="537"/>
      <c r="G167" s="538"/>
      <c r="H167" s="33">
        <v>40</v>
      </c>
      <c r="I167" s="36" t="s">
        <v>141</v>
      </c>
      <c r="J167" s="82"/>
      <c r="K167" s="85">
        <f>K164*40%</f>
        <v>758.54399999999998</v>
      </c>
      <c r="L167" s="6"/>
      <c r="M167" s="8"/>
      <c r="N167" s="8"/>
      <c r="O167" s="8"/>
    </row>
    <row r="168" spans="1:15" ht="15.75" customHeight="1" x14ac:dyDescent="0.25">
      <c r="A168" s="7"/>
      <c r="B168" s="33"/>
      <c r="C168" s="585" t="s">
        <v>142</v>
      </c>
      <c r="D168" s="537"/>
      <c r="E168" s="537"/>
      <c r="F168" s="537"/>
      <c r="G168" s="537"/>
      <c r="H168" s="537"/>
      <c r="I168" s="538"/>
      <c r="J168" s="52"/>
      <c r="K168" s="87">
        <f>SUM(K164:K167)</f>
        <v>2806.6269773325357</v>
      </c>
      <c r="L168" s="6"/>
      <c r="M168" s="8"/>
      <c r="N168" s="8"/>
      <c r="O168" s="8"/>
    </row>
    <row r="169" spans="1:15" ht="15.75" customHeight="1" x14ac:dyDescent="0.25">
      <c r="A169" s="7"/>
      <c r="B169" s="81" t="s">
        <v>145</v>
      </c>
      <c r="C169" s="582" t="s">
        <v>146</v>
      </c>
      <c r="D169" s="537"/>
      <c r="E169" s="537"/>
      <c r="F169" s="537"/>
      <c r="G169" s="537"/>
      <c r="H169" s="537"/>
      <c r="I169" s="538"/>
      <c r="J169" s="81" t="s">
        <v>141</v>
      </c>
      <c r="K169" s="81" t="s">
        <v>121</v>
      </c>
      <c r="L169" s="6"/>
      <c r="M169" s="8"/>
      <c r="N169" s="8"/>
      <c r="O169" s="8"/>
    </row>
    <row r="170" spans="1:15" ht="15.75" customHeight="1" x14ac:dyDescent="0.25">
      <c r="A170" s="7"/>
      <c r="B170" s="36" t="s">
        <v>147</v>
      </c>
      <c r="C170" s="580" t="s">
        <v>148</v>
      </c>
      <c r="D170" s="537"/>
      <c r="E170" s="537"/>
      <c r="F170" s="537"/>
      <c r="G170" s="537"/>
      <c r="H170" s="537"/>
      <c r="I170" s="538"/>
      <c r="J170" s="92">
        <f>'7 - ENCARGOS SOCIAIS'!$D$13</f>
        <v>0.36800000000000005</v>
      </c>
      <c r="K170" s="85">
        <f t="shared" ref="K170:K173" si="14">J170*$K$168</f>
        <v>1032.8387276583733</v>
      </c>
      <c r="L170" s="6"/>
      <c r="M170" s="8"/>
      <c r="N170" s="8"/>
      <c r="O170" s="8"/>
    </row>
    <row r="171" spans="1:15" ht="15.75" customHeight="1" x14ac:dyDescent="0.25">
      <c r="A171" s="7"/>
      <c r="B171" s="36" t="s">
        <v>150</v>
      </c>
      <c r="C171" s="580" t="s">
        <v>151</v>
      </c>
      <c r="D171" s="537"/>
      <c r="E171" s="537"/>
      <c r="F171" s="537"/>
      <c r="G171" s="537"/>
      <c r="H171" s="537"/>
      <c r="I171" s="538"/>
      <c r="J171" s="92">
        <f>'7 - ENCARGOS SOCIAIS'!$D$21</f>
        <v>0.15387245147090212</v>
      </c>
      <c r="K171" s="85">
        <f t="shared" si="14"/>
        <v>431.86257336652528</v>
      </c>
      <c r="L171" s="6"/>
      <c r="M171" s="8"/>
      <c r="N171" s="8"/>
      <c r="O171" s="8"/>
    </row>
    <row r="172" spans="1:15" ht="15.75" customHeight="1" x14ac:dyDescent="0.25">
      <c r="A172" s="7"/>
      <c r="B172" s="36" t="s">
        <v>152</v>
      </c>
      <c r="C172" s="580" t="s">
        <v>153</v>
      </c>
      <c r="D172" s="537"/>
      <c r="E172" s="537"/>
      <c r="F172" s="537"/>
      <c r="G172" s="537"/>
      <c r="H172" s="537"/>
      <c r="I172" s="538"/>
      <c r="J172" s="92">
        <f>'7 - ENCARGOS SOCIAIS'!$D$28</f>
        <v>0.12666581537651095</v>
      </c>
      <c r="K172" s="85">
        <f t="shared" si="14"/>
        <v>355.50369454153793</v>
      </c>
      <c r="L172" s="6"/>
      <c r="M172" s="8"/>
      <c r="N172" s="8"/>
      <c r="O172" s="8"/>
    </row>
    <row r="173" spans="1:15" ht="15.75" customHeight="1" x14ac:dyDescent="0.25">
      <c r="A173" s="7"/>
      <c r="B173" s="36" t="s">
        <v>155</v>
      </c>
      <c r="C173" s="580" t="s">
        <v>156</v>
      </c>
      <c r="D173" s="537"/>
      <c r="E173" s="537"/>
      <c r="F173" s="537"/>
      <c r="G173" s="537"/>
      <c r="H173" s="537"/>
      <c r="I173" s="538"/>
      <c r="J173" s="92">
        <f>'7 - ENCARGOS SOCIAIS'!$D$32</f>
        <v>5.9231502118822603E-2</v>
      </c>
      <c r="K173" s="85">
        <f t="shared" si="14"/>
        <v>166.24073175461677</v>
      </c>
      <c r="L173" s="6"/>
      <c r="M173" s="8"/>
      <c r="N173" s="8"/>
      <c r="O173" s="8"/>
    </row>
    <row r="174" spans="1:15" ht="15.75" customHeight="1" x14ac:dyDescent="0.25">
      <c r="A174" s="7"/>
      <c r="B174" s="20"/>
      <c r="C174" s="586" t="s">
        <v>157</v>
      </c>
      <c r="D174" s="537"/>
      <c r="E174" s="537"/>
      <c r="F174" s="537"/>
      <c r="G174" s="537"/>
      <c r="H174" s="537"/>
      <c r="I174" s="538"/>
      <c r="J174" s="96">
        <f t="shared" ref="J174:K174" si="15">SUM(J170:J173)</f>
        <v>0.70776976896623567</v>
      </c>
      <c r="K174" s="97">
        <f t="shared" si="15"/>
        <v>1986.4457273210533</v>
      </c>
      <c r="L174" s="6"/>
      <c r="M174" s="8"/>
      <c r="N174" s="8"/>
      <c r="O174" s="8"/>
    </row>
    <row r="175" spans="1:15" ht="15.75" customHeight="1" x14ac:dyDescent="0.25">
      <c r="A175" s="7"/>
      <c r="B175" s="81" t="s">
        <v>158</v>
      </c>
      <c r="C175" s="587" t="s">
        <v>159</v>
      </c>
      <c r="D175" s="537"/>
      <c r="E175" s="537"/>
      <c r="F175" s="537"/>
      <c r="G175" s="538"/>
      <c r="H175" s="100" t="s">
        <v>160</v>
      </c>
      <c r="I175" s="81" t="s">
        <v>120</v>
      </c>
      <c r="J175" s="81" t="s">
        <v>161</v>
      </c>
      <c r="K175" s="81" t="s">
        <v>121</v>
      </c>
      <c r="L175" s="6"/>
      <c r="M175" s="8"/>
      <c r="N175" s="8"/>
      <c r="O175" s="8"/>
    </row>
    <row r="176" spans="1:15" ht="15.75" customHeight="1" x14ac:dyDescent="0.25">
      <c r="A176" s="7"/>
      <c r="B176" s="36" t="s">
        <v>162</v>
      </c>
      <c r="C176" s="580" t="s">
        <v>174</v>
      </c>
      <c r="D176" s="537"/>
      <c r="E176" s="537"/>
      <c r="F176" s="537"/>
      <c r="G176" s="538"/>
      <c r="H176" s="36">
        <v>26</v>
      </c>
      <c r="I176" s="102">
        <v>27.15</v>
      </c>
      <c r="J176" s="103">
        <v>0.19</v>
      </c>
      <c r="K176" s="42">
        <f>(H176*I176)-((H176*I176)*0.19)</f>
        <v>571.779</v>
      </c>
      <c r="L176" s="6"/>
      <c r="M176" s="8"/>
      <c r="N176" s="8"/>
      <c r="O176" s="8"/>
    </row>
    <row r="177" spans="1:15" ht="15.75" customHeight="1" x14ac:dyDescent="0.25">
      <c r="A177" s="7"/>
      <c r="B177" s="36" t="s">
        <v>164</v>
      </c>
      <c r="C177" s="580" t="s">
        <v>177</v>
      </c>
      <c r="D177" s="537"/>
      <c r="E177" s="537"/>
      <c r="F177" s="537"/>
      <c r="G177" s="538"/>
      <c r="H177" s="36">
        <f>H176*4</f>
        <v>104</v>
      </c>
      <c r="I177" s="106">
        <v>6.25</v>
      </c>
      <c r="J177" s="103">
        <v>0.06</v>
      </c>
      <c r="K177" s="42">
        <f>(H177*I177)-(K164*0.06)</f>
        <v>536.21839999999997</v>
      </c>
      <c r="L177" s="6"/>
      <c r="M177" s="8"/>
      <c r="N177" s="8"/>
      <c r="O177" s="8"/>
    </row>
    <row r="178" spans="1:15" ht="15.75" customHeight="1" x14ac:dyDescent="0.25">
      <c r="A178" s="7"/>
      <c r="B178" s="36" t="s">
        <v>166</v>
      </c>
      <c r="C178" s="580" t="s">
        <v>167</v>
      </c>
      <c r="D178" s="537"/>
      <c r="E178" s="537"/>
      <c r="F178" s="537"/>
      <c r="G178" s="538"/>
      <c r="H178" s="33">
        <v>1</v>
      </c>
      <c r="I178" s="102">
        <f>'6 - DADOS CC MO'!E48</f>
        <v>25.52</v>
      </c>
      <c r="J178" s="107"/>
      <c r="K178" s="132">
        <f>I178</f>
        <v>25.52</v>
      </c>
      <c r="L178" s="6"/>
      <c r="M178" s="8"/>
      <c r="N178" s="8"/>
      <c r="O178" s="8"/>
    </row>
    <row r="179" spans="1:15" ht="15.75" customHeight="1" x14ac:dyDescent="0.25">
      <c r="A179" s="7"/>
      <c r="B179" s="107"/>
      <c r="C179" s="585" t="s">
        <v>170</v>
      </c>
      <c r="D179" s="537"/>
      <c r="E179" s="537"/>
      <c r="F179" s="537"/>
      <c r="G179" s="537"/>
      <c r="H179" s="537"/>
      <c r="I179" s="538"/>
      <c r="J179" s="52"/>
      <c r="K179" s="110">
        <f>SUM(K176:K178)</f>
        <v>1133.5174</v>
      </c>
      <c r="L179" s="6"/>
      <c r="M179" s="8"/>
      <c r="N179" s="8"/>
      <c r="O179" s="8"/>
    </row>
    <row r="180" spans="1:15" ht="15.75" customHeight="1" x14ac:dyDescent="0.25">
      <c r="A180" s="7"/>
      <c r="B180" s="588" t="s">
        <v>304</v>
      </c>
      <c r="C180" s="564"/>
      <c r="D180" s="564"/>
      <c r="E180" s="564"/>
      <c r="F180" s="564"/>
      <c r="G180" s="564"/>
      <c r="H180" s="564"/>
      <c r="I180" s="564"/>
      <c r="J180" s="565"/>
      <c r="K180" s="113">
        <f>K179+K174+K168</f>
        <v>5926.5901046535892</v>
      </c>
      <c r="L180" s="6"/>
      <c r="M180" s="8"/>
      <c r="N180" s="8"/>
      <c r="O180" s="8"/>
    </row>
    <row r="181" spans="1:15" ht="15.75" customHeight="1" x14ac:dyDescent="0.25">
      <c r="A181" s="7"/>
      <c r="B181" s="711" t="s">
        <v>187</v>
      </c>
      <c r="C181" s="611"/>
      <c r="D181" s="611"/>
      <c r="E181" s="611"/>
      <c r="F181" s="611"/>
      <c r="G181" s="611"/>
      <c r="H181" s="611"/>
      <c r="I181" s="611"/>
      <c r="J181" s="612"/>
      <c r="K181" s="114">
        <f>K180*1</f>
        <v>5926.5901046535892</v>
      </c>
      <c r="L181" s="6"/>
      <c r="M181" s="8"/>
      <c r="N181" s="8"/>
      <c r="O181" s="8"/>
    </row>
    <row r="182" spans="1:15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10"/>
      <c r="L182" s="6"/>
      <c r="M182" s="8"/>
      <c r="N182" s="8"/>
      <c r="O182" s="8"/>
    </row>
    <row r="183" spans="1:15" ht="15.75" customHeight="1" x14ac:dyDescent="0.25">
      <c r="A183" s="7"/>
      <c r="B183" s="581" t="s">
        <v>308</v>
      </c>
      <c r="C183" s="537"/>
      <c r="D183" s="537"/>
      <c r="E183" s="537"/>
      <c r="F183" s="537"/>
      <c r="G183" s="537"/>
      <c r="H183" s="537"/>
      <c r="I183" s="537"/>
      <c r="J183" s="537"/>
      <c r="K183" s="538"/>
      <c r="L183" s="6"/>
      <c r="M183" s="8"/>
      <c r="N183" s="8"/>
      <c r="O183" s="8"/>
    </row>
    <row r="184" spans="1:15" ht="15.75" customHeight="1" x14ac:dyDescent="0.25">
      <c r="A184" s="7"/>
      <c r="B184" s="80" t="s">
        <v>116</v>
      </c>
      <c r="C184" s="582" t="s">
        <v>117</v>
      </c>
      <c r="D184" s="537"/>
      <c r="E184" s="537"/>
      <c r="F184" s="537"/>
      <c r="G184" s="538"/>
      <c r="H184" s="100" t="s">
        <v>118</v>
      </c>
      <c r="I184" s="117" t="s">
        <v>119</v>
      </c>
      <c r="J184" s="81" t="s">
        <v>120</v>
      </c>
      <c r="K184" s="81" t="s">
        <v>121</v>
      </c>
      <c r="L184" s="6"/>
      <c r="M184" s="8"/>
      <c r="N184" s="8"/>
      <c r="O184" s="8"/>
    </row>
    <row r="185" spans="1:15" ht="15.75" customHeight="1" x14ac:dyDescent="0.25">
      <c r="A185" s="7"/>
      <c r="B185" s="36" t="s">
        <v>122</v>
      </c>
      <c r="C185" s="580" t="s">
        <v>123</v>
      </c>
      <c r="D185" s="537"/>
      <c r="E185" s="537"/>
      <c r="F185" s="537"/>
      <c r="G185" s="538"/>
      <c r="H185" s="33">
        <v>220</v>
      </c>
      <c r="I185" s="36" t="s">
        <v>126</v>
      </c>
      <c r="J185" s="118">
        <f>K185/H185</f>
        <v>8.6198181818181805</v>
      </c>
      <c r="K185" s="85">
        <f>'6 - DADOS CC MO'!E45</f>
        <v>1896.36</v>
      </c>
      <c r="L185" s="6"/>
      <c r="M185" s="8"/>
      <c r="N185" s="8"/>
      <c r="O185" s="8"/>
    </row>
    <row r="186" spans="1:15" ht="15.75" customHeight="1" x14ac:dyDescent="0.25">
      <c r="A186" s="7"/>
      <c r="B186" s="583" t="s">
        <v>129</v>
      </c>
      <c r="C186" s="584" t="s">
        <v>178</v>
      </c>
      <c r="D186" s="542"/>
      <c r="E186" s="542"/>
      <c r="F186" s="542"/>
      <c r="G186" s="577"/>
      <c r="H186" s="121">
        <v>112.67</v>
      </c>
      <c r="I186" s="33" t="s">
        <v>180</v>
      </c>
      <c r="J186" s="82"/>
      <c r="K186" s="85"/>
      <c r="L186" s="6"/>
      <c r="M186" s="8"/>
      <c r="N186" s="8"/>
      <c r="O186" s="8"/>
    </row>
    <row r="187" spans="1:15" ht="15.75" customHeight="1" x14ac:dyDescent="0.25">
      <c r="A187" s="7"/>
      <c r="B187" s="550"/>
      <c r="C187" s="578"/>
      <c r="D187" s="544"/>
      <c r="E187" s="544"/>
      <c r="F187" s="544"/>
      <c r="G187" s="579"/>
      <c r="H187" s="127">
        <v>128.76</v>
      </c>
      <c r="I187" s="33" t="s">
        <v>181</v>
      </c>
      <c r="J187" s="122">
        <f>J185*0.2</f>
        <v>1.7239636363636361</v>
      </c>
      <c r="K187" s="85">
        <f t="shared" ref="K187:K188" si="16">J187*H187</f>
        <v>221.97755781818177</v>
      </c>
      <c r="L187" s="6"/>
      <c r="M187" s="8"/>
      <c r="N187" s="8"/>
      <c r="O187" s="8"/>
    </row>
    <row r="188" spans="1:15" ht="15.75" customHeight="1" x14ac:dyDescent="0.25">
      <c r="A188" s="7"/>
      <c r="B188" s="36" t="s">
        <v>183</v>
      </c>
      <c r="C188" s="50" t="s">
        <v>130</v>
      </c>
      <c r="D188" s="119"/>
      <c r="E188" s="119"/>
      <c r="F188" s="119"/>
      <c r="G188" s="120"/>
      <c r="H188" s="121">
        <v>7.33</v>
      </c>
      <c r="I188" s="33" t="s">
        <v>126</v>
      </c>
      <c r="J188" s="122">
        <f>J185*2</f>
        <v>17.239636363636361</v>
      </c>
      <c r="K188" s="85">
        <f t="shared" si="16"/>
        <v>126.36653454545453</v>
      </c>
      <c r="L188" s="6"/>
      <c r="M188" s="8"/>
      <c r="N188" s="8"/>
      <c r="O188" s="8"/>
    </row>
    <row r="189" spans="1:15" ht="15.75" customHeight="1" x14ac:dyDescent="0.25">
      <c r="A189" s="7"/>
      <c r="B189" s="36" t="s">
        <v>185</v>
      </c>
      <c r="C189" s="50" t="s">
        <v>186</v>
      </c>
      <c r="D189" s="119"/>
      <c r="E189" s="119"/>
      <c r="F189" s="119"/>
      <c r="G189" s="120"/>
      <c r="H189" s="121">
        <f>4+1/3</f>
        <v>4.333333333333333</v>
      </c>
      <c r="I189" s="33" t="s">
        <v>126</v>
      </c>
      <c r="J189" s="122"/>
      <c r="K189" s="85"/>
      <c r="L189" s="6"/>
      <c r="M189" s="8"/>
      <c r="N189" s="8"/>
      <c r="O189" s="8"/>
    </row>
    <row r="190" spans="1:15" ht="15.75" customHeight="1" x14ac:dyDescent="0.25">
      <c r="A190" s="7"/>
      <c r="B190" s="36" t="s">
        <v>188</v>
      </c>
      <c r="C190" s="50" t="s">
        <v>189</v>
      </c>
      <c r="D190" s="119"/>
      <c r="E190" s="119"/>
      <c r="F190" s="119"/>
      <c r="G190" s="120"/>
      <c r="H190" s="121">
        <f>H189*8/7</f>
        <v>4.9523809523809517</v>
      </c>
      <c r="I190" s="33" t="s">
        <v>126</v>
      </c>
      <c r="J190" s="122">
        <f>J185*2*1.2</f>
        <v>20.687563636363631</v>
      </c>
      <c r="K190" s="85">
        <f>J190*H190</f>
        <v>102.45269610389606</v>
      </c>
      <c r="L190" s="6"/>
      <c r="M190" s="8"/>
      <c r="N190" s="8"/>
      <c r="O190" s="8"/>
    </row>
    <row r="191" spans="1:15" ht="15.75" customHeight="1" x14ac:dyDescent="0.25">
      <c r="A191" s="7"/>
      <c r="B191" s="36" t="s">
        <v>192</v>
      </c>
      <c r="C191" s="50" t="s">
        <v>200</v>
      </c>
      <c r="D191" s="119"/>
      <c r="E191" s="119"/>
      <c r="F191" s="119"/>
      <c r="G191" s="120"/>
      <c r="H191" s="33"/>
      <c r="I191" s="7"/>
      <c r="J191" s="122">
        <f>61/304*(SUM(K187:K190))</f>
        <v>90.455934528024585</v>
      </c>
      <c r="K191" s="85">
        <f>J191</f>
        <v>90.455934528024585</v>
      </c>
      <c r="L191" s="6"/>
      <c r="M191" s="8"/>
      <c r="N191" s="8"/>
      <c r="O191" s="8"/>
    </row>
    <row r="192" spans="1:15" ht="15.75" customHeight="1" x14ac:dyDescent="0.25">
      <c r="A192" s="7"/>
      <c r="B192" s="36" t="s">
        <v>134</v>
      </c>
      <c r="C192" s="580" t="s">
        <v>139</v>
      </c>
      <c r="D192" s="537"/>
      <c r="E192" s="537"/>
      <c r="F192" s="537"/>
      <c r="G192" s="538"/>
      <c r="H192" s="33">
        <v>40</v>
      </c>
      <c r="I192" s="36" t="s">
        <v>141</v>
      </c>
      <c r="J192" s="82"/>
      <c r="K192" s="85">
        <f>K185*40%</f>
        <v>758.54399999999998</v>
      </c>
      <c r="L192" s="6"/>
      <c r="M192" s="8"/>
      <c r="N192" s="8"/>
      <c r="O192" s="8"/>
    </row>
    <row r="193" spans="1:15" ht="15.75" customHeight="1" x14ac:dyDescent="0.25">
      <c r="A193" s="7"/>
      <c r="B193" s="33"/>
      <c r="C193" s="585" t="s">
        <v>142</v>
      </c>
      <c r="D193" s="537"/>
      <c r="E193" s="537"/>
      <c r="F193" s="537"/>
      <c r="G193" s="537"/>
      <c r="H193" s="537"/>
      <c r="I193" s="538"/>
      <c r="J193" s="52"/>
      <c r="K193" s="87">
        <f>SUM(K185:K192)</f>
        <v>3196.1567229955567</v>
      </c>
      <c r="L193" s="6"/>
      <c r="M193" s="8"/>
      <c r="N193" s="8"/>
      <c r="O193" s="8"/>
    </row>
    <row r="194" spans="1:15" ht="15.75" customHeight="1" x14ac:dyDescent="0.25">
      <c r="A194" s="7"/>
      <c r="B194" s="81" t="s">
        <v>145</v>
      </c>
      <c r="C194" s="582" t="s">
        <v>146</v>
      </c>
      <c r="D194" s="537"/>
      <c r="E194" s="537"/>
      <c r="F194" s="537"/>
      <c r="G194" s="537"/>
      <c r="H194" s="537"/>
      <c r="I194" s="538"/>
      <c r="J194" s="81" t="s">
        <v>141</v>
      </c>
      <c r="K194" s="81" t="s">
        <v>121</v>
      </c>
      <c r="L194" s="6"/>
      <c r="M194" s="8"/>
      <c r="N194" s="8"/>
      <c r="O194" s="8"/>
    </row>
    <row r="195" spans="1:15" ht="15.75" customHeight="1" x14ac:dyDescent="0.25">
      <c r="A195" s="7"/>
      <c r="B195" s="36" t="s">
        <v>147</v>
      </c>
      <c r="C195" s="580" t="s">
        <v>148</v>
      </c>
      <c r="D195" s="537"/>
      <c r="E195" s="537"/>
      <c r="F195" s="537"/>
      <c r="G195" s="537"/>
      <c r="H195" s="537"/>
      <c r="I195" s="538"/>
      <c r="J195" s="92">
        <f>'7 - ENCARGOS SOCIAIS'!$D$13</f>
        <v>0.36800000000000005</v>
      </c>
      <c r="K195" s="85">
        <f>J195*K193</f>
        <v>1176.185674062365</v>
      </c>
      <c r="L195" s="6"/>
      <c r="M195" s="8"/>
      <c r="N195" s="8"/>
      <c r="O195" s="8"/>
    </row>
    <row r="196" spans="1:15" ht="15.75" customHeight="1" x14ac:dyDescent="0.25">
      <c r="A196" s="7"/>
      <c r="B196" s="36" t="s">
        <v>150</v>
      </c>
      <c r="C196" s="580" t="s">
        <v>151</v>
      </c>
      <c r="D196" s="537"/>
      <c r="E196" s="537"/>
      <c r="F196" s="537"/>
      <c r="G196" s="537"/>
      <c r="H196" s="537"/>
      <c r="I196" s="538"/>
      <c r="J196" s="92">
        <f>'7 - ENCARGOS SOCIAIS'!$D$21</f>
        <v>0.15387245147090212</v>
      </c>
      <c r="K196" s="85">
        <f>J196*K193</f>
        <v>491.80047025253134</v>
      </c>
      <c r="L196" s="6"/>
      <c r="M196" s="8"/>
      <c r="N196" s="8"/>
      <c r="O196" s="8"/>
    </row>
    <row r="197" spans="1:15" ht="15.75" customHeight="1" x14ac:dyDescent="0.25">
      <c r="A197" s="7"/>
      <c r="B197" s="36" t="s">
        <v>152</v>
      </c>
      <c r="C197" s="580" t="s">
        <v>153</v>
      </c>
      <c r="D197" s="537"/>
      <c r="E197" s="537"/>
      <c r="F197" s="537"/>
      <c r="G197" s="537"/>
      <c r="H197" s="537"/>
      <c r="I197" s="538"/>
      <c r="J197" s="92">
        <f>'7 - ENCARGOS SOCIAIS'!$D$28</f>
        <v>0.12666581537651095</v>
      </c>
      <c r="K197" s="85">
        <f>J197*K193</f>
        <v>404.84379738934945</v>
      </c>
      <c r="L197" s="6"/>
      <c r="M197" s="8"/>
      <c r="N197" s="8"/>
      <c r="O197" s="8"/>
    </row>
    <row r="198" spans="1:15" ht="15.75" customHeight="1" x14ac:dyDescent="0.25">
      <c r="A198" s="7"/>
      <c r="B198" s="36" t="s">
        <v>155</v>
      </c>
      <c r="C198" s="580" t="s">
        <v>156</v>
      </c>
      <c r="D198" s="537"/>
      <c r="E198" s="537"/>
      <c r="F198" s="537"/>
      <c r="G198" s="537"/>
      <c r="H198" s="537"/>
      <c r="I198" s="538"/>
      <c r="J198" s="92">
        <f>'7 - ENCARGOS SOCIAIS'!$D$32</f>
        <v>5.9231502118822603E-2</v>
      </c>
      <c r="K198" s="85">
        <f>J198*K193</f>
        <v>189.31316371020043</v>
      </c>
      <c r="L198" s="6"/>
      <c r="M198" s="8"/>
      <c r="N198" s="8"/>
      <c r="O198" s="8"/>
    </row>
    <row r="199" spans="1:15" ht="15.75" customHeight="1" x14ac:dyDescent="0.25">
      <c r="A199" s="7"/>
      <c r="B199" s="20"/>
      <c r="C199" s="586" t="s">
        <v>157</v>
      </c>
      <c r="D199" s="537"/>
      <c r="E199" s="537"/>
      <c r="F199" s="537"/>
      <c r="G199" s="537"/>
      <c r="H199" s="537"/>
      <c r="I199" s="538"/>
      <c r="J199" s="96">
        <f t="shared" ref="J199:K199" si="17">SUM(J195:J198)</f>
        <v>0.70776976896623567</v>
      </c>
      <c r="K199" s="97">
        <f t="shared" si="17"/>
        <v>2262.1431054144464</v>
      </c>
      <c r="L199" s="6"/>
      <c r="M199" s="8"/>
      <c r="N199" s="8"/>
      <c r="O199" s="8"/>
    </row>
    <row r="200" spans="1:15" ht="15.75" customHeight="1" x14ac:dyDescent="0.25">
      <c r="A200" s="7"/>
      <c r="B200" s="81" t="s">
        <v>158</v>
      </c>
      <c r="C200" s="587" t="s">
        <v>159</v>
      </c>
      <c r="D200" s="537"/>
      <c r="E200" s="537"/>
      <c r="F200" s="537"/>
      <c r="G200" s="538"/>
      <c r="H200" s="100" t="s">
        <v>160</v>
      </c>
      <c r="I200" s="81" t="s">
        <v>120</v>
      </c>
      <c r="J200" s="81" t="s">
        <v>161</v>
      </c>
      <c r="K200" s="81" t="s">
        <v>121</v>
      </c>
      <c r="L200" s="6"/>
      <c r="M200" s="8"/>
      <c r="N200" s="8"/>
      <c r="O200" s="8"/>
    </row>
    <row r="201" spans="1:15" ht="15.75" customHeight="1" x14ac:dyDescent="0.25">
      <c r="A201" s="7"/>
      <c r="B201" s="36" t="s">
        <v>162</v>
      </c>
      <c r="C201" s="580" t="s">
        <v>174</v>
      </c>
      <c r="D201" s="537"/>
      <c r="E201" s="537"/>
      <c r="F201" s="537"/>
      <c r="G201" s="538"/>
      <c r="H201" s="36">
        <v>26</v>
      </c>
      <c r="I201" s="102">
        <v>27.15</v>
      </c>
      <c r="J201" s="103">
        <v>0.19</v>
      </c>
      <c r="K201" s="42">
        <f>(H201*I201)-((H201*I201)*0.19)</f>
        <v>571.779</v>
      </c>
      <c r="L201" s="6"/>
      <c r="M201" s="8"/>
      <c r="N201" s="8"/>
      <c r="O201" s="8"/>
    </row>
    <row r="202" spans="1:15" ht="15.75" customHeight="1" x14ac:dyDescent="0.25">
      <c r="A202" s="7"/>
      <c r="B202" s="36" t="s">
        <v>164</v>
      </c>
      <c r="C202" s="580" t="s">
        <v>177</v>
      </c>
      <c r="D202" s="537"/>
      <c r="E202" s="537"/>
      <c r="F202" s="537"/>
      <c r="G202" s="538"/>
      <c r="H202" s="36">
        <f>H201*4</f>
        <v>104</v>
      </c>
      <c r="I202" s="106">
        <v>6.25</v>
      </c>
      <c r="J202" s="103">
        <v>0.06</v>
      </c>
      <c r="K202" s="42">
        <f>(H202*I202)-(K185*0.06)</f>
        <v>536.21839999999997</v>
      </c>
      <c r="L202" s="6"/>
      <c r="M202" s="8"/>
      <c r="N202" s="8"/>
      <c r="O202" s="8"/>
    </row>
    <row r="203" spans="1:15" ht="15.75" customHeight="1" x14ac:dyDescent="0.25">
      <c r="A203" s="7"/>
      <c r="B203" s="36" t="s">
        <v>166</v>
      </c>
      <c r="C203" s="580" t="s">
        <v>167</v>
      </c>
      <c r="D203" s="537"/>
      <c r="E203" s="537"/>
      <c r="F203" s="537"/>
      <c r="G203" s="538"/>
      <c r="H203" s="33">
        <v>1</v>
      </c>
      <c r="I203" s="102">
        <f>'6 - DADOS CC MO'!E48</f>
        <v>25.52</v>
      </c>
      <c r="J203" s="107"/>
      <c r="K203" s="132">
        <f>I203</f>
        <v>25.52</v>
      </c>
      <c r="L203" s="6"/>
      <c r="M203" s="8"/>
      <c r="N203" s="8"/>
      <c r="O203" s="8"/>
    </row>
    <row r="204" spans="1:15" ht="15.75" customHeight="1" x14ac:dyDescent="0.25">
      <c r="A204" s="7"/>
      <c r="B204" s="107"/>
      <c r="C204" s="585" t="s">
        <v>170</v>
      </c>
      <c r="D204" s="537"/>
      <c r="E204" s="537"/>
      <c r="F204" s="537"/>
      <c r="G204" s="537"/>
      <c r="H204" s="537"/>
      <c r="I204" s="538"/>
      <c r="J204" s="52"/>
      <c r="K204" s="110">
        <f>SUM(K201:K203)</f>
        <v>1133.5174</v>
      </c>
      <c r="L204" s="6"/>
      <c r="M204" s="8"/>
      <c r="N204" s="8"/>
      <c r="O204" s="8"/>
    </row>
    <row r="205" spans="1:15" ht="15.75" customHeight="1" x14ac:dyDescent="0.25">
      <c r="A205" s="7"/>
      <c r="B205" s="588" t="s">
        <v>304</v>
      </c>
      <c r="C205" s="564"/>
      <c r="D205" s="564"/>
      <c r="E205" s="564"/>
      <c r="F205" s="564"/>
      <c r="G205" s="564"/>
      <c r="H205" s="564"/>
      <c r="I205" s="564"/>
      <c r="J205" s="565"/>
      <c r="K205" s="113">
        <f>K204+K199+K193</f>
        <v>6591.8172284100037</v>
      </c>
      <c r="L205" s="6"/>
      <c r="M205" s="8"/>
      <c r="N205" s="8"/>
      <c r="O205" s="8"/>
    </row>
    <row r="206" spans="1:15" ht="15.75" customHeight="1" x14ac:dyDescent="0.25">
      <c r="A206" s="7"/>
      <c r="B206" s="711" t="s">
        <v>187</v>
      </c>
      <c r="C206" s="611"/>
      <c r="D206" s="611"/>
      <c r="E206" s="611"/>
      <c r="F206" s="611"/>
      <c r="G206" s="611"/>
      <c r="H206" s="611"/>
      <c r="I206" s="611"/>
      <c r="J206" s="612"/>
      <c r="K206" s="114">
        <f>K205*1</f>
        <v>6591.8172284100037</v>
      </c>
      <c r="L206" s="6"/>
      <c r="M206" s="8"/>
      <c r="N206" s="8"/>
      <c r="O206" s="8"/>
    </row>
    <row r="207" spans="1:15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10"/>
      <c r="L207" s="6"/>
      <c r="M207" s="8"/>
      <c r="N207" s="8"/>
      <c r="O207" s="8"/>
    </row>
    <row r="208" spans="1:15" ht="15.75" customHeight="1" x14ac:dyDescent="0.25">
      <c r="A208" s="7"/>
      <c r="B208" s="581" t="s">
        <v>339</v>
      </c>
      <c r="C208" s="537"/>
      <c r="D208" s="537"/>
      <c r="E208" s="537"/>
      <c r="F208" s="537"/>
      <c r="G208" s="537"/>
      <c r="H208" s="537"/>
      <c r="I208" s="537"/>
      <c r="J208" s="537"/>
      <c r="K208" s="538"/>
      <c r="L208" s="6"/>
      <c r="M208" s="8"/>
      <c r="N208" s="8"/>
      <c r="O208" s="8"/>
    </row>
    <row r="209" spans="1:15" ht="15.75" customHeight="1" x14ac:dyDescent="0.25">
      <c r="A209" s="7"/>
      <c r="B209" s="80" t="s">
        <v>116</v>
      </c>
      <c r="C209" s="582" t="s">
        <v>117</v>
      </c>
      <c r="D209" s="537"/>
      <c r="E209" s="537"/>
      <c r="F209" s="537"/>
      <c r="G209" s="538"/>
      <c r="H209" s="100" t="s">
        <v>118</v>
      </c>
      <c r="I209" s="117" t="s">
        <v>119</v>
      </c>
      <c r="J209" s="81" t="s">
        <v>120</v>
      </c>
      <c r="K209" s="81" t="s">
        <v>121</v>
      </c>
      <c r="L209" s="6"/>
      <c r="M209" s="8"/>
      <c r="N209" s="8"/>
      <c r="O209" s="8"/>
    </row>
    <row r="210" spans="1:15" ht="15.75" customHeight="1" x14ac:dyDescent="0.25">
      <c r="A210" s="7"/>
      <c r="B210" s="33" t="s">
        <v>122</v>
      </c>
      <c r="C210" s="702" t="s">
        <v>123</v>
      </c>
      <c r="D210" s="537"/>
      <c r="E210" s="537"/>
      <c r="F210" s="537"/>
      <c r="G210" s="538"/>
      <c r="H210" s="33">
        <v>220</v>
      </c>
      <c r="I210" s="36" t="s">
        <v>126</v>
      </c>
      <c r="J210" s="118">
        <f>K210/H210</f>
        <v>8.0266363636363636</v>
      </c>
      <c r="K210" s="85">
        <f>'6 - DADOS CC MO'!E67</f>
        <v>1765.86</v>
      </c>
      <c r="L210" s="6"/>
      <c r="M210" s="8"/>
      <c r="N210" s="8"/>
      <c r="O210" s="8"/>
    </row>
    <row r="211" spans="1:15" ht="15.75" customHeight="1" x14ac:dyDescent="0.25">
      <c r="A211" s="7"/>
      <c r="B211" s="33" t="s">
        <v>195</v>
      </c>
      <c r="C211" s="50" t="s">
        <v>130</v>
      </c>
      <c r="D211" s="119"/>
      <c r="E211" s="119"/>
      <c r="F211" s="119"/>
      <c r="G211" s="120"/>
      <c r="H211" s="121">
        <v>7.33</v>
      </c>
      <c r="I211" s="33" t="s">
        <v>126</v>
      </c>
      <c r="J211" s="122">
        <f>J210*2</f>
        <v>16.053272727272727</v>
      </c>
      <c r="K211" s="85">
        <f>J211*H211</f>
        <v>117.67048909090909</v>
      </c>
      <c r="L211" s="6"/>
      <c r="M211" s="8"/>
      <c r="N211" s="8"/>
      <c r="O211" s="8"/>
    </row>
    <row r="212" spans="1:15" ht="15.75" customHeight="1" x14ac:dyDescent="0.25">
      <c r="A212" s="7"/>
      <c r="B212" s="36" t="s">
        <v>198</v>
      </c>
      <c r="C212" s="91" t="s">
        <v>135</v>
      </c>
      <c r="D212" s="134"/>
      <c r="E212" s="134"/>
      <c r="F212" s="134"/>
      <c r="G212" s="129"/>
      <c r="H212" s="121"/>
      <c r="I212" s="36"/>
      <c r="J212" s="118">
        <f>61/304*(SUM(K211))</f>
        <v>23.611512613636364</v>
      </c>
      <c r="K212" s="128">
        <f>J212</f>
        <v>23.611512613636364</v>
      </c>
      <c r="L212" s="6"/>
      <c r="M212" s="8"/>
      <c r="N212" s="8"/>
      <c r="O212" s="8"/>
    </row>
    <row r="213" spans="1:15" ht="15.75" customHeight="1" x14ac:dyDescent="0.25">
      <c r="A213" s="7"/>
      <c r="B213" s="33" t="s">
        <v>129</v>
      </c>
      <c r="C213" s="702" t="s">
        <v>139</v>
      </c>
      <c r="D213" s="537"/>
      <c r="E213" s="537"/>
      <c r="F213" s="537"/>
      <c r="G213" s="538"/>
      <c r="H213" s="33">
        <v>40</v>
      </c>
      <c r="I213" s="36" t="s">
        <v>141</v>
      </c>
      <c r="J213" s="82"/>
      <c r="K213" s="85">
        <f>K210*40%</f>
        <v>706.34400000000005</v>
      </c>
      <c r="L213" s="6"/>
      <c r="M213" s="8"/>
      <c r="N213" s="8"/>
      <c r="O213" s="8"/>
    </row>
    <row r="214" spans="1:15" ht="15.75" customHeight="1" x14ac:dyDescent="0.25">
      <c r="A214" s="7"/>
      <c r="B214" s="33"/>
      <c r="C214" s="585" t="s">
        <v>142</v>
      </c>
      <c r="D214" s="537"/>
      <c r="E214" s="537"/>
      <c r="F214" s="537"/>
      <c r="G214" s="537"/>
      <c r="H214" s="537"/>
      <c r="I214" s="538"/>
      <c r="J214" s="52"/>
      <c r="K214" s="87">
        <f>SUM(K210:K213)</f>
        <v>2613.4860017045453</v>
      </c>
      <c r="L214" s="6"/>
      <c r="M214" s="8"/>
      <c r="N214" s="8"/>
      <c r="O214" s="8"/>
    </row>
    <row r="215" spans="1:15" ht="15.75" customHeight="1" x14ac:dyDescent="0.25">
      <c r="A215" s="7"/>
      <c r="B215" s="81" t="s">
        <v>145</v>
      </c>
      <c r="C215" s="582" t="s">
        <v>146</v>
      </c>
      <c r="D215" s="537"/>
      <c r="E215" s="537"/>
      <c r="F215" s="537"/>
      <c r="G215" s="537"/>
      <c r="H215" s="537"/>
      <c r="I215" s="538"/>
      <c r="J215" s="81" t="s">
        <v>141</v>
      </c>
      <c r="K215" s="81" t="s">
        <v>121</v>
      </c>
      <c r="L215" s="6"/>
      <c r="M215" s="8"/>
      <c r="N215" s="8"/>
      <c r="O215" s="8"/>
    </row>
    <row r="216" spans="1:15" ht="15.75" customHeight="1" x14ac:dyDescent="0.25">
      <c r="A216" s="7"/>
      <c r="B216" s="36" t="s">
        <v>147</v>
      </c>
      <c r="C216" s="580" t="s">
        <v>148</v>
      </c>
      <c r="D216" s="537"/>
      <c r="E216" s="537"/>
      <c r="F216" s="537"/>
      <c r="G216" s="537"/>
      <c r="H216" s="537"/>
      <c r="I216" s="538"/>
      <c r="J216" s="92">
        <f>'7 - ENCARGOS SOCIAIS'!$D$13</f>
        <v>0.36800000000000005</v>
      </c>
      <c r="K216" s="85">
        <f t="shared" ref="K216:K219" si="18">J216*$K$214</f>
        <v>961.76284862727277</v>
      </c>
      <c r="L216" s="6"/>
      <c r="M216" s="8"/>
      <c r="N216" s="8"/>
      <c r="O216" s="8"/>
    </row>
    <row r="217" spans="1:15" ht="15.75" customHeight="1" x14ac:dyDescent="0.25">
      <c r="A217" s="7"/>
      <c r="B217" s="36" t="s">
        <v>150</v>
      </c>
      <c r="C217" s="580" t="s">
        <v>151</v>
      </c>
      <c r="D217" s="537"/>
      <c r="E217" s="537"/>
      <c r="F217" s="537"/>
      <c r="G217" s="537"/>
      <c r="H217" s="537"/>
      <c r="I217" s="538"/>
      <c r="J217" s="92">
        <f>'7 - ENCARGOS SOCIAIS'!$D$21</f>
        <v>0.15387245147090212</v>
      </c>
      <c r="K217" s="85">
        <f t="shared" si="18"/>
        <v>402.14349796716465</v>
      </c>
      <c r="L217" s="6"/>
      <c r="M217" s="8"/>
      <c r="N217" s="8"/>
      <c r="O217" s="8"/>
    </row>
    <row r="218" spans="1:15" ht="15.75" customHeight="1" x14ac:dyDescent="0.25">
      <c r="A218" s="7"/>
      <c r="B218" s="36" t="s">
        <v>152</v>
      </c>
      <c r="C218" s="580" t="s">
        <v>153</v>
      </c>
      <c r="D218" s="537"/>
      <c r="E218" s="537"/>
      <c r="F218" s="537"/>
      <c r="G218" s="537"/>
      <c r="H218" s="537"/>
      <c r="I218" s="538"/>
      <c r="J218" s="92">
        <f>'7 - ENCARGOS SOCIAIS'!$D$28</f>
        <v>0.12666581537651095</v>
      </c>
      <c r="K218" s="85">
        <f t="shared" si="18"/>
        <v>331.0393353810037</v>
      </c>
      <c r="L218" s="6"/>
      <c r="M218" s="8"/>
      <c r="N218" s="8"/>
      <c r="O218" s="8"/>
    </row>
    <row r="219" spans="1:15" ht="15.75" customHeight="1" x14ac:dyDescent="0.25">
      <c r="A219" s="7"/>
      <c r="B219" s="36" t="s">
        <v>155</v>
      </c>
      <c r="C219" s="580" t="s">
        <v>156</v>
      </c>
      <c r="D219" s="537"/>
      <c r="E219" s="537"/>
      <c r="F219" s="537"/>
      <c r="G219" s="537"/>
      <c r="H219" s="537"/>
      <c r="I219" s="538"/>
      <c r="J219" s="92">
        <f>'7 - ENCARGOS SOCIAIS'!$D$32</f>
        <v>5.9231502118822603E-2</v>
      </c>
      <c r="K219" s="85">
        <f t="shared" si="18"/>
        <v>154.80070164747599</v>
      </c>
      <c r="L219" s="6"/>
      <c r="M219" s="8"/>
      <c r="N219" s="8"/>
      <c r="O219" s="8"/>
    </row>
    <row r="220" spans="1:15" ht="15.75" customHeight="1" x14ac:dyDescent="0.25">
      <c r="A220" s="7"/>
      <c r="B220" s="20"/>
      <c r="C220" s="586" t="s">
        <v>157</v>
      </c>
      <c r="D220" s="537"/>
      <c r="E220" s="537"/>
      <c r="F220" s="537"/>
      <c r="G220" s="537"/>
      <c r="H220" s="537"/>
      <c r="I220" s="538"/>
      <c r="J220" s="96">
        <f t="shared" ref="J220:K220" si="19">SUM(J216:J219)</f>
        <v>0.70776976896623567</v>
      </c>
      <c r="K220" s="97">
        <f t="shared" si="19"/>
        <v>1849.7463836229169</v>
      </c>
      <c r="L220" s="6"/>
      <c r="M220" s="8"/>
      <c r="N220" s="8"/>
      <c r="O220" s="8"/>
    </row>
    <row r="221" spans="1:15" ht="15.75" customHeight="1" x14ac:dyDescent="0.25">
      <c r="A221" s="7"/>
      <c r="B221" s="81" t="s">
        <v>158</v>
      </c>
      <c r="C221" s="587" t="s">
        <v>159</v>
      </c>
      <c r="D221" s="537"/>
      <c r="E221" s="537"/>
      <c r="F221" s="537"/>
      <c r="G221" s="538"/>
      <c r="H221" s="100" t="s">
        <v>160</v>
      </c>
      <c r="I221" s="81" t="s">
        <v>120</v>
      </c>
      <c r="J221" s="81" t="s">
        <v>161</v>
      </c>
      <c r="K221" s="81" t="s">
        <v>121</v>
      </c>
      <c r="L221" s="6"/>
      <c r="M221" s="8"/>
      <c r="N221" s="8"/>
      <c r="O221" s="8"/>
    </row>
    <row r="222" spans="1:15" ht="15.75" customHeight="1" x14ac:dyDescent="0.25">
      <c r="A222" s="7"/>
      <c r="B222" s="36" t="s">
        <v>162</v>
      </c>
      <c r="C222" s="580" t="s">
        <v>174</v>
      </c>
      <c r="D222" s="537"/>
      <c r="E222" s="537"/>
      <c r="F222" s="537"/>
      <c r="G222" s="538"/>
      <c r="H222" s="36">
        <v>26</v>
      </c>
      <c r="I222" s="102">
        <v>27.15</v>
      </c>
      <c r="J222" s="103">
        <v>0.19</v>
      </c>
      <c r="K222" s="42">
        <f>(H222*I222)-((H222*I222)*0.19)</f>
        <v>571.779</v>
      </c>
      <c r="L222" s="6"/>
      <c r="M222" s="8"/>
      <c r="N222" s="8"/>
      <c r="O222" s="8"/>
    </row>
    <row r="223" spans="1:15" ht="15.75" customHeight="1" x14ac:dyDescent="0.25">
      <c r="A223" s="7"/>
      <c r="B223" s="36" t="s">
        <v>164</v>
      </c>
      <c r="C223" s="580" t="s">
        <v>177</v>
      </c>
      <c r="D223" s="537"/>
      <c r="E223" s="537"/>
      <c r="F223" s="537"/>
      <c r="G223" s="538"/>
      <c r="H223" s="36">
        <f>H222*4</f>
        <v>104</v>
      </c>
      <c r="I223" s="106">
        <v>6.25</v>
      </c>
      <c r="J223" s="103">
        <v>0.06</v>
      </c>
      <c r="K223" s="42">
        <f>(H223*I223)-(K210*0.06)</f>
        <v>544.04840000000002</v>
      </c>
      <c r="L223" s="6"/>
      <c r="M223" s="8"/>
      <c r="N223" s="8"/>
      <c r="O223" s="8"/>
    </row>
    <row r="224" spans="1:15" ht="15.75" customHeight="1" x14ac:dyDescent="0.25">
      <c r="A224" s="7"/>
      <c r="B224" s="36" t="s">
        <v>166</v>
      </c>
      <c r="C224" s="580" t="s">
        <v>167</v>
      </c>
      <c r="D224" s="537"/>
      <c r="E224" s="537"/>
      <c r="F224" s="537"/>
      <c r="G224" s="538"/>
      <c r="H224" s="33">
        <v>1</v>
      </c>
      <c r="I224" s="102">
        <f>'6 - DADOS CC MO'!E70</f>
        <v>25.52</v>
      </c>
      <c r="J224" s="107"/>
      <c r="K224" s="132">
        <f t="shared" ref="K224:K225" si="20">I224</f>
        <v>25.52</v>
      </c>
      <c r="L224" s="6"/>
      <c r="M224" s="8"/>
      <c r="N224" s="8"/>
      <c r="O224" s="8"/>
    </row>
    <row r="225" spans="1:15" ht="15.75" customHeight="1" x14ac:dyDescent="0.25">
      <c r="A225" s="7"/>
      <c r="B225" s="36" t="s">
        <v>168</v>
      </c>
      <c r="C225" s="580" t="s">
        <v>207</v>
      </c>
      <c r="D225" s="537"/>
      <c r="E225" s="537"/>
      <c r="F225" s="537"/>
      <c r="G225" s="538"/>
      <c r="H225" s="33">
        <v>1</v>
      </c>
      <c r="I225" s="102">
        <v>80</v>
      </c>
      <c r="J225" s="107"/>
      <c r="K225" s="132">
        <f t="shared" si="20"/>
        <v>80</v>
      </c>
      <c r="L225" s="6"/>
      <c r="M225" s="8"/>
      <c r="N225" s="8"/>
      <c r="O225" s="8"/>
    </row>
    <row r="226" spans="1:15" ht="15.75" customHeight="1" x14ac:dyDescent="0.25">
      <c r="A226" s="7"/>
      <c r="B226" s="107"/>
      <c r="C226" s="585" t="s">
        <v>170</v>
      </c>
      <c r="D226" s="537"/>
      <c r="E226" s="537"/>
      <c r="F226" s="537"/>
      <c r="G226" s="537"/>
      <c r="H226" s="537"/>
      <c r="I226" s="538"/>
      <c r="J226" s="52"/>
      <c r="K226" s="110">
        <f>SUM(K222:K225)</f>
        <v>1221.3474000000001</v>
      </c>
      <c r="L226" s="6"/>
      <c r="M226" s="8"/>
      <c r="N226" s="8"/>
      <c r="O226" s="8"/>
    </row>
    <row r="227" spans="1:15" ht="15.75" customHeight="1" x14ac:dyDescent="0.25">
      <c r="A227" s="7"/>
      <c r="B227" s="588" t="s">
        <v>351</v>
      </c>
      <c r="C227" s="564"/>
      <c r="D227" s="564"/>
      <c r="E227" s="564"/>
      <c r="F227" s="564"/>
      <c r="G227" s="564"/>
      <c r="H227" s="564"/>
      <c r="I227" s="564"/>
      <c r="J227" s="565"/>
      <c r="K227" s="113">
        <f>K226+K220+K214</f>
        <v>5684.5797853274617</v>
      </c>
      <c r="L227" s="6"/>
      <c r="M227" s="8"/>
      <c r="N227" s="8"/>
      <c r="O227" s="8"/>
    </row>
    <row r="228" spans="1:15" ht="15.75" customHeight="1" x14ac:dyDescent="0.25">
      <c r="A228" s="7"/>
      <c r="B228" s="711" t="s">
        <v>187</v>
      </c>
      <c r="C228" s="611"/>
      <c r="D228" s="611"/>
      <c r="E228" s="611"/>
      <c r="F228" s="611"/>
      <c r="G228" s="611"/>
      <c r="H228" s="611"/>
      <c r="I228" s="611"/>
      <c r="J228" s="612"/>
      <c r="K228" s="114">
        <f>K227*1</f>
        <v>5684.5797853274617</v>
      </c>
      <c r="L228" s="6"/>
      <c r="M228" s="8"/>
      <c r="N228" s="8"/>
      <c r="O228" s="8"/>
    </row>
    <row r="229" spans="1:15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10"/>
      <c r="L229" s="6"/>
      <c r="M229" s="8"/>
      <c r="N229" s="8"/>
      <c r="O229" s="8"/>
    </row>
    <row r="230" spans="1:15" ht="15.75" customHeight="1" x14ac:dyDescent="0.25">
      <c r="A230" s="7"/>
      <c r="B230" s="581" t="s">
        <v>353</v>
      </c>
      <c r="C230" s="537"/>
      <c r="D230" s="537"/>
      <c r="E230" s="537"/>
      <c r="F230" s="537"/>
      <c r="G230" s="537"/>
      <c r="H230" s="537"/>
      <c r="I230" s="537"/>
      <c r="J230" s="537"/>
      <c r="K230" s="538"/>
      <c r="L230" s="6"/>
      <c r="M230" s="8"/>
      <c r="N230" s="8"/>
      <c r="O230" s="8"/>
    </row>
    <row r="231" spans="1:15" ht="15.75" customHeight="1" x14ac:dyDescent="0.25">
      <c r="A231" s="7"/>
      <c r="B231" s="80" t="s">
        <v>116</v>
      </c>
      <c r="C231" s="582" t="s">
        <v>117</v>
      </c>
      <c r="D231" s="537"/>
      <c r="E231" s="537"/>
      <c r="F231" s="537"/>
      <c r="G231" s="538"/>
      <c r="H231" s="100" t="s">
        <v>118</v>
      </c>
      <c r="I231" s="117" t="s">
        <v>119</v>
      </c>
      <c r="J231" s="81" t="s">
        <v>120</v>
      </c>
      <c r="K231" s="81" t="s">
        <v>121</v>
      </c>
      <c r="L231" s="6"/>
      <c r="M231" s="8"/>
      <c r="N231" s="8"/>
      <c r="O231" s="8"/>
    </row>
    <row r="232" spans="1:15" ht="15.75" customHeight="1" x14ac:dyDescent="0.25">
      <c r="A232" s="7"/>
      <c r="B232" s="33" t="s">
        <v>122</v>
      </c>
      <c r="C232" s="702" t="s">
        <v>123</v>
      </c>
      <c r="D232" s="537"/>
      <c r="E232" s="537"/>
      <c r="F232" s="537"/>
      <c r="G232" s="538"/>
      <c r="H232" s="33">
        <v>220</v>
      </c>
      <c r="I232" s="36" t="s">
        <v>126</v>
      </c>
      <c r="J232" s="118">
        <f>K232/H232</f>
        <v>8.0266363636363636</v>
      </c>
      <c r="K232" s="180">
        <f>'6 - DADOS CC MO'!E79</f>
        <v>1765.86</v>
      </c>
      <c r="L232" s="6"/>
      <c r="M232" s="8"/>
      <c r="N232" s="8"/>
      <c r="O232" s="8"/>
    </row>
    <row r="233" spans="1:15" ht="15.75" customHeight="1" x14ac:dyDescent="0.25">
      <c r="A233" s="7"/>
      <c r="B233" s="33" t="s">
        <v>195</v>
      </c>
      <c r="C233" s="50" t="s">
        <v>130</v>
      </c>
      <c r="D233" s="119"/>
      <c r="E233" s="119"/>
      <c r="F233" s="119"/>
      <c r="G233" s="120"/>
      <c r="H233" s="121">
        <v>7.33</v>
      </c>
      <c r="I233" s="33" t="s">
        <v>126</v>
      </c>
      <c r="J233" s="122">
        <f>J232*2</f>
        <v>16.053272727272727</v>
      </c>
      <c r="K233" s="85">
        <f>J233*H233</f>
        <v>117.67048909090909</v>
      </c>
      <c r="L233" s="6"/>
      <c r="M233" s="8"/>
      <c r="N233" s="8"/>
      <c r="O233" s="8"/>
    </row>
    <row r="234" spans="1:15" ht="15.75" customHeight="1" x14ac:dyDescent="0.25">
      <c r="A234" s="7"/>
      <c r="B234" s="36" t="s">
        <v>198</v>
      </c>
      <c r="C234" s="91" t="s">
        <v>135</v>
      </c>
      <c r="D234" s="134"/>
      <c r="E234" s="134"/>
      <c r="F234" s="134"/>
      <c r="G234" s="129"/>
      <c r="H234" s="121"/>
      <c r="I234" s="36"/>
      <c r="J234" s="118">
        <f>61/304*(SUM(K233))</f>
        <v>23.611512613636364</v>
      </c>
      <c r="K234" s="128">
        <f>J234</f>
        <v>23.611512613636364</v>
      </c>
      <c r="L234" s="6"/>
      <c r="M234" s="8"/>
      <c r="N234" s="8"/>
      <c r="O234" s="8"/>
    </row>
    <row r="235" spans="1:15" ht="15.75" customHeight="1" x14ac:dyDescent="0.25">
      <c r="A235" s="7"/>
      <c r="B235" s="33" t="s">
        <v>129</v>
      </c>
      <c r="C235" s="702" t="s">
        <v>139</v>
      </c>
      <c r="D235" s="537"/>
      <c r="E235" s="537"/>
      <c r="F235" s="537"/>
      <c r="G235" s="538"/>
      <c r="H235" s="33">
        <v>40</v>
      </c>
      <c r="I235" s="36" t="s">
        <v>141</v>
      </c>
      <c r="J235" s="82"/>
      <c r="K235" s="85">
        <f>K232*40%</f>
        <v>706.34400000000005</v>
      </c>
      <c r="L235" s="6"/>
      <c r="M235" s="8"/>
      <c r="N235" s="8"/>
      <c r="O235" s="8"/>
    </row>
    <row r="236" spans="1:15" ht="15.75" customHeight="1" x14ac:dyDescent="0.25">
      <c r="A236" s="7"/>
      <c r="B236" s="33"/>
      <c r="C236" s="585" t="s">
        <v>142</v>
      </c>
      <c r="D236" s="537"/>
      <c r="E236" s="537"/>
      <c r="F236" s="537"/>
      <c r="G236" s="537"/>
      <c r="H236" s="537"/>
      <c r="I236" s="538"/>
      <c r="J236" s="52"/>
      <c r="K236" s="87">
        <f>SUM(K232:K235)</f>
        <v>2613.4860017045453</v>
      </c>
      <c r="L236" s="6"/>
      <c r="M236" s="8"/>
      <c r="N236" s="8"/>
      <c r="O236" s="8"/>
    </row>
    <row r="237" spans="1:15" ht="15.75" customHeight="1" x14ac:dyDescent="0.25">
      <c r="A237" s="7"/>
      <c r="B237" s="81" t="s">
        <v>145</v>
      </c>
      <c r="C237" s="582" t="s">
        <v>146</v>
      </c>
      <c r="D237" s="537"/>
      <c r="E237" s="537"/>
      <c r="F237" s="537"/>
      <c r="G237" s="537"/>
      <c r="H237" s="537"/>
      <c r="I237" s="538"/>
      <c r="J237" s="81" t="s">
        <v>141</v>
      </c>
      <c r="K237" s="81" t="s">
        <v>121</v>
      </c>
      <c r="L237" s="6"/>
      <c r="M237" s="8"/>
      <c r="N237" s="8"/>
      <c r="O237" s="8"/>
    </row>
    <row r="238" spans="1:15" ht="15.75" customHeight="1" x14ac:dyDescent="0.25">
      <c r="A238" s="7"/>
      <c r="B238" s="36" t="s">
        <v>147</v>
      </c>
      <c r="C238" s="580" t="s">
        <v>148</v>
      </c>
      <c r="D238" s="537"/>
      <c r="E238" s="537"/>
      <c r="F238" s="537"/>
      <c r="G238" s="537"/>
      <c r="H238" s="537"/>
      <c r="I238" s="538"/>
      <c r="J238" s="92">
        <f>'7 - ENCARGOS SOCIAIS'!$D$13</f>
        <v>0.36800000000000005</v>
      </c>
      <c r="K238" s="85">
        <f t="shared" ref="K238:K241" si="21">J238*$K$236</f>
        <v>961.76284862727277</v>
      </c>
      <c r="L238" s="6"/>
      <c r="M238" s="8"/>
      <c r="N238" s="8"/>
      <c r="O238" s="8"/>
    </row>
    <row r="239" spans="1:15" ht="15.75" customHeight="1" x14ac:dyDescent="0.25">
      <c r="A239" s="7"/>
      <c r="B239" s="36" t="s">
        <v>150</v>
      </c>
      <c r="C239" s="580" t="s">
        <v>151</v>
      </c>
      <c r="D239" s="537"/>
      <c r="E239" s="537"/>
      <c r="F239" s="537"/>
      <c r="G239" s="537"/>
      <c r="H239" s="537"/>
      <c r="I239" s="538"/>
      <c r="J239" s="92">
        <f>'7 - ENCARGOS SOCIAIS'!$D$21</f>
        <v>0.15387245147090212</v>
      </c>
      <c r="K239" s="85">
        <f t="shared" si="21"/>
        <v>402.14349796716465</v>
      </c>
      <c r="L239" s="6"/>
      <c r="M239" s="8"/>
      <c r="N239" s="8"/>
      <c r="O239" s="8"/>
    </row>
    <row r="240" spans="1:15" ht="15.75" customHeight="1" x14ac:dyDescent="0.25">
      <c r="A240" s="7"/>
      <c r="B240" s="36" t="s">
        <v>152</v>
      </c>
      <c r="C240" s="580" t="s">
        <v>153</v>
      </c>
      <c r="D240" s="537"/>
      <c r="E240" s="537"/>
      <c r="F240" s="537"/>
      <c r="G240" s="537"/>
      <c r="H240" s="537"/>
      <c r="I240" s="538"/>
      <c r="J240" s="92">
        <f>'7 - ENCARGOS SOCIAIS'!$D$28</f>
        <v>0.12666581537651095</v>
      </c>
      <c r="K240" s="85">
        <f t="shared" si="21"/>
        <v>331.0393353810037</v>
      </c>
      <c r="L240" s="6"/>
      <c r="M240" s="8"/>
      <c r="N240" s="8"/>
      <c r="O240" s="8"/>
    </row>
    <row r="241" spans="1:15" ht="15.75" customHeight="1" x14ac:dyDescent="0.25">
      <c r="A241" s="7"/>
      <c r="B241" s="36" t="s">
        <v>155</v>
      </c>
      <c r="C241" s="580" t="s">
        <v>156</v>
      </c>
      <c r="D241" s="537"/>
      <c r="E241" s="537"/>
      <c r="F241" s="537"/>
      <c r="G241" s="537"/>
      <c r="H241" s="537"/>
      <c r="I241" s="538"/>
      <c r="J241" s="92">
        <f>'7 - ENCARGOS SOCIAIS'!$D$32</f>
        <v>5.9231502118822603E-2</v>
      </c>
      <c r="K241" s="85">
        <f t="shared" si="21"/>
        <v>154.80070164747599</v>
      </c>
      <c r="L241" s="6"/>
      <c r="M241" s="8"/>
      <c r="N241" s="8"/>
      <c r="O241" s="8"/>
    </row>
    <row r="242" spans="1:15" ht="15.75" customHeight="1" x14ac:dyDescent="0.25">
      <c r="A242" s="7"/>
      <c r="B242" s="20"/>
      <c r="C242" s="586" t="s">
        <v>157</v>
      </c>
      <c r="D242" s="537"/>
      <c r="E242" s="537"/>
      <c r="F242" s="537"/>
      <c r="G242" s="537"/>
      <c r="H242" s="537"/>
      <c r="I242" s="538"/>
      <c r="J242" s="96">
        <f t="shared" ref="J242:K242" si="22">SUM(J238:J241)</f>
        <v>0.70776976896623567</v>
      </c>
      <c r="K242" s="97">
        <f t="shared" si="22"/>
        <v>1849.7463836229169</v>
      </c>
      <c r="L242" s="6"/>
      <c r="M242" s="8"/>
      <c r="N242" s="8"/>
      <c r="O242" s="8"/>
    </row>
    <row r="243" spans="1:15" ht="15.75" customHeight="1" x14ac:dyDescent="0.25">
      <c r="A243" s="7"/>
      <c r="B243" s="81" t="s">
        <v>158</v>
      </c>
      <c r="C243" s="587" t="s">
        <v>159</v>
      </c>
      <c r="D243" s="537"/>
      <c r="E243" s="537"/>
      <c r="F243" s="537"/>
      <c r="G243" s="538"/>
      <c r="H243" s="100" t="s">
        <v>160</v>
      </c>
      <c r="I243" s="81" t="s">
        <v>120</v>
      </c>
      <c r="J243" s="81" t="s">
        <v>161</v>
      </c>
      <c r="K243" s="81" t="s">
        <v>121</v>
      </c>
      <c r="L243" s="6"/>
      <c r="M243" s="8"/>
      <c r="N243" s="8"/>
      <c r="O243" s="8"/>
    </row>
    <row r="244" spans="1:15" ht="15.75" customHeight="1" x14ac:dyDescent="0.25">
      <c r="A244" s="7"/>
      <c r="B244" s="36" t="s">
        <v>162</v>
      </c>
      <c r="C244" s="580" t="s">
        <v>174</v>
      </c>
      <c r="D244" s="537"/>
      <c r="E244" s="537"/>
      <c r="F244" s="537"/>
      <c r="G244" s="538"/>
      <c r="H244" s="36">
        <v>26</v>
      </c>
      <c r="I244" s="102">
        <v>27.15</v>
      </c>
      <c r="J244" s="103">
        <v>0.19</v>
      </c>
      <c r="K244" s="42">
        <f>(H244*I244)-((H244*I244)*0.19)</f>
        <v>571.779</v>
      </c>
      <c r="L244" s="6"/>
      <c r="M244" s="8"/>
      <c r="N244" s="8"/>
      <c r="O244" s="8"/>
    </row>
    <row r="245" spans="1:15" ht="15.75" customHeight="1" x14ac:dyDescent="0.25">
      <c r="A245" s="7"/>
      <c r="B245" s="36" t="s">
        <v>164</v>
      </c>
      <c r="C245" s="580" t="s">
        <v>177</v>
      </c>
      <c r="D245" s="537"/>
      <c r="E245" s="537"/>
      <c r="F245" s="537"/>
      <c r="G245" s="538"/>
      <c r="H245" s="36">
        <f>H244*4</f>
        <v>104</v>
      </c>
      <c r="I245" s="106">
        <v>6.25</v>
      </c>
      <c r="J245" s="103">
        <v>0.06</v>
      </c>
      <c r="K245" s="42">
        <f>(H245*I245)-(K232*0.06)</f>
        <v>544.04840000000002</v>
      </c>
      <c r="L245" s="6"/>
      <c r="M245" s="8"/>
      <c r="N245" s="8"/>
      <c r="O245" s="8"/>
    </row>
    <row r="246" spans="1:15" ht="15.75" customHeight="1" x14ac:dyDescent="0.25">
      <c r="A246" s="7"/>
      <c r="B246" s="46" t="s">
        <v>166</v>
      </c>
      <c r="C246" s="712" t="s">
        <v>167</v>
      </c>
      <c r="D246" s="537"/>
      <c r="E246" s="537"/>
      <c r="F246" s="537"/>
      <c r="G246" s="538"/>
      <c r="H246" s="33">
        <v>1</v>
      </c>
      <c r="I246" s="102">
        <f>'6 - DADOS CC MO'!E82</f>
        <v>25.52</v>
      </c>
      <c r="J246" s="190"/>
      <c r="K246" s="191">
        <f t="shared" ref="K246:K247" si="23">I246</f>
        <v>25.52</v>
      </c>
      <c r="L246" s="6"/>
      <c r="M246" s="8"/>
      <c r="N246" s="8"/>
      <c r="O246" s="8"/>
    </row>
    <row r="247" spans="1:15" ht="15.75" customHeight="1" x14ac:dyDescent="0.25">
      <c r="A247" s="7"/>
      <c r="B247" s="36" t="s">
        <v>168</v>
      </c>
      <c r="C247" s="580" t="s">
        <v>207</v>
      </c>
      <c r="D247" s="537"/>
      <c r="E247" s="537"/>
      <c r="F247" s="537"/>
      <c r="G247" s="538"/>
      <c r="H247" s="33">
        <v>1</v>
      </c>
      <c r="I247" s="102">
        <v>80</v>
      </c>
      <c r="J247" s="107"/>
      <c r="K247" s="132">
        <f t="shared" si="23"/>
        <v>80</v>
      </c>
      <c r="L247" s="6"/>
      <c r="M247" s="8"/>
      <c r="N247" s="8"/>
      <c r="O247" s="8"/>
    </row>
    <row r="248" spans="1:15" ht="15.75" customHeight="1" x14ac:dyDescent="0.25">
      <c r="A248" s="7"/>
      <c r="B248" s="107"/>
      <c r="C248" s="585" t="s">
        <v>170</v>
      </c>
      <c r="D248" s="537"/>
      <c r="E248" s="537"/>
      <c r="F248" s="537"/>
      <c r="G248" s="537"/>
      <c r="H248" s="537"/>
      <c r="I248" s="538"/>
      <c r="J248" s="52"/>
      <c r="K248" s="110">
        <f>SUM(K244:K247)</f>
        <v>1221.3474000000001</v>
      </c>
      <c r="L248" s="6"/>
      <c r="M248" s="8"/>
      <c r="N248" s="8"/>
      <c r="O248" s="8"/>
    </row>
    <row r="249" spans="1:15" ht="15.75" customHeight="1" x14ac:dyDescent="0.25">
      <c r="A249" s="7"/>
      <c r="B249" s="588" t="s">
        <v>385</v>
      </c>
      <c r="C249" s="564"/>
      <c r="D249" s="564"/>
      <c r="E249" s="564"/>
      <c r="F249" s="564"/>
      <c r="G249" s="564"/>
      <c r="H249" s="564"/>
      <c r="I249" s="564"/>
      <c r="J249" s="565"/>
      <c r="K249" s="113">
        <f>K248+K242+K236</f>
        <v>5684.5797853274617</v>
      </c>
      <c r="L249" s="6"/>
      <c r="M249" s="8"/>
      <c r="N249" s="8"/>
      <c r="O249" s="8"/>
    </row>
    <row r="250" spans="1:15" ht="15.75" customHeight="1" x14ac:dyDescent="0.25">
      <c r="A250" s="7"/>
      <c r="B250" s="711" t="s">
        <v>187</v>
      </c>
      <c r="C250" s="611"/>
      <c r="D250" s="611"/>
      <c r="E250" s="611"/>
      <c r="F250" s="611"/>
      <c r="G250" s="611"/>
      <c r="H250" s="611"/>
      <c r="I250" s="611"/>
      <c r="J250" s="612"/>
      <c r="K250" s="114">
        <f>K249*1</f>
        <v>5684.5797853274617</v>
      </c>
      <c r="L250" s="6"/>
      <c r="M250" s="8"/>
      <c r="N250" s="8"/>
      <c r="O250" s="8"/>
    </row>
    <row r="251" spans="1:15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10"/>
      <c r="L251" s="6"/>
      <c r="M251" s="8"/>
      <c r="N251" s="8"/>
      <c r="O251" s="8"/>
    </row>
    <row r="252" spans="1:15" ht="15.75" customHeight="1" x14ac:dyDescent="0.25">
      <c r="A252" s="7"/>
      <c r="B252" s="581" t="s">
        <v>389</v>
      </c>
      <c r="C252" s="537"/>
      <c r="D252" s="537"/>
      <c r="E252" s="537"/>
      <c r="F252" s="537"/>
      <c r="G252" s="537"/>
      <c r="H252" s="537"/>
      <c r="I252" s="537"/>
      <c r="J252" s="537"/>
      <c r="K252" s="538"/>
      <c r="L252" s="6"/>
      <c r="M252" s="8"/>
      <c r="N252" s="8"/>
      <c r="O252" s="8"/>
    </row>
    <row r="253" spans="1:15" ht="15.75" customHeight="1" x14ac:dyDescent="0.25">
      <c r="A253" s="7"/>
      <c r="B253" s="80" t="s">
        <v>116</v>
      </c>
      <c r="C253" s="582" t="s">
        <v>117</v>
      </c>
      <c r="D253" s="537"/>
      <c r="E253" s="537"/>
      <c r="F253" s="537"/>
      <c r="G253" s="538"/>
      <c r="H253" s="100" t="s">
        <v>118</v>
      </c>
      <c r="I253" s="117" t="s">
        <v>119</v>
      </c>
      <c r="J253" s="81" t="s">
        <v>120</v>
      </c>
      <c r="K253" s="81" t="s">
        <v>121</v>
      </c>
      <c r="L253" s="6"/>
      <c r="M253" s="8"/>
      <c r="N253" s="8"/>
      <c r="O253" s="8"/>
    </row>
    <row r="254" spans="1:15" ht="15.75" customHeight="1" x14ac:dyDescent="0.25">
      <c r="A254" s="7"/>
      <c r="B254" s="36" t="s">
        <v>122</v>
      </c>
      <c r="C254" s="580" t="s">
        <v>123</v>
      </c>
      <c r="D254" s="537"/>
      <c r="E254" s="537"/>
      <c r="F254" s="537"/>
      <c r="G254" s="538"/>
      <c r="H254" s="33">
        <v>180</v>
      </c>
      <c r="I254" s="36" t="s">
        <v>126</v>
      </c>
      <c r="J254" s="118">
        <f>K254/H254</f>
        <v>11.8125</v>
      </c>
      <c r="K254" s="85">
        <f>'6 - DADOS CC MO'!E91</f>
        <v>2126.25</v>
      </c>
      <c r="L254" s="6"/>
      <c r="M254" s="8"/>
      <c r="N254" s="8"/>
      <c r="O254" s="8"/>
    </row>
    <row r="255" spans="1:15" ht="15.75" customHeight="1" x14ac:dyDescent="0.25">
      <c r="A255" s="7"/>
      <c r="B255" s="36" t="s">
        <v>195</v>
      </c>
      <c r="C255" s="50" t="s">
        <v>130</v>
      </c>
      <c r="D255" s="119"/>
      <c r="E255" s="119"/>
      <c r="F255" s="119"/>
      <c r="G255" s="129"/>
      <c r="H255" s="121">
        <f>7+1/3</f>
        <v>7.333333333333333</v>
      </c>
      <c r="I255" s="36" t="s">
        <v>126</v>
      </c>
      <c r="J255" s="130">
        <f>J254*2</f>
        <v>23.625</v>
      </c>
      <c r="K255" s="85">
        <f>J255*H255</f>
        <v>173.25</v>
      </c>
      <c r="L255" s="6"/>
      <c r="M255" s="8"/>
      <c r="N255" s="8"/>
      <c r="O255" s="8"/>
    </row>
    <row r="256" spans="1:15" ht="15.75" customHeight="1" x14ac:dyDescent="0.25">
      <c r="A256" s="7"/>
      <c r="B256" s="36" t="s">
        <v>198</v>
      </c>
      <c r="C256" s="50" t="s">
        <v>200</v>
      </c>
      <c r="D256" s="119"/>
      <c r="E256" s="119"/>
      <c r="F256" s="119"/>
      <c r="G256" s="129"/>
      <c r="H256" s="33"/>
      <c r="I256" s="36"/>
      <c r="J256" s="130">
        <f>61/304*(SUM(K255))</f>
        <v>34.763980263157897</v>
      </c>
      <c r="K256" s="85">
        <f>J256</f>
        <v>34.763980263157897</v>
      </c>
      <c r="L256" s="6"/>
      <c r="M256" s="8"/>
      <c r="N256" s="8"/>
      <c r="O256" s="8"/>
    </row>
    <row r="257" spans="1:15" ht="15.75" customHeight="1" x14ac:dyDescent="0.25">
      <c r="A257" s="7"/>
      <c r="B257" s="36" t="s">
        <v>129</v>
      </c>
      <c r="C257" s="580" t="s">
        <v>139</v>
      </c>
      <c r="D257" s="537"/>
      <c r="E257" s="537"/>
      <c r="F257" s="537"/>
      <c r="G257" s="538"/>
      <c r="H257" s="33">
        <v>40</v>
      </c>
      <c r="I257" s="36" t="s">
        <v>141</v>
      </c>
      <c r="J257" s="82"/>
      <c r="K257" s="85">
        <f>K254*40%</f>
        <v>850.5</v>
      </c>
      <c r="L257" s="6"/>
      <c r="M257" s="8"/>
      <c r="N257" s="8"/>
      <c r="O257" s="8"/>
    </row>
    <row r="258" spans="1:15" ht="15.75" customHeight="1" x14ac:dyDescent="0.25">
      <c r="A258" s="7"/>
      <c r="B258" s="33"/>
      <c r="C258" s="585" t="s">
        <v>142</v>
      </c>
      <c r="D258" s="537"/>
      <c r="E258" s="537"/>
      <c r="F258" s="537"/>
      <c r="G258" s="537"/>
      <c r="H258" s="537"/>
      <c r="I258" s="538"/>
      <c r="J258" s="52"/>
      <c r="K258" s="87">
        <f>SUM(K254:K257)</f>
        <v>3184.7639802631579</v>
      </c>
      <c r="L258" s="6"/>
      <c r="M258" s="8"/>
      <c r="N258" s="8"/>
      <c r="O258" s="8"/>
    </row>
    <row r="259" spans="1:15" ht="15.75" customHeight="1" x14ac:dyDescent="0.25">
      <c r="A259" s="7"/>
      <c r="B259" s="81" t="s">
        <v>145</v>
      </c>
      <c r="C259" s="582" t="s">
        <v>146</v>
      </c>
      <c r="D259" s="537"/>
      <c r="E259" s="537"/>
      <c r="F259" s="537"/>
      <c r="G259" s="537"/>
      <c r="H259" s="537"/>
      <c r="I259" s="538"/>
      <c r="J259" s="81" t="s">
        <v>141</v>
      </c>
      <c r="K259" s="81" t="s">
        <v>121</v>
      </c>
      <c r="L259" s="6"/>
      <c r="M259" s="8"/>
      <c r="N259" s="8"/>
      <c r="O259" s="8"/>
    </row>
    <row r="260" spans="1:15" ht="15.75" customHeight="1" x14ac:dyDescent="0.25">
      <c r="A260" s="7"/>
      <c r="B260" s="36" t="s">
        <v>147</v>
      </c>
      <c r="C260" s="580" t="s">
        <v>148</v>
      </c>
      <c r="D260" s="537"/>
      <c r="E260" s="537"/>
      <c r="F260" s="537"/>
      <c r="G260" s="537"/>
      <c r="H260" s="537"/>
      <c r="I260" s="538"/>
      <c r="J260" s="92">
        <f>'7 - ENCARGOS SOCIAIS'!$D$13</f>
        <v>0.36800000000000005</v>
      </c>
      <c r="K260" s="85">
        <f t="shared" ref="K260:K263" si="24">J260*$K$258</f>
        <v>1171.9931447368422</v>
      </c>
      <c r="L260" s="6"/>
      <c r="M260" s="8"/>
      <c r="N260" s="8"/>
      <c r="O260" s="8"/>
    </row>
    <row r="261" spans="1:15" ht="15.75" customHeight="1" x14ac:dyDescent="0.25">
      <c r="A261" s="7"/>
      <c r="B261" s="36" t="s">
        <v>150</v>
      </c>
      <c r="C261" s="580" t="s">
        <v>151</v>
      </c>
      <c r="D261" s="537"/>
      <c r="E261" s="537"/>
      <c r="F261" s="537"/>
      <c r="G261" s="537"/>
      <c r="H261" s="537"/>
      <c r="I261" s="538"/>
      <c r="J261" s="92">
        <f>'7 - ENCARGOS SOCIAIS'!$D$21</f>
        <v>0.15387245147090212</v>
      </c>
      <c r="K261" s="85">
        <f t="shared" si="24"/>
        <v>490.0474409993198</v>
      </c>
      <c r="L261" s="6"/>
      <c r="M261" s="8"/>
      <c r="N261" s="8"/>
      <c r="O261" s="8"/>
    </row>
    <row r="262" spans="1:15" ht="15.75" customHeight="1" x14ac:dyDescent="0.25">
      <c r="A262" s="7"/>
      <c r="B262" s="36" t="s">
        <v>152</v>
      </c>
      <c r="C262" s="580" t="s">
        <v>153</v>
      </c>
      <c r="D262" s="537"/>
      <c r="E262" s="537"/>
      <c r="F262" s="537"/>
      <c r="G262" s="537"/>
      <c r="H262" s="537"/>
      <c r="I262" s="538"/>
      <c r="J262" s="92">
        <f>'7 - ENCARGOS SOCIAIS'!$D$28</f>
        <v>0.12666581537651095</v>
      </c>
      <c r="K262" s="85">
        <f t="shared" si="24"/>
        <v>403.40072634177534</v>
      </c>
      <c r="L262" s="6"/>
      <c r="M262" s="8"/>
      <c r="N262" s="8"/>
      <c r="O262" s="8"/>
    </row>
    <row r="263" spans="1:15" ht="15.75" customHeight="1" x14ac:dyDescent="0.25">
      <c r="A263" s="7"/>
      <c r="B263" s="36" t="s">
        <v>155</v>
      </c>
      <c r="C263" s="580" t="s">
        <v>156</v>
      </c>
      <c r="D263" s="537"/>
      <c r="E263" s="537"/>
      <c r="F263" s="537"/>
      <c r="G263" s="537"/>
      <c r="H263" s="537"/>
      <c r="I263" s="538"/>
      <c r="J263" s="92">
        <f>'7 - ENCARGOS SOCIAIS'!$D$32</f>
        <v>5.9231502118822603E-2</v>
      </c>
      <c r="K263" s="85">
        <f t="shared" si="24"/>
        <v>188.63835444490715</v>
      </c>
      <c r="L263" s="6"/>
      <c r="M263" s="8"/>
      <c r="N263" s="8"/>
      <c r="O263" s="8"/>
    </row>
    <row r="264" spans="1:15" ht="15.75" customHeight="1" x14ac:dyDescent="0.25">
      <c r="A264" s="7"/>
      <c r="B264" s="20"/>
      <c r="C264" s="586" t="s">
        <v>157</v>
      </c>
      <c r="D264" s="537"/>
      <c r="E264" s="537"/>
      <c r="F264" s="537"/>
      <c r="G264" s="537"/>
      <c r="H264" s="537"/>
      <c r="I264" s="538"/>
      <c r="J264" s="96">
        <f t="shared" ref="J264:K264" si="25">SUM(J260:J263)</f>
        <v>0.70776976896623567</v>
      </c>
      <c r="K264" s="97">
        <f t="shared" si="25"/>
        <v>2254.0796665228445</v>
      </c>
      <c r="L264" s="6"/>
      <c r="M264" s="8"/>
      <c r="N264" s="8"/>
      <c r="O264" s="8"/>
    </row>
    <row r="265" spans="1:15" ht="15.75" customHeight="1" x14ac:dyDescent="0.25">
      <c r="A265" s="7"/>
      <c r="B265" s="81" t="s">
        <v>158</v>
      </c>
      <c r="C265" s="587" t="s">
        <v>159</v>
      </c>
      <c r="D265" s="537"/>
      <c r="E265" s="537"/>
      <c r="F265" s="537"/>
      <c r="G265" s="538"/>
      <c r="H265" s="100" t="s">
        <v>160</v>
      </c>
      <c r="I265" s="81" t="s">
        <v>120</v>
      </c>
      <c r="J265" s="81" t="s">
        <v>161</v>
      </c>
      <c r="K265" s="81" t="s">
        <v>121</v>
      </c>
      <c r="L265" s="6"/>
      <c r="M265" s="8"/>
      <c r="N265" s="8"/>
      <c r="O265" s="8"/>
    </row>
    <row r="266" spans="1:15" ht="15.75" customHeight="1" x14ac:dyDescent="0.25">
      <c r="A266" s="7"/>
      <c r="B266" s="36" t="s">
        <v>162</v>
      </c>
      <c r="C266" s="580" t="s">
        <v>409</v>
      </c>
      <c r="D266" s="537"/>
      <c r="E266" s="537"/>
      <c r="F266" s="537"/>
      <c r="G266" s="538"/>
      <c r="H266" s="36">
        <v>15</v>
      </c>
      <c r="I266" s="102">
        <v>27.15</v>
      </c>
      <c r="J266" s="103">
        <v>0.19</v>
      </c>
      <c r="K266" s="42">
        <f>(H266*I266)-((H266*I266)*0.19)</f>
        <v>329.8725</v>
      </c>
      <c r="L266" s="6"/>
      <c r="M266" s="8"/>
      <c r="N266" s="8"/>
      <c r="O266" s="8"/>
    </row>
    <row r="267" spans="1:15" ht="15.75" customHeight="1" x14ac:dyDescent="0.25">
      <c r="A267" s="7"/>
      <c r="B267" s="36" t="s">
        <v>164</v>
      </c>
      <c r="C267" s="580" t="s">
        <v>177</v>
      </c>
      <c r="D267" s="537"/>
      <c r="E267" s="537"/>
      <c r="F267" s="537"/>
      <c r="G267" s="538"/>
      <c r="H267" s="36">
        <f>H266*4</f>
        <v>60</v>
      </c>
      <c r="I267" s="106">
        <v>6.25</v>
      </c>
      <c r="J267" s="103">
        <v>0.06</v>
      </c>
      <c r="K267" s="42">
        <f>(H267*I267)-(K254*0.06)</f>
        <v>247.42500000000001</v>
      </c>
      <c r="L267" s="6"/>
      <c r="M267" s="8"/>
      <c r="N267" s="8"/>
      <c r="O267" s="8"/>
    </row>
    <row r="268" spans="1:15" ht="15.75" customHeight="1" x14ac:dyDescent="0.25">
      <c r="A268" s="7"/>
      <c r="B268" s="36" t="s">
        <v>166</v>
      </c>
      <c r="C268" s="580" t="s">
        <v>167</v>
      </c>
      <c r="D268" s="537"/>
      <c r="E268" s="537"/>
      <c r="F268" s="537"/>
      <c r="G268" s="538"/>
      <c r="H268" s="33">
        <v>1</v>
      </c>
      <c r="I268" s="102">
        <f>'6 - DADOS CC MO'!E93</f>
        <v>25.52</v>
      </c>
      <c r="J268" s="107"/>
      <c r="K268" s="132">
        <f t="shared" ref="K268:K269" si="26">I268</f>
        <v>25.52</v>
      </c>
      <c r="L268" s="6"/>
      <c r="M268" s="8"/>
      <c r="N268" s="8"/>
      <c r="O268" s="8"/>
    </row>
    <row r="269" spans="1:15" ht="15.75" customHeight="1" x14ac:dyDescent="0.25">
      <c r="A269" s="7"/>
      <c r="B269" s="36" t="s">
        <v>168</v>
      </c>
      <c r="C269" s="580" t="s">
        <v>207</v>
      </c>
      <c r="D269" s="537"/>
      <c r="E269" s="537"/>
      <c r="F269" s="537"/>
      <c r="G269" s="538"/>
      <c r="H269" s="33">
        <v>1</v>
      </c>
      <c r="I269" s="102">
        <v>80</v>
      </c>
      <c r="J269" s="107"/>
      <c r="K269" s="132">
        <f t="shared" si="26"/>
        <v>80</v>
      </c>
      <c r="L269" s="6"/>
      <c r="M269" s="8"/>
      <c r="N269" s="8"/>
      <c r="O269" s="8"/>
    </row>
    <row r="270" spans="1:15" ht="15.75" customHeight="1" x14ac:dyDescent="0.25">
      <c r="A270" s="7"/>
      <c r="B270" s="107"/>
      <c r="C270" s="585" t="s">
        <v>170</v>
      </c>
      <c r="D270" s="537"/>
      <c r="E270" s="537"/>
      <c r="F270" s="537"/>
      <c r="G270" s="537"/>
      <c r="H270" s="537"/>
      <c r="I270" s="538"/>
      <c r="J270" s="52"/>
      <c r="K270" s="110">
        <f>SUM(K266:K269)</f>
        <v>682.8175</v>
      </c>
      <c r="L270" s="6"/>
      <c r="M270" s="8"/>
      <c r="N270" s="8"/>
      <c r="O270" s="8"/>
    </row>
    <row r="271" spans="1:15" ht="15.75" customHeight="1" x14ac:dyDescent="0.25">
      <c r="A271" s="7"/>
      <c r="B271" s="588" t="s">
        <v>424</v>
      </c>
      <c r="C271" s="564"/>
      <c r="D271" s="564"/>
      <c r="E271" s="564"/>
      <c r="F271" s="564"/>
      <c r="G271" s="564"/>
      <c r="H271" s="564"/>
      <c r="I271" s="564"/>
      <c r="J271" s="565"/>
      <c r="K271" s="113">
        <f>K270+K264+K258</f>
        <v>6121.6611467860021</v>
      </c>
      <c r="L271" s="6"/>
      <c r="M271" s="8"/>
      <c r="N271" s="8"/>
      <c r="O271" s="8"/>
    </row>
    <row r="272" spans="1:15" ht="15.75" customHeight="1" x14ac:dyDescent="0.25">
      <c r="A272" s="7"/>
      <c r="B272" s="711" t="s">
        <v>426</v>
      </c>
      <c r="C272" s="611"/>
      <c r="D272" s="611"/>
      <c r="E272" s="611"/>
      <c r="F272" s="611"/>
      <c r="G272" s="611"/>
      <c r="H272" s="611"/>
      <c r="I272" s="611"/>
      <c r="J272" s="612"/>
      <c r="K272" s="114">
        <f>K271*2</f>
        <v>12243.322293572004</v>
      </c>
      <c r="L272" s="6"/>
      <c r="M272" s="8"/>
      <c r="N272" s="8"/>
      <c r="O272" s="8"/>
    </row>
    <row r="273" spans="1:15" ht="15.75" customHeight="1" x14ac:dyDescent="0.25">
      <c r="A273" s="7"/>
      <c r="B273" s="206"/>
      <c r="C273" s="206"/>
      <c r="D273" s="206"/>
      <c r="E273" s="206"/>
      <c r="F273" s="206"/>
      <c r="G273" s="206"/>
      <c r="H273" s="206"/>
      <c r="I273" s="206"/>
      <c r="J273" s="206"/>
      <c r="K273" s="207"/>
      <c r="L273" s="6"/>
      <c r="M273" s="8"/>
      <c r="N273" s="8"/>
      <c r="O273" s="8"/>
    </row>
    <row r="274" spans="1:15" ht="15.75" customHeight="1" x14ac:dyDescent="0.25">
      <c r="A274" s="7"/>
      <c r="B274" s="581" t="s">
        <v>428</v>
      </c>
      <c r="C274" s="537"/>
      <c r="D274" s="537"/>
      <c r="E274" s="537"/>
      <c r="F274" s="537"/>
      <c r="G274" s="537"/>
      <c r="H274" s="537"/>
      <c r="I274" s="537"/>
      <c r="J274" s="537"/>
      <c r="K274" s="538"/>
      <c r="L274" s="6"/>
      <c r="M274" s="8"/>
      <c r="N274" s="8"/>
      <c r="O274" s="8"/>
    </row>
    <row r="275" spans="1:15" ht="15.75" customHeight="1" x14ac:dyDescent="0.25">
      <c r="A275" s="7"/>
      <c r="B275" s="80" t="s">
        <v>116</v>
      </c>
      <c r="C275" s="582" t="s">
        <v>117</v>
      </c>
      <c r="D275" s="537"/>
      <c r="E275" s="537"/>
      <c r="F275" s="537"/>
      <c r="G275" s="538"/>
      <c r="H275" s="100" t="s">
        <v>118</v>
      </c>
      <c r="I275" s="117" t="s">
        <v>119</v>
      </c>
      <c r="J275" s="81" t="s">
        <v>120</v>
      </c>
      <c r="K275" s="81" t="s">
        <v>121</v>
      </c>
      <c r="L275" s="6"/>
      <c r="M275" s="8"/>
      <c r="N275" s="8"/>
      <c r="O275" s="8"/>
    </row>
    <row r="276" spans="1:15" ht="15.75" customHeight="1" x14ac:dyDescent="0.25">
      <c r="A276" s="7"/>
      <c r="B276" s="36" t="s">
        <v>122</v>
      </c>
      <c r="C276" s="580" t="s">
        <v>123</v>
      </c>
      <c r="D276" s="537"/>
      <c r="E276" s="537"/>
      <c r="F276" s="537"/>
      <c r="G276" s="538"/>
      <c r="H276" s="33">
        <v>180</v>
      </c>
      <c r="I276" s="36" t="s">
        <v>126</v>
      </c>
      <c r="J276" s="118">
        <f>K276/H276</f>
        <v>11.8125</v>
      </c>
      <c r="K276" s="85">
        <f>'6 - DADOS CC MO'!E91</f>
        <v>2126.25</v>
      </c>
      <c r="L276" s="6"/>
      <c r="M276" s="8"/>
      <c r="N276" s="8"/>
      <c r="O276" s="8"/>
    </row>
    <row r="277" spans="1:15" ht="15.75" customHeight="1" x14ac:dyDescent="0.25">
      <c r="A277" s="7"/>
      <c r="B277" s="583" t="s">
        <v>129</v>
      </c>
      <c r="C277" s="584" t="s">
        <v>178</v>
      </c>
      <c r="D277" s="542"/>
      <c r="E277" s="542"/>
      <c r="F277" s="542"/>
      <c r="G277" s="577"/>
      <c r="H277" s="33">
        <f>7*15</f>
        <v>105</v>
      </c>
      <c r="I277" s="36" t="s">
        <v>180</v>
      </c>
      <c r="J277" s="118"/>
      <c r="K277" s="85"/>
      <c r="L277" s="6"/>
      <c r="M277" s="8"/>
      <c r="N277" s="8"/>
      <c r="O277" s="8"/>
    </row>
    <row r="278" spans="1:15" ht="15.75" customHeight="1" x14ac:dyDescent="0.25">
      <c r="A278" s="7"/>
      <c r="B278" s="550"/>
      <c r="C278" s="578"/>
      <c r="D278" s="544"/>
      <c r="E278" s="544"/>
      <c r="F278" s="544"/>
      <c r="G278" s="579"/>
      <c r="H278" s="33">
        <f>H277*8/7</f>
        <v>120</v>
      </c>
      <c r="I278" s="36" t="s">
        <v>181</v>
      </c>
      <c r="J278" s="118">
        <f>J276*0.2</f>
        <v>2.3625000000000003</v>
      </c>
      <c r="K278" s="85">
        <f>H278*J278</f>
        <v>283.50000000000006</v>
      </c>
      <c r="L278" s="6"/>
      <c r="M278" s="8"/>
      <c r="N278" s="8"/>
      <c r="O278" s="8"/>
    </row>
    <row r="279" spans="1:15" ht="15.75" customHeight="1" x14ac:dyDescent="0.25">
      <c r="A279" s="7"/>
      <c r="B279" s="36" t="s">
        <v>183</v>
      </c>
      <c r="C279" s="50" t="s">
        <v>130</v>
      </c>
      <c r="D279" s="119"/>
      <c r="E279" s="119"/>
      <c r="F279" s="119"/>
      <c r="G279" s="120"/>
      <c r="H279" s="121">
        <f>7+1/3-H280</f>
        <v>3</v>
      </c>
      <c r="I279" s="33" t="s">
        <v>126</v>
      </c>
      <c r="J279" s="122">
        <f>J276*2</f>
        <v>23.625</v>
      </c>
      <c r="K279" s="85">
        <f>J279*H279</f>
        <v>70.875</v>
      </c>
      <c r="L279" s="6"/>
      <c r="M279" s="8"/>
      <c r="N279" s="8"/>
      <c r="O279" s="8"/>
    </row>
    <row r="280" spans="1:15" ht="15.75" customHeight="1" x14ac:dyDescent="0.25">
      <c r="A280" s="7"/>
      <c r="B280" s="36" t="s">
        <v>185</v>
      </c>
      <c r="C280" s="50" t="s">
        <v>186</v>
      </c>
      <c r="D280" s="119"/>
      <c r="E280" s="119"/>
      <c r="F280" s="119"/>
      <c r="G280" s="120"/>
      <c r="H280" s="121">
        <f>4+1/3</f>
        <v>4.333333333333333</v>
      </c>
      <c r="I280" s="33" t="s">
        <v>126</v>
      </c>
      <c r="J280" s="122"/>
      <c r="K280" s="85"/>
      <c r="L280" s="6"/>
      <c r="M280" s="8"/>
      <c r="N280" s="8"/>
      <c r="O280" s="8"/>
    </row>
    <row r="281" spans="1:15" ht="15.75" customHeight="1" x14ac:dyDescent="0.25">
      <c r="A281" s="7"/>
      <c r="B281" s="36" t="s">
        <v>188</v>
      </c>
      <c r="C281" s="50" t="s">
        <v>189</v>
      </c>
      <c r="D281" s="119"/>
      <c r="E281" s="119"/>
      <c r="F281" s="119"/>
      <c r="G281" s="120"/>
      <c r="H281" s="121">
        <f>H280*8/7</f>
        <v>4.9523809523809517</v>
      </c>
      <c r="I281" s="33" t="s">
        <v>126</v>
      </c>
      <c r="J281" s="122">
        <f>J276*2*1.2</f>
        <v>28.349999999999998</v>
      </c>
      <c r="K281" s="85">
        <f>J281*H281</f>
        <v>140.39999999999998</v>
      </c>
      <c r="L281" s="6"/>
      <c r="M281" s="8"/>
      <c r="N281" s="8"/>
      <c r="O281" s="8"/>
    </row>
    <row r="282" spans="1:15" ht="15.75" customHeight="1" x14ac:dyDescent="0.25">
      <c r="A282" s="7"/>
      <c r="B282" s="36" t="s">
        <v>192</v>
      </c>
      <c r="C282" s="50" t="s">
        <v>200</v>
      </c>
      <c r="D282" s="119"/>
      <c r="E282" s="119"/>
      <c r="F282" s="119"/>
      <c r="G282" s="120"/>
      <c r="H282" s="33"/>
      <c r="I282" s="7"/>
      <c r="J282" s="122">
        <f>61/304*(SUM(K278:K281))</f>
        <v>99.280509868421063</v>
      </c>
      <c r="K282" s="85">
        <f>J282</f>
        <v>99.280509868421063</v>
      </c>
      <c r="L282" s="6"/>
      <c r="M282" s="8"/>
      <c r="N282" s="8"/>
      <c r="O282" s="8"/>
    </row>
    <row r="283" spans="1:15" ht="15.75" customHeight="1" x14ac:dyDescent="0.25">
      <c r="A283" s="7"/>
      <c r="B283" s="36" t="s">
        <v>134</v>
      </c>
      <c r="C283" s="580" t="s">
        <v>139</v>
      </c>
      <c r="D283" s="537"/>
      <c r="E283" s="537"/>
      <c r="F283" s="537"/>
      <c r="G283" s="538"/>
      <c r="H283" s="33">
        <v>40</v>
      </c>
      <c r="I283" s="36" t="s">
        <v>141</v>
      </c>
      <c r="J283" s="82"/>
      <c r="K283" s="85">
        <f>K276*40%</f>
        <v>850.5</v>
      </c>
      <c r="L283" s="6"/>
      <c r="M283" s="8"/>
      <c r="N283" s="8"/>
      <c r="O283" s="8"/>
    </row>
    <row r="284" spans="1:15" ht="15.75" customHeight="1" x14ac:dyDescent="0.25">
      <c r="A284" s="7"/>
      <c r="B284" s="33"/>
      <c r="C284" s="585" t="s">
        <v>142</v>
      </c>
      <c r="D284" s="537"/>
      <c r="E284" s="537"/>
      <c r="F284" s="537"/>
      <c r="G284" s="537"/>
      <c r="H284" s="537"/>
      <c r="I284" s="538"/>
      <c r="J284" s="52"/>
      <c r="K284" s="87">
        <f>SUM(K276:K283)</f>
        <v>3570.8055098684213</v>
      </c>
      <c r="L284" s="6"/>
      <c r="M284" s="8"/>
      <c r="N284" s="8"/>
      <c r="O284" s="8"/>
    </row>
    <row r="285" spans="1:15" ht="15.75" customHeight="1" x14ac:dyDescent="0.25">
      <c r="A285" s="7"/>
      <c r="B285" s="81" t="s">
        <v>145</v>
      </c>
      <c r="C285" s="582" t="s">
        <v>146</v>
      </c>
      <c r="D285" s="537"/>
      <c r="E285" s="537"/>
      <c r="F285" s="537"/>
      <c r="G285" s="537"/>
      <c r="H285" s="537"/>
      <c r="I285" s="538"/>
      <c r="J285" s="81" t="s">
        <v>141</v>
      </c>
      <c r="K285" s="81" t="s">
        <v>121</v>
      </c>
      <c r="L285" s="6"/>
      <c r="M285" s="8"/>
      <c r="N285" s="8"/>
      <c r="O285" s="8"/>
    </row>
    <row r="286" spans="1:15" ht="15.75" customHeight="1" x14ac:dyDescent="0.25">
      <c r="A286" s="7"/>
      <c r="B286" s="36" t="s">
        <v>147</v>
      </c>
      <c r="C286" s="580" t="s">
        <v>148</v>
      </c>
      <c r="D286" s="537"/>
      <c r="E286" s="537"/>
      <c r="F286" s="537"/>
      <c r="G286" s="537"/>
      <c r="H286" s="537"/>
      <c r="I286" s="538"/>
      <c r="J286" s="92">
        <f>'7 - ENCARGOS SOCIAIS'!$D$13</f>
        <v>0.36800000000000005</v>
      </c>
      <c r="K286" s="85">
        <f>J286*K284</f>
        <v>1314.0564276315793</v>
      </c>
      <c r="L286" s="6"/>
      <c r="M286" s="8"/>
      <c r="N286" s="8"/>
      <c r="O286" s="8"/>
    </row>
    <row r="287" spans="1:15" ht="15.75" customHeight="1" x14ac:dyDescent="0.25">
      <c r="A287" s="7"/>
      <c r="B287" s="36" t="s">
        <v>150</v>
      </c>
      <c r="C287" s="580" t="s">
        <v>151</v>
      </c>
      <c r="D287" s="537"/>
      <c r="E287" s="537"/>
      <c r="F287" s="537"/>
      <c r="G287" s="537"/>
      <c r="H287" s="537"/>
      <c r="I287" s="538"/>
      <c r="J287" s="92">
        <f>'7 - ENCARGOS SOCIAIS'!$D$21</f>
        <v>0.15387245147090212</v>
      </c>
      <c r="K287" s="85">
        <f>J287*K284</f>
        <v>549.44859752925856</v>
      </c>
      <c r="L287" s="6"/>
      <c r="M287" s="8"/>
      <c r="N287" s="8"/>
      <c r="O287" s="8"/>
    </row>
    <row r="288" spans="1:15" ht="15.75" customHeight="1" x14ac:dyDescent="0.25">
      <c r="A288" s="7"/>
      <c r="B288" s="36" t="s">
        <v>152</v>
      </c>
      <c r="C288" s="580" t="s">
        <v>153</v>
      </c>
      <c r="D288" s="537"/>
      <c r="E288" s="537"/>
      <c r="F288" s="537"/>
      <c r="G288" s="537"/>
      <c r="H288" s="537"/>
      <c r="I288" s="538"/>
      <c r="J288" s="92">
        <f>'7 - ENCARGOS SOCIAIS'!$D$28</f>
        <v>0.12666581537651095</v>
      </c>
      <c r="K288" s="85">
        <f>J288*K284</f>
        <v>452.29899145842148</v>
      </c>
      <c r="L288" s="6"/>
      <c r="M288" s="8"/>
      <c r="N288" s="8"/>
      <c r="O288" s="8"/>
    </row>
    <row r="289" spans="1:15" ht="15.75" customHeight="1" x14ac:dyDescent="0.25">
      <c r="A289" s="7"/>
      <c r="B289" s="36" t="s">
        <v>155</v>
      </c>
      <c r="C289" s="580" t="s">
        <v>156</v>
      </c>
      <c r="D289" s="537"/>
      <c r="E289" s="537"/>
      <c r="F289" s="537"/>
      <c r="G289" s="537"/>
      <c r="H289" s="537"/>
      <c r="I289" s="538"/>
      <c r="J289" s="92">
        <f>'7 - ENCARGOS SOCIAIS'!$D$32</f>
        <v>5.9231502118822603E-2</v>
      </c>
      <c r="K289" s="85">
        <f>J289*K284</f>
        <v>211.50417412367483</v>
      </c>
      <c r="L289" s="6"/>
      <c r="M289" s="8"/>
      <c r="N289" s="8"/>
      <c r="O289" s="8"/>
    </row>
    <row r="290" spans="1:15" ht="15.75" customHeight="1" x14ac:dyDescent="0.25">
      <c r="A290" s="7"/>
      <c r="B290" s="20"/>
      <c r="C290" s="586" t="s">
        <v>157</v>
      </c>
      <c r="D290" s="537"/>
      <c r="E290" s="537"/>
      <c r="F290" s="537"/>
      <c r="G290" s="537"/>
      <c r="H290" s="537"/>
      <c r="I290" s="538"/>
      <c r="J290" s="96">
        <f t="shared" ref="J290:K290" si="27">SUM(J286:J289)</f>
        <v>0.70776976896623567</v>
      </c>
      <c r="K290" s="97">
        <f t="shared" si="27"/>
        <v>2527.3081907429341</v>
      </c>
      <c r="L290" s="6"/>
      <c r="M290" s="8"/>
      <c r="N290" s="8"/>
      <c r="O290" s="8"/>
    </row>
    <row r="291" spans="1:15" ht="15.75" customHeight="1" x14ac:dyDescent="0.25">
      <c r="A291" s="7"/>
      <c r="B291" s="81" t="s">
        <v>158</v>
      </c>
      <c r="C291" s="587" t="s">
        <v>159</v>
      </c>
      <c r="D291" s="537"/>
      <c r="E291" s="537"/>
      <c r="F291" s="537"/>
      <c r="G291" s="538"/>
      <c r="H291" s="100" t="s">
        <v>160</v>
      </c>
      <c r="I291" s="81" t="s">
        <v>120</v>
      </c>
      <c r="J291" s="81" t="s">
        <v>161</v>
      </c>
      <c r="K291" s="81" t="s">
        <v>121</v>
      </c>
      <c r="L291" s="6"/>
      <c r="M291" s="8"/>
      <c r="N291" s="8"/>
      <c r="O291" s="8"/>
    </row>
    <row r="292" spans="1:15" ht="15.75" customHeight="1" x14ac:dyDescent="0.25">
      <c r="A292" s="7"/>
      <c r="B292" s="36" t="s">
        <v>162</v>
      </c>
      <c r="C292" s="580" t="s">
        <v>174</v>
      </c>
      <c r="D292" s="537"/>
      <c r="E292" s="537"/>
      <c r="F292" s="537"/>
      <c r="G292" s="538"/>
      <c r="H292" s="36">
        <v>15</v>
      </c>
      <c r="I292" s="102">
        <v>27.15</v>
      </c>
      <c r="J292" s="103">
        <v>0.19</v>
      </c>
      <c r="K292" s="42">
        <f>(H292*I292)-((H292*I292)*0.19)</f>
        <v>329.8725</v>
      </c>
      <c r="L292" s="6"/>
      <c r="M292" s="8"/>
      <c r="N292" s="8"/>
      <c r="O292" s="8"/>
    </row>
    <row r="293" spans="1:15" ht="15.75" customHeight="1" x14ac:dyDescent="0.25">
      <c r="A293" s="7"/>
      <c r="B293" s="36" t="s">
        <v>164</v>
      </c>
      <c r="C293" s="580" t="s">
        <v>177</v>
      </c>
      <c r="D293" s="537"/>
      <c r="E293" s="537"/>
      <c r="F293" s="537"/>
      <c r="G293" s="538"/>
      <c r="H293" s="36">
        <f>H292*4</f>
        <v>60</v>
      </c>
      <c r="I293" s="106">
        <v>6.25</v>
      </c>
      <c r="J293" s="103">
        <v>0.06</v>
      </c>
      <c r="K293" s="42">
        <f>(H293*I293)-(K276*0.06)</f>
        <v>247.42500000000001</v>
      </c>
      <c r="L293" s="6"/>
      <c r="M293" s="8"/>
      <c r="N293" s="8"/>
      <c r="O293" s="8"/>
    </row>
    <row r="294" spans="1:15" ht="15.75" customHeight="1" x14ac:dyDescent="0.25">
      <c r="A294" s="7"/>
      <c r="B294" s="36" t="s">
        <v>166</v>
      </c>
      <c r="C294" s="580" t="s">
        <v>167</v>
      </c>
      <c r="D294" s="537"/>
      <c r="E294" s="537"/>
      <c r="F294" s="537"/>
      <c r="G294" s="538"/>
      <c r="H294" s="33">
        <v>1</v>
      </c>
      <c r="I294" s="102">
        <f>'6 - DADOS CC MO'!E93</f>
        <v>25.52</v>
      </c>
      <c r="J294" s="107"/>
      <c r="K294" s="132">
        <f t="shared" ref="K294:K295" si="28">I294</f>
        <v>25.52</v>
      </c>
      <c r="L294" s="6"/>
      <c r="M294" s="8"/>
      <c r="N294" s="8"/>
      <c r="O294" s="8"/>
    </row>
    <row r="295" spans="1:15" ht="15.75" customHeight="1" x14ac:dyDescent="0.25">
      <c r="A295" s="7"/>
      <c r="B295" s="36" t="s">
        <v>168</v>
      </c>
      <c r="C295" s="580" t="s">
        <v>207</v>
      </c>
      <c r="D295" s="537"/>
      <c r="E295" s="537"/>
      <c r="F295" s="537"/>
      <c r="G295" s="538"/>
      <c r="H295" s="33">
        <v>1</v>
      </c>
      <c r="I295" s="102">
        <v>80</v>
      </c>
      <c r="J295" s="107"/>
      <c r="K295" s="132">
        <f t="shared" si="28"/>
        <v>80</v>
      </c>
      <c r="L295" s="6"/>
      <c r="M295" s="8"/>
      <c r="N295" s="8"/>
      <c r="O295" s="8"/>
    </row>
    <row r="296" spans="1:15" ht="15.75" customHeight="1" x14ac:dyDescent="0.25">
      <c r="A296" s="7"/>
      <c r="B296" s="107"/>
      <c r="C296" s="585" t="s">
        <v>170</v>
      </c>
      <c r="D296" s="537"/>
      <c r="E296" s="537"/>
      <c r="F296" s="537"/>
      <c r="G296" s="537"/>
      <c r="H296" s="537"/>
      <c r="I296" s="538"/>
      <c r="J296" s="52"/>
      <c r="K296" s="110">
        <f>SUM(K292:K295)</f>
        <v>682.8175</v>
      </c>
      <c r="L296" s="6"/>
      <c r="M296" s="8"/>
      <c r="N296" s="8"/>
      <c r="O296" s="8"/>
    </row>
    <row r="297" spans="1:15" ht="15.75" customHeight="1" x14ac:dyDescent="0.25">
      <c r="A297" s="7"/>
      <c r="B297" s="588" t="s">
        <v>424</v>
      </c>
      <c r="C297" s="564"/>
      <c r="D297" s="564"/>
      <c r="E297" s="564"/>
      <c r="F297" s="564"/>
      <c r="G297" s="564"/>
      <c r="H297" s="564"/>
      <c r="I297" s="564"/>
      <c r="J297" s="565"/>
      <c r="K297" s="113">
        <f>K296+K290+K284</f>
        <v>6780.931200611356</v>
      </c>
      <c r="L297" s="6"/>
      <c r="M297" s="8"/>
      <c r="N297" s="8"/>
      <c r="O297" s="8"/>
    </row>
    <row r="298" spans="1:15" ht="15.75" customHeight="1" x14ac:dyDescent="0.25">
      <c r="A298" s="7"/>
      <c r="B298" s="711" t="s">
        <v>426</v>
      </c>
      <c r="C298" s="611"/>
      <c r="D298" s="611"/>
      <c r="E298" s="611"/>
      <c r="F298" s="611"/>
      <c r="G298" s="611"/>
      <c r="H298" s="611"/>
      <c r="I298" s="611"/>
      <c r="J298" s="612"/>
      <c r="K298" s="114">
        <f>K297*2</f>
        <v>13561.862401222712</v>
      </c>
      <c r="L298" s="6"/>
      <c r="M298" s="8"/>
      <c r="N298" s="8"/>
      <c r="O298" s="8"/>
    </row>
    <row r="299" spans="1:15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10"/>
      <c r="L299" s="6"/>
      <c r="M299" s="8"/>
      <c r="N299" s="8"/>
      <c r="O299" s="8"/>
    </row>
    <row r="300" spans="1:15" ht="15.75" customHeight="1" x14ac:dyDescent="0.25">
      <c r="A300" s="7"/>
      <c r="B300" s="713" t="s">
        <v>441</v>
      </c>
      <c r="C300" s="537"/>
      <c r="D300" s="537"/>
      <c r="E300" s="537"/>
      <c r="F300" s="537"/>
      <c r="G300" s="537"/>
      <c r="H300" s="537"/>
      <c r="I300" s="537"/>
      <c r="J300" s="538"/>
      <c r="K300" s="214">
        <f>K298+K272+K250+K228+K206+K181+K160+K135+K114+K95+K70+K49</f>
        <v>102201.62465215188</v>
      </c>
      <c r="L300" s="6"/>
      <c r="M300" s="8"/>
      <c r="N300" s="8"/>
      <c r="O300" s="8"/>
    </row>
    <row r="301" spans="1:15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10"/>
      <c r="L301" s="6"/>
      <c r="M301" s="8"/>
      <c r="N301" s="8"/>
      <c r="O301" s="8"/>
    </row>
    <row r="302" spans="1:15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10"/>
      <c r="L302" s="6"/>
      <c r="M302" s="8"/>
      <c r="N302" s="8"/>
      <c r="O302" s="8"/>
    </row>
    <row r="303" spans="1:15" ht="15.75" customHeight="1" x14ac:dyDescent="0.25">
      <c r="A303" s="7"/>
      <c r="B303" s="709" t="s">
        <v>444</v>
      </c>
      <c r="C303" s="537"/>
      <c r="D303" s="537"/>
      <c r="E303" s="537"/>
      <c r="F303" s="537"/>
      <c r="G303" s="537"/>
      <c r="H303" s="537"/>
      <c r="I303" s="537"/>
      <c r="J303" s="537"/>
      <c r="K303" s="538"/>
      <c r="L303" s="6"/>
      <c r="M303" s="8"/>
      <c r="N303" s="8"/>
      <c r="O303" s="8"/>
    </row>
    <row r="304" spans="1:15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10"/>
      <c r="L304" s="6"/>
      <c r="M304" s="8"/>
      <c r="N304" s="8"/>
      <c r="O304" s="8"/>
    </row>
    <row r="305" spans="1:15" ht="15.75" customHeight="1" x14ac:dyDescent="0.25">
      <c r="A305" s="7"/>
      <c r="B305" s="581" t="s">
        <v>445</v>
      </c>
      <c r="C305" s="537"/>
      <c r="D305" s="537"/>
      <c r="E305" s="537"/>
      <c r="F305" s="537"/>
      <c r="G305" s="537"/>
      <c r="H305" s="537"/>
      <c r="I305" s="537"/>
      <c r="J305" s="537"/>
      <c r="K305" s="538"/>
      <c r="L305" s="6"/>
      <c r="M305" s="8"/>
      <c r="N305" s="8"/>
      <c r="O305" s="8"/>
    </row>
    <row r="306" spans="1:15" ht="15.75" customHeight="1" x14ac:dyDescent="0.25">
      <c r="A306" s="7"/>
      <c r="B306" s="586" t="s">
        <v>239</v>
      </c>
      <c r="C306" s="537"/>
      <c r="D306" s="537"/>
      <c r="E306" s="537"/>
      <c r="F306" s="538"/>
      <c r="G306" s="22" t="s">
        <v>318</v>
      </c>
      <c r="H306" s="22" t="s">
        <v>241</v>
      </c>
      <c r="I306" s="698" t="s">
        <v>242</v>
      </c>
      <c r="J306" s="538"/>
      <c r="K306" s="20" t="s">
        <v>243</v>
      </c>
      <c r="L306" s="6"/>
      <c r="M306" s="8"/>
      <c r="N306" s="8"/>
      <c r="O306" s="8"/>
    </row>
    <row r="307" spans="1:15" ht="15.75" customHeight="1" x14ac:dyDescent="0.25">
      <c r="A307" s="7"/>
      <c r="B307" s="702" t="s">
        <v>263</v>
      </c>
      <c r="C307" s="537"/>
      <c r="D307" s="537"/>
      <c r="E307" s="537"/>
      <c r="F307" s="538"/>
      <c r="G307" s="33">
        <v>2</v>
      </c>
      <c r="H307" s="44">
        <f>'10 - CUSTOS UN'!J36</f>
        <v>21.349999999999998</v>
      </c>
      <c r="I307" s="714">
        <f t="shared" ref="I307:I308" si="29">H307/6</f>
        <v>3.5583333333333331</v>
      </c>
      <c r="J307" s="538"/>
      <c r="K307" s="42">
        <f t="shared" ref="K307:K308" si="30">I307*G307</f>
        <v>7.1166666666666663</v>
      </c>
      <c r="L307" s="6"/>
      <c r="M307" s="8"/>
      <c r="N307" s="8"/>
      <c r="O307" s="8"/>
    </row>
    <row r="308" spans="1:15" ht="15.75" customHeight="1" x14ac:dyDescent="0.25">
      <c r="A308" s="7"/>
      <c r="B308" s="715" t="s">
        <v>447</v>
      </c>
      <c r="C308" s="564"/>
      <c r="D308" s="564"/>
      <c r="E308" s="564"/>
      <c r="F308" s="565"/>
      <c r="G308" s="215">
        <v>1</v>
      </c>
      <c r="H308" s="216">
        <f>'10 - CUSTOS UN'!J63</f>
        <v>111.56333333333333</v>
      </c>
      <c r="I308" s="716">
        <f t="shared" si="29"/>
        <v>18.593888888888888</v>
      </c>
      <c r="J308" s="565"/>
      <c r="K308" s="217">
        <f t="shared" si="30"/>
        <v>18.593888888888888</v>
      </c>
      <c r="L308" s="6"/>
      <c r="M308" s="8"/>
      <c r="N308" s="8"/>
      <c r="O308" s="8"/>
    </row>
    <row r="309" spans="1:15" ht="15.75" customHeight="1" x14ac:dyDescent="0.25">
      <c r="A309" s="7"/>
      <c r="B309" s="717" t="s">
        <v>260</v>
      </c>
      <c r="C309" s="544"/>
      <c r="D309" s="544"/>
      <c r="E309" s="544"/>
      <c r="F309" s="579"/>
      <c r="G309" s="218"/>
      <c r="H309" s="218"/>
      <c r="I309" s="718"/>
      <c r="J309" s="579"/>
      <c r="K309" s="219">
        <f>SUM(K307:K308)</f>
        <v>25.710555555555555</v>
      </c>
      <c r="L309" s="6"/>
      <c r="M309" s="8"/>
      <c r="N309" s="8"/>
      <c r="O309" s="8"/>
    </row>
    <row r="310" spans="1:15" ht="15.75" customHeight="1" x14ac:dyDescent="0.25">
      <c r="A310" s="7"/>
      <c r="B310" s="719" t="s">
        <v>451</v>
      </c>
      <c r="C310" s="537"/>
      <c r="D310" s="537"/>
      <c r="E310" s="537"/>
      <c r="F310" s="538"/>
      <c r="G310" s="107"/>
      <c r="H310" s="107"/>
      <c r="I310" s="720">
        <f>K309</f>
        <v>25.710555555555555</v>
      </c>
      <c r="J310" s="538"/>
      <c r="K310" s="110">
        <f>K309*2</f>
        <v>51.421111111111109</v>
      </c>
      <c r="L310" s="6"/>
      <c r="M310" s="8"/>
      <c r="N310" s="8"/>
      <c r="O310" s="8"/>
    </row>
    <row r="311" spans="1:15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10"/>
      <c r="L311" s="6"/>
      <c r="M311" s="8"/>
      <c r="N311" s="8"/>
      <c r="O311" s="8"/>
    </row>
    <row r="312" spans="1:15" ht="15.75" customHeight="1" x14ac:dyDescent="0.25">
      <c r="A312" s="7"/>
      <c r="B312" s="581" t="s">
        <v>452</v>
      </c>
      <c r="C312" s="537"/>
      <c r="D312" s="537"/>
      <c r="E312" s="537"/>
      <c r="F312" s="537"/>
      <c r="G312" s="537"/>
      <c r="H312" s="537"/>
      <c r="I312" s="537"/>
      <c r="J312" s="537"/>
      <c r="K312" s="538"/>
      <c r="L312" s="6"/>
      <c r="M312" s="8"/>
      <c r="N312" s="8"/>
      <c r="O312" s="8"/>
    </row>
    <row r="313" spans="1:15" ht="15.75" customHeight="1" x14ac:dyDescent="0.25">
      <c r="A313" s="7"/>
      <c r="B313" s="586" t="s">
        <v>239</v>
      </c>
      <c r="C313" s="537"/>
      <c r="D313" s="537"/>
      <c r="E313" s="537"/>
      <c r="F313" s="538"/>
      <c r="G313" s="22" t="s">
        <v>318</v>
      </c>
      <c r="H313" s="22" t="s">
        <v>241</v>
      </c>
      <c r="I313" s="698" t="s">
        <v>242</v>
      </c>
      <c r="J313" s="538"/>
      <c r="K313" s="20" t="s">
        <v>243</v>
      </c>
      <c r="L313" s="6"/>
      <c r="M313" s="8"/>
      <c r="N313" s="8"/>
      <c r="O313" s="8"/>
    </row>
    <row r="314" spans="1:15" ht="15.75" customHeight="1" x14ac:dyDescent="0.25">
      <c r="A314" s="7"/>
      <c r="B314" s="702" t="s">
        <v>263</v>
      </c>
      <c r="C314" s="537"/>
      <c r="D314" s="537"/>
      <c r="E314" s="537"/>
      <c r="F314" s="538"/>
      <c r="G314" s="33">
        <v>2</v>
      </c>
      <c r="H314" s="60">
        <f>'10 - CUSTOS UN'!$J$36</f>
        <v>21.349999999999998</v>
      </c>
      <c r="I314" s="720">
        <f t="shared" ref="I314:I320" si="31">H314/6</f>
        <v>3.5583333333333331</v>
      </c>
      <c r="J314" s="538"/>
      <c r="K314" s="57">
        <f t="shared" ref="K314:K320" si="32">I314*G314</f>
        <v>7.1166666666666663</v>
      </c>
      <c r="L314" s="6"/>
      <c r="M314" s="8"/>
      <c r="N314" s="8"/>
      <c r="O314" s="8"/>
    </row>
    <row r="315" spans="1:15" ht="15.75" customHeight="1" x14ac:dyDescent="0.25">
      <c r="A315" s="7"/>
      <c r="B315" s="702" t="s">
        <v>264</v>
      </c>
      <c r="C315" s="537"/>
      <c r="D315" s="537"/>
      <c r="E315" s="537"/>
      <c r="F315" s="538"/>
      <c r="G315" s="33">
        <v>1</v>
      </c>
      <c r="H315" s="60">
        <f>'10 - CUSTOS UN'!$J$27</f>
        <v>67.736666666666665</v>
      </c>
      <c r="I315" s="720">
        <f t="shared" si="31"/>
        <v>11.289444444444444</v>
      </c>
      <c r="J315" s="538"/>
      <c r="K315" s="57">
        <f t="shared" si="32"/>
        <v>11.289444444444444</v>
      </c>
      <c r="L315" s="6"/>
      <c r="M315" s="8"/>
      <c r="N315" s="8"/>
      <c r="O315" s="8"/>
    </row>
    <row r="316" spans="1:15" ht="15.75" customHeight="1" x14ac:dyDescent="0.25">
      <c r="A316" s="7"/>
      <c r="B316" s="702" t="s">
        <v>250</v>
      </c>
      <c r="C316" s="537"/>
      <c r="D316" s="537"/>
      <c r="E316" s="537"/>
      <c r="F316" s="538"/>
      <c r="G316" s="33">
        <v>1</v>
      </c>
      <c r="H316" s="60">
        <f>'10 - CUSTOS UN'!$J$66</f>
        <v>156.05666666666664</v>
      </c>
      <c r="I316" s="720">
        <f t="shared" si="31"/>
        <v>26.009444444444441</v>
      </c>
      <c r="J316" s="538"/>
      <c r="K316" s="57">
        <f t="shared" si="32"/>
        <v>26.009444444444441</v>
      </c>
      <c r="L316" s="6"/>
      <c r="M316" s="8"/>
      <c r="N316" s="8"/>
      <c r="O316" s="8"/>
    </row>
    <row r="317" spans="1:15" ht="15.75" customHeight="1" x14ac:dyDescent="0.25">
      <c r="A317" s="7"/>
      <c r="B317" s="702" t="s">
        <v>265</v>
      </c>
      <c r="C317" s="537"/>
      <c r="D317" s="537"/>
      <c r="E317" s="537"/>
      <c r="F317" s="538"/>
      <c r="G317" s="33">
        <v>1</v>
      </c>
      <c r="H317" s="60">
        <f>'10 - CUSTOS UN'!$J$30</f>
        <v>84.38</v>
      </c>
      <c r="I317" s="720">
        <f t="shared" si="31"/>
        <v>14.063333333333333</v>
      </c>
      <c r="J317" s="538"/>
      <c r="K317" s="57">
        <f t="shared" si="32"/>
        <v>14.063333333333333</v>
      </c>
      <c r="L317" s="6"/>
      <c r="M317" s="8"/>
      <c r="N317" s="8"/>
      <c r="O317" s="8"/>
    </row>
    <row r="318" spans="1:15" ht="15.75" customHeight="1" x14ac:dyDescent="0.25">
      <c r="A318" s="7"/>
      <c r="B318" s="702" t="s">
        <v>258</v>
      </c>
      <c r="C318" s="537"/>
      <c r="D318" s="537"/>
      <c r="E318" s="537"/>
      <c r="F318" s="538"/>
      <c r="G318" s="33">
        <v>2</v>
      </c>
      <c r="H318" s="60">
        <f>'10 - CUSTOS UN'!$J$72</f>
        <v>8.2700000000000014</v>
      </c>
      <c r="I318" s="720">
        <f t="shared" si="31"/>
        <v>1.3783333333333336</v>
      </c>
      <c r="J318" s="538"/>
      <c r="K318" s="57">
        <f t="shared" si="32"/>
        <v>2.7566666666666673</v>
      </c>
      <c r="L318" s="6"/>
      <c r="M318" s="8"/>
      <c r="N318" s="8"/>
      <c r="O318" s="8"/>
    </row>
    <row r="319" spans="1:15" ht="15.75" customHeight="1" x14ac:dyDescent="0.25">
      <c r="A319" s="7"/>
      <c r="B319" s="702" t="s">
        <v>256</v>
      </c>
      <c r="C319" s="537"/>
      <c r="D319" s="537"/>
      <c r="E319" s="537"/>
      <c r="F319" s="538"/>
      <c r="G319" s="33">
        <v>1</v>
      </c>
      <c r="H319" s="60">
        <f>'10 - CUSTOS UN'!$J$51</f>
        <v>212.1933333333333</v>
      </c>
      <c r="I319" s="720">
        <f t="shared" si="31"/>
        <v>35.365555555555552</v>
      </c>
      <c r="J319" s="538"/>
      <c r="K319" s="57">
        <f t="shared" si="32"/>
        <v>35.365555555555552</v>
      </c>
      <c r="L319" s="6"/>
      <c r="M319" s="8"/>
      <c r="N319" s="8"/>
      <c r="O319" s="8"/>
    </row>
    <row r="320" spans="1:15" ht="15.75" customHeight="1" x14ac:dyDescent="0.25">
      <c r="A320" s="7"/>
      <c r="B320" s="715" t="s">
        <v>457</v>
      </c>
      <c r="C320" s="564"/>
      <c r="D320" s="564"/>
      <c r="E320" s="564"/>
      <c r="F320" s="565"/>
      <c r="G320" s="215">
        <v>1</v>
      </c>
      <c r="H320" s="223">
        <f>'10 - CUSTOS UN'!$J$48</f>
        <v>18.52</v>
      </c>
      <c r="I320" s="757">
        <f t="shared" si="31"/>
        <v>3.0866666666666664</v>
      </c>
      <c r="J320" s="565"/>
      <c r="K320" s="224">
        <f t="shared" si="32"/>
        <v>3.0866666666666664</v>
      </c>
      <c r="L320" s="6"/>
      <c r="M320" s="8"/>
      <c r="N320" s="8"/>
      <c r="O320" s="8"/>
    </row>
    <row r="321" spans="1:15" ht="15.75" customHeight="1" x14ac:dyDescent="0.25">
      <c r="A321" s="7"/>
      <c r="B321" s="717" t="s">
        <v>260</v>
      </c>
      <c r="C321" s="544"/>
      <c r="D321" s="544"/>
      <c r="E321" s="544"/>
      <c r="F321" s="579"/>
      <c r="G321" s="218"/>
      <c r="H321" s="218"/>
      <c r="I321" s="769"/>
      <c r="J321" s="579"/>
      <c r="K321" s="219">
        <f>SUM(K314:K320)</f>
        <v>99.687777777777768</v>
      </c>
      <c r="L321" s="6"/>
      <c r="M321" s="8"/>
      <c r="N321" s="8"/>
      <c r="O321" s="8"/>
    </row>
    <row r="322" spans="1:15" ht="15.75" customHeight="1" x14ac:dyDescent="0.25">
      <c r="A322" s="7"/>
      <c r="B322" s="719" t="s">
        <v>451</v>
      </c>
      <c r="C322" s="537"/>
      <c r="D322" s="537"/>
      <c r="E322" s="537"/>
      <c r="F322" s="538"/>
      <c r="G322" s="107"/>
      <c r="H322" s="107"/>
      <c r="I322" s="720">
        <f>K321</f>
        <v>99.687777777777768</v>
      </c>
      <c r="J322" s="538"/>
      <c r="K322" s="110">
        <f>K321*2</f>
        <v>199.37555555555554</v>
      </c>
      <c r="L322" s="6"/>
      <c r="M322" s="8"/>
      <c r="N322" s="8"/>
      <c r="O322" s="8"/>
    </row>
    <row r="323" spans="1:15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10"/>
      <c r="L323" s="6"/>
      <c r="M323" s="8"/>
      <c r="N323" s="8"/>
      <c r="O323" s="8"/>
    </row>
    <row r="324" spans="1:15" ht="15.75" customHeight="1" x14ac:dyDescent="0.25">
      <c r="A324" s="7"/>
      <c r="B324" s="581" t="s">
        <v>460</v>
      </c>
      <c r="C324" s="537"/>
      <c r="D324" s="537"/>
      <c r="E324" s="537"/>
      <c r="F324" s="537"/>
      <c r="G324" s="537"/>
      <c r="H324" s="537"/>
      <c r="I324" s="537"/>
      <c r="J324" s="537"/>
      <c r="K324" s="538"/>
      <c r="L324" s="6"/>
      <c r="M324" s="8"/>
      <c r="N324" s="8"/>
      <c r="O324" s="8"/>
    </row>
    <row r="325" spans="1:15" ht="15.75" customHeight="1" x14ac:dyDescent="0.25">
      <c r="A325" s="7"/>
      <c r="B325" s="586" t="s">
        <v>239</v>
      </c>
      <c r="C325" s="537"/>
      <c r="D325" s="537"/>
      <c r="E325" s="537"/>
      <c r="F325" s="538"/>
      <c r="G325" s="22" t="s">
        <v>318</v>
      </c>
      <c r="H325" s="22" t="s">
        <v>241</v>
      </c>
      <c r="I325" s="698" t="s">
        <v>242</v>
      </c>
      <c r="J325" s="538"/>
      <c r="K325" s="20" t="s">
        <v>243</v>
      </c>
      <c r="L325" s="6"/>
      <c r="M325" s="8"/>
      <c r="N325" s="8"/>
      <c r="O325" s="8"/>
    </row>
    <row r="326" spans="1:15" ht="15.75" customHeight="1" x14ac:dyDescent="0.25">
      <c r="A326" s="7"/>
      <c r="B326" s="745" t="s">
        <v>263</v>
      </c>
      <c r="C326" s="537"/>
      <c r="D326" s="537"/>
      <c r="E326" s="537"/>
      <c r="F326" s="538"/>
      <c r="G326" s="194">
        <v>2</v>
      </c>
      <c r="H326" s="60">
        <f>'10 - CUSTOS UN'!$J$36</f>
        <v>21.349999999999998</v>
      </c>
      <c r="I326" s="720">
        <f t="shared" ref="I326:I334" si="33">H326/6</f>
        <v>3.5583333333333331</v>
      </c>
      <c r="J326" s="538"/>
      <c r="K326" s="57">
        <f t="shared" ref="K326:K334" si="34">I326*G326</f>
        <v>7.1166666666666663</v>
      </c>
      <c r="L326" s="6"/>
      <c r="M326" s="8"/>
      <c r="N326" s="8"/>
      <c r="O326" s="8"/>
    </row>
    <row r="327" spans="1:15" ht="15.75" customHeight="1" x14ac:dyDescent="0.25">
      <c r="A327" s="7"/>
      <c r="B327" s="745" t="s">
        <v>447</v>
      </c>
      <c r="C327" s="537"/>
      <c r="D327" s="537"/>
      <c r="E327" s="537"/>
      <c r="F327" s="538"/>
      <c r="G327" s="194">
        <v>1</v>
      </c>
      <c r="H327" s="226">
        <f>'10 - CUSTOS UN'!$J$63</f>
        <v>111.56333333333333</v>
      </c>
      <c r="I327" s="762">
        <f t="shared" si="33"/>
        <v>18.593888888888888</v>
      </c>
      <c r="J327" s="538"/>
      <c r="K327" s="57">
        <f t="shared" si="34"/>
        <v>18.593888888888888</v>
      </c>
      <c r="L327" s="6"/>
      <c r="M327" s="8"/>
      <c r="N327" s="8"/>
      <c r="O327" s="8"/>
    </row>
    <row r="328" spans="1:15" ht="15.75" customHeight="1" x14ac:dyDescent="0.25">
      <c r="A328" s="7"/>
      <c r="B328" s="745" t="s">
        <v>461</v>
      </c>
      <c r="C328" s="537"/>
      <c r="D328" s="537"/>
      <c r="E328" s="537"/>
      <c r="F328" s="538"/>
      <c r="G328" s="194">
        <v>1</v>
      </c>
      <c r="H328" s="226">
        <f>'10 - CUSTOS UN'!J78</f>
        <v>146.51999999999998</v>
      </c>
      <c r="I328" s="762">
        <f t="shared" si="33"/>
        <v>24.419999999999998</v>
      </c>
      <c r="J328" s="538"/>
      <c r="K328" s="57">
        <f t="shared" si="34"/>
        <v>24.419999999999998</v>
      </c>
      <c r="L328" s="6"/>
      <c r="M328" s="8"/>
      <c r="N328" s="8"/>
      <c r="O328" s="8"/>
    </row>
    <row r="329" spans="1:15" ht="15.75" customHeight="1" x14ac:dyDescent="0.25">
      <c r="A329" s="7"/>
      <c r="B329" s="702" t="s">
        <v>462</v>
      </c>
      <c r="C329" s="537"/>
      <c r="D329" s="537"/>
      <c r="E329" s="537"/>
      <c r="F329" s="538"/>
      <c r="G329" s="3">
        <v>1</v>
      </c>
      <c r="H329" s="60">
        <f>'10 - CUSTOS UN'!J81</f>
        <v>134.89000000000001</v>
      </c>
      <c r="I329" s="762">
        <f t="shared" si="33"/>
        <v>22.481666666666669</v>
      </c>
      <c r="J329" s="538"/>
      <c r="K329" s="57">
        <f t="shared" si="34"/>
        <v>22.481666666666669</v>
      </c>
      <c r="L329" s="6"/>
      <c r="M329" s="8"/>
      <c r="N329" s="8"/>
      <c r="O329" s="8"/>
    </row>
    <row r="330" spans="1:15" ht="15.75" customHeight="1" x14ac:dyDescent="0.25">
      <c r="A330" s="7"/>
      <c r="B330" s="702" t="s">
        <v>463</v>
      </c>
      <c r="C330" s="537"/>
      <c r="D330" s="537"/>
      <c r="E330" s="537"/>
      <c r="F330" s="538"/>
      <c r="G330" s="3">
        <v>2</v>
      </c>
      <c r="H330" s="60">
        <f>'10 - CUSTOS UN'!J54</f>
        <v>10.023333333333333</v>
      </c>
      <c r="I330" s="762">
        <f t="shared" si="33"/>
        <v>1.6705555555555556</v>
      </c>
      <c r="J330" s="538"/>
      <c r="K330" s="57">
        <f t="shared" si="34"/>
        <v>3.3411111111111111</v>
      </c>
      <c r="L330" s="6"/>
      <c r="M330" s="8"/>
      <c r="N330" s="8"/>
      <c r="O330" s="8"/>
    </row>
    <row r="331" spans="1:15" ht="15.75" customHeight="1" x14ac:dyDescent="0.25">
      <c r="A331" s="7"/>
      <c r="B331" s="702" t="s">
        <v>466</v>
      </c>
      <c r="C331" s="537"/>
      <c r="D331" s="537"/>
      <c r="E331" s="537"/>
      <c r="F331" s="538"/>
      <c r="G331" s="3">
        <v>1</v>
      </c>
      <c r="H331" s="60">
        <f>'10 - CUSTOS UN'!$J$90</f>
        <v>3.0066666666666664</v>
      </c>
      <c r="I331" s="762">
        <f t="shared" si="33"/>
        <v>0.50111111111111106</v>
      </c>
      <c r="J331" s="538"/>
      <c r="K331" s="57">
        <f t="shared" si="34"/>
        <v>0.50111111111111106</v>
      </c>
      <c r="L331" s="6"/>
      <c r="M331" s="8"/>
      <c r="N331" s="8"/>
      <c r="O331" s="8"/>
    </row>
    <row r="332" spans="1:15" ht="15.75" customHeight="1" x14ac:dyDescent="0.25">
      <c r="A332" s="7"/>
      <c r="B332" s="702" t="s">
        <v>467</v>
      </c>
      <c r="C332" s="537"/>
      <c r="D332" s="537"/>
      <c r="E332" s="537"/>
      <c r="F332" s="538"/>
      <c r="G332" s="3">
        <v>2</v>
      </c>
      <c r="H332" s="60">
        <f>'10 - CUSTOS UN'!J75</f>
        <v>2.8833333333333333</v>
      </c>
      <c r="I332" s="762">
        <f t="shared" si="33"/>
        <v>0.48055555555555557</v>
      </c>
      <c r="J332" s="538"/>
      <c r="K332" s="57">
        <f t="shared" si="34"/>
        <v>0.96111111111111114</v>
      </c>
      <c r="L332" s="6"/>
      <c r="M332" s="8"/>
      <c r="N332" s="8"/>
      <c r="O332" s="8"/>
    </row>
    <row r="333" spans="1:15" ht="15.75" customHeight="1" x14ac:dyDescent="0.25">
      <c r="A333" s="7"/>
      <c r="B333" s="702" t="s">
        <v>265</v>
      </c>
      <c r="C333" s="537"/>
      <c r="D333" s="537"/>
      <c r="E333" s="537"/>
      <c r="F333" s="538"/>
      <c r="G333" s="3">
        <v>1</v>
      </c>
      <c r="H333" s="60">
        <f>'10 - CUSTOS UN'!$J$30</f>
        <v>84.38</v>
      </c>
      <c r="I333" s="762">
        <f t="shared" si="33"/>
        <v>14.063333333333333</v>
      </c>
      <c r="J333" s="538"/>
      <c r="K333" s="57">
        <f t="shared" si="34"/>
        <v>14.063333333333333</v>
      </c>
      <c r="L333" s="6"/>
      <c r="M333" s="8"/>
      <c r="N333" s="8"/>
      <c r="O333" s="8"/>
    </row>
    <row r="334" spans="1:15" ht="15.75" customHeight="1" x14ac:dyDescent="0.25">
      <c r="A334" s="7"/>
      <c r="B334" s="715" t="s">
        <v>266</v>
      </c>
      <c r="C334" s="564"/>
      <c r="D334" s="564"/>
      <c r="E334" s="564"/>
      <c r="F334" s="565"/>
      <c r="G334" s="142">
        <v>1</v>
      </c>
      <c r="H334" s="223">
        <f>'10 - CUSTOS UN'!$J$42</f>
        <v>16.393333333333334</v>
      </c>
      <c r="I334" s="763">
        <f t="shared" si="33"/>
        <v>2.7322222222222226</v>
      </c>
      <c r="J334" s="565"/>
      <c r="K334" s="224">
        <f t="shared" si="34"/>
        <v>2.7322222222222226</v>
      </c>
      <c r="L334" s="6"/>
      <c r="M334" s="8"/>
      <c r="N334" s="8"/>
      <c r="O334" s="8"/>
    </row>
    <row r="335" spans="1:15" ht="15.75" customHeight="1" x14ac:dyDescent="0.25">
      <c r="A335" s="7"/>
      <c r="B335" s="717" t="s">
        <v>260</v>
      </c>
      <c r="C335" s="544"/>
      <c r="D335" s="544"/>
      <c r="E335" s="544"/>
      <c r="F335" s="579"/>
      <c r="G335" s="218"/>
      <c r="H335" s="218"/>
      <c r="I335" s="764"/>
      <c r="J335" s="579"/>
      <c r="K335" s="228">
        <f>SUM(K326:K334)</f>
        <v>94.211111111111094</v>
      </c>
      <c r="L335" s="6"/>
      <c r="M335" s="8"/>
      <c r="N335" s="8"/>
      <c r="O335" s="8"/>
    </row>
    <row r="336" spans="1:15" ht="15.75" customHeight="1" x14ac:dyDescent="0.25">
      <c r="A336" s="7"/>
      <c r="B336" s="719" t="s">
        <v>469</v>
      </c>
      <c r="C336" s="537"/>
      <c r="D336" s="537"/>
      <c r="E336" s="537"/>
      <c r="F336" s="538"/>
      <c r="G336" s="107"/>
      <c r="H336" s="107"/>
      <c r="I336" s="720">
        <f>K335</f>
        <v>94.211111111111094</v>
      </c>
      <c r="J336" s="538"/>
      <c r="K336" s="229">
        <f>K335*4</f>
        <v>376.84444444444438</v>
      </c>
      <c r="L336" s="6"/>
      <c r="M336" s="8"/>
      <c r="N336" s="8"/>
      <c r="O336" s="8"/>
    </row>
    <row r="337" spans="1:15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10"/>
      <c r="L337" s="6"/>
      <c r="M337" s="8"/>
      <c r="N337" s="8"/>
      <c r="O337" s="8"/>
    </row>
    <row r="338" spans="1:15" ht="15.75" customHeight="1" x14ac:dyDescent="0.25">
      <c r="A338" s="7"/>
      <c r="B338" s="581" t="s">
        <v>470</v>
      </c>
      <c r="C338" s="537"/>
      <c r="D338" s="537"/>
      <c r="E338" s="537"/>
      <c r="F338" s="537"/>
      <c r="G338" s="537"/>
      <c r="H338" s="537"/>
      <c r="I338" s="537"/>
      <c r="J338" s="537"/>
      <c r="K338" s="538"/>
      <c r="L338" s="6"/>
      <c r="M338" s="8"/>
      <c r="N338" s="8"/>
      <c r="O338" s="8"/>
    </row>
    <row r="339" spans="1:15" ht="15.75" customHeight="1" x14ac:dyDescent="0.25">
      <c r="A339" s="7"/>
      <c r="B339" s="586" t="s">
        <v>239</v>
      </c>
      <c r="C339" s="537"/>
      <c r="D339" s="537"/>
      <c r="E339" s="537"/>
      <c r="F339" s="538"/>
      <c r="G339" s="22" t="s">
        <v>318</v>
      </c>
      <c r="H339" s="22" t="s">
        <v>241</v>
      </c>
      <c r="I339" s="698" t="s">
        <v>242</v>
      </c>
      <c r="J339" s="538"/>
      <c r="K339" s="20" t="s">
        <v>243</v>
      </c>
      <c r="L339" s="6"/>
      <c r="M339" s="8"/>
      <c r="N339" s="8"/>
      <c r="O339" s="8"/>
    </row>
    <row r="340" spans="1:15" ht="15.75" customHeight="1" x14ac:dyDescent="0.25">
      <c r="A340" s="7"/>
      <c r="B340" s="702" t="s">
        <v>263</v>
      </c>
      <c r="C340" s="537"/>
      <c r="D340" s="537"/>
      <c r="E340" s="537"/>
      <c r="F340" s="538"/>
      <c r="G340" s="3">
        <v>2</v>
      </c>
      <c r="H340" s="60">
        <f>'10 - CUSTOS UN'!$J$36</f>
        <v>21.349999999999998</v>
      </c>
      <c r="I340" s="714">
        <f t="shared" ref="I340:I347" si="35">H340/6</f>
        <v>3.5583333333333331</v>
      </c>
      <c r="J340" s="538"/>
      <c r="K340" s="42">
        <f t="shared" ref="K340:K347" si="36">I340*G340</f>
        <v>7.1166666666666663</v>
      </c>
      <c r="L340" s="6"/>
      <c r="M340" s="8"/>
      <c r="N340" s="8"/>
      <c r="O340" s="8"/>
    </row>
    <row r="341" spans="1:15" ht="15.75" customHeight="1" x14ac:dyDescent="0.25">
      <c r="A341" s="7"/>
      <c r="B341" s="702" t="s">
        <v>447</v>
      </c>
      <c r="C341" s="537"/>
      <c r="D341" s="537"/>
      <c r="E341" s="537"/>
      <c r="F341" s="538"/>
      <c r="G341" s="3">
        <v>1</v>
      </c>
      <c r="H341" s="226">
        <f>'10 - CUSTOS UN'!$J$63</f>
        <v>111.56333333333333</v>
      </c>
      <c r="I341" s="714">
        <f t="shared" si="35"/>
        <v>18.593888888888888</v>
      </c>
      <c r="J341" s="538"/>
      <c r="K341" s="42">
        <f t="shared" si="36"/>
        <v>18.593888888888888</v>
      </c>
      <c r="L341" s="6"/>
      <c r="M341" s="8"/>
      <c r="N341" s="8"/>
      <c r="O341" s="8"/>
    </row>
    <row r="342" spans="1:15" ht="15.75" customHeight="1" x14ac:dyDescent="0.25">
      <c r="A342" s="7"/>
      <c r="B342" s="702" t="s">
        <v>264</v>
      </c>
      <c r="C342" s="537"/>
      <c r="D342" s="537"/>
      <c r="E342" s="537"/>
      <c r="F342" s="538"/>
      <c r="G342" s="3">
        <v>2</v>
      </c>
      <c r="H342" s="60">
        <f>'10 - CUSTOS UN'!$J$27</f>
        <v>67.736666666666665</v>
      </c>
      <c r="I342" s="714">
        <f t="shared" si="35"/>
        <v>11.289444444444444</v>
      </c>
      <c r="J342" s="538"/>
      <c r="K342" s="42">
        <f t="shared" si="36"/>
        <v>22.578888888888887</v>
      </c>
      <c r="L342" s="6"/>
      <c r="M342" s="8"/>
      <c r="N342" s="8"/>
      <c r="O342" s="8"/>
    </row>
    <row r="343" spans="1:15" ht="15.75" customHeight="1" x14ac:dyDescent="0.25">
      <c r="A343" s="7"/>
      <c r="B343" s="702" t="s">
        <v>265</v>
      </c>
      <c r="C343" s="537"/>
      <c r="D343" s="537"/>
      <c r="E343" s="537"/>
      <c r="F343" s="538"/>
      <c r="G343" s="3">
        <v>1</v>
      </c>
      <c r="H343" s="60">
        <f>'10 - CUSTOS UN'!$J$30</f>
        <v>84.38</v>
      </c>
      <c r="I343" s="714">
        <f t="shared" si="35"/>
        <v>14.063333333333333</v>
      </c>
      <c r="J343" s="538"/>
      <c r="K343" s="42">
        <f t="shared" si="36"/>
        <v>14.063333333333333</v>
      </c>
      <c r="L343" s="6"/>
      <c r="M343" s="8"/>
      <c r="N343" s="8"/>
      <c r="O343" s="8"/>
    </row>
    <row r="344" spans="1:15" ht="15.75" customHeight="1" x14ac:dyDescent="0.25">
      <c r="A344" s="7"/>
      <c r="B344" s="702" t="s">
        <v>474</v>
      </c>
      <c r="C344" s="537"/>
      <c r="D344" s="537"/>
      <c r="E344" s="537"/>
      <c r="F344" s="538"/>
      <c r="G344" s="3">
        <v>12</v>
      </c>
      <c r="H344" s="31">
        <f>'10 - CUSTOS UN'!J69</f>
        <v>5.1333333333333337</v>
      </c>
      <c r="I344" s="714">
        <f t="shared" si="35"/>
        <v>0.85555555555555562</v>
      </c>
      <c r="J344" s="538"/>
      <c r="K344" s="42">
        <f t="shared" si="36"/>
        <v>10.266666666666667</v>
      </c>
      <c r="L344" s="6"/>
      <c r="M344" s="8"/>
      <c r="N344" s="8"/>
      <c r="O344" s="8"/>
    </row>
    <row r="345" spans="1:15" ht="15.75" customHeight="1" x14ac:dyDescent="0.25">
      <c r="A345" s="7"/>
      <c r="B345" s="702" t="s">
        <v>466</v>
      </c>
      <c r="C345" s="537"/>
      <c r="D345" s="537"/>
      <c r="E345" s="537"/>
      <c r="F345" s="538"/>
      <c r="G345" s="3">
        <v>1</v>
      </c>
      <c r="H345" s="60">
        <f>'10 - CUSTOS UN'!$J$90</f>
        <v>3.0066666666666664</v>
      </c>
      <c r="I345" s="714">
        <f t="shared" si="35"/>
        <v>0.50111111111111106</v>
      </c>
      <c r="J345" s="538"/>
      <c r="K345" s="42">
        <f t="shared" si="36"/>
        <v>0.50111111111111106</v>
      </c>
      <c r="L345" s="6"/>
      <c r="M345" s="8"/>
      <c r="N345" s="8"/>
      <c r="O345" s="8"/>
    </row>
    <row r="346" spans="1:15" ht="15.75" customHeight="1" x14ac:dyDescent="0.25">
      <c r="A346" s="7"/>
      <c r="B346" s="702" t="s">
        <v>475</v>
      </c>
      <c r="C346" s="537"/>
      <c r="D346" s="537"/>
      <c r="E346" s="537"/>
      <c r="F346" s="538"/>
      <c r="G346" s="3">
        <v>1</v>
      </c>
      <c r="H346" s="31">
        <f>'10 - CUSTOS UN'!J9</f>
        <v>8.4966666666666661</v>
      </c>
      <c r="I346" s="714">
        <f t="shared" si="35"/>
        <v>1.4161111111111111</v>
      </c>
      <c r="J346" s="538"/>
      <c r="K346" s="42">
        <f t="shared" si="36"/>
        <v>1.4161111111111111</v>
      </c>
      <c r="L346" s="6"/>
      <c r="M346" s="8"/>
      <c r="N346" s="8"/>
      <c r="O346" s="8"/>
    </row>
    <row r="347" spans="1:15" ht="15.75" customHeight="1" x14ac:dyDescent="0.25">
      <c r="A347" s="7"/>
      <c r="B347" s="715" t="s">
        <v>266</v>
      </c>
      <c r="C347" s="564"/>
      <c r="D347" s="564"/>
      <c r="E347" s="564"/>
      <c r="F347" s="565"/>
      <c r="G347" s="142">
        <v>1</v>
      </c>
      <c r="H347" s="223">
        <f>'10 - CUSTOS UN'!$J$42</f>
        <v>16.393333333333334</v>
      </c>
      <c r="I347" s="716">
        <f t="shared" si="35"/>
        <v>2.7322222222222226</v>
      </c>
      <c r="J347" s="565"/>
      <c r="K347" s="217">
        <f t="shared" si="36"/>
        <v>2.7322222222222226</v>
      </c>
      <c r="L347" s="6"/>
      <c r="M347" s="8"/>
      <c r="N347" s="8"/>
      <c r="O347" s="8"/>
    </row>
    <row r="348" spans="1:15" ht="15.75" customHeight="1" x14ac:dyDescent="0.25">
      <c r="A348" s="7"/>
      <c r="B348" s="717" t="s">
        <v>260</v>
      </c>
      <c r="C348" s="544"/>
      <c r="D348" s="544"/>
      <c r="E348" s="544"/>
      <c r="F348" s="579"/>
      <c r="G348" s="218"/>
      <c r="H348" s="218"/>
      <c r="I348" s="765"/>
      <c r="J348" s="579"/>
      <c r="K348" s="228">
        <f>SUM(K340:K347)</f>
        <v>77.268888888888881</v>
      </c>
      <c r="L348" s="6"/>
      <c r="M348" s="8"/>
      <c r="N348" s="8"/>
      <c r="O348" s="8"/>
    </row>
    <row r="349" spans="1:15" ht="15.75" customHeight="1" x14ac:dyDescent="0.25">
      <c r="A349" s="7"/>
      <c r="B349" s="719" t="s">
        <v>451</v>
      </c>
      <c r="C349" s="537"/>
      <c r="D349" s="537"/>
      <c r="E349" s="537"/>
      <c r="F349" s="538"/>
      <c r="G349" s="107"/>
      <c r="H349" s="107"/>
      <c r="I349" s="720">
        <f>K348</f>
        <v>77.268888888888881</v>
      </c>
      <c r="J349" s="538"/>
      <c r="K349" s="229">
        <f>K348*2</f>
        <v>154.53777777777776</v>
      </c>
      <c r="L349" s="6"/>
      <c r="M349" s="8"/>
      <c r="N349" s="8"/>
      <c r="O349" s="8"/>
    </row>
    <row r="350" spans="1:15" ht="15.75" customHeight="1" x14ac:dyDescent="0.25">
      <c r="A350" s="7"/>
      <c r="B350" s="766"/>
      <c r="C350" s="537"/>
      <c r="D350" s="537"/>
      <c r="E350" s="537"/>
      <c r="F350" s="537"/>
      <c r="G350" s="7"/>
      <c r="H350" s="7"/>
      <c r="I350" s="766"/>
      <c r="J350" s="537"/>
      <c r="K350" s="240"/>
      <c r="L350" s="6"/>
      <c r="M350" s="8"/>
      <c r="N350" s="8"/>
      <c r="O350" s="8"/>
    </row>
    <row r="351" spans="1:15" ht="15.75" customHeight="1" x14ac:dyDescent="0.25">
      <c r="A351" s="7"/>
      <c r="B351" s="581" t="s">
        <v>476</v>
      </c>
      <c r="C351" s="537"/>
      <c r="D351" s="537"/>
      <c r="E351" s="537"/>
      <c r="F351" s="537"/>
      <c r="G351" s="537"/>
      <c r="H351" s="537"/>
      <c r="I351" s="537"/>
      <c r="J351" s="537"/>
      <c r="K351" s="538"/>
      <c r="L351" s="6"/>
      <c r="M351" s="8"/>
      <c r="N351" s="8"/>
      <c r="O351" s="8"/>
    </row>
    <row r="352" spans="1:15" ht="15.75" customHeight="1" x14ac:dyDescent="0.25">
      <c r="A352" s="7"/>
      <c r="B352" s="586" t="s">
        <v>239</v>
      </c>
      <c r="C352" s="537"/>
      <c r="D352" s="537"/>
      <c r="E352" s="537"/>
      <c r="F352" s="538"/>
      <c r="G352" s="22" t="s">
        <v>318</v>
      </c>
      <c r="H352" s="22" t="s">
        <v>241</v>
      </c>
      <c r="I352" s="698" t="s">
        <v>242</v>
      </c>
      <c r="J352" s="538"/>
      <c r="K352" s="20" t="s">
        <v>243</v>
      </c>
      <c r="L352" s="6"/>
      <c r="M352" s="8"/>
      <c r="N352" s="8"/>
      <c r="O352" s="8"/>
    </row>
    <row r="353" spans="1:15" ht="15.75" customHeight="1" x14ac:dyDescent="0.25">
      <c r="A353" s="7"/>
      <c r="B353" s="702" t="s">
        <v>263</v>
      </c>
      <c r="C353" s="537"/>
      <c r="D353" s="537"/>
      <c r="E353" s="537"/>
      <c r="F353" s="538"/>
      <c r="G353" s="3">
        <v>2</v>
      </c>
      <c r="H353" s="60">
        <f>'10 - CUSTOS UN'!$J$36</f>
        <v>21.349999999999998</v>
      </c>
      <c r="I353" s="720">
        <f t="shared" ref="I353:I357" si="37">H353/6</f>
        <v>3.5583333333333331</v>
      </c>
      <c r="J353" s="538"/>
      <c r="K353" s="57">
        <f t="shared" ref="K353:K357" si="38">I353*G353</f>
        <v>7.1166666666666663</v>
      </c>
      <c r="L353" s="6"/>
      <c r="M353" s="8"/>
      <c r="N353" s="8"/>
      <c r="O353" s="8"/>
    </row>
    <row r="354" spans="1:15" ht="15.75" customHeight="1" x14ac:dyDescent="0.25">
      <c r="A354" s="7"/>
      <c r="B354" s="702" t="s">
        <v>264</v>
      </c>
      <c r="C354" s="537"/>
      <c r="D354" s="537"/>
      <c r="E354" s="537"/>
      <c r="F354" s="538"/>
      <c r="G354" s="3">
        <v>2</v>
      </c>
      <c r="H354" s="60">
        <f>'10 - CUSTOS UN'!$J$27</f>
        <v>67.736666666666665</v>
      </c>
      <c r="I354" s="720">
        <f t="shared" si="37"/>
        <v>11.289444444444444</v>
      </c>
      <c r="J354" s="538"/>
      <c r="K354" s="57">
        <f t="shared" si="38"/>
        <v>22.578888888888887</v>
      </c>
      <c r="L354" s="6"/>
      <c r="M354" s="8"/>
      <c r="N354" s="8"/>
      <c r="O354" s="8"/>
    </row>
    <row r="355" spans="1:15" ht="15.75" customHeight="1" x14ac:dyDescent="0.25">
      <c r="A355" s="7"/>
      <c r="B355" s="705" t="s">
        <v>447</v>
      </c>
      <c r="C355" s="537"/>
      <c r="D355" s="537"/>
      <c r="E355" s="537"/>
      <c r="F355" s="538"/>
      <c r="G355" s="3">
        <v>1</v>
      </c>
      <c r="H355" s="226">
        <f>'10 - CUSTOS UN'!$J$63</f>
        <v>111.56333333333333</v>
      </c>
      <c r="I355" s="720">
        <f t="shared" si="37"/>
        <v>18.593888888888888</v>
      </c>
      <c r="J355" s="538"/>
      <c r="K355" s="57">
        <f t="shared" si="38"/>
        <v>18.593888888888888</v>
      </c>
      <c r="L355" s="6"/>
      <c r="M355" s="8"/>
      <c r="N355" s="8"/>
      <c r="O355" s="8"/>
    </row>
    <row r="356" spans="1:15" ht="15.75" customHeight="1" x14ac:dyDescent="0.25">
      <c r="A356" s="7"/>
      <c r="B356" s="702" t="s">
        <v>478</v>
      </c>
      <c r="C356" s="537"/>
      <c r="D356" s="537"/>
      <c r="E356" s="537"/>
      <c r="F356" s="538"/>
      <c r="G356" s="3">
        <v>1</v>
      </c>
      <c r="H356" s="60">
        <f>'10 - CUSTOS UN'!$J$30</f>
        <v>84.38</v>
      </c>
      <c r="I356" s="720">
        <f t="shared" si="37"/>
        <v>14.063333333333333</v>
      </c>
      <c r="J356" s="538"/>
      <c r="K356" s="57">
        <f t="shared" si="38"/>
        <v>14.063333333333333</v>
      </c>
      <c r="L356" s="6"/>
      <c r="M356" s="8"/>
      <c r="N356" s="8"/>
      <c r="O356" s="8"/>
    </row>
    <row r="357" spans="1:15" ht="15.75" customHeight="1" x14ac:dyDescent="0.25">
      <c r="A357" s="7"/>
      <c r="B357" s="715" t="s">
        <v>479</v>
      </c>
      <c r="C357" s="564"/>
      <c r="D357" s="564"/>
      <c r="E357" s="564"/>
      <c r="F357" s="565"/>
      <c r="G357" s="142">
        <v>1</v>
      </c>
      <c r="H357" s="143">
        <f>'10 - CUSTOS UN'!J48</f>
        <v>18.52</v>
      </c>
      <c r="I357" s="757">
        <f t="shared" si="37"/>
        <v>3.0866666666666664</v>
      </c>
      <c r="J357" s="565"/>
      <c r="K357" s="224">
        <f t="shared" si="38"/>
        <v>3.0866666666666664</v>
      </c>
      <c r="L357" s="6"/>
      <c r="M357" s="8"/>
      <c r="N357" s="8"/>
      <c r="O357" s="8"/>
    </row>
    <row r="358" spans="1:15" ht="15.75" customHeight="1" x14ac:dyDescent="0.25">
      <c r="A358" s="7"/>
      <c r="B358" s="717" t="s">
        <v>260</v>
      </c>
      <c r="C358" s="544"/>
      <c r="D358" s="544"/>
      <c r="E358" s="544"/>
      <c r="F358" s="579"/>
      <c r="G358" s="218"/>
      <c r="H358" s="218"/>
      <c r="I358" s="765"/>
      <c r="J358" s="579"/>
      <c r="K358" s="228">
        <f>SUM(K353:K357)</f>
        <v>65.439444444444447</v>
      </c>
      <c r="L358" s="6"/>
      <c r="M358" s="8"/>
      <c r="N358" s="8"/>
      <c r="O358" s="8"/>
    </row>
    <row r="359" spans="1:15" ht="15.75" customHeight="1" x14ac:dyDescent="0.25">
      <c r="A359" s="7"/>
      <c r="B359" s="719" t="s">
        <v>469</v>
      </c>
      <c r="C359" s="537"/>
      <c r="D359" s="537"/>
      <c r="E359" s="537"/>
      <c r="F359" s="538"/>
      <c r="G359" s="107"/>
      <c r="H359" s="107"/>
      <c r="I359" s="720">
        <f>K358</f>
        <v>65.439444444444447</v>
      </c>
      <c r="J359" s="538"/>
      <c r="K359" s="229">
        <f>K358*4</f>
        <v>261.75777777777779</v>
      </c>
      <c r="L359" s="6"/>
      <c r="M359" s="8"/>
      <c r="N359" s="8"/>
      <c r="O359" s="8"/>
    </row>
    <row r="360" spans="1:15" ht="15.75" customHeight="1" x14ac:dyDescent="0.25">
      <c r="A360" s="7"/>
      <c r="B360" s="241"/>
      <c r="C360" s="241"/>
      <c r="D360" s="241"/>
      <c r="E360" s="241"/>
      <c r="F360" s="241"/>
      <c r="G360" s="7"/>
      <c r="H360" s="7"/>
      <c r="I360" s="7"/>
      <c r="J360" s="7"/>
      <c r="K360" s="10"/>
      <c r="L360" s="6"/>
      <c r="M360" s="8"/>
      <c r="N360" s="8"/>
      <c r="O360" s="8"/>
    </row>
    <row r="361" spans="1:15" ht="15.75" customHeight="1" x14ac:dyDescent="0.25">
      <c r="A361" s="7"/>
      <c r="B361" s="713" t="s">
        <v>482</v>
      </c>
      <c r="C361" s="537"/>
      <c r="D361" s="537"/>
      <c r="E361" s="537"/>
      <c r="F361" s="537"/>
      <c r="G361" s="537"/>
      <c r="H361" s="537"/>
      <c r="I361" s="537"/>
      <c r="J361" s="538"/>
      <c r="K361" s="214">
        <f>K359+K349+K336+K322+K310</f>
        <v>1043.9366666666665</v>
      </c>
      <c r="L361" s="6"/>
      <c r="M361" s="8"/>
      <c r="N361" s="8"/>
      <c r="O361" s="8"/>
    </row>
    <row r="362" spans="1:15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10"/>
      <c r="L362" s="6"/>
      <c r="M362" s="8"/>
      <c r="N362" s="8"/>
      <c r="O362" s="8"/>
    </row>
    <row r="363" spans="1:15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10"/>
      <c r="L363" s="6"/>
      <c r="M363" s="8"/>
      <c r="N363" s="8"/>
      <c r="O363" s="8"/>
    </row>
    <row r="364" spans="1:15" ht="15.75" customHeight="1" x14ac:dyDescent="0.25">
      <c r="A364" s="7"/>
      <c r="B364" s="709" t="s">
        <v>485</v>
      </c>
      <c r="C364" s="537"/>
      <c r="D364" s="537"/>
      <c r="E364" s="537"/>
      <c r="F364" s="537"/>
      <c r="G364" s="537"/>
      <c r="H364" s="537"/>
      <c r="I364" s="537"/>
      <c r="J364" s="537"/>
      <c r="K364" s="538"/>
      <c r="L364" s="6"/>
      <c r="M364" s="8"/>
      <c r="N364" s="8"/>
      <c r="O364" s="8"/>
    </row>
    <row r="365" spans="1:15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10"/>
      <c r="L365" s="6"/>
      <c r="M365" s="8"/>
      <c r="N365" s="8"/>
      <c r="O365" s="8"/>
    </row>
    <row r="366" spans="1:15" ht="15.75" customHeight="1" x14ac:dyDescent="0.25">
      <c r="A366" s="7"/>
      <c r="B366" s="767" t="s">
        <v>487</v>
      </c>
      <c r="C366" s="537"/>
      <c r="D366" s="537"/>
      <c r="E366" s="537"/>
      <c r="F366" s="537"/>
      <c r="G366" s="537"/>
      <c r="H366" s="537"/>
      <c r="I366" s="537"/>
      <c r="J366" s="537"/>
      <c r="K366" s="538"/>
      <c r="L366" s="6"/>
      <c r="M366" s="8"/>
      <c r="N366" s="8"/>
      <c r="O366" s="8"/>
    </row>
    <row r="367" spans="1:15" ht="15.75" customHeight="1" x14ac:dyDescent="0.25">
      <c r="A367" s="7"/>
      <c r="B367" s="753"/>
      <c r="C367" s="537"/>
      <c r="D367" s="537"/>
      <c r="E367" s="537"/>
      <c r="F367" s="537"/>
      <c r="G367" s="537"/>
      <c r="H367" s="537"/>
      <c r="I367" s="537"/>
      <c r="J367" s="537"/>
      <c r="K367" s="537"/>
      <c r="L367" s="6"/>
      <c r="M367" s="8"/>
      <c r="N367" s="8"/>
      <c r="O367" s="8"/>
    </row>
    <row r="368" spans="1:15" ht="15.75" customHeight="1" x14ac:dyDescent="0.25">
      <c r="A368" s="7"/>
      <c r="B368" s="722" t="s">
        <v>489</v>
      </c>
      <c r="C368" s="537"/>
      <c r="D368" s="537"/>
      <c r="E368" s="537"/>
      <c r="F368" s="537"/>
      <c r="G368" s="537"/>
      <c r="H368" s="537"/>
      <c r="I368" s="537"/>
      <c r="J368" s="537"/>
      <c r="K368" s="538"/>
      <c r="L368" s="6"/>
      <c r="M368" s="8"/>
      <c r="N368" s="8"/>
      <c r="O368" s="8"/>
    </row>
    <row r="369" spans="1:15" ht="15.75" customHeight="1" x14ac:dyDescent="0.25">
      <c r="A369" s="7"/>
      <c r="B369" s="582" t="s">
        <v>239</v>
      </c>
      <c r="C369" s="537"/>
      <c r="D369" s="537"/>
      <c r="E369" s="537"/>
      <c r="F369" s="538"/>
      <c r="G369" s="81" t="s">
        <v>118</v>
      </c>
      <c r="H369" s="81" t="s">
        <v>119</v>
      </c>
      <c r="I369" s="582" t="s">
        <v>319</v>
      </c>
      <c r="J369" s="538"/>
      <c r="K369" s="81" t="s">
        <v>320</v>
      </c>
      <c r="L369" s="6"/>
      <c r="M369" s="8"/>
      <c r="N369" s="8"/>
      <c r="O369" s="8"/>
    </row>
    <row r="370" spans="1:15" ht="15.75" customHeight="1" x14ac:dyDescent="0.25">
      <c r="A370" s="7"/>
      <c r="B370" s="580" t="s">
        <v>488</v>
      </c>
      <c r="C370" s="537"/>
      <c r="D370" s="537"/>
      <c r="E370" s="537"/>
      <c r="F370" s="538"/>
      <c r="G370" s="72">
        <v>1</v>
      </c>
      <c r="H370" s="36" t="s">
        <v>335</v>
      </c>
      <c r="I370" s="768">
        <v>42911</v>
      </c>
      <c r="J370" s="538"/>
      <c r="K370" s="57">
        <f>G370*I370</f>
        <v>42911</v>
      </c>
      <c r="L370" s="6"/>
      <c r="M370" s="8"/>
      <c r="N370" s="8"/>
      <c r="O370" s="8"/>
    </row>
    <row r="371" spans="1:15" ht="15.75" customHeight="1" x14ac:dyDescent="0.25">
      <c r="A371" s="7"/>
      <c r="B371" s="580" t="s">
        <v>490</v>
      </c>
      <c r="C371" s="537"/>
      <c r="D371" s="537"/>
      <c r="E371" s="537"/>
      <c r="F371" s="538"/>
      <c r="G371" s="36">
        <v>60</v>
      </c>
      <c r="H371" s="36" t="s">
        <v>327</v>
      </c>
      <c r="I371" s="720"/>
      <c r="J371" s="538"/>
      <c r="K371" s="57"/>
      <c r="L371" s="6"/>
      <c r="M371" s="8"/>
      <c r="N371" s="8"/>
      <c r="O371" s="8"/>
    </row>
    <row r="372" spans="1:15" ht="15.75" customHeight="1" x14ac:dyDescent="0.25">
      <c r="A372" s="7"/>
      <c r="B372" s="745" t="s">
        <v>493</v>
      </c>
      <c r="C372" s="537"/>
      <c r="D372" s="537"/>
      <c r="E372" s="537"/>
      <c r="F372" s="538"/>
      <c r="G372" s="36">
        <v>20</v>
      </c>
      <c r="H372" s="36" t="s">
        <v>141</v>
      </c>
      <c r="I372" s="720">
        <f>I370*(G372/100)</f>
        <v>8582.2000000000007</v>
      </c>
      <c r="J372" s="538"/>
      <c r="K372" s="57"/>
      <c r="L372" s="6"/>
      <c r="M372" s="8"/>
      <c r="N372" s="8"/>
      <c r="O372" s="8"/>
    </row>
    <row r="373" spans="1:15" ht="15.75" customHeight="1" x14ac:dyDescent="0.25">
      <c r="A373" s="7"/>
      <c r="B373" s="747" t="s">
        <v>494</v>
      </c>
      <c r="C373" s="564"/>
      <c r="D373" s="564"/>
      <c r="E373" s="564"/>
      <c r="F373" s="565"/>
      <c r="G373" s="244">
        <v>80</v>
      </c>
      <c r="H373" s="244" t="s">
        <v>141</v>
      </c>
      <c r="I373" s="757">
        <f>I370</f>
        <v>42911</v>
      </c>
      <c r="J373" s="565"/>
      <c r="K373" s="224">
        <f>I373*G373/100</f>
        <v>34328.800000000003</v>
      </c>
      <c r="L373" s="6"/>
      <c r="M373" s="8"/>
      <c r="N373" s="8"/>
      <c r="O373" s="8"/>
    </row>
    <row r="374" spans="1:15" ht="15.75" customHeight="1" x14ac:dyDescent="0.25">
      <c r="A374" s="7"/>
      <c r="B374" s="749" t="s">
        <v>496</v>
      </c>
      <c r="C374" s="544"/>
      <c r="D374" s="544"/>
      <c r="E374" s="544"/>
      <c r="F374" s="579"/>
      <c r="G374" s="246">
        <v>60</v>
      </c>
      <c r="H374" s="246" t="s">
        <v>327</v>
      </c>
      <c r="I374" s="765">
        <f t="shared" ref="I374:I375" si="39">K373</f>
        <v>34328.800000000003</v>
      </c>
      <c r="J374" s="579"/>
      <c r="K374" s="228">
        <f>I374/G374</f>
        <v>572.14666666666676</v>
      </c>
      <c r="L374" s="6"/>
      <c r="M374" s="8"/>
      <c r="N374" s="8"/>
      <c r="O374" s="8"/>
    </row>
    <row r="375" spans="1:15" ht="15.75" customHeight="1" x14ac:dyDescent="0.25">
      <c r="A375" s="7"/>
      <c r="B375" s="751" t="s">
        <v>499</v>
      </c>
      <c r="C375" s="537"/>
      <c r="D375" s="537"/>
      <c r="E375" s="537"/>
      <c r="F375" s="538"/>
      <c r="G375" s="247">
        <v>1</v>
      </c>
      <c r="H375" s="247" t="s">
        <v>335</v>
      </c>
      <c r="I375" s="752">
        <f t="shared" si="39"/>
        <v>572.14666666666676</v>
      </c>
      <c r="J375" s="538"/>
      <c r="K375" s="248">
        <f>I375*G375</f>
        <v>572.14666666666676</v>
      </c>
      <c r="L375" s="6"/>
      <c r="M375" s="8"/>
      <c r="N375" s="8"/>
      <c r="O375" s="8"/>
    </row>
    <row r="376" spans="1:15" ht="15.75" customHeight="1" x14ac:dyDescent="0.25">
      <c r="A376" s="7"/>
      <c r="B376" s="753"/>
      <c r="C376" s="537"/>
      <c r="D376" s="537"/>
      <c r="E376" s="537"/>
      <c r="F376" s="537"/>
      <c r="G376" s="537"/>
      <c r="H376" s="537"/>
      <c r="I376" s="537"/>
      <c r="J376" s="537"/>
      <c r="K376" s="537"/>
      <c r="L376" s="6"/>
      <c r="M376" s="8"/>
      <c r="N376" s="8"/>
      <c r="O376" s="8"/>
    </row>
    <row r="377" spans="1:15" ht="15.75" customHeight="1" x14ac:dyDescent="0.25">
      <c r="A377" s="7"/>
      <c r="B377" s="722" t="s">
        <v>503</v>
      </c>
      <c r="C377" s="537"/>
      <c r="D377" s="537"/>
      <c r="E377" s="537"/>
      <c r="F377" s="537"/>
      <c r="G377" s="537"/>
      <c r="H377" s="537"/>
      <c r="I377" s="537"/>
      <c r="J377" s="537"/>
      <c r="K377" s="538"/>
      <c r="L377" s="6"/>
      <c r="M377" s="8"/>
      <c r="N377" s="8"/>
      <c r="O377" s="8"/>
    </row>
    <row r="378" spans="1:15" ht="15.75" customHeight="1" x14ac:dyDescent="0.25">
      <c r="A378" s="7"/>
      <c r="B378" s="582" t="s">
        <v>239</v>
      </c>
      <c r="C378" s="537"/>
      <c r="D378" s="537"/>
      <c r="E378" s="537"/>
      <c r="F378" s="538"/>
      <c r="G378" s="117" t="s">
        <v>118</v>
      </c>
      <c r="H378" s="81" t="s">
        <v>119</v>
      </c>
      <c r="I378" s="582" t="s">
        <v>319</v>
      </c>
      <c r="J378" s="538"/>
      <c r="K378" s="81" t="s">
        <v>320</v>
      </c>
      <c r="L378" s="6"/>
      <c r="M378" s="8"/>
      <c r="N378" s="8"/>
      <c r="O378" s="8"/>
    </row>
    <row r="379" spans="1:15" ht="15.75" customHeight="1" x14ac:dyDescent="0.25">
      <c r="A379" s="7"/>
      <c r="B379" s="745" t="s">
        <v>505</v>
      </c>
      <c r="C379" s="537"/>
      <c r="D379" s="537"/>
      <c r="E379" s="537"/>
      <c r="F379" s="538"/>
      <c r="G379" s="36"/>
      <c r="H379" s="36"/>
      <c r="I379" s="720">
        <f>I370</f>
        <v>42911</v>
      </c>
      <c r="J379" s="538"/>
      <c r="K379" s="250"/>
      <c r="L379" s="6"/>
      <c r="M379" s="8"/>
      <c r="N379" s="8"/>
      <c r="O379" s="8"/>
    </row>
    <row r="380" spans="1:15" ht="15.75" customHeight="1" x14ac:dyDescent="0.25">
      <c r="A380" s="7"/>
      <c r="B380" s="745" t="s">
        <v>338</v>
      </c>
      <c r="C380" s="537"/>
      <c r="D380" s="537"/>
      <c r="E380" s="537"/>
      <c r="F380" s="538"/>
      <c r="G380" s="251">
        <v>0.13750000000000001</v>
      </c>
      <c r="H380" s="36" t="s">
        <v>141</v>
      </c>
      <c r="I380" s="756"/>
      <c r="J380" s="538"/>
      <c r="K380" s="250"/>
      <c r="L380" s="6"/>
      <c r="M380" s="8"/>
      <c r="N380" s="8"/>
      <c r="O380" s="8"/>
    </row>
    <row r="381" spans="1:15" ht="15.75" customHeight="1" x14ac:dyDescent="0.25">
      <c r="A381" s="7"/>
      <c r="B381" s="746" t="s">
        <v>508</v>
      </c>
      <c r="C381" s="564"/>
      <c r="D381" s="564"/>
      <c r="E381" s="564"/>
      <c r="F381" s="565"/>
      <c r="G381" s="244"/>
      <c r="H381" s="244"/>
      <c r="I381" s="757">
        <f>(((I379-I372)*((G371+1)/(2*G371)))+I372)</f>
        <v>26032.673333333336</v>
      </c>
      <c r="J381" s="565"/>
      <c r="K381" s="252"/>
      <c r="L381" s="6"/>
      <c r="M381" s="8"/>
      <c r="N381" s="8"/>
      <c r="O381" s="8"/>
    </row>
    <row r="382" spans="1:15" ht="15.75" customHeight="1" x14ac:dyDescent="0.25">
      <c r="A382" s="7"/>
      <c r="B382" s="749" t="s">
        <v>509</v>
      </c>
      <c r="C382" s="544"/>
      <c r="D382" s="544"/>
      <c r="E382" s="544"/>
      <c r="F382" s="579"/>
      <c r="G382" s="246"/>
      <c r="H382" s="246"/>
      <c r="I382" s="750"/>
      <c r="J382" s="579"/>
      <c r="K382" s="228">
        <f>(I381*(G380/100))/12</f>
        <v>2.9829104861111113</v>
      </c>
      <c r="L382" s="6"/>
      <c r="M382" s="8"/>
      <c r="N382" s="8"/>
      <c r="O382" s="8"/>
    </row>
    <row r="383" spans="1:15" ht="15.75" customHeight="1" x14ac:dyDescent="0.25">
      <c r="A383" s="7"/>
      <c r="B383" s="751" t="s">
        <v>511</v>
      </c>
      <c r="C383" s="537"/>
      <c r="D383" s="537"/>
      <c r="E383" s="537"/>
      <c r="F383" s="538"/>
      <c r="G383" s="247">
        <v>1</v>
      </c>
      <c r="H383" s="247" t="s">
        <v>335</v>
      </c>
      <c r="I383" s="752">
        <f>K382</f>
        <v>2.9829104861111113</v>
      </c>
      <c r="J383" s="538"/>
      <c r="K383" s="248">
        <f>I383*G383</f>
        <v>2.9829104861111113</v>
      </c>
      <c r="L383" s="6"/>
      <c r="M383" s="8"/>
      <c r="N383" s="8"/>
      <c r="O383" s="8"/>
    </row>
    <row r="384" spans="1:15" ht="54" customHeight="1" x14ac:dyDescent="0.25">
      <c r="A384" s="7"/>
      <c r="B384" s="730" t="s">
        <v>514</v>
      </c>
      <c r="C384" s="537"/>
      <c r="D384" s="537"/>
      <c r="E384" s="537"/>
      <c r="F384" s="537"/>
      <c r="G384" s="537"/>
      <c r="H384" s="537"/>
      <c r="I384" s="537"/>
      <c r="J384" s="537"/>
      <c r="K384" s="538"/>
      <c r="L384" s="6"/>
      <c r="M384" s="8"/>
      <c r="N384" s="8"/>
      <c r="O384" s="8"/>
    </row>
    <row r="385" spans="1:15" ht="15.75" customHeight="1" x14ac:dyDescent="0.25">
      <c r="A385" s="7"/>
      <c r="B385" s="753"/>
      <c r="C385" s="537"/>
      <c r="D385" s="537"/>
      <c r="E385" s="537"/>
      <c r="F385" s="537"/>
      <c r="G385" s="537"/>
      <c r="H385" s="537"/>
      <c r="I385" s="537"/>
      <c r="J385" s="537"/>
      <c r="K385" s="537"/>
      <c r="L385" s="6"/>
      <c r="M385" s="8"/>
      <c r="N385" s="8"/>
      <c r="O385" s="8"/>
    </row>
    <row r="386" spans="1:15" ht="15.75" customHeight="1" x14ac:dyDescent="0.25">
      <c r="A386" s="7"/>
      <c r="B386" s="722" t="s">
        <v>516</v>
      </c>
      <c r="C386" s="537"/>
      <c r="D386" s="537"/>
      <c r="E386" s="537"/>
      <c r="F386" s="537"/>
      <c r="G386" s="537"/>
      <c r="H386" s="537"/>
      <c r="I386" s="537"/>
      <c r="J386" s="537"/>
      <c r="K386" s="538"/>
      <c r="L386" s="758"/>
      <c r="M386" s="8"/>
      <c r="N386" s="8"/>
      <c r="O386" s="8"/>
    </row>
    <row r="387" spans="1:15" ht="15.75" customHeight="1" x14ac:dyDescent="0.25">
      <c r="A387" s="7"/>
      <c r="B387" s="582" t="s">
        <v>239</v>
      </c>
      <c r="C387" s="537"/>
      <c r="D387" s="537"/>
      <c r="E387" s="537"/>
      <c r="F387" s="538"/>
      <c r="G387" s="117" t="s">
        <v>118</v>
      </c>
      <c r="H387" s="81" t="s">
        <v>119</v>
      </c>
      <c r="I387" s="582" t="s">
        <v>319</v>
      </c>
      <c r="J387" s="538"/>
      <c r="K387" s="81" t="s">
        <v>354</v>
      </c>
      <c r="L387" s="759"/>
      <c r="M387" s="8"/>
      <c r="N387" s="8"/>
      <c r="O387" s="8"/>
    </row>
    <row r="388" spans="1:15" ht="15.75" customHeight="1" x14ac:dyDescent="0.25">
      <c r="A388" s="7"/>
      <c r="B388" s="580" t="s">
        <v>355</v>
      </c>
      <c r="C388" s="537"/>
      <c r="D388" s="537"/>
      <c r="E388" s="537"/>
      <c r="F388" s="538"/>
      <c r="G388" s="72">
        <v>1</v>
      </c>
      <c r="H388" s="36" t="s">
        <v>335</v>
      </c>
      <c r="I388" s="720">
        <f>I370*0.03</f>
        <v>1287.33</v>
      </c>
      <c r="J388" s="538"/>
      <c r="K388" s="57">
        <f t="shared" ref="K388:K389" si="40">(I388*G388)/12</f>
        <v>107.27749999999999</v>
      </c>
      <c r="L388" s="759"/>
      <c r="M388" s="8"/>
      <c r="N388" s="8"/>
      <c r="O388" s="8"/>
    </row>
    <row r="389" spans="1:15" ht="15.75" customHeight="1" x14ac:dyDescent="0.25">
      <c r="A389" s="7"/>
      <c r="B389" s="580" t="s">
        <v>356</v>
      </c>
      <c r="C389" s="537"/>
      <c r="D389" s="537"/>
      <c r="E389" s="537"/>
      <c r="F389" s="538"/>
      <c r="G389" s="72">
        <v>1</v>
      </c>
      <c r="H389" s="36" t="s">
        <v>335</v>
      </c>
      <c r="I389" s="754">
        <v>114.09</v>
      </c>
      <c r="J389" s="538"/>
      <c r="K389" s="57">
        <f t="shared" si="40"/>
        <v>9.5075000000000003</v>
      </c>
      <c r="L389" s="759"/>
      <c r="M389" s="8"/>
      <c r="N389" s="8"/>
      <c r="O389" s="8"/>
    </row>
    <row r="390" spans="1:15" ht="15.75" customHeight="1" x14ac:dyDescent="0.25">
      <c r="A390" s="7"/>
      <c r="B390" s="745" t="s">
        <v>524</v>
      </c>
      <c r="C390" s="537"/>
      <c r="D390" s="537"/>
      <c r="E390" s="537"/>
      <c r="F390" s="538"/>
      <c r="G390" s="72">
        <v>1</v>
      </c>
      <c r="H390" s="36" t="s">
        <v>335</v>
      </c>
      <c r="I390" s="754">
        <v>0</v>
      </c>
      <c r="J390" s="538"/>
      <c r="K390" s="57">
        <f>(I390*G390)/60</f>
        <v>0</v>
      </c>
      <c r="L390" s="759"/>
      <c r="M390" s="8"/>
      <c r="N390" s="8"/>
      <c r="O390" s="8"/>
    </row>
    <row r="391" spans="1:15" ht="15.75" customHeight="1" x14ac:dyDescent="0.25">
      <c r="A391" s="7"/>
      <c r="B391" s="580" t="s">
        <v>358</v>
      </c>
      <c r="C391" s="537"/>
      <c r="D391" s="537"/>
      <c r="E391" s="537"/>
      <c r="F391" s="538"/>
      <c r="G391" s="72">
        <v>1</v>
      </c>
      <c r="H391" s="36" t="s">
        <v>335</v>
      </c>
      <c r="I391" s="754">
        <f>'10 - CUSTOS UN'!J252</f>
        <v>858.83333333333337</v>
      </c>
      <c r="J391" s="538"/>
      <c r="K391" s="57">
        <f>(I391/12)*G391</f>
        <v>71.569444444444443</v>
      </c>
      <c r="L391" s="759"/>
      <c r="M391" s="8"/>
      <c r="N391" s="8"/>
      <c r="O391" s="8"/>
    </row>
    <row r="392" spans="1:15" ht="15.75" customHeight="1" x14ac:dyDescent="0.25">
      <c r="A392" s="7"/>
      <c r="B392" s="747" t="s">
        <v>359</v>
      </c>
      <c r="C392" s="564"/>
      <c r="D392" s="564"/>
      <c r="E392" s="564"/>
      <c r="F392" s="565"/>
      <c r="G392" s="255">
        <v>1</v>
      </c>
      <c r="H392" s="244" t="s">
        <v>335</v>
      </c>
      <c r="I392" s="755">
        <f>'10 - CUSTOS UN'!J233</f>
        <v>57.093333333333334</v>
      </c>
      <c r="J392" s="565"/>
      <c r="K392" s="224">
        <f>I392*G392</f>
        <v>57.093333333333334</v>
      </c>
      <c r="L392" s="759"/>
      <c r="M392" s="8"/>
      <c r="N392" s="8"/>
      <c r="O392" s="8"/>
    </row>
    <row r="393" spans="1:15" ht="15.75" customHeight="1" x14ac:dyDescent="0.25">
      <c r="A393" s="7"/>
      <c r="B393" s="748" t="s">
        <v>527</v>
      </c>
      <c r="C393" s="537"/>
      <c r="D393" s="537"/>
      <c r="E393" s="537"/>
      <c r="F393" s="538"/>
      <c r="G393" s="20"/>
      <c r="H393" s="20"/>
      <c r="I393" s="586"/>
      <c r="J393" s="538"/>
      <c r="K393" s="229">
        <f>SUM(K388:K392)</f>
        <v>245.44777777777776</v>
      </c>
      <c r="L393" s="759"/>
      <c r="M393" s="8"/>
      <c r="N393" s="8"/>
      <c r="O393" s="8"/>
    </row>
    <row r="394" spans="1:15" ht="15.75" customHeight="1" x14ac:dyDescent="0.25">
      <c r="A394" s="7"/>
      <c r="B394" s="729" t="s">
        <v>360</v>
      </c>
      <c r="C394" s="611"/>
      <c r="D394" s="611"/>
      <c r="E394" s="611"/>
      <c r="F394" s="612"/>
      <c r="G394" s="257">
        <v>1</v>
      </c>
      <c r="H394" s="257" t="s">
        <v>335</v>
      </c>
      <c r="I394" s="721">
        <f>K393</f>
        <v>245.44777777777776</v>
      </c>
      <c r="J394" s="612"/>
      <c r="K394" s="258">
        <f>I394*G394</f>
        <v>245.44777777777776</v>
      </c>
      <c r="L394" s="760"/>
      <c r="M394" s="8"/>
      <c r="N394" s="8"/>
      <c r="O394" s="8"/>
    </row>
    <row r="395" spans="1:15" ht="15.75" customHeight="1" x14ac:dyDescent="0.25">
      <c r="A395" s="7"/>
      <c r="B395" s="710"/>
      <c r="C395" s="537"/>
      <c r="D395" s="537"/>
      <c r="E395" s="537"/>
      <c r="F395" s="537"/>
      <c r="G395" s="537"/>
      <c r="H395" s="537"/>
      <c r="I395" s="537"/>
      <c r="J395" s="537"/>
      <c r="K395" s="537"/>
      <c r="L395" s="6"/>
      <c r="M395" s="8"/>
      <c r="N395" s="8"/>
      <c r="O395" s="8"/>
    </row>
    <row r="396" spans="1:15" ht="15.75" customHeight="1" x14ac:dyDescent="0.25">
      <c r="A396" s="7"/>
      <c r="B396" s="722" t="s">
        <v>532</v>
      </c>
      <c r="C396" s="537"/>
      <c r="D396" s="537"/>
      <c r="E396" s="537"/>
      <c r="F396" s="537"/>
      <c r="G396" s="537"/>
      <c r="H396" s="537"/>
      <c r="I396" s="537"/>
      <c r="J396" s="537"/>
      <c r="K396" s="538"/>
      <c r="L396" s="6"/>
      <c r="M396" s="8"/>
      <c r="N396" s="8"/>
      <c r="O396" s="8"/>
    </row>
    <row r="397" spans="1:15" ht="15.75" customHeight="1" x14ac:dyDescent="0.25">
      <c r="A397" s="7"/>
      <c r="B397" s="582" t="s">
        <v>239</v>
      </c>
      <c r="C397" s="537"/>
      <c r="D397" s="537"/>
      <c r="E397" s="537"/>
      <c r="F397" s="538"/>
      <c r="G397" s="81" t="s">
        <v>118</v>
      </c>
      <c r="H397" s="81" t="s">
        <v>119</v>
      </c>
      <c r="I397" s="582" t="s">
        <v>319</v>
      </c>
      <c r="J397" s="538"/>
      <c r="K397" s="81" t="s">
        <v>534</v>
      </c>
      <c r="L397" s="6"/>
      <c r="M397" s="8"/>
      <c r="N397" s="8"/>
      <c r="O397" s="8"/>
    </row>
    <row r="398" spans="1:15" ht="15.75" customHeight="1" x14ac:dyDescent="0.25">
      <c r="A398" s="7"/>
      <c r="B398" s="702" t="s">
        <v>363</v>
      </c>
      <c r="C398" s="537"/>
      <c r="D398" s="537"/>
      <c r="E398" s="537"/>
      <c r="F398" s="538"/>
      <c r="G398" s="259">
        <v>1500</v>
      </c>
      <c r="H398" s="33" t="s">
        <v>364</v>
      </c>
      <c r="I398" s="723"/>
      <c r="J398" s="538"/>
      <c r="K398" s="250"/>
      <c r="L398" s="6"/>
      <c r="M398" s="8"/>
      <c r="N398" s="8"/>
      <c r="O398" s="8"/>
    </row>
    <row r="399" spans="1:15" ht="15.75" customHeight="1" x14ac:dyDescent="0.25">
      <c r="A399" s="7"/>
      <c r="B399" s="705" t="s">
        <v>536</v>
      </c>
      <c r="C399" s="537"/>
      <c r="D399" s="537"/>
      <c r="E399" s="537"/>
      <c r="F399" s="538"/>
      <c r="G399" s="33">
        <v>1</v>
      </c>
      <c r="H399" s="33" t="s">
        <v>335</v>
      </c>
      <c r="I399" s="723"/>
      <c r="J399" s="538"/>
      <c r="K399" s="250"/>
      <c r="L399" s="6"/>
      <c r="M399" s="8"/>
      <c r="N399" s="8"/>
      <c r="O399" s="8"/>
    </row>
    <row r="400" spans="1:15" ht="15.75" customHeight="1" x14ac:dyDescent="0.25">
      <c r="A400" s="7"/>
      <c r="B400" s="702" t="s">
        <v>539</v>
      </c>
      <c r="C400" s="537"/>
      <c r="D400" s="537"/>
      <c r="E400" s="537"/>
      <c r="F400" s="538"/>
      <c r="G400" s="33">
        <v>12.9</v>
      </c>
      <c r="H400" s="33" t="s">
        <v>540</v>
      </c>
      <c r="I400" s="723"/>
      <c r="J400" s="538"/>
      <c r="K400" s="250"/>
      <c r="L400" s="6"/>
      <c r="M400" s="8"/>
      <c r="N400" s="8"/>
      <c r="O400" s="8"/>
    </row>
    <row r="401" spans="1:15" ht="15.75" customHeight="1" x14ac:dyDescent="0.25">
      <c r="A401" s="7"/>
      <c r="B401" s="724" t="s">
        <v>541</v>
      </c>
      <c r="C401" s="537"/>
      <c r="D401" s="537"/>
      <c r="E401" s="537"/>
      <c r="F401" s="538"/>
      <c r="G401" s="261">
        <v>1</v>
      </c>
      <c r="H401" s="261" t="s">
        <v>369</v>
      </c>
      <c r="I401" s="761">
        <v>6.52</v>
      </c>
      <c r="J401" s="538"/>
      <c r="K401" s="57"/>
      <c r="L401" s="6"/>
      <c r="M401" s="8"/>
      <c r="N401" s="8"/>
      <c r="O401" s="8"/>
    </row>
    <row r="402" spans="1:15" ht="15.75" customHeight="1" x14ac:dyDescent="0.25">
      <c r="A402" s="7"/>
      <c r="B402" s="702" t="s">
        <v>543</v>
      </c>
      <c r="C402" s="537"/>
      <c r="D402" s="537"/>
      <c r="E402" s="537"/>
      <c r="F402" s="538"/>
      <c r="G402" s="121">
        <f>G398/G400</f>
        <v>116.27906976744185</v>
      </c>
      <c r="H402" s="33" t="s">
        <v>413</v>
      </c>
      <c r="I402" s="714"/>
      <c r="J402" s="538"/>
      <c r="K402" s="57">
        <f>G402*I401</f>
        <v>758.13953488372078</v>
      </c>
      <c r="L402" s="6"/>
      <c r="M402" s="8"/>
      <c r="N402" s="8"/>
      <c r="O402" s="8"/>
    </row>
    <row r="403" spans="1:15" ht="15.75" customHeight="1" x14ac:dyDescent="0.25">
      <c r="A403" s="7"/>
      <c r="B403" s="719" t="s">
        <v>544</v>
      </c>
      <c r="C403" s="537"/>
      <c r="D403" s="537"/>
      <c r="E403" s="537"/>
      <c r="F403" s="538"/>
      <c r="G403" s="121">
        <f>G402*G399</f>
        <v>116.27906976744185</v>
      </c>
      <c r="H403" s="33" t="s">
        <v>413</v>
      </c>
      <c r="I403" s="725"/>
      <c r="J403" s="538"/>
      <c r="K403" s="229">
        <f>G403*I401</f>
        <v>758.13953488372078</v>
      </c>
      <c r="L403" s="6"/>
      <c r="M403" s="8"/>
      <c r="N403" s="8"/>
      <c r="O403" s="8"/>
    </row>
    <row r="404" spans="1:15" ht="15.75" customHeight="1" x14ac:dyDescent="0.25">
      <c r="A404" s="7"/>
      <c r="B404" s="718" t="s">
        <v>545</v>
      </c>
      <c r="C404" s="544"/>
      <c r="D404" s="544"/>
      <c r="E404" s="544"/>
      <c r="F404" s="579"/>
      <c r="G404" s="263">
        <v>0.2</v>
      </c>
      <c r="H404" s="264" t="s">
        <v>546</v>
      </c>
      <c r="I404" s="726"/>
      <c r="J404" s="579"/>
      <c r="K404" s="265"/>
      <c r="L404" s="6"/>
      <c r="M404" s="8"/>
      <c r="N404" s="8"/>
      <c r="O404" s="8"/>
    </row>
    <row r="405" spans="1:15" ht="15.75" customHeight="1" x14ac:dyDescent="0.25">
      <c r="A405" s="7"/>
      <c r="B405" s="702" t="s">
        <v>548</v>
      </c>
      <c r="C405" s="537"/>
      <c r="D405" s="537"/>
      <c r="E405" s="537"/>
      <c r="F405" s="538"/>
      <c r="G405" s="121">
        <v>1</v>
      </c>
      <c r="H405" s="33" t="s">
        <v>369</v>
      </c>
      <c r="I405" s="714">
        <f>'10 - CUSTOS UN'!J213</f>
        <v>43.476666666666659</v>
      </c>
      <c r="J405" s="538"/>
      <c r="K405" s="229"/>
      <c r="L405" s="6"/>
      <c r="M405" s="8"/>
      <c r="N405" s="8"/>
      <c r="O405" s="8"/>
    </row>
    <row r="406" spans="1:15" ht="15.75" customHeight="1" x14ac:dyDescent="0.25">
      <c r="A406" s="7"/>
      <c r="B406" s="702" t="s">
        <v>550</v>
      </c>
      <c r="C406" s="537"/>
      <c r="D406" s="537"/>
      <c r="E406" s="537"/>
      <c r="F406" s="538"/>
      <c r="G406" s="121">
        <f>G404*(G398/1000)</f>
        <v>0.30000000000000004</v>
      </c>
      <c r="H406" s="33" t="s">
        <v>551</v>
      </c>
      <c r="I406" s="714"/>
      <c r="J406" s="538"/>
      <c r="K406" s="57">
        <f>G406*I405</f>
        <v>13.042999999999999</v>
      </c>
      <c r="L406" s="6"/>
      <c r="M406" s="8"/>
      <c r="N406" s="8"/>
      <c r="O406" s="8"/>
    </row>
    <row r="407" spans="1:15" ht="15.75" customHeight="1" x14ac:dyDescent="0.25">
      <c r="A407" s="7"/>
      <c r="B407" s="727" t="s">
        <v>552</v>
      </c>
      <c r="C407" s="564"/>
      <c r="D407" s="564"/>
      <c r="E407" s="564"/>
      <c r="F407" s="565"/>
      <c r="G407" s="273">
        <f>G404*(G398/1000)*G399</f>
        <v>0.30000000000000004</v>
      </c>
      <c r="H407" s="274" t="s">
        <v>551</v>
      </c>
      <c r="I407" s="728"/>
      <c r="J407" s="565"/>
      <c r="K407" s="275">
        <f>G407*I405</f>
        <v>13.042999999999999</v>
      </c>
      <c r="L407" s="6"/>
      <c r="M407" s="8"/>
      <c r="N407" s="8"/>
      <c r="O407" s="8"/>
    </row>
    <row r="408" spans="1:15" ht="15.75" customHeight="1" x14ac:dyDescent="0.25">
      <c r="A408" s="7"/>
      <c r="B408" s="729" t="s">
        <v>557</v>
      </c>
      <c r="C408" s="611"/>
      <c r="D408" s="611"/>
      <c r="E408" s="611"/>
      <c r="F408" s="612"/>
      <c r="G408" s="276">
        <v>1</v>
      </c>
      <c r="H408" s="257" t="s">
        <v>335</v>
      </c>
      <c r="I408" s="721">
        <f>K406+K402</f>
        <v>771.18253488372079</v>
      </c>
      <c r="J408" s="612"/>
      <c r="K408" s="258">
        <f>I408*G408</f>
        <v>771.18253488372079</v>
      </c>
      <c r="L408" s="6"/>
      <c r="M408" s="8"/>
      <c r="N408" s="8"/>
      <c r="O408" s="8"/>
    </row>
    <row r="409" spans="1:15" ht="45" customHeight="1" x14ac:dyDescent="0.25">
      <c r="A409" s="7"/>
      <c r="B409" s="730" t="s">
        <v>558</v>
      </c>
      <c r="C409" s="537"/>
      <c r="D409" s="537"/>
      <c r="E409" s="537"/>
      <c r="F409" s="537"/>
      <c r="G409" s="537"/>
      <c r="H409" s="537"/>
      <c r="I409" s="537"/>
      <c r="J409" s="537"/>
      <c r="K409" s="538"/>
      <c r="L409" s="6"/>
      <c r="M409" s="8"/>
      <c r="N409" s="8"/>
      <c r="O409" s="8"/>
    </row>
    <row r="410" spans="1:15" ht="15.75" customHeight="1" x14ac:dyDescent="0.25">
      <c r="A410" s="7"/>
      <c r="B410" s="710"/>
      <c r="C410" s="537"/>
      <c r="D410" s="537"/>
      <c r="E410" s="537"/>
      <c r="F410" s="537"/>
      <c r="G410" s="537"/>
      <c r="H410" s="537"/>
      <c r="I410" s="537"/>
      <c r="J410" s="537"/>
      <c r="K410" s="537"/>
      <c r="L410" s="6"/>
      <c r="M410" s="8"/>
      <c r="N410" s="8"/>
      <c r="O410" s="8"/>
    </row>
    <row r="411" spans="1:15" ht="15.75" customHeight="1" x14ac:dyDescent="0.25">
      <c r="A411" s="7"/>
      <c r="B411" s="722" t="s">
        <v>560</v>
      </c>
      <c r="C411" s="537"/>
      <c r="D411" s="537"/>
      <c r="E411" s="537"/>
      <c r="F411" s="537"/>
      <c r="G411" s="537"/>
      <c r="H411" s="537"/>
      <c r="I411" s="537"/>
      <c r="J411" s="537"/>
      <c r="K411" s="538"/>
      <c r="L411" s="6"/>
      <c r="M411" s="8"/>
      <c r="N411" s="8"/>
      <c r="O411" s="8"/>
    </row>
    <row r="412" spans="1:15" ht="15.75" customHeight="1" x14ac:dyDescent="0.25">
      <c r="A412" s="7"/>
      <c r="B412" s="582" t="s">
        <v>239</v>
      </c>
      <c r="C412" s="537"/>
      <c r="D412" s="537"/>
      <c r="E412" s="537"/>
      <c r="F412" s="538"/>
      <c r="G412" s="81" t="s">
        <v>118</v>
      </c>
      <c r="H412" s="81" t="s">
        <v>119</v>
      </c>
      <c r="I412" s="582" t="s">
        <v>319</v>
      </c>
      <c r="J412" s="538"/>
      <c r="K412" s="81" t="s">
        <v>534</v>
      </c>
      <c r="L412" s="6"/>
      <c r="M412" s="8"/>
      <c r="N412" s="8"/>
      <c r="O412" s="8"/>
    </row>
    <row r="413" spans="1:15" ht="15.75" customHeight="1" x14ac:dyDescent="0.25">
      <c r="A413" s="7"/>
      <c r="B413" s="702" t="s">
        <v>561</v>
      </c>
      <c r="C413" s="537"/>
      <c r="D413" s="537"/>
      <c r="E413" s="537"/>
      <c r="F413" s="538"/>
      <c r="G413" s="277">
        <v>4</v>
      </c>
      <c r="H413" s="33" t="s">
        <v>335</v>
      </c>
      <c r="I413" s="714">
        <f>'10 - CUSTOS UN'!J195</f>
        <v>287.16666666666669</v>
      </c>
      <c r="J413" s="538"/>
      <c r="K413" s="229">
        <f>I413*G413</f>
        <v>1148.6666666666667</v>
      </c>
      <c r="L413" s="6"/>
      <c r="M413" s="8"/>
      <c r="N413" s="8"/>
      <c r="O413" s="8"/>
    </row>
    <row r="414" spans="1:15" ht="15.75" customHeight="1" x14ac:dyDescent="0.25">
      <c r="A414" s="7"/>
      <c r="B414" s="705" t="s">
        <v>563</v>
      </c>
      <c r="C414" s="537"/>
      <c r="D414" s="537"/>
      <c r="E414" s="537"/>
      <c r="F414" s="538"/>
      <c r="G414" s="278">
        <v>50000</v>
      </c>
      <c r="H414" s="33" t="s">
        <v>413</v>
      </c>
      <c r="I414" s="714"/>
      <c r="J414" s="538"/>
      <c r="K414" s="229"/>
      <c r="L414" s="6"/>
      <c r="M414" s="8"/>
      <c r="N414" s="8"/>
      <c r="O414" s="8"/>
    </row>
    <row r="415" spans="1:15" ht="15.75" customHeight="1" x14ac:dyDescent="0.25">
      <c r="A415" s="7"/>
      <c r="B415" s="702" t="s">
        <v>363</v>
      </c>
      <c r="C415" s="537"/>
      <c r="D415" s="537"/>
      <c r="E415" s="537"/>
      <c r="F415" s="538"/>
      <c r="G415" s="259">
        <f>G398</f>
        <v>1500</v>
      </c>
      <c r="H415" s="33" t="s">
        <v>413</v>
      </c>
      <c r="I415" s="714"/>
      <c r="J415" s="538"/>
      <c r="K415" s="229"/>
      <c r="L415" s="6"/>
      <c r="M415" s="8"/>
      <c r="N415" s="8"/>
      <c r="O415" s="8"/>
    </row>
    <row r="416" spans="1:15" ht="15.75" customHeight="1" x14ac:dyDescent="0.25">
      <c r="A416" s="7"/>
      <c r="B416" s="705" t="s">
        <v>566</v>
      </c>
      <c r="C416" s="537"/>
      <c r="D416" s="537"/>
      <c r="E416" s="537"/>
      <c r="F416" s="538"/>
      <c r="G416" s="280">
        <f>(G415/G414)*100</f>
        <v>3</v>
      </c>
      <c r="H416" s="33" t="s">
        <v>141</v>
      </c>
      <c r="I416" s="714"/>
      <c r="J416" s="538"/>
      <c r="K416" s="229"/>
      <c r="L416" s="6"/>
      <c r="M416" s="8"/>
      <c r="N416" s="8"/>
      <c r="O416" s="8"/>
    </row>
    <row r="417" spans="1:15" ht="15.75" customHeight="1" x14ac:dyDescent="0.25">
      <c r="A417" s="7"/>
      <c r="B417" s="705" t="s">
        <v>568</v>
      </c>
      <c r="C417" s="537"/>
      <c r="D417" s="537"/>
      <c r="E417" s="537"/>
      <c r="F417" s="538"/>
      <c r="G417" s="278">
        <v>1</v>
      </c>
      <c r="H417" s="33" t="s">
        <v>335</v>
      </c>
      <c r="I417" s="714"/>
      <c r="J417" s="538"/>
      <c r="K417" s="229"/>
      <c r="L417" s="6"/>
      <c r="M417" s="8"/>
      <c r="N417" s="8"/>
      <c r="O417" s="8"/>
    </row>
    <row r="418" spans="1:15" ht="15.75" customHeight="1" x14ac:dyDescent="0.25">
      <c r="A418" s="7"/>
      <c r="B418" s="731" t="s">
        <v>418</v>
      </c>
      <c r="C418" s="564"/>
      <c r="D418" s="564"/>
      <c r="E418" s="564"/>
      <c r="F418" s="565"/>
      <c r="G418" s="281"/>
      <c r="H418" s="215"/>
      <c r="I418" s="716"/>
      <c r="J418" s="565"/>
      <c r="K418" s="275">
        <f>K413*(G416/100)</f>
        <v>34.46</v>
      </c>
      <c r="L418" s="6"/>
      <c r="M418" s="8"/>
      <c r="N418" s="8"/>
      <c r="O418" s="8"/>
    </row>
    <row r="419" spans="1:15" ht="15.75" customHeight="1" x14ac:dyDescent="0.25">
      <c r="A419" s="7"/>
      <c r="B419" s="732" t="s">
        <v>420</v>
      </c>
      <c r="C419" s="611"/>
      <c r="D419" s="611"/>
      <c r="E419" s="611"/>
      <c r="F419" s="612"/>
      <c r="G419" s="282">
        <f>G416*G417</f>
        <v>3</v>
      </c>
      <c r="H419" s="257" t="s">
        <v>141</v>
      </c>
      <c r="I419" s="721">
        <f>K413</f>
        <v>1148.6666666666667</v>
      </c>
      <c r="J419" s="612"/>
      <c r="K419" s="258">
        <f>G419*(I419/100)</f>
        <v>34.460000000000008</v>
      </c>
      <c r="L419" s="6"/>
      <c r="M419" s="8"/>
      <c r="N419" s="8"/>
      <c r="O419" s="8"/>
    </row>
    <row r="420" spans="1:15" ht="15.75" customHeight="1" x14ac:dyDescent="0.25">
      <c r="A420" s="7"/>
      <c r="B420" s="710"/>
      <c r="C420" s="537"/>
      <c r="D420" s="537"/>
      <c r="E420" s="537"/>
      <c r="F420" s="537"/>
      <c r="G420" s="537"/>
      <c r="H420" s="537"/>
      <c r="I420" s="537"/>
      <c r="J420" s="537"/>
      <c r="K420" s="537"/>
      <c r="L420" s="6"/>
      <c r="M420" s="8"/>
      <c r="N420" s="8"/>
      <c r="O420" s="8"/>
    </row>
    <row r="421" spans="1:15" ht="15.75" customHeight="1" x14ac:dyDescent="0.25">
      <c r="A421" s="7"/>
      <c r="B421" s="722" t="s">
        <v>572</v>
      </c>
      <c r="C421" s="537"/>
      <c r="D421" s="537"/>
      <c r="E421" s="537"/>
      <c r="F421" s="537"/>
      <c r="G421" s="537"/>
      <c r="H421" s="537"/>
      <c r="I421" s="537"/>
      <c r="J421" s="537"/>
      <c r="K421" s="538"/>
      <c r="L421" s="6"/>
      <c r="M421" s="8"/>
      <c r="N421" s="8"/>
      <c r="O421" s="8"/>
    </row>
    <row r="422" spans="1:15" ht="15.75" customHeight="1" x14ac:dyDescent="0.25">
      <c r="A422" s="7"/>
      <c r="B422" s="582" t="s">
        <v>239</v>
      </c>
      <c r="C422" s="537"/>
      <c r="D422" s="537"/>
      <c r="E422" s="537"/>
      <c r="F422" s="538"/>
      <c r="G422" s="81" t="s">
        <v>118</v>
      </c>
      <c r="H422" s="81" t="s">
        <v>119</v>
      </c>
      <c r="I422" s="582" t="s">
        <v>319</v>
      </c>
      <c r="J422" s="538"/>
      <c r="K422" s="81" t="s">
        <v>534</v>
      </c>
      <c r="L422" s="6"/>
      <c r="M422" s="8"/>
      <c r="N422" s="8"/>
      <c r="O422" s="8"/>
    </row>
    <row r="423" spans="1:15" ht="15.75" customHeight="1" x14ac:dyDescent="0.25">
      <c r="A423" s="7"/>
      <c r="B423" s="702" t="s">
        <v>363</v>
      </c>
      <c r="C423" s="537"/>
      <c r="D423" s="537"/>
      <c r="E423" s="537"/>
      <c r="F423" s="538"/>
      <c r="G423" s="259">
        <f>G398</f>
        <v>1500</v>
      </c>
      <c r="H423" s="33" t="s">
        <v>413</v>
      </c>
      <c r="I423" s="714"/>
      <c r="J423" s="538"/>
      <c r="K423" s="284"/>
      <c r="L423" s="6"/>
      <c r="M423" s="8"/>
      <c r="N423" s="8"/>
      <c r="O423" s="8"/>
    </row>
    <row r="424" spans="1:15" ht="15.75" customHeight="1" x14ac:dyDescent="0.25">
      <c r="A424" s="7"/>
      <c r="B424" s="705" t="s">
        <v>568</v>
      </c>
      <c r="C424" s="537"/>
      <c r="D424" s="537"/>
      <c r="E424" s="537"/>
      <c r="F424" s="538"/>
      <c r="G424" s="278">
        <v>2</v>
      </c>
      <c r="H424" s="33" t="s">
        <v>335</v>
      </c>
      <c r="I424" s="714"/>
      <c r="J424" s="538"/>
      <c r="K424" s="284"/>
      <c r="L424" s="6"/>
      <c r="M424" s="8"/>
      <c r="N424" s="8"/>
      <c r="O424" s="8"/>
    </row>
    <row r="425" spans="1:15" ht="15.75" customHeight="1" x14ac:dyDescent="0.25">
      <c r="A425" s="7"/>
      <c r="B425" s="702" t="s">
        <v>576</v>
      </c>
      <c r="C425" s="537"/>
      <c r="D425" s="537"/>
      <c r="E425" s="537"/>
      <c r="F425" s="538"/>
      <c r="G425" s="278">
        <v>10000</v>
      </c>
      <c r="H425" s="33" t="s">
        <v>413</v>
      </c>
      <c r="I425" s="714"/>
      <c r="J425" s="538"/>
      <c r="K425" s="284"/>
      <c r="L425" s="6"/>
      <c r="M425" s="8"/>
      <c r="N425" s="8"/>
      <c r="O425" s="8"/>
    </row>
    <row r="426" spans="1:15" ht="15.75" customHeight="1" x14ac:dyDescent="0.25">
      <c r="A426" s="7"/>
      <c r="B426" s="702" t="s">
        <v>577</v>
      </c>
      <c r="C426" s="537"/>
      <c r="D426" s="537"/>
      <c r="E426" s="537"/>
      <c r="F426" s="538"/>
      <c r="G426" s="277">
        <v>1</v>
      </c>
      <c r="H426" s="33" t="s">
        <v>579</v>
      </c>
      <c r="I426" s="714">
        <v>1000</v>
      </c>
      <c r="J426" s="538"/>
      <c r="K426" s="284"/>
      <c r="L426" s="6"/>
      <c r="M426" s="8"/>
      <c r="N426" s="8"/>
      <c r="O426" s="8"/>
    </row>
    <row r="427" spans="1:15" ht="15.75" customHeight="1" x14ac:dyDescent="0.25">
      <c r="A427" s="7"/>
      <c r="B427" s="719" t="s">
        <v>583</v>
      </c>
      <c r="C427" s="537"/>
      <c r="D427" s="537"/>
      <c r="E427" s="537"/>
      <c r="F427" s="538"/>
      <c r="G427" s="292">
        <f>G423/G425</f>
        <v>0.15</v>
      </c>
      <c r="H427" s="52" t="s">
        <v>141</v>
      </c>
      <c r="I427" s="725">
        <v>1000</v>
      </c>
      <c r="J427" s="538"/>
      <c r="K427" s="229">
        <f>G427*I427</f>
        <v>150</v>
      </c>
      <c r="L427" s="6"/>
      <c r="M427" s="8"/>
      <c r="N427" s="8"/>
      <c r="O427" s="8"/>
    </row>
    <row r="428" spans="1:15" ht="15.75" customHeight="1" x14ac:dyDescent="0.25">
      <c r="A428" s="7"/>
      <c r="B428" s="702" t="s">
        <v>584</v>
      </c>
      <c r="C428" s="537"/>
      <c r="D428" s="537"/>
      <c r="E428" s="537"/>
      <c r="F428" s="538"/>
      <c r="G428" s="278">
        <v>10000</v>
      </c>
      <c r="H428" s="33" t="s">
        <v>413</v>
      </c>
      <c r="I428" s="714"/>
      <c r="J428" s="538"/>
      <c r="K428" s="229"/>
      <c r="L428" s="6"/>
      <c r="M428" s="8"/>
      <c r="N428" s="8"/>
      <c r="O428" s="8"/>
    </row>
    <row r="429" spans="1:15" ht="15.75" customHeight="1" x14ac:dyDescent="0.25">
      <c r="A429" s="7"/>
      <c r="B429" s="702" t="s">
        <v>587</v>
      </c>
      <c r="C429" s="537"/>
      <c r="D429" s="537"/>
      <c r="E429" s="537"/>
      <c r="F429" s="538"/>
      <c r="G429" s="278">
        <v>1</v>
      </c>
      <c r="H429" s="33" t="s">
        <v>579</v>
      </c>
      <c r="I429" s="714">
        <v>100</v>
      </c>
      <c r="J429" s="538"/>
      <c r="K429" s="229"/>
      <c r="L429" s="6"/>
      <c r="M429" s="8"/>
      <c r="N429" s="8"/>
      <c r="O429" s="8"/>
    </row>
    <row r="430" spans="1:15" ht="15.75" customHeight="1" x14ac:dyDescent="0.25">
      <c r="A430" s="7"/>
      <c r="B430" s="727" t="s">
        <v>588</v>
      </c>
      <c r="C430" s="564"/>
      <c r="D430" s="564"/>
      <c r="E430" s="564"/>
      <c r="F430" s="565"/>
      <c r="G430" s="273">
        <f>G423/G428</f>
        <v>0.15</v>
      </c>
      <c r="H430" s="274" t="s">
        <v>141</v>
      </c>
      <c r="I430" s="728">
        <f>I429</f>
        <v>100</v>
      </c>
      <c r="J430" s="565"/>
      <c r="K430" s="275">
        <f>G430*I430</f>
        <v>15</v>
      </c>
      <c r="L430" s="6"/>
      <c r="M430" s="8"/>
      <c r="N430" s="8"/>
      <c r="O430" s="8"/>
    </row>
    <row r="431" spans="1:15" ht="15.75" customHeight="1" x14ac:dyDescent="0.25">
      <c r="A431" s="7"/>
      <c r="B431" s="717" t="s">
        <v>593</v>
      </c>
      <c r="C431" s="544"/>
      <c r="D431" s="544"/>
      <c r="E431" s="544"/>
      <c r="F431" s="579"/>
      <c r="G431" s="263"/>
      <c r="H431" s="264"/>
      <c r="I431" s="733"/>
      <c r="J431" s="579"/>
      <c r="K431" s="228">
        <f>K430+K427</f>
        <v>165</v>
      </c>
      <c r="L431" s="6"/>
      <c r="M431" s="8"/>
      <c r="N431" s="8"/>
      <c r="O431" s="8"/>
    </row>
    <row r="432" spans="1:15" ht="15.75" customHeight="1" x14ac:dyDescent="0.25">
      <c r="A432" s="7"/>
      <c r="B432" s="732" t="s">
        <v>594</v>
      </c>
      <c r="C432" s="611"/>
      <c r="D432" s="611"/>
      <c r="E432" s="611"/>
      <c r="F432" s="612"/>
      <c r="G432" s="276">
        <v>1</v>
      </c>
      <c r="H432" s="257" t="s">
        <v>335</v>
      </c>
      <c r="I432" s="721">
        <f>K431</f>
        <v>165</v>
      </c>
      <c r="J432" s="612"/>
      <c r="K432" s="258">
        <f>I432*G432</f>
        <v>165</v>
      </c>
      <c r="L432" s="6"/>
      <c r="M432" s="8"/>
      <c r="N432" s="8"/>
      <c r="O432" s="8"/>
    </row>
    <row r="433" spans="1:15" ht="15.75" customHeight="1" x14ac:dyDescent="0.25">
      <c r="A433" s="7"/>
      <c r="B433" s="734"/>
      <c r="C433" s="537"/>
      <c r="D433" s="537"/>
      <c r="E433" s="537"/>
      <c r="F433" s="537"/>
      <c r="G433" s="537"/>
      <c r="H433" s="537"/>
      <c r="I433" s="537"/>
      <c r="J433" s="537"/>
      <c r="K433" s="537"/>
      <c r="L433" s="6"/>
      <c r="M433" s="8"/>
      <c r="N433" s="8"/>
      <c r="O433" s="8"/>
    </row>
    <row r="434" spans="1:15" ht="15.75" customHeight="1" x14ac:dyDescent="0.25">
      <c r="A434" s="7"/>
      <c r="B434" s="713" t="s">
        <v>600</v>
      </c>
      <c r="C434" s="537"/>
      <c r="D434" s="537"/>
      <c r="E434" s="537"/>
      <c r="F434" s="537"/>
      <c r="G434" s="537"/>
      <c r="H434" s="537"/>
      <c r="I434" s="537"/>
      <c r="J434" s="538"/>
      <c r="K434" s="214">
        <f>K375+K383+K394+K408+K419+K432</f>
        <v>1791.2198898142765</v>
      </c>
      <c r="L434" s="6"/>
      <c r="M434" s="8"/>
      <c r="N434" s="8"/>
      <c r="O434" s="8"/>
    </row>
    <row r="435" spans="1:15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10"/>
      <c r="L435" s="6"/>
      <c r="M435" s="8"/>
      <c r="N435" s="8"/>
      <c r="O435" s="8"/>
    </row>
    <row r="436" spans="1:15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10"/>
      <c r="L436" s="6"/>
      <c r="M436" s="8"/>
      <c r="N436" s="8"/>
      <c r="O436" s="8"/>
    </row>
    <row r="437" spans="1:15" ht="15.75" customHeight="1" x14ac:dyDescent="0.25">
      <c r="A437" s="7"/>
      <c r="B437" s="709" t="s">
        <v>606</v>
      </c>
      <c r="C437" s="537"/>
      <c r="D437" s="537"/>
      <c r="E437" s="537"/>
      <c r="F437" s="537"/>
      <c r="G437" s="537"/>
      <c r="H437" s="537"/>
      <c r="I437" s="537"/>
      <c r="J437" s="537"/>
      <c r="K437" s="538"/>
      <c r="L437" s="6"/>
      <c r="M437" s="8"/>
      <c r="N437" s="8"/>
      <c r="O437" s="8"/>
    </row>
    <row r="438" spans="1:15" ht="15.75" customHeight="1" x14ac:dyDescent="0.25">
      <c r="A438" s="7"/>
      <c r="B438" s="710"/>
      <c r="C438" s="537"/>
      <c r="D438" s="537"/>
      <c r="E438" s="537"/>
      <c r="F438" s="537"/>
      <c r="G438" s="537"/>
      <c r="H438" s="537"/>
      <c r="I438" s="537"/>
      <c r="J438" s="537"/>
      <c r="K438" s="537"/>
      <c r="L438" s="6"/>
      <c r="M438" s="8"/>
      <c r="N438" s="8"/>
      <c r="O438" s="8"/>
    </row>
    <row r="439" spans="1:15" ht="15.75" customHeight="1" x14ac:dyDescent="0.25">
      <c r="A439" s="7"/>
      <c r="B439" s="735" t="s">
        <v>239</v>
      </c>
      <c r="C439" s="564"/>
      <c r="D439" s="564"/>
      <c r="E439" s="564"/>
      <c r="F439" s="565"/>
      <c r="G439" s="299" t="s">
        <v>118</v>
      </c>
      <c r="H439" s="299" t="s">
        <v>119</v>
      </c>
      <c r="I439" s="735" t="s">
        <v>319</v>
      </c>
      <c r="J439" s="565"/>
      <c r="K439" s="299" t="s">
        <v>609</v>
      </c>
      <c r="L439" s="6"/>
      <c r="M439" s="8"/>
      <c r="N439" s="8"/>
      <c r="O439" s="8"/>
    </row>
    <row r="440" spans="1:15" ht="15.75" customHeight="1" x14ac:dyDescent="0.25">
      <c r="A440" s="7"/>
      <c r="B440" s="742" t="s">
        <v>610</v>
      </c>
      <c r="C440" s="544"/>
      <c r="D440" s="544"/>
      <c r="E440" s="544"/>
      <c r="F440" s="579"/>
      <c r="G440" s="218"/>
      <c r="H440" s="218"/>
      <c r="I440" s="736"/>
      <c r="J440" s="579"/>
      <c r="K440" s="301">
        <v>10000</v>
      </c>
      <c r="L440" s="6"/>
      <c r="M440" s="8"/>
      <c r="N440" s="8"/>
      <c r="O440" s="8"/>
    </row>
    <row r="441" spans="1:15" ht="15.75" customHeight="1" x14ac:dyDescent="0.25">
      <c r="A441" s="7"/>
      <c r="B441" s="705" t="s">
        <v>612</v>
      </c>
      <c r="C441" s="537"/>
      <c r="D441" s="537"/>
      <c r="E441" s="537"/>
      <c r="F441" s="538"/>
      <c r="G441" s="107"/>
      <c r="H441" s="107"/>
      <c r="I441" s="723"/>
      <c r="J441" s="538"/>
      <c r="K441" s="42">
        <v>5000</v>
      </c>
      <c r="L441" s="6"/>
      <c r="M441" s="8"/>
      <c r="N441" s="8"/>
      <c r="O441" s="8"/>
    </row>
    <row r="442" spans="1:15" ht="15.75" customHeight="1" x14ac:dyDescent="0.25">
      <c r="A442" s="7"/>
      <c r="B442" s="731" t="s">
        <v>614</v>
      </c>
      <c r="C442" s="564"/>
      <c r="D442" s="564"/>
      <c r="E442" s="564"/>
      <c r="F442" s="565"/>
      <c r="G442" s="304"/>
      <c r="H442" s="304"/>
      <c r="I442" s="743"/>
      <c r="J442" s="565"/>
      <c r="K442" s="217">
        <v>2000</v>
      </c>
      <c r="L442" s="6"/>
      <c r="M442" s="8"/>
      <c r="N442" s="8"/>
      <c r="O442" s="8"/>
    </row>
    <row r="443" spans="1:15" ht="15.75" customHeight="1" x14ac:dyDescent="0.25">
      <c r="A443" s="7"/>
      <c r="B443" s="744" t="s">
        <v>618</v>
      </c>
      <c r="C443" s="611"/>
      <c r="D443" s="611"/>
      <c r="E443" s="611"/>
      <c r="F443" s="611"/>
      <c r="G443" s="611"/>
      <c r="H443" s="611"/>
      <c r="I443" s="611"/>
      <c r="J443" s="612"/>
      <c r="K443" s="306">
        <f>SUM(K440:K442)</f>
        <v>17000</v>
      </c>
      <c r="L443" s="6"/>
      <c r="M443" s="8"/>
      <c r="N443" s="8"/>
      <c r="O443" s="8"/>
    </row>
    <row r="444" spans="1:15" ht="15.75" customHeight="1" x14ac:dyDescent="0.25">
      <c r="A444" s="7"/>
      <c r="B444" s="307"/>
      <c r="C444" s="307"/>
      <c r="D444" s="307"/>
      <c r="E444" s="307"/>
      <c r="F444" s="307"/>
      <c r="G444" s="7"/>
      <c r="H444" s="7"/>
      <c r="I444" s="10"/>
      <c r="J444" s="10"/>
      <c r="K444" s="207"/>
      <c r="L444" s="6"/>
      <c r="M444" s="8"/>
      <c r="N444" s="8"/>
      <c r="O444" s="8"/>
    </row>
    <row r="445" spans="1:15" ht="15.75" customHeight="1" x14ac:dyDescent="0.25">
      <c r="A445" s="7"/>
      <c r="B445" s="307"/>
      <c r="C445" s="307"/>
      <c r="D445" s="307"/>
      <c r="E445" s="307"/>
      <c r="F445" s="307"/>
      <c r="G445" s="7"/>
      <c r="H445" s="7"/>
      <c r="I445" s="10"/>
      <c r="J445" s="10"/>
      <c r="K445" s="207"/>
      <c r="L445" s="6"/>
      <c r="M445" s="8"/>
      <c r="N445" s="8"/>
      <c r="O445" s="8"/>
    </row>
    <row r="446" spans="1:15" ht="15.75" customHeight="1" x14ac:dyDescent="0.25">
      <c r="A446" s="7"/>
      <c r="B446" s="713" t="s">
        <v>621</v>
      </c>
      <c r="C446" s="537"/>
      <c r="D446" s="537"/>
      <c r="E446" s="537"/>
      <c r="F446" s="537"/>
      <c r="G446" s="537"/>
      <c r="H446" s="537"/>
      <c r="I446" s="537"/>
      <c r="J446" s="538"/>
      <c r="K446" s="214">
        <f>K443+K434+K361+K300</f>
        <v>122036.78120863282</v>
      </c>
      <c r="L446" s="6"/>
      <c r="M446" s="8"/>
      <c r="N446" s="8"/>
      <c r="O446" s="8"/>
    </row>
    <row r="447" spans="1:15" ht="15.75" customHeight="1" x14ac:dyDescent="0.25">
      <c r="A447" s="7"/>
      <c r="B447" s="307"/>
      <c r="C447" s="307"/>
      <c r="D447" s="307"/>
      <c r="E447" s="307"/>
      <c r="F447" s="307"/>
      <c r="G447" s="7"/>
      <c r="H447" s="7"/>
      <c r="I447" s="10"/>
      <c r="J447" s="10"/>
      <c r="K447" s="207"/>
      <c r="L447" s="6"/>
      <c r="M447" s="8"/>
      <c r="N447" s="8"/>
      <c r="O447" s="8"/>
    </row>
    <row r="448" spans="1:15" ht="15.75" customHeight="1" x14ac:dyDescent="0.25">
      <c r="A448" s="7"/>
      <c r="B448" s="241"/>
      <c r="C448" s="241"/>
      <c r="D448" s="241"/>
      <c r="E448" s="241"/>
      <c r="F448" s="241"/>
      <c r="G448" s="241"/>
      <c r="H448" s="241"/>
      <c r="I448" s="241"/>
      <c r="J448" s="241"/>
      <c r="K448" s="241"/>
      <c r="L448" s="6"/>
      <c r="M448" s="8"/>
      <c r="N448" s="8"/>
      <c r="O448" s="8"/>
    </row>
    <row r="449" spans="1:15" ht="15.75" customHeight="1" x14ac:dyDescent="0.25">
      <c r="A449" s="7"/>
      <c r="B449" s="709" t="s">
        <v>623</v>
      </c>
      <c r="C449" s="537"/>
      <c r="D449" s="537"/>
      <c r="E449" s="537"/>
      <c r="F449" s="537"/>
      <c r="G449" s="537"/>
      <c r="H449" s="537"/>
      <c r="I449" s="537"/>
      <c r="J449" s="537"/>
      <c r="K449" s="538"/>
      <c r="L449" s="6"/>
      <c r="M449" s="8"/>
      <c r="N449" s="8"/>
      <c r="O449" s="8"/>
    </row>
    <row r="450" spans="1:15" ht="15.75" customHeight="1" x14ac:dyDescent="0.25">
      <c r="A450" s="7"/>
      <c r="B450" s="310" t="s">
        <v>273</v>
      </c>
      <c r="C450" s="582" t="s">
        <v>239</v>
      </c>
      <c r="D450" s="537"/>
      <c r="E450" s="537"/>
      <c r="F450" s="537"/>
      <c r="G450" s="538"/>
      <c r="H450" s="312" t="s">
        <v>141</v>
      </c>
      <c r="I450" s="737" t="s">
        <v>615</v>
      </c>
      <c r="J450" s="738"/>
      <c r="K450" s="312" t="s">
        <v>616</v>
      </c>
      <c r="L450" s="6"/>
      <c r="M450" s="8"/>
      <c r="N450" s="8"/>
      <c r="O450" s="8"/>
    </row>
    <row r="451" spans="1:15" ht="15.75" customHeight="1" x14ac:dyDescent="0.25">
      <c r="A451" s="7"/>
      <c r="B451" s="313" t="s">
        <v>6</v>
      </c>
      <c r="C451" s="739" t="s">
        <v>102</v>
      </c>
      <c r="D451" s="542"/>
      <c r="E451" s="542"/>
      <c r="F451" s="542"/>
      <c r="G451" s="577"/>
      <c r="H451" s="315">
        <f>'9 - BDI'!D15</f>
        <v>0.27689893995634196</v>
      </c>
      <c r="I451" s="740">
        <f>K446</f>
        <v>122036.78120863282</v>
      </c>
      <c r="J451" s="577"/>
      <c r="K451" s="318">
        <f>I451*H451</f>
        <v>33791.855352354462</v>
      </c>
      <c r="L451" s="6"/>
      <c r="M451" s="8"/>
      <c r="N451" s="8"/>
      <c r="O451" s="8"/>
    </row>
    <row r="452" spans="1:15" ht="15.75" customHeight="1" x14ac:dyDescent="0.25">
      <c r="A452" s="7"/>
      <c r="B452" s="741" t="s">
        <v>627</v>
      </c>
      <c r="C452" s="535"/>
      <c r="D452" s="535"/>
      <c r="E452" s="535"/>
      <c r="F452" s="535"/>
      <c r="G452" s="535"/>
      <c r="H452" s="535"/>
      <c r="I452" s="535"/>
      <c r="J452" s="575"/>
      <c r="K452" s="319">
        <f>SUM(K451)</f>
        <v>33791.855352354462</v>
      </c>
      <c r="L452" s="6"/>
      <c r="M452" s="8"/>
      <c r="N452" s="8"/>
      <c r="O452" s="8"/>
    </row>
    <row r="453" spans="1:15" ht="15.75" customHeight="1" x14ac:dyDescent="0.25">
      <c r="A453" s="7"/>
      <c r="B453" s="7"/>
      <c r="C453" s="7"/>
      <c r="D453" s="7"/>
      <c r="E453" s="7"/>
      <c r="F453" s="7"/>
      <c r="G453" s="115"/>
      <c r="H453" s="115"/>
      <c r="I453" s="320"/>
      <c r="J453" s="320"/>
      <c r="K453" s="321"/>
      <c r="L453" s="6"/>
      <c r="M453" s="8"/>
      <c r="N453" s="8"/>
      <c r="O453" s="8"/>
    </row>
    <row r="454" spans="1:15" ht="15.75" customHeight="1" x14ac:dyDescent="0.25">
      <c r="A454" s="7"/>
      <c r="B454" s="241"/>
      <c r="C454" s="241"/>
      <c r="D454" s="241"/>
      <c r="E454" s="241"/>
      <c r="F454" s="241"/>
      <c r="G454" s="115"/>
      <c r="H454" s="115"/>
      <c r="I454" s="320"/>
      <c r="J454" s="320"/>
      <c r="K454" s="207"/>
      <c r="L454" s="6"/>
      <c r="M454" s="8"/>
      <c r="N454" s="8"/>
      <c r="O454" s="8"/>
    </row>
    <row r="455" spans="1:15" ht="15.75" customHeight="1" x14ac:dyDescent="0.25">
      <c r="A455" s="7"/>
      <c r="B455" s="713" t="s">
        <v>629</v>
      </c>
      <c r="C455" s="537"/>
      <c r="D455" s="537"/>
      <c r="E455" s="537"/>
      <c r="F455" s="537"/>
      <c r="G455" s="537"/>
      <c r="H455" s="537"/>
      <c r="I455" s="537"/>
      <c r="J455" s="538"/>
      <c r="K455" s="214">
        <f>K446+K452</f>
        <v>155828.63656098727</v>
      </c>
      <c r="L455" s="6"/>
      <c r="M455" s="8"/>
      <c r="N455" s="8"/>
      <c r="O455" s="8"/>
    </row>
    <row r="456" spans="1:15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10"/>
      <c r="L456" s="6"/>
      <c r="M456" s="8"/>
      <c r="N456" s="8"/>
      <c r="O456" s="8"/>
    </row>
    <row r="457" spans="1:15" ht="15.75" customHeight="1" x14ac:dyDescent="0.25">
      <c r="L457" s="6"/>
      <c r="M457" s="8"/>
      <c r="N457" s="8"/>
      <c r="O457" s="8"/>
    </row>
    <row r="458" spans="1:15" ht="15.75" customHeight="1" x14ac:dyDescent="0.25">
      <c r="L458" s="6"/>
      <c r="M458" s="8"/>
      <c r="N458" s="8"/>
      <c r="O458" s="8"/>
    </row>
    <row r="459" spans="1:15" ht="15.75" customHeight="1" x14ac:dyDescent="0.25">
      <c r="L459" s="6"/>
      <c r="M459" s="8"/>
      <c r="N459" s="8"/>
      <c r="O459" s="8"/>
    </row>
    <row r="460" spans="1:15" ht="15.75" customHeight="1" x14ac:dyDescent="0.25">
      <c r="L460" s="6"/>
      <c r="M460" s="8"/>
      <c r="N460" s="8"/>
      <c r="O460" s="8"/>
    </row>
    <row r="461" spans="1:15" ht="15.75" customHeight="1" x14ac:dyDescent="0.25">
      <c r="L461" s="6"/>
      <c r="M461" s="8"/>
      <c r="N461" s="8"/>
      <c r="O461" s="8"/>
    </row>
    <row r="462" spans="1:15" ht="15.75" customHeight="1" x14ac:dyDescent="0.25">
      <c r="L462" s="6"/>
      <c r="M462" s="8"/>
      <c r="N462" s="8"/>
      <c r="O462" s="8"/>
    </row>
    <row r="463" spans="1:15" ht="15.75" customHeight="1" x14ac:dyDescent="0.25">
      <c r="L463" s="6"/>
      <c r="M463" s="8"/>
      <c r="N463" s="8"/>
      <c r="O463" s="8"/>
    </row>
    <row r="464" spans="1:15" ht="15.75" customHeight="1" x14ac:dyDescent="0.25">
      <c r="L464" s="6"/>
      <c r="M464" s="8"/>
      <c r="N464" s="8"/>
      <c r="O464" s="8"/>
    </row>
    <row r="465" spans="12:15" ht="15.75" customHeight="1" x14ac:dyDescent="0.25">
      <c r="L465" s="6"/>
      <c r="M465" s="8"/>
      <c r="N465" s="8"/>
      <c r="O465" s="8"/>
    </row>
    <row r="466" spans="12:15" ht="15.75" customHeight="1" x14ac:dyDescent="0.25">
      <c r="L466" s="6"/>
      <c r="M466" s="8"/>
      <c r="N466" s="8"/>
      <c r="O466" s="8"/>
    </row>
    <row r="467" spans="12:15" ht="15.75" customHeight="1" x14ac:dyDescent="0.25">
      <c r="L467" s="6"/>
      <c r="M467" s="8"/>
      <c r="N467" s="8"/>
      <c r="O467" s="8"/>
    </row>
    <row r="468" spans="12:15" ht="15.75" customHeight="1" x14ac:dyDescent="0.25">
      <c r="L468" s="6"/>
      <c r="M468" s="8"/>
      <c r="N468" s="8"/>
      <c r="O468" s="8"/>
    </row>
    <row r="469" spans="12:15" ht="15.75" customHeight="1" x14ac:dyDescent="0.25">
      <c r="L469" s="6"/>
      <c r="M469" s="8"/>
      <c r="N469" s="8"/>
      <c r="O469" s="8"/>
    </row>
    <row r="470" spans="12:15" ht="15.75" customHeight="1" x14ac:dyDescent="0.25">
      <c r="L470" s="6"/>
      <c r="M470" s="8"/>
      <c r="N470" s="8"/>
      <c r="O470" s="8"/>
    </row>
    <row r="471" spans="12:15" ht="15.75" customHeight="1" x14ac:dyDescent="0.25">
      <c r="L471" s="6"/>
      <c r="M471" s="8"/>
      <c r="N471" s="8"/>
      <c r="O471" s="8"/>
    </row>
    <row r="472" spans="12:15" ht="15.75" customHeight="1" x14ac:dyDescent="0.25">
      <c r="L472" s="6"/>
      <c r="M472" s="8"/>
      <c r="N472" s="8"/>
      <c r="O472" s="8"/>
    </row>
    <row r="473" spans="12:15" ht="15.75" customHeight="1" x14ac:dyDescent="0.25">
      <c r="L473" s="6"/>
      <c r="M473" s="8"/>
      <c r="N473" s="8"/>
      <c r="O473" s="8"/>
    </row>
    <row r="474" spans="12:15" ht="15.75" customHeight="1" x14ac:dyDescent="0.25">
      <c r="L474" s="6"/>
      <c r="M474" s="8"/>
      <c r="N474" s="8"/>
      <c r="O474" s="8"/>
    </row>
    <row r="475" spans="12:15" ht="15.75" customHeight="1" x14ac:dyDescent="0.25">
      <c r="L475" s="6"/>
      <c r="M475" s="8"/>
      <c r="N475" s="8"/>
      <c r="O475" s="8"/>
    </row>
    <row r="476" spans="12:15" ht="15.75" customHeight="1" x14ac:dyDescent="0.25">
      <c r="L476" s="6"/>
      <c r="M476" s="8"/>
      <c r="N476" s="8"/>
      <c r="O476" s="8"/>
    </row>
    <row r="477" spans="12:15" ht="15.75" customHeight="1" x14ac:dyDescent="0.25">
      <c r="L477" s="6"/>
      <c r="M477" s="8"/>
      <c r="N477" s="8"/>
      <c r="O477" s="8"/>
    </row>
    <row r="478" spans="12:15" ht="15.75" customHeight="1" x14ac:dyDescent="0.25">
      <c r="L478" s="6"/>
      <c r="M478" s="8"/>
      <c r="N478" s="8"/>
      <c r="O478" s="8"/>
    </row>
    <row r="479" spans="12:15" ht="15.75" customHeight="1" x14ac:dyDescent="0.25">
      <c r="L479" s="6"/>
      <c r="M479" s="8"/>
      <c r="N479" s="8"/>
      <c r="O479" s="8"/>
    </row>
    <row r="480" spans="12:15" ht="15.75" customHeight="1" x14ac:dyDescent="0.25">
      <c r="L480" s="6"/>
      <c r="M480" s="8"/>
      <c r="N480" s="8"/>
      <c r="O480" s="8"/>
    </row>
    <row r="481" spans="12:15" ht="15.75" customHeight="1" x14ac:dyDescent="0.25">
      <c r="L481" s="6"/>
      <c r="M481" s="8"/>
      <c r="N481" s="8"/>
      <c r="O481" s="8"/>
    </row>
    <row r="482" spans="12:15" ht="15.75" customHeight="1" x14ac:dyDescent="0.25">
      <c r="L482" s="6"/>
      <c r="M482" s="8"/>
      <c r="N482" s="8"/>
      <c r="O482" s="8"/>
    </row>
    <row r="483" spans="12:15" ht="15.75" customHeight="1" x14ac:dyDescent="0.25">
      <c r="L483" s="6"/>
      <c r="M483" s="8"/>
      <c r="N483" s="8"/>
      <c r="O483" s="8"/>
    </row>
    <row r="484" spans="12:15" ht="15.75" customHeight="1" x14ac:dyDescent="0.25">
      <c r="L484" s="6"/>
      <c r="M484" s="8"/>
      <c r="N484" s="8"/>
      <c r="O484" s="8"/>
    </row>
    <row r="485" spans="12:15" ht="15.75" customHeight="1" x14ac:dyDescent="0.25">
      <c r="L485" s="6"/>
      <c r="M485" s="8"/>
      <c r="N485" s="8"/>
      <c r="O485" s="8"/>
    </row>
    <row r="486" spans="12:15" ht="15.75" customHeight="1" x14ac:dyDescent="0.25">
      <c r="L486" s="6"/>
      <c r="M486" s="8"/>
      <c r="N486" s="8"/>
      <c r="O486" s="8"/>
    </row>
    <row r="487" spans="12:15" ht="15.75" customHeight="1" x14ac:dyDescent="0.25">
      <c r="L487" s="6"/>
      <c r="M487" s="8"/>
      <c r="N487" s="8"/>
      <c r="O487" s="8"/>
    </row>
    <row r="488" spans="12:15" ht="15.75" customHeight="1" x14ac:dyDescent="0.25">
      <c r="L488" s="6"/>
      <c r="M488" s="8"/>
      <c r="N488" s="8"/>
      <c r="O488" s="8"/>
    </row>
    <row r="489" spans="12:15" ht="15.75" customHeight="1" x14ac:dyDescent="0.25">
      <c r="L489" s="6"/>
      <c r="M489" s="8"/>
      <c r="N489" s="8"/>
      <c r="O489" s="8"/>
    </row>
    <row r="490" spans="12:15" ht="15.75" customHeight="1" x14ac:dyDescent="0.25">
      <c r="L490" s="6"/>
      <c r="M490" s="8"/>
      <c r="N490" s="8"/>
      <c r="O490" s="8"/>
    </row>
    <row r="491" spans="12:15" ht="15.75" customHeight="1" x14ac:dyDescent="0.25">
      <c r="L491" s="6"/>
      <c r="M491" s="8"/>
      <c r="N491" s="8"/>
      <c r="O491" s="8"/>
    </row>
    <row r="492" spans="12:15" ht="15.75" customHeight="1" x14ac:dyDescent="0.25">
      <c r="L492" s="6"/>
      <c r="M492" s="8"/>
      <c r="N492" s="8"/>
      <c r="O492" s="8"/>
    </row>
    <row r="493" spans="12:15" ht="15.75" customHeight="1" x14ac:dyDescent="0.25">
      <c r="L493" s="6"/>
      <c r="M493" s="8"/>
      <c r="N493" s="8"/>
      <c r="O493" s="8"/>
    </row>
    <row r="494" spans="12:15" ht="15.75" customHeight="1" x14ac:dyDescent="0.25">
      <c r="L494" s="6"/>
      <c r="M494" s="8"/>
      <c r="N494" s="8"/>
      <c r="O494" s="8"/>
    </row>
    <row r="495" spans="12:15" ht="15.75" customHeight="1" x14ac:dyDescent="0.25">
      <c r="L495" s="6"/>
      <c r="M495" s="8"/>
      <c r="N495" s="8"/>
      <c r="O495" s="8"/>
    </row>
    <row r="496" spans="12:15" ht="15.75" customHeight="1" x14ac:dyDescent="0.25">
      <c r="L496" s="6"/>
      <c r="M496" s="8"/>
      <c r="N496" s="8"/>
      <c r="O496" s="8"/>
    </row>
    <row r="497" spans="12:15" ht="15.75" customHeight="1" x14ac:dyDescent="0.25">
      <c r="L497" s="6"/>
      <c r="M497" s="8"/>
      <c r="N497" s="8"/>
      <c r="O497" s="8"/>
    </row>
    <row r="498" spans="12:15" ht="15.75" customHeight="1" x14ac:dyDescent="0.25">
      <c r="L498" s="6"/>
      <c r="M498" s="8"/>
      <c r="N498" s="8"/>
      <c r="O498" s="8"/>
    </row>
    <row r="499" spans="12:15" ht="15.75" customHeight="1" x14ac:dyDescent="0.25">
      <c r="L499" s="6"/>
      <c r="M499" s="8"/>
      <c r="N499" s="8"/>
      <c r="O499" s="8"/>
    </row>
    <row r="500" spans="12:15" ht="15.75" customHeight="1" x14ac:dyDescent="0.25">
      <c r="L500" s="6"/>
      <c r="M500" s="8"/>
      <c r="N500" s="8"/>
      <c r="O500" s="8"/>
    </row>
    <row r="501" spans="12:15" ht="15.75" customHeight="1" x14ac:dyDescent="0.25">
      <c r="L501" s="6"/>
      <c r="M501" s="8"/>
      <c r="N501" s="8"/>
      <c r="O501" s="8"/>
    </row>
    <row r="502" spans="12:15" ht="15.75" customHeight="1" x14ac:dyDescent="0.25">
      <c r="L502" s="6"/>
      <c r="M502" s="8"/>
      <c r="N502" s="8"/>
      <c r="O502" s="8"/>
    </row>
    <row r="503" spans="12:15" ht="15.75" customHeight="1" x14ac:dyDescent="0.25">
      <c r="L503" s="6"/>
      <c r="M503" s="8"/>
      <c r="N503" s="8"/>
      <c r="O503" s="8"/>
    </row>
    <row r="504" spans="12:15" ht="15.75" customHeight="1" x14ac:dyDescent="0.25">
      <c r="L504" s="6"/>
      <c r="M504" s="8"/>
      <c r="N504" s="8"/>
      <c r="O504" s="8"/>
    </row>
    <row r="505" spans="12:15" ht="15.75" customHeight="1" x14ac:dyDescent="0.25">
      <c r="L505" s="6"/>
      <c r="M505" s="8"/>
      <c r="N505" s="8"/>
      <c r="O505" s="8"/>
    </row>
    <row r="506" spans="12:15" ht="15.75" customHeight="1" x14ac:dyDescent="0.25">
      <c r="L506" s="6"/>
      <c r="M506" s="8"/>
      <c r="N506" s="8"/>
      <c r="O506" s="8"/>
    </row>
    <row r="507" spans="12:15" ht="15.75" customHeight="1" x14ac:dyDescent="0.25">
      <c r="L507" s="6"/>
      <c r="M507" s="8"/>
      <c r="N507" s="8"/>
      <c r="O507" s="8"/>
    </row>
    <row r="508" spans="12:15" ht="15.75" customHeight="1" x14ac:dyDescent="0.25">
      <c r="L508" s="6"/>
      <c r="M508" s="8"/>
      <c r="N508" s="8"/>
      <c r="O508" s="8"/>
    </row>
    <row r="509" spans="12:15" ht="15.75" customHeight="1" x14ac:dyDescent="0.25">
      <c r="L509" s="6"/>
      <c r="M509" s="8"/>
      <c r="N509" s="8"/>
      <c r="O509" s="8"/>
    </row>
    <row r="510" spans="12:15" ht="15.75" customHeight="1" x14ac:dyDescent="0.25">
      <c r="L510" s="6"/>
      <c r="M510" s="8"/>
      <c r="N510" s="8"/>
      <c r="O510" s="8"/>
    </row>
    <row r="511" spans="12:15" ht="15.75" customHeight="1" x14ac:dyDescent="0.25">
      <c r="L511" s="6"/>
      <c r="M511" s="8"/>
      <c r="N511" s="8"/>
      <c r="O511" s="8"/>
    </row>
    <row r="512" spans="12:15" ht="15.75" customHeight="1" x14ac:dyDescent="0.25">
      <c r="L512" s="6"/>
      <c r="M512" s="8"/>
      <c r="N512" s="8"/>
      <c r="O512" s="8"/>
    </row>
    <row r="513" spans="12:15" ht="15.75" customHeight="1" x14ac:dyDescent="0.25">
      <c r="L513" s="6"/>
      <c r="M513" s="8"/>
      <c r="N513" s="8"/>
      <c r="O513" s="8"/>
    </row>
    <row r="514" spans="12:15" ht="15.75" customHeight="1" x14ac:dyDescent="0.25">
      <c r="L514" s="6"/>
      <c r="M514" s="8"/>
      <c r="N514" s="8"/>
      <c r="O514" s="8"/>
    </row>
    <row r="515" spans="12:15" ht="15.75" customHeight="1" x14ac:dyDescent="0.25">
      <c r="L515" s="6"/>
      <c r="M515" s="8"/>
      <c r="N515" s="8"/>
      <c r="O515" s="8"/>
    </row>
    <row r="516" spans="12:15" ht="15.75" customHeight="1" x14ac:dyDescent="0.25">
      <c r="L516" s="6"/>
      <c r="M516" s="8"/>
      <c r="N516" s="8"/>
      <c r="O516" s="8"/>
    </row>
    <row r="517" spans="12:15" ht="15.75" customHeight="1" x14ac:dyDescent="0.25">
      <c r="L517" s="6"/>
      <c r="M517" s="8"/>
      <c r="N517" s="8"/>
      <c r="O517" s="8"/>
    </row>
    <row r="518" spans="12:15" ht="15.75" customHeight="1" x14ac:dyDescent="0.25">
      <c r="L518" s="6"/>
      <c r="M518" s="8"/>
      <c r="N518" s="8"/>
      <c r="O518" s="8"/>
    </row>
    <row r="519" spans="12:15" ht="15.75" customHeight="1" x14ac:dyDescent="0.25">
      <c r="L519" s="6"/>
      <c r="M519" s="8"/>
      <c r="N519" s="8"/>
      <c r="O519" s="8"/>
    </row>
    <row r="520" spans="12:15" ht="15.75" customHeight="1" x14ac:dyDescent="0.25">
      <c r="L520" s="6"/>
      <c r="M520" s="8"/>
      <c r="N520" s="8"/>
      <c r="O520" s="8"/>
    </row>
    <row r="521" spans="12:15" ht="15.75" customHeight="1" x14ac:dyDescent="0.25">
      <c r="L521" s="6"/>
      <c r="M521" s="8"/>
      <c r="N521" s="8"/>
      <c r="O521" s="8"/>
    </row>
    <row r="522" spans="12:15" ht="15.75" customHeight="1" x14ac:dyDescent="0.25">
      <c r="L522" s="6"/>
      <c r="M522" s="8"/>
      <c r="N522" s="8"/>
      <c r="O522" s="8"/>
    </row>
    <row r="523" spans="12:15" ht="15.75" customHeight="1" x14ac:dyDescent="0.25">
      <c r="L523" s="6"/>
      <c r="M523" s="8"/>
      <c r="N523" s="8"/>
      <c r="O523" s="8"/>
    </row>
    <row r="524" spans="12:15" ht="15.75" customHeight="1" x14ac:dyDescent="0.25">
      <c r="L524" s="6"/>
      <c r="M524" s="8"/>
      <c r="N524" s="8"/>
      <c r="O524" s="8"/>
    </row>
    <row r="525" spans="12:15" ht="15.75" customHeight="1" x14ac:dyDescent="0.25">
      <c r="L525" s="6"/>
      <c r="M525" s="8"/>
      <c r="N525" s="8"/>
      <c r="O525" s="8"/>
    </row>
    <row r="526" spans="12:15" ht="15.75" customHeight="1" x14ac:dyDescent="0.25">
      <c r="L526" s="6"/>
      <c r="M526" s="8"/>
      <c r="N526" s="8"/>
      <c r="O526" s="8"/>
    </row>
    <row r="527" spans="12:15" ht="15.75" customHeight="1" x14ac:dyDescent="0.25">
      <c r="L527" s="6"/>
      <c r="M527" s="8"/>
      <c r="N527" s="8"/>
      <c r="O527" s="8"/>
    </row>
    <row r="528" spans="12:15" ht="15.75" customHeight="1" x14ac:dyDescent="0.25">
      <c r="L528" s="6"/>
      <c r="M528" s="8"/>
      <c r="N528" s="8"/>
      <c r="O528" s="8"/>
    </row>
    <row r="529" spans="12:15" ht="15.75" customHeight="1" x14ac:dyDescent="0.25">
      <c r="L529" s="6"/>
      <c r="M529" s="8"/>
      <c r="N529" s="8"/>
      <c r="O529" s="8"/>
    </row>
    <row r="530" spans="12:15" ht="15.75" customHeight="1" x14ac:dyDescent="0.25">
      <c r="L530" s="6"/>
      <c r="M530" s="8"/>
      <c r="N530" s="8"/>
      <c r="O530" s="8"/>
    </row>
    <row r="531" spans="12:15" ht="15.75" customHeight="1" x14ac:dyDescent="0.25">
      <c r="L531" s="6"/>
      <c r="M531" s="8"/>
      <c r="N531" s="8"/>
      <c r="O531" s="8"/>
    </row>
    <row r="532" spans="12:15" ht="15.75" customHeight="1" x14ac:dyDescent="0.25">
      <c r="L532" s="6"/>
      <c r="M532" s="8"/>
      <c r="N532" s="8"/>
      <c r="O532" s="8"/>
    </row>
    <row r="533" spans="12:15" ht="15.75" customHeight="1" x14ac:dyDescent="0.25">
      <c r="L533" s="6"/>
      <c r="M533" s="8"/>
      <c r="N533" s="8"/>
      <c r="O533" s="8"/>
    </row>
    <row r="534" spans="12:15" ht="15.75" customHeight="1" x14ac:dyDescent="0.25">
      <c r="L534" s="6"/>
      <c r="M534" s="8"/>
      <c r="N534" s="8"/>
      <c r="O534" s="8"/>
    </row>
    <row r="535" spans="12:15" ht="15.75" customHeight="1" x14ac:dyDescent="0.25">
      <c r="L535" s="6"/>
      <c r="M535" s="8"/>
      <c r="N535" s="8"/>
      <c r="O535" s="8"/>
    </row>
    <row r="536" spans="12:15" ht="15.75" customHeight="1" x14ac:dyDescent="0.25">
      <c r="L536" s="6"/>
      <c r="M536" s="8"/>
      <c r="N536" s="8"/>
      <c r="O536" s="8"/>
    </row>
    <row r="537" spans="12:15" ht="15.75" customHeight="1" x14ac:dyDescent="0.25">
      <c r="L537" s="6"/>
      <c r="M537" s="8"/>
      <c r="N537" s="8"/>
      <c r="O537" s="8"/>
    </row>
    <row r="538" spans="12:15" ht="15.75" customHeight="1" x14ac:dyDescent="0.25">
      <c r="L538" s="6"/>
      <c r="M538" s="8"/>
      <c r="N538" s="8"/>
      <c r="O538" s="8"/>
    </row>
    <row r="539" spans="12:15" ht="15.75" customHeight="1" x14ac:dyDescent="0.25">
      <c r="L539" s="6"/>
      <c r="M539" s="8"/>
      <c r="N539" s="8"/>
      <c r="O539" s="8"/>
    </row>
    <row r="540" spans="12:15" ht="15.75" customHeight="1" x14ac:dyDescent="0.25">
      <c r="L540" s="6"/>
      <c r="M540" s="8"/>
      <c r="N540" s="8"/>
      <c r="O540" s="8"/>
    </row>
    <row r="541" spans="12:15" ht="15.75" customHeight="1" x14ac:dyDescent="0.25">
      <c r="L541" s="6"/>
      <c r="M541" s="8"/>
      <c r="N541" s="8"/>
      <c r="O541" s="8"/>
    </row>
    <row r="542" spans="12:15" ht="15.75" customHeight="1" x14ac:dyDescent="0.25">
      <c r="L542" s="6"/>
      <c r="M542" s="8"/>
      <c r="N542" s="8"/>
      <c r="O542" s="8"/>
    </row>
    <row r="543" spans="12:15" ht="15.75" customHeight="1" x14ac:dyDescent="0.25">
      <c r="L543" s="6"/>
      <c r="M543" s="8"/>
      <c r="N543" s="8"/>
      <c r="O543" s="8"/>
    </row>
    <row r="544" spans="12:15" ht="15.75" customHeight="1" x14ac:dyDescent="0.25">
      <c r="L544" s="6"/>
      <c r="M544" s="8"/>
      <c r="N544" s="8"/>
      <c r="O544" s="8"/>
    </row>
    <row r="545" spans="12:15" ht="15.75" customHeight="1" x14ac:dyDescent="0.25">
      <c r="L545" s="6"/>
      <c r="M545" s="8"/>
      <c r="N545" s="8"/>
      <c r="O545" s="8"/>
    </row>
    <row r="546" spans="12:15" ht="15.75" customHeight="1" x14ac:dyDescent="0.25">
      <c r="L546" s="6"/>
      <c r="M546" s="8"/>
      <c r="N546" s="8"/>
      <c r="O546" s="8"/>
    </row>
    <row r="547" spans="12:15" ht="15.75" customHeight="1" x14ac:dyDescent="0.25">
      <c r="L547" s="6"/>
      <c r="M547" s="8"/>
      <c r="N547" s="8"/>
      <c r="O547" s="8"/>
    </row>
    <row r="548" spans="12:15" ht="15.75" customHeight="1" x14ac:dyDescent="0.25">
      <c r="L548" s="6"/>
      <c r="M548" s="8"/>
      <c r="N548" s="8"/>
      <c r="O548" s="8"/>
    </row>
    <row r="549" spans="12:15" ht="15.75" customHeight="1" x14ac:dyDescent="0.25">
      <c r="L549" s="6"/>
      <c r="M549" s="8"/>
      <c r="N549" s="8"/>
      <c r="O549" s="8"/>
    </row>
    <row r="550" spans="12:15" ht="15.75" customHeight="1" x14ac:dyDescent="0.25">
      <c r="L550" s="6"/>
      <c r="M550" s="8"/>
      <c r="N550" s="8"/>
      <c r="O550" s="8"/>
    </row>
    <row r="551" spans="12:15" ht="15.75" customHeight="1" x14ac:dyDescent="0.25">
      <c r="L551" s="6"/>
      <c r="M551" s="8"/>
      <c r="N551" s="8"/>
      <c r="O551" s="8"/>
    </row>
    <row r="552" spans="12:15" ht="15.75" customHeight="1" x14ac:dyDescent="0.25">
      <c r="L552" s="6"/>
      <c r="M552" s="8"/>
      <c r="N552" s="8"/>
      <c r="O552" s="8"/>
    </row>
    <row r="553" spans="12:15" ht="15.75" customHeight="1" x14ac:dyDescent="0.25">
      <c r="L553" s="6"/>
      <c r="M553" s="8"/>
      <c r="N553" s="8"/>
      <c r="O553" s="8"/>
    </row>
    <row r="554" spans="12:15" ht="15.75" customHeight="1" x14ac:dyDescent="0.25">
      <c r="L554" s="6"/>
      <c r="M554" s="8"/>
      <c r="N554" s="8"/>
      <c r="O554" s="8"/>
    </row>
    <row r="555" spans="12:15" ht="15.75" customHeight="1" x14ac:dyDescent="0.25">
      <c r="L555" s="6"/>
      <c r="M555" s="8"/>
      <c r="N555" s="8"/>
      <c r="O555" s="8"/>
    </row>
    <row r="556" spans="12:15" ht="15.75" customHeight="1" x14ac:dyDescent="0.25">
      <c r="L556" s="6"/>
      <c r="M556" s="8"/>
      <c r="N556" s="8"/>
      <c r="O556" s="8"/>
    </row>
    <row r="557" spans="12:15" ht="15.75" customHeight="1" x14ac:dyDescent="0.25">
      <c r="L557" s="6"/>
      <c r="M557" s="8"/>
      <c r="N557" s="8"/>
      <c r="O557" s="8"/>
    </row>
    <row r="558" spans="12:15" ht="15.75" customHeight="1" x14ac:dyDescent="0.25">
      <c r="L558" s="6"/>
      <c r="M558" s="8"/>
      <c r="N558" s="8"/>
      <c r="O558" s="8"/>
    </row>
    <row r="559" spans="12:15" ht="15.75" customHeight="1" x14ac:dyDescent="0.25">
      <c r="L559" s="6"/>
      <c r="M559" s="8"/>
      <c r="N559" s="8"/>
      <c r="O559" s="8"/>
    </row>
    <row r="560" spans="12:15" ht="15.75" customHeight="1" x14ac:dyDescent="0.25">
      <c r="L560" s="6"/>
      <c r="M560" s="8"/>
      <c r="N560" s="8"/>
      <c r="O560" s="8"/>
    </row>
    <row r="561" spans="12:15" ht="15.75" customHeight="1" x14ac:dyDescent="0.25">
      <c r="L561" s="6"/>
      <c r="M561" s="8"/>
      <c r="N561" s="8"/>
      <c r="O561" s="8"/>
    </row>
    <row r="562" spans="12:15" ht="15.75" customHeight="1" x14ac:dyDescent="0.25">
      <c r="L562" s="6"/>
      <c r="M562" s="8"/>
      <c r="N562" s="8"/>
      <c r="O562" s="8"/>
    </row>
    <row r="563" spans="12:15" ht="15.75" customHeight="1" x14ac:dyDescent="0.25">
      <c r="L563" s="6"/>
      <c r="M563" s="8"/>
      <c r="N563" s="8"/>
      <c r="O563" s="8"/>
    </row>
    <row r="564" spans="12:15" ht="15.75" customHeight="1" x14ac:dyDescent="0.25">
      <c r="L564" s="6"/>
      <c r="M564" s="8"/>
      <c r="N564" s="8"/>
      <c r="O564" s="8"/>
    </row>
    <row r="565" spans="12:15" ht="15.75" customHeight="1" x14ac:dyDescent="0.25">
      <c r="L565" s="6"/>
      <c r="M565" s="8"/>
      <c r="N565" s="8"/>
      <c r="O565" s="8"/>
    </row>
    <row r="566" spans="12:15" ht="15.75" customHeight="1" x14ac:dyDescent="0.25">
      <c r="L566" s="6"/>
      <c r="M566" s="8"/>
      <c r="N566" s="8"/>
      <c r="O566" s="8"/>
    </row>
    <row r="567" spans="12:15" ht="15.75" customHeight="1" x14ac:dyDescent="0.25">
      <c r="L567" s="6"/>
      <c r="M567" s="8"/>
      <c r="N567" s="8"/>
      <c r="O567" s="8"/>
    </row>
    <row r="568" spans="12:15" ht="15.75" customHeight="1" x14ac:dyDescent="0.25">
      <c r="L568" s="6"/>
      <c r="M568" s="8"/>
      <c r="N568" s="8"/>
      <c r="O568" s="8"/>
    </row>
    <row r="569" spans="12:15" ht="15.75" customHeight="1" x14ac:dyDescent="0.25">
      <c r="L569" s="6"/>
      <c r="M569" s="8"/>
      <c r="N569" s="8"/>
      <c r="O569" s="8"/>
    </row>
    <row r="570" spans="12:15" ht="15.75" customHeight="1" x14ac:dyDescent="0.25">
      <c r="L570" s="6"/>
      <c r="M570" s="8"/>
      <c r="N570" s="8"/>
      <c r="O570" s="8"/>
    </row>
    <row r="571" spans="12:15" ht="15.75" customHeight="1" x14ac:dyDescent="0.25">
      <c r="L571" s="6"/>
      <c r="M571" s="8"/>
      <c r="N571" s="8"/>
      <c r="O571" s="8"/>
    </row>
    <row r="572" spans="12:15" ht="15.75" customHeight="1" x14ac:dyDescent="0.25">
      <c r="L572" s="6"/>
      <c r="M572" s="8"/>
      <c r="N572" s="8"/>
      <c r="O572" s="8"/>
    </row>
    <row r="573" spans="12:15" ht="15.75" customHeight="1" x14ac:dyDescent="0.25">
      <c r="L573" s="6"/>
      <c r="M573" s="8"/>
      <c r="N573" s="8"/>
      <c r="O573" s="8"/>
    </row>
    <row r="574" spans="12:15" ht="15.75" customHeight="1" x14ac:dyDescent="0.25">
      <c r="L574" s="6"/>
      <c r="M574" s="8"/>
      <c r="N574" s="8"/>
      <c r="O574" s="8"/>
    </row>
    <row r="575" spans="12:15" ht="15.75" customHeight="1" x14ac:dyDescent="0.25">
      <c r="L575" s="6"/>
      <c r="M575" s="8"/>
      <c r="N575" s="8"/>
      <c r="O575" s="8"/>
    </row>
    <row r="576" spans="12:15" ht="15.75" customHeight="1" x14ac:dyDescent="0.25">
      <c r="L576" s="6"/>
      <c r="M576" s="8"/>
      <c r="N576" s="8"/>
      <c r="O576" s="8"/>
    </row>
    <row r="577" spans="12:15" ht="15.75" customHeight="1" x14ac:dyDescent="0.25">
      <c r="L577" s="6"/>
      <c r="M577" s="8"/>
      <c r="N577" s="8"/>
      <c r="O577" s="8"/>
    </row>
    <row r="578" spans="12:15" ht="15.75" customHeight="1" x14ac:dyDescent="0.25">
      <c r="L578" s="6"/>
      <c r="M578" s="8"/>
      <c r="N578" s="8"/>
      <c r="O578" s="8"/>
    </row>
    <row r="579" spans="12:15" ht="15.75" customHeight="1" x14ac:dyDescent="0.25">
      <c r="L579" s="6"/>
      <c r="M579" s="8"/>
      <c r="N579" s="8"/>
      <c r="O579" s="8"/>
    </row>
    <row r="580" spans="12:15" ht="15.75" customHeight="1" x14ac:dyDescent="0.25">
      <c r="L580" s="6"/>
      <c r="M580" s="8"/>
      <c r="N580" s="8"/>
      <c r="O580" s="8"/>
    </row>
    <row r="581" spans="12:15" ht="15.75" customHeight="1" x14ac:dyDescent="0.25">
      <c r="L581" s="6"/>
      <c r="M581" s="8"/>
      <c r="N581" s="8"/>
      <c r="O581" s="8"/>
    </row>
    <row r="582" spans="12:15" ht="15.75" customHeight="1" x14ac:dyDescent="0.25">
      <c r="L582" s="6"/>
      <c r="M582" s="8"/>
      <c r="N582" s="8"/>
      <c r="O582" s="8"/>
    </row>
    <row r="583" spans="12:15" ht="15.75" customHeight="1" x14ac:dyDescent="0.25">
      <c r="L583" s="6"/>
      <c r="M583" s="8"/>
      <c r="N583" s="8"/>
      <c r="O583" s="8"/>
    </row>
    <row r="584" spans="12:15" ht="15.75" customHeight="1" x14ac:dyDescent="0.25">
      <c r="L584" s="6"/>
      <c r="M584" s="8"/>
      <c r="N584" s="8"/>
      <c r="O584" s="8"/>
    </row>
    <row r="585" spans="12:15" ht="15.75" customHeight="1" x14ac:dyDescent="0.25">
      <c r="L585" s="6"/>
      <c r="M585" s="8"/>
      <c r="N585" s="8"/>
      <c r="O585" s="8"/>
    </row>
    <row r="586" spans="12:15" ht="15.75" customHeight="1" x14ac:dyDescent="0.25">
      <c r="L586" s="6"/>
      <c r="M586" s="8"/>
      <c r="N586" s="8"/>
      <c r="O586" s="8"/>
    </row>
    <row r="587" spans="12:15" ht="15.75" customHeight="1" x14ac:dyDescent="0.25">
      <c r="L587" s="6"/>
      <c r="M587" s="8"/>
      <c r="N587" s="8"/>
      <c r="O587" s="8"/>
    </row>
    <row r="588" spans="12:15" ht="15.75" customHeight="1" x14ac:dyDescent="0.25">
      <c r="L588" s="6"/>
      <c r="M588" s="8"/>
      <c r="N588" s="8"/>
      <c r="O588" s="8"/>
    </row>
    <row r="589" spans="12:15" ht="15.75" customHeight="1" x14ac:dyDescent="0.25">
      <c r="L589" s="6"/>
      <c r="M589" s="8"/>
      <c r="N589" s="8"/>
      <c r="O589" s="8"/>
    </row>
    <row r="590" spans="12:15" ht="15.75" customHeight="1" x14ac:dyDescent="0.25">
      <c r="L590" s="6"/>
      <c r="M590" s="8"/>
      <c r="N590" s="8"/>
      <c r="O590" s="8"/>
    </row>
    <row r="591" spans="12:15" ht="15.75" customHeight="1" x14ac:dyDescent="0.25">
      <c r="L591" s="6"/>
      <c r="M591" s="8"/>
      <c r="N591" s="8"/>
      <c r="O591" s="8"/>
    </row>
    <row r="592" spans="12:15" ht="15.75" customHeight="1" x14ac:dyDescent="0.25">
      <c r="L592" s="6"/>
      <c r="M592" s="8"/>
      <c r="N592" s="8"/>
      <c r="O592" s="8"/>
    </row>
    <row r="593" spans="12:15" ht="15.75" customHeight="1" x14ac:dyDescent="0.25">
      <c r="L593" s="6"/>
      <c r="M593" s="8"/>
      <c r="N593" s="8"/>
      <c r="O593" s="8"/>
    </row>
    <row r="594" spans="12:15" ht="15.75" customHeight="1" x14ac:dyDescent="0.25">
      <c r="L594" s="6"/>
      <c r="M594" s="8"/>
      <c r="N594" s="8"/>
      <c r="O594" s="8"/>
    </row>
    <row r="595" spans="12:15" ht="15.75" customHeight="1" x14ac:dyDescent="0.25">
      <c r="L595" s="6"/>
      <c r="M595" s="8"/>
      <c r="N595" s="8"/>
      <c r="O595" s="8"/>
    </row>
    <row r="596" spans="12:15" ht="15.75" customHeight="1" x14ac:dyDescent="0.25">
      <c r="L596" s="6"/>
      <c r="M596" s="8"/>
      <c r="N596" s="8"/>
      <c r="O596" s="8"/>
    </row>
    <row r="597" spans="12:15" ht="15.75" customHeight="1" x14ac:dyDescent="0.25">
      <c r="L597" s="6"/>
      <c r="M597" s="8"/>
      <c r="N597" s="8"/>
      <c r="O597" s="8"/>
    </row>
    <row r="598" spans="12:15" ht="15.75" customHeight="1" x14ac:dyDescent="0.25">
      <c r="L598" s="6"/>
      <c r="M598" s="8"/>
      <c r="N598" s="8"/>
      <c r="O598" s="8"/>
    </row>
    <row r="599" spans="12:15" ht="15.75" customHeight="1" x14ac:dyDescent="0.25">
      <c r="L599" s="6"/>
      <c r="M599" s="8"/>
      <c r="N599" s="8"/>
      <c r="O599" s="8"/>
    </row>
    <row r="600" spans="12:15" ht="15.75" customHeight="1" x14ac:dyDescent="0.25">
      <c r="L600" s="6"/>
      <c r="M600" s="8"/>
      <c r="N600" s="8"/>
      <c r="O600" s="8"/>
    </row>
    <row r="601" spans="12:15" ht="15.75" customHeight="1" x14ac:dyDescent="0.25">
      <c r="L601" s="6"/>
      <c r="M601" s="8"/>
      <c r="N601" s="8"/>
      <c r="O601" s="8"/>
    </row>
    <row r="602" spans="12:15" ht="15.75" customHeight="1" x14ac:dyDescent="0.25">
      <c r="L602" s="6"/>
      <c r="M602" s="8"/>
      <c r="N602" s="8"/>
      <c r="O602" s="8"/>
    </row>
    <row r="603" spans="12:15" ht="15.75" customHeight="1" x14ac:dyDescent="0.25">
      <c r="L603" s="6"/>
      <c r="M603" s="8"/>
      <c r="N603" s="8"/>
      <c r="O603" s="8"/>
    </row>
    <row r="604" spans="12:15" ht="15.75" customHeight="1" x14ac:dyDescent="0.25">
      <c r="L604" s="6"/>
      <c r="M604" s="8"/>
      <c r="N604" s="8"/>
      <c r="O604" s="8"/>
    </row>
    <row r="605" spans="12:15" ht="15.75" customHeight="1" x14ac:dyDescent="0.25">
      <c r="L605" s="6"/>
      <c r="M605" s="8"/>
      <c r="N605" s="8"/>
      <c r="O605" s="8"/>
    </row>
    <row r="606" spans="12:15" ht="15.75" customHeight="1" x14ac:dyDescent="0.25">
      <c r="L606" s="6"/>
      <c r="M606" s="8"/>
      <c r="N606" s="8"/>
      <c r="O606" s="8"/>
    </row>
    <row r="607" spans="12:15" ht="15.75" customHeight="1" x14ac:dyDescent="0.25">
      <c r="L607" s="6"/>
      <c r="M607" s="8"/>
      <c r="N607" s="8"/>
      <c r="O607" s="8"/>
    </row>
    <row r="608" spans="12:15" ht="15.75" customHeight="1" x14ac:dyDescent="0.25">
      <c r="L608" s="6"/>
      <c r="M608" s="8"/>
      <c r="N608" s="8"/>
      <c r="O608" s="8"/>
    </row>
    <row r="609" spans="12:15" ht="15.75" customHeight="1" x14ac:dyDescent="0.25">
      <c r="L609" s="6"/>
      <c r="M609" s="8"/>
      <c r="N609" s="8"/>
      <c r="O609" s="8"/>
    </row>
    <row r="610" spans="12:15" ht="15.75" customHeight="1" x14ac:dyDescent="0.25">
      <c r="L610" s="6"/>
      <c r="M610" s="8"/>
      <c r="N610" s="8"/>
      <c r="O610" s="8"/>
    </row>
    <row r="611" spans="12:15" ht="15.75" customHeight="1" x14ac:dyDescent="0.25">
      <c r="L611" s="6"/>
      <c r="M611" s="8"/>
      <c r="N611" s="8"/>
      <c r="O611" s="8"/>
    </row>
    <row r="612" spans="12:15" ht="15.75" customHeight="1" x14ac:dyDescent="0.25">
      <c r="L612" s="6"/>
      <c r="M612" s="8"/>
      <c r="N612" s="8"/>
      <c r="O612" s="8"/>
    </row>
    <row r="613" spans="12:15" ht="15.75" customHeight="1" x14ac:dyDescent="0.25">
      <c r="L613" s="6"/>
      <c r="M613" s="8"/>
      <c r="N613" s="8"/>
      <c r="O613" s="8"/>
    </row>
    <row r="614" spans="12:15" ht="15.75" customHeight="1" x14ac:dyDescent="0.25">
      <c r="L614" s="6"/>
      <c r="M614" s="8"/>
      <c r="N614" s="8"/>
      <c r="O614" s="8"/>
    </row>
    <row r="615" spans="12:15" ht="15.75" customHeight="1" x14ac:dyDescent="0.25">
      <c r="L615" s="6"/>
      <c r="M615" s="8"/>
      <c r="N615" s="8"/>
      <c r="O615" s="8"/>
    </row>
    <row r="616" spans="12:15" ht="15.75" customHeight="1" x14ac:dyDescent="0.25">
      <c r="L616" s="6"/>
      <c r="M616" s="8"/>
      <c r="N616" s="8"/>
      <c r="O616" s="8"/>
    </row>
    <row r="617" spans="12:15" ht="15.75" customHeight="1" x14ac:dyDescent="0.25">
      <c r="L617" s="6"/>
      <c r="M617" s="8"/>
      <c r="N617" s="8"/>
      <c r="O617" s="8"/>
    </row>
    <row r="618" spans="12:15" ht="15.75" customHeight="1" x14ac:dyDescent="0.25">
      <c r="L618" s="6"/>
      <c r="M618" s="8"/>
      <c r="N618" s="8"/>
      <c r="O618" s="8"/>
    </row>
    <row r="619" spans="12:15" ht="15.75" customHeight="1" x14ac:dyDescent="0.25">
      <c r="L619" s="6"/>
      <c r="M619" s="8"/>
      <c r="N619" s="8"/>
      <c r="O619" s="8"/>
    </row>
    <row r="620" spans="12:15" ht="15.75" customHeight="1" x14ac:dyDescent="0.25">
      <c r="L620" s="6"/>
      <c r="M620" s="8"/>
      <c r="N620" s="8"/>
      <c r="O620" s="8"/>
    </row>
    <row r="621" spans="12:15" ht="15.75" customHeight="1" x14ac:dyDescent="0.25">
      <c r="L621" s="6"/>
      <c r="M621" s="8"/>
      <c r="N621" s="8"/>
      <c r="O621" s="8"/>
    </row>
    <row r="622" spans="12:15" ht="15.75" customHeight="1" x14ac:dyDescent="0.25">
      <c r="L622" s="6"/>
      <c r="M622" s="8"/>
      <c r="N622" s="8"/>
      <c r="O622" s="8"/>
    </row>
    <row r="623" spans="12:15" ht="15.75" customHeight="1" x14ac:dyDescent="0.25">
      <c r="L623" s="6"/>
      <c r="M623" s="8"/>
      <c r="N623" s="8"/>
      <c r="O623" s="8"/>
    </row>
    <row r="624" spans="12:15" ht="15.75" customHeight="1" x14ac:dyDescent="0.25">
      <c r="L624" s="6"/>
      <c r="M624" s="8"/>
      <c r="N624" s="8"/>
      <c r="O624" s="8"/>
    </row>
    <row r="625" spans="12:15" ht="15.75" customHeight="1" x14ac:dyDescent="0.25">
      <c r="L625" s="6"/>
      <c r="M625" s="8"/>
      <c r="N625" s="8"/>
      <c r="O625" s="8"/>
    </row>
    <row r="626" spans="12:15" ht="15.75" customHeight="1" x14ac:dyDescent="0.25">
      <c r="L626" s="6"/>
      <c r="M626" s="8"/>
      <c r="N626" s="8"/>
      <c r="O626" s="8"/>
    </row>
    <row r="627" spans="12:15" ht="15.75" customHeight="1" x14ac:dyDescent="0.25">
      <c r="L627" s="6"/>
      <c r="M627" s="8"/>
      <c r="N627" s="8"/>
      <c r="O627" s="8"/>
    </row>
    <row r="628" spans="12:15" ht="15.75" customHeight="1" x14ac:dyDescent="0.25">
      <c r="L628" s="6"/>
      <c r="M628" s="8"/>
      <c r="N628" s="8"/>
      <c r="O628" s="8"/>
    </row>
    <row r="629" spans="12:15" ht="15.75" customHeight="1" x14ac:dyDescent="0.25">
      <c r="L629" s="6"/>
      <c r="M629" s="8"/>
      <c r="N629" s="8"/>
      <c r="O629" s="8"/>
    </row>
    <row r="630" spans="12:15" ht="15.75" customHeight="1" x14ac:dyDescent="0.25">
      <c r="L630" s="6"/>
      <c r="M630" s="8"/>
      <c r="N630" s="8"/>
      <c r="O630" s="8"/>
    </row>
    <row r="631" spans="12:15" ht="15.75" customHeight="1" x14ac:dyDescent="0.25">
      <c r="L631" s="6"/>
      <c r="M631" s="8"/>
      <c r="N631" s="8"/>
      <c r="O631" s="8"/>
    </row>
    <row r="632" spans="12:15" ht="15.75" customHeight="1" x14ac:dyDescent="0.25">
      <c r="L632" s="6"/>
      <c r="M632" s="8"/>
      <c r="N632" s="8"/>
      <c r="O632" s="8"/>
    </row>
    <row r="633" spans="12:15" ht="15.75" customHeight="1" x14ac:dyDescent="0.25">
      <c r="L633" s="6"/>
      <c r="M633" s="8"/>
      <c r="N633" s="8"/>
      <c r="O633" s="8"/>
    </row>
    <row r="634" spans="12:15" ht="15.75" customHeight="1" x14ac:dyDescent="0.25">
      <c r="L634" s="6"/>
      <c r="M634" s="8"/>
      <c r="N634" s="8"/>
      <c r="O634" s="8"/>
    </row>
    <row r="635" spans="12:15" ht="15.75" customHeight="1" x14ac:dyDescent="0.25">
      <c r="L635" s="6"/>
      <c r="M635" s="8"/>
      <c r="N635" s="8"/>
      <c r="O635" s="8"/>
    </row>
    <row r="636" spans="12:15" ht="15.75" customHeight="1" x14ac:dyDescent="0.25">
      <c r="L636" s="6"/>
      <c r="M636" s="8"/>
      <c r="N636" s="8"/>
      <c r="O636" s="8"/>
    </row>
    <row r="637" spans="12:15" ht="15.75" customHeight="1" x14ac:dyDescent="0.25">
      <c r="L637" s="6"/>
      <c r="M637" s="8"/>
      <c r="N637" s="8"/>
      <c r="O637" s="8"/>
    </row>
    <row r="638" spans="12:15" ht="15.75" customHeight="1" x14ac:dyDescent="0.25">
      <c r="L638" s="6"/>
      <c r="M638" s="8"/>
      <c r="N638" s="8"/>
      <c r="O638" s="8"/>
    </row>
    <row r="639" spans="12:15" ht="15.75" customHeight="1" x14ac:dyDescent="0.25">
      <c r="L639" s="6"/>
      <c r="M639" s="8"/>
      <c r="N639" s="8"/>
      <c r="O639" s="8"/>
    </row>
    <row r="640" spans="12:15" ht="15.75" customHeight="1" x14ac:dyDescent="0.25">
      <c r="L640" s="6"/>
      <c r="M640" s="8"/>
      <c r="N640" s="8"/>
      <c r="O640" s="8"/>
    </row>
    <row r="641" spans="12:15" ht="15.75" customHeight="1" x14ac:dyDescent="0.25">
      <c r="L641" s="6"/>
      <c r="M641" s="8"/>
      <c r="N641" s="8"/>
      <c r="O641" s="8"/>
    </row>
    <row r="642" spans="12:15" ht="15.75" customHeight="1" x14ac:dyDescent="0.25">
      <c r="L642" s="6"/>
      <c r="M642" s="8"/>
      <c r="N642" s="8"/>
      <c r="O642" s="8"/>
    </row>
    <row r="643" spans="12:15" ht="15.75" customHeight="1" x14ac:dyDescent="0.25">
      <c r="L643" s="6"/>
      <c r="M643" s="8"/>
      <c r="N643" s="8"/>
      <c r="O643" s="8"/>
    </row>
    <row r="644" spans="12:15" ht="15.75" customHeight="1" x14ac:dyDescent="0.25">
      <c r="L644" s="6"/>
      <c r="M644" s="8"/>
      <c r="N644" s="8"/>
      <c r="O644" s="8"/>
    </row>
    <row r="645" spans="12:15" ht="15.75" customHeight="1" x14ac:dyDescent="0.25">
      <c r="L645" s="6"/>
      <c r="M645" s="8"/>
      <c r="N645" s="8"/>
      <c r="O645" s="8"/>
    </row>
    <row r="646" spans="12:15" ht="15.75" customHeight="1" x14ac:dyDescent="0.25">
      <c r="L646" s="6"/>
      <c r="M646" s="8"/>
      <c r="N646" s="8"/>
      <c r="O646" s="8"/>
    </row>
    <row r="647" spans="12:15" ht="15.75" customHeight="1" x14ac:dyDescent="0.25">
      <c r="L647" s="6"/>
      <c r="M647" s="8"/>
      <c r="N647" s="8"/>
      <c r="O647" s="8"/>
    </row>
    <row r="648" spans="12:15" ht="15.75" customHeight="1" x14ac:dyDescent="0.25">
      <c r="L648" s="6"/>
      <c r="M648" s="8"/>
      <c r="N648" s="8"/>
      <c r="O648" s="8"/>
    </row>
    <row r="649" spans="12:15" ht="15.75" customHeight="1" x14ac:dyDescent="0.25">
      <c r="L649" s="6"/>
      <c r="M649" s="8"/>
      <c r="N649" s="8"/>
      <c r="O649" s="8"/>
    </row>
    <row r="650" spans="12:15" ht="15.75" customHeight="1" x14ac:dyDescent="0.25">
      <c r="L650" s="6"/>
      <c r="M650" s="8"/>
      <c r="N650" s="8"/>
      <c r="O650" s="8"/>
    </row>
    <row r="651" spans="12:15" ht="15.75" customHeight="1" x14ac:dyDescent="0.25">
      <c r="L651" s="6"/>
      <c r="M651" s="8"/>
      <c r="N651" s="8"/>
      <c r="O651" s="8"/>
    </row>
    <row r="652" spans="12:15" ht="15.75" customHeight="1" x14ac:dyDescent="0.25">
      <c r="L652" s="6"/>
      <c r="M652" s="8"/>
      <c r="N652" s="8"/>
      <c r="O652" s="8"/>
    </row>
    <row r="653" spans="12:15" ht="15.75" customHeight="1" x14ac:dyDescent="0.25">
      <c r="L653" s="6"/>
      <c r="M653" s="8"/>
      <c r="N653" s="8"/>
      <c r="O653" s="8"/>
    </row>
    <row r="654" spans="12:15" ht="15.75" customHeight="1" x14ac:dyDescent="0.25">
      <c r="L654" s="6"/>
      <c r="M654" s="8"/>
      <c r="N654" s="8"/>
      <c r="O654" s="8"/>
    </row>
    <row r="655" spans="12:15" ht="15.75" customHeight="1" x14ac:dyDescent="0.25">
      <c r="L655" s="6"/>
      <c r="M655" s="8"/>
      <c r="N655" s="8"/>
      <c r="O655" s="8"/>
    </row>
    <row r="656" spans="12:15" ht="15.75" customHeight="1" x14ac:dyDescent="0.25">
      <c r="L656" s="6"/>
      <c r="M656" s="8"/>
      <c r="N656" s="8"/>
      <c r="O656" s="8"/>
    </row>
    <row r="657" spans="12:15" ht="15.75" customHeight="1" x14ac:dyDescent="0.25">
      <c r="L657" s="6"/>
      <c r="M657" s="8"/>
      <c r="N657" s="8"/>
      <c r="O657" s="8"/>
    </row>
    <row r="658" spans="12:15" ht="15.75" customHeight="1" x14ac:dyDescent="0.25">
      <c r="L658" s="6"/>
      <c r="M658" s="8"/>
      <c r="N658" s="8"/>
      <c r="O658" s="8"/>
    </row>
    <row r="659" spans="12:15" ht="15.75" customHeight="1" x14ac:dyDescent="0.25">
      <c r="L659" s="6"/>
      <c r="M659" s="8"/>
      <c r="N659" s="8"/>
      <c r="O659" s="8"/>
    </row>
    <row r="660" spans="12:15" ht="15.75" customHeight="1" x14ac:dyDescent="0.25">
      <c r="L660" s="6"/>
      <c r="M660" s="8"/>
      <c r="N660" s="8"/>
      <c r="O660" s="8"/>
    </row>
    <row r="661" spans="12:15" ht="15.75" customHeight="1" x14ac:dyDescent="0.25">
      <c r="L661" s="6"/>
      <c r="M661" s="8"/>
      <c r="N661" s="8"/>
      <c r="O661" s="8"/>
    </row>
    <row r="662" spans="12:15" ht="15.75" customHeight="1" x14ac:dyDescent="0.25">
      <c r="L662" s="6"/>
      <c r="M662" s="8"/>
      <c r="N662" s="8"/>
      <c r="O662" s="8"/>
    </row>
    <row r="663" spans="12:15" ht="15.75" customHeight="1" x14ac:dyDescent="0.25">
      <c r="L663" s="6"/>
      <c r="M663" s="8"/>
      <c r="N663" s="8"/>
      <c r="O663" s="8"/>
    </row>
    <row r="664" spans="12:15" ht="15.75" customHeight="1" x14ac:dyDescent="0.25">
      <c r="L664" s="6"/>
      <c r="M664" s="8"/>
      <c r="N664" s="8"/>
      <c r="O664" s="8"/>
    </row>
    <row r="665" spans="12:15" ht="15.75" customHeight="1" x14ac:dyDescent="0.25">
      <c r="L665" s="6"/>
      <c r="M665" s="8"/>
      <c r="N665" s="8"/>
      <c r="O665" s="8"/>
    </row>
    <row r="666" spans="12:15" ht="15.75" customHeight="1" x14ac:dyDescent="0.25">
      <c r="L666" s="6"/>
      <c r="M666" s="8"/>
      <c r="N666" s="8"/>
      <c r="O666" s="8"/>
    </row>
    <row r="667" spans="12:15" ht="15.75" customHeight="1" x14ac:dyDescent="0.25">
      <c r="L667" s="6"/>
      <c r="M667" s="8"/>
      <c r="N667" s="8"/>
      <c r="O667" s="8"/>
    </row>
    <row r="668" spans="12:15" ht="15.75" customHeight="1" x14ac:dyDescent="0.25">
      <c r="L668" s="6"/>
      <c r="M668" s="8"/>
      <c r="N668" s="8"/>
      <c r="O668" s="8"/>
    </row>
    <row r="669" spans="12:15" ht="15.75" customHeight="1" x14ac:dyDescent="0.25">
      <c r="L669" s="6"/>
      <c r="M669" s="8"/>
      <c r="N669" s="8"/>
      <c r="O669" s="8"/>
    </row>
    <row r="670" spans="12:15" ht="15.75" customHeight="1" x14ac:dyDescent="0.25">
      <c r="L670" s="6"/>
      <c r="M670" s="8"/>
      <c r="N670" s="8"/>
      <c r="O670" s="8"/>
    </row>
    <row r="671" spans="12:15" ht="15.75" customHeight="1" x14ac:dyDescent="0.25">
      <c r="L671" s="6"/>
      <c r="M671" s="8"/>
      <c r="N671" s="8"/>
      <c r="O671" s="8"/>
    </row>
    <row r="672" spans="12:15" ht="15.75" customHeight="1" x14ac:dyDescent="0.25">
      <c r="L672" s="6"/>
      <c r="M672" s="8"/>
      <c r="N672" s="8"/>
      <c r="O672" s="8"/>
    </row>
    <row r="673" spans="12:15" ht="15.75" customHeight="1" x14ac:dyDescent="0.25">
      <c r="L673" s="6"/>
      <c r="M673" s="8"/>
      <c r="N673" s="8"/>
      <c r="O673" s="8"/>
    </row>
    <row r="674" spans="12:15" ht="15.75" customHeight="1" x14ac:dyDescent="0.25">
      <c r="L674" s="6"/>
      <c r="M674" s="8"/>
      <c r="N674" s="8"/>
      <c r="O674" s="8"/>
    </row>
    <row r="675" spans="12:15" ht="15.75" customHeight="1" x14ac:dyDescent="0.25">
      <c r="L675" s="6"/>
      <c r="M675" s="8"/>
      <c r="N675" s="8"/>
      <c r="O675" s="8"/>
    </row>
    <row r="676" spans="12:15" ht="15.75" customHeight="1" x14ac:dyDescent="0.25">
      <c r="L676" s="6"/>
      <c r="M676" s="8"/>
      <c r="N676" s="8"/>
      <c r="O676" s="8"/>
    </row>
    <row r="677" spans="12:15" ht="15.75" customHeight="1" x14ac:dyDescent="0.25">
      <c r="L677" s="6"/>
      <c r="M677" s="8"/>
      <c r="N677" s="8"/>
      <c r="O677" s="8"/>
    </row>
    <row r="678" spans="12:15" ht="15.75" customHeight="1" x14ac:dyDescent="0.25">
      <c r="L678" s="6"/>
      <c r="M678" s="8"/>
      <c r="N678" s="8"/>
      <c r="O678" s="8"/>
    </row>
    <row r="679" spans="12:15" ht="15.75" customHeight="1" x14ac:dyDescent="0.25">
      <c r="L679" s="6"/>
      <c r="M679" s="8"/>
      <c r="N679" s="8"/>
      <c r="O679" s="8"/>
    </row>
    <row r="680" spans="12:15" ht="15.75" customHeight="1" x14ac:dyDescent="0.25">
      <c r="L680" s="6"/>
      <c r="M680" s="8"/>
      <c r="N680" s="8"/>
      <c r="O680" s="8"/>
    </row>
    <row r="681" spans="12:15" ht="15.75" customHeight="1" x14ac:dyDescent="0.25">
      <c r="L681" s="6"/>
      <c r="M681" s="8"/>
      <c r="N681" s="8"/>
      <c r="O681" s="8"/>
    </row>
    <row r="682" spans="12:15" ht="15.75" customHeight="1" x14ac:dyDescent="0.25">
      <c r="L682" s="6"/>
      <c r="M682" s="8"/>
      <c r="N682" s="8"/>
      <c r="O682" s="8"/>
    </row>
    <row r="683" spans="12:15" ht="15.75" customHeight="1" x14ac:dyDescent="0.25">
      <c r="L683" s="6"/>
      <c r="M683" s="8"/>
      <c r="N683" s="8"/>
      <c r="O683" s="8"/>
    </row>
    <row r="684" spans="12:15" ht="15.75" customHeight="1" x14ac:dyDescent="0.25">
      <c r="L684" s="6"/>
      <c r="M684" s="8"/>
      <c r="N684" s="8"/>
      <c r="O684" s="8"/>
    </row>
    <row r="685" spans="12:15" ht="15.75" customHeight="1" x14ac:dyDescent="0.25">
      <c r="L685" s="6"/>
      <c r="M685" s="8"/>
      <c r="N685" s="8"/>
      <c r="O685" s="8"/>
    </row>
    <row r="686" spans="12:15" ht="15.75" customHeight="1" x14ac:dyDescent="0.25">
      <c r="L686" s="6"/>
      <c r="M686" s="8"/>
      <c r="N686" s="8"/>
      <c r="O686" s="8"/>
    </row>
    <row r="687" spans="12:15" ht="15.75" customHeight="1" x14ac:dyDescent="0.25">
      <c r="L687" s="6"/>
      <c r="M687" s="8"/>
      <c r="N687" s="8"/>
      <c r="O687" s="8"/>
    </row>
    <row r="688" spans="12:15" ht="15.75" customHeight="1" x14ac:dyDescent="0.25">
      <c r="L688" s="6"/>
      <c r="M688" s="8"/>
      <c r="N688" s="8"/>
      <c r="O688" s="8"/>
    </row>
    <row r="689" spans="12:15" ht="15.75" customHeight="1" x14ac:dyDescent="0.25">
      <c r="L689" s="6"/>
      <c r="M689" s="8"/>
      <c r="N689" s="8"/>
      <c r="O689" s="8"/>
    </row>
    <row r="690" spans="12:15" ht="15.75" customHeight="1" x14ac:dyDescent="0.25">
      <c r="L690" s="6"/>
      <c r="M690" s="8"/>
      <c r="N690" s="8"/>
      <c r="O690" s="8"/>
    </row>
    <row r="691" spans="12:15" ht="15.75" customHeight="1" x14ac:dyDescent="0.25">
      <c r="L691" s="6"/>
      <c r="M691" s="8"/>
      <c r="N691" s="8"/>
      <c r="O691" s="8"/>
    </row>
    <row r="692" spans="12:15" ht="15.75" customHeight="1" x14ac:dyDescent="0.25">
      <c r="L692" s="6"/>
      <c r="M692" s="8"/>
      <c r="N692" s="8"/>
      <c r="O692" s="8"/>
    </row>
    <row r="693" spans="12:15" ht="15.75" customHeight="1" x14ac:dyDescent="0.25">
      <c r="L693" s="6"/>
      <c r="M693" s="8"/>
      <c r="N693" s="8"/>
      <c r="O693" s="8"/>
    </row>
    <row r="694" spans="12:15" ht="15.75" customHeight="1" x14ac:dyDescent="0.25">
      <c r="L694" s="6"/>
      <c r="M694" s="8"/>
      <c r="N694" s="8"/>
      <c r="O694" s="8"/>
    </row>
    <row r="695" spans="12:15" ht="15.75" customHeight="1" x14ac:dyDescent="0.25">
      <c r="L695" s="6"/>
      <c r="M695" s="8"/>
      <c r="N695" s="8"/>
      <c r="O695" s="8"/>
    </row>
    <row r="696" spans="12:15" ht="15.75" customHeight="1" x14ac:dyDescent="0.25">
      <c r="L696" s="6"/>
      <c r="M696" s="8"/>
      <c r="N696" s="8"/>
      <c r="O696" s="8"/>
    </row>
    <row r="697" spans="12:15" ht="15.75" customHeight="1" x14ac:dyDescent="0.25">
      <c r="L697" s="6"/>
      <c r="M697" s="8"/>
      <c r="N697" s="8"/>
      <c r="O697" s="8"/>
    </row>
    <row r="698" spans="12:15" ht="15.75" customHeight="1" x14ac:dyDescent="0.25">
      <c r="L698" s="6"/>
      <c r="M698" s="8"/>
      <c r="N698" s="8"/>
      <c r="O698" s="8"/>
    </row>
    <row r="699" spans="12:15" ht="15.75" customHeight="1" x14ac:dyDescent="0.25">
      <c r="L699" s="6"/>
      <c r="M699" s="8"/>
      <c r="N699" s="8"/>
      <c r="O699" s="8"/>
    </row>
    <row r="700" spans="12:15" ht="15.75" customHeight="1" x14ac:dyDescent="0.25">
      <c r="L700" s="6"/>
      <c r="M700" s="8"/>
      <c r="N700" s="8"/>
      <c r="O700" s="8"/>
    </row>
    <row r="701" spans="12:15" ht="15.75" customHeight="1" x14ac:dyDescent="0.25">
      <c r="L701" s="6"/>
      <c r="M701" s="8"/>
      <c r="N701" s="8"/>
      <c r="O701" s="8"/>
    </row>
    <row r="702" spans="12:15" ht="15.75" customHeight="1" x14ac:dyDescent="0.25">
      <c r="L702" s="6"/>
      <c r="M702" s="8"/>
      <c r="N702" s="8"/>
      <c r="O702" s="8"/>
    </row>
    <row r="703" spans="12:15" ht="15.75" customHeight="1" x14ac:dyDescent="0.25">
      <c r="L703" s="6"/>
      <c r="M703" s="8"/>
      <c r="N703" s="8"/>
      <c r="O703" s="8"/>
    </row>
    <row r="704" spans="12:15" ht="15.75" customHeight="1" x14ac:dyDescent="0.25">
      <c r="L704" s="6"/>
      <c r="M704" s="8"/>
      <c r="N704" s="8"/>
      <c r="O704" s="8"/>
    </row>
    <row r="705" spans="12:15" ht="15.75" customHeight="1" x14ac:dyDescent="0.25">
      <c r="L705" s="6"/>
      <c r="M705" s="8"/>
      <c r="N705" s="8"/>
      <c r="O705" s="8"/>
    </row>
    <row r="706" spans="12:15" ht="15.75" customHeight="1" x14ac:dyDescent="0.25">
      <c r="L706" s="6"/>
      <c r="M706" s="8"/>
      <c r="N706" s="8"/>
      <c r="O706" s="8"/>
    </row>
    <row r="707" spans="12:15" ht="15.75" customHeight="1" x14ac:dyDescent="0.25">
      <c r="L707" s="6"/>
      <c r="M707" s="8"/>
      <c r="N707" s="8"/>
      <c r="O707" s="8"/>
    </row>
    <row r="708" spans="12:15" ht="15.75" customHeight="1" x14ac:dyDescent="0.25">
      <c r="L708" s="6"/>
      <c r="M708" s="8"/>
      <c r="N708" s="8"/>
      <c r="O708" s="8"/>
    </row>
    <row r="709" spans="12:15" ht="15.75" customHeight="1" x14ac:dyDescent="0.25">
      <c r="L709" s="6"/>
      <c r="M709" s="8"/>
      <c r="N709" s="8"/>
      <c r="O709" s="8"/>
    </row>
    <row r="710" spans="12:15" ht="15.75" customHeight="1" x14ac:dyDescent="0.25">
      <c r="L710" s="6"/>
      <c r="M710" s="8"/>
      <c r="N710" s="8"/>
      <c r="O710" s="8"/>
    </row>
    <row r="711" spans="12:15" ht="15.75" customHeight="1" x14ac:dyDescent="0.25">
      <c r="L711" s="6"/>
      <c r="M711" s="8"/>
      <c r="N711" s="8"/>
      <c r="O711" s="8"/>
    </row>
    <row r="712" spans="12:15" ht="15.75" customHeight="1" x14ac:dyDescent="0.25">
      <c r="L712" s="6"/>
      <c r="M712" s="8"/>
      <c r="N712" s="8"/>
      <c r="O712" s="8"/>
    </row>
    <row r="713" spans="12:15" ht="15.75" customHeight="1" x14ac:dyDescent="0.25">
      <c r="L713" s="6"/>
      <c r="M713" s="8"/>
      <c r="N713" s="8"/>
      <c r="O713" s="8"/>
    </row>
    <row r="714" spans="12:15" ht="15.75" customHeight="1" x14ac:dyDescent="0.25">
      <c r="L714" s="6"/>
      <c r="M714" s="8"/>
      <c r="N714" s="8"/>
      <c r="O714" s="8"/>
    </row>
    <row r="715" spans="12:15" ht="15.75" customHeight="1" x14ac:dyDescent="0.25">
      <c r="L715" s="6"/>
      <c r="M715" s="8"/>
      <c r="N715" s="8"/>
      <c r="O715" s="8"/>
    </row>
    <row r="716" spans="12:15" ht="15.75" customHeight="1" x14ac:dyDescent="0.25">
      <c r="L716" s="6"/>
      <c r="M716" s="8"/>
      <c r="N716" s="8"/>
      <c r="O716" s="8"/>
    </row>
    <row r="717" spans="12:15" ht="15.75" customHeight="1" x14ac:dyDescent="0.25">
      <c r="L717" s="6"/>
      <c r="M717" s="8"/>
      <c r="N717" s="8"/>
      <c r="O717" s="8"/>
    </row>
    <row r="718" spans="12:15" ht="15.75" customHeight="1" x14ac:dyDescent="0.25">
      <c r="L718" s="6"/>
      <c r="M718" s="8"/>
      <c r="N718" s="8"/>
      <c r="O718" s="8"/>
    </row>
    <row r="719" spans="12:15" ht="15.75" customHeight="1" x14ac:dyDescent="0.25">
      <c r="L719" s="6"/>
      <c r="M719" s="8"/>
      <c r="N719" s="8"/>
      <c r="O719" s="8"/>
    </row>
    <row r="720" spans="12:15" ht="15.75" customHeight="1" x14ac:dyDescent="0.25">
      <c r="L720" s="6"/>
      <c r="M720" s="8"/>
      <c r="N720" s="8"/>
      <c r="O720" s="8"/>
    </row>
    <row r="721" spans="12:15" ht="15.75" customHeight="1" x14ac:dyDescent="0.25">
      <c r="L721" s="6"/>
      <c r="M721" s="8"/>
      <c r="N721" s="8"/>
      <c r="O721" s="8"/>
    </row>
    <row r="722" spans="12:15" ht="15.75" customHeight="1" x14ac:dyDescent="0.25">
      <c r="L722" s="6"/>
      <c r="M722" s="8"/>
      <c r="N722" s="8"/>
      <c r="O722" s="8"/>
    </row>
    <row r="723" spans="12:15" ht="15.75" customHeight="1" x14ac:dyDescent="0.25">
      <c r="L723" s="6"/>
      <c r="M723" s="8"/>
      <c r="N723" s="8"/>
      <c r="O723" s="8"/>
    </row>
    <row r="724" spans="12:15" ht="15.75" customHeight="1" x14ac:dyDescent="0.25">
      <c r="L724" s="6"/>
      <c r="M724" s="8"/>
      <c r="N724" s="8"/>
      <c r="O724" s="8"/>
    </row>
    <row r="725" spans="12:15" ht="15.75" customHeight="1" x14ac:dyDescent="0.25">
      <c r="L725" s="6"/>
      <c r="M725" s="8"/>
      <c r="N725" s="8"/>
      <c r="O725" s="8"/>
    </row>
    <row r="726" spans="12:15" ht="15.75" customHeight="1" x14ac:dyDescent="0.25">
      <c r="L726" s="6"/>
      <c r="M726" s="8"/>
      <c r="N726" s="8"/>
      <c r="O726" s="8"/>
    </row>
    <row r="727" spans="12:15" ht="15.75" customHeight="1" x14ac:dyDescent="0.25">
      <c r="L727" s="6"/>
      <c r="M727" s="8"/>
      <c r="N727" s="8"/>
      <c r="O727" s="8"/>
    </row>
    <row r="728" spans="12:15" ht="15.75" customHeight="1" x14ac:dyDescent="0.25">
      <c r="L728" s="6"/>
      <c r="M728" s="8"/>
      <c r="N728" s="8"/>
      <c r="O728" s="8"/>
    </row>
    <row r="729" spans="12:15" ht="15.75" customHeight="1" x14ac:dyDescent="0.25">
      <c r="L729" s="6"/>
      <c r="M729" s="8"/>
      <c r="N729" s="8"/>
      <c r="O729" s="8"/>
    </row>
    <row r="730" spans="12:15" ht="15.75" customHeight="1" x14ac:dyDescent="0.25">
      <c r="L730" s="6"/>
      <c r="M730" s="8"/>
      <c r="N730" s="8"/>
      <c r="O730" s="8"/>
    </row>
    <row r="731" spans="12:15" ht="15.75" customHeight="1" x14ac:dyDescent="0.25">
      <c r="L731" s="6"/>
      <c r="M731" s="8"/>
      <c r="N731" s="8"/>
      <c r="O731" s="8"/>
    </row>
    <row r="732" spans="12:15" ht="15.75" customHeight="1" x14ac:dyDescent="0.25">
      <c r="L732" s="6"/>
      <c r="M732" s="8"/>
      <c r="N732" s="8"/>
      <c r="O732" s="8"/>
    </row>
    <row r="733" spans="12:15" ht="15.75" customHeight="1" x14ac:dyDescent="0.25">
      <c r="L733" s="6"/>
      <c r="M733" s="8"/>
      <c r="N733" s="8"/>
      <c r="O733" s="8"/>
    </row>
    <row r="734" spans="12:15" ht="15.75" customHeight="1" x14ac:dyDescent="0.25">
      <c r="L734" s="6"/>
      <c r="M734" s="8"/>
      <c r="N734" s="8"/>
      <c r="O734" s="8"/>
    </row>
    <row r="735" spans="12:15" ht="15.75" customHeight="1" x14ac:dyDescent="0.25">
      <c r="L735" s="6"/>
      <c r="M735" s="8"/>
      <c r="N735" s="8"/>
      <c r="O735" s="8"/>
    </row>
    <row r="736" spans="12:15" ht="15.75" customHeight="1" x14ac:dyDescent="0.25">
      <c r="L736" s="6"/>
      <c r="M736" s="8"/>
      <c r="N736" s="8"/>
      <c r="O736" s="8"/>
    </row>
    <row r="737" spans="12:15" ht="15.75" customHeight="1" x14ac:dyDescent="0.25">
      <c r="L737" s="6"/>
      <c r="M737" s="8"/>
      <c r="N737" s="8"/>
      <c r="O737" s="8"/>
    </row>
    <row r="738" spans="12:15" ht="15.75" customHeight="1" x14ac:dyDescent="0.25">
      <c r="L738" s="6"/>
      <c r="M738" s="8"/>
      <c r="N738" s="8"/>
      <c r="O738" s="8"/>
    </row>
    <row r="739" spans="12:15" ht="15.75" customHeight="1" x14ac:dyDescent="0.25">
      <c r="L739" s="6"/>
      <c r="M739" s="8"/>
      <c r="N739" s="8"/>
      <c r="O739" s="8"/>
    </row>
    <row r="740" spans="12:15" ht="15.75" customHeight="1" x14ac:dyDescent="0.25">
      <c r="L740" s="6"/>
      <c r="M740" s="8"/>
      <c r="N740" s="8"/>
      <c r="O740" s="8"/>
    </row>
    <row r="741" spans="12:15" ht="15.75" customHeight="1" x14ac:dyDescent="0.25">
      <c r="L741" s="6"/>
      <c r="M741" s="8"/>
      <c r="N741" s="8"/>
      <c r="O741" s="8"/>
    </row>
    <row r="742" spans="12:15" ht="15.75" customHeight="1" x14ac:dyDescent="0.25">
      <c r="L742" s="6"/>
      <c r="M742" s="8"/>
      <c r="N742" s="8"/>
      <c r="O742" s="8"/>
    </row>
    <row r="743" spans="12:15" ht="15.75" customHeight="1" x14ac:dyDescent="0.25">
      <c r="L743" s="6"/>
      <c r="M743" s="8"/>
      <c r="N743" s="8"/>
      <c r="O743" s="8"/>
    </row>
    <row r="744" spans="12:15" ht="15.75" customHeight="1" x14ac:dyDescent="0.25">
      <c r="L744" s="6"/>
      <c r="M744" s="8"/>
      <c r="N744" s="8"/>
      <c r="O744" s="8"/>
    </row>
    <row r="745" spans="12:15" ht="15.75" customHeight="1" x14ac:dyDescent="0.25">
      <c r="L745" s="6"/>
      <c r="M745" s="8"/>
      <c r="N745" s="8"/>
      <c r="O745" s="8"/>
    </row>
    <row r="746" spans="12:15" ht="15.75" customHeight="1" x14ac:dyDescent="0.25">
      <c r="L746" s="6"/>
      <c r="M746" s="8"/>
      <c r="N746" s="8"/>
      <c r="O746" s="8"/>
    </row>
    <row r="747" spans="12:15" ht="15.75" customHeight="1" x14ac:dyDescent="0.25">
      <c r="L747" s="6"/>
      <c r="M747" s="8"/>
      <c r="N747" s="8"/>
      <c r="O747" s="8"/>
    </row>
    <row r="748" spans="12:15" ht="15.75" customHeight="1" x14ac:dyDescent="0.25">
      <c r="L748" s="6"/>
      <c r="M748" s="8"/>
      <c r="N748" s="8"/>
      <c r="O748" s="8"/>
    </row>
    <row r="749" spans="12:15" ht="15.75" customHeight="1" x14ac:dyDescent="0.25">
      <c r="L749" s="6"/>
      <c r="M749" s="8"/>
      <c r="N749" s="8"/>
      <c r="O749" s="8"/>
    </row>
    <row r="750" spans="12:15" ht="15.75" customHeight="1" x14ac:dyDescent="0.25">
      <c r="L750" s="6"/>
      <c r="M750" s="8"/>
      <c r="N750" s="8"/>
      <c r="O750" s="8"/>
    </row>
    <row r="751" spans="12:15" ht="15.75" customHeight="1" x14ac:dyDescent="0.25">
      <c r="L751" s="6"/>
      <c r="M751" s="8"/>
      <c r="N751" s="8"/>
      <c r="O751" s="8"/>
    </row>
    <row r="752" spans="12:15" ht="15.75" customHeight="1" x14ac:dyDescent="0.25">
      <c r="L752" s="6"/>
      <c r="M752" s="8"/>
      <c r="N752" s="8"/>
      <c r="O752" s="8"/>
    </row>
    <row r="753" spans="12:15" ht="15.75" customHeight="1" x14ac:dyDescent="0.25">
      <c r="L753" s="6"/>
      <c r="M753" s="8"/>
      <c r="N753" s="8"/>
      <c r="O753" s="8"/>
    </row>
    <row r="754" spans="12:15" ht="15.75" customHeight="1" x14ac:dyDescent="0.25">
      <c r="L754" s="6"/>
      <c r="M754" s="8"/>
      <c r="N754" s="8"/>
      <c r="O754" s="8"/>
    </row>
    <row r="755" spans="12:15" ht="15.75" customHeight="1" x14ac:dyDescent="0.25">
      <c r="L755" s="6"/>
      <c r="M755" s="8"/>
      <c r="N755" s="8"/>
      <c r="O755" s="8"/>
    </row>
    <row r="756" spans="12:15" ht="15.75" customHeight="1" x14ac:dyDescent="0.25">
      <c r="L756" s="6"/>
      <c r="M756" s="8"/>
      <c r="N756" s="8"/>
      <c r="O756" s="8"/>
    </row>
    <row r="757" spans="12:15" ht="15.75" customHeight="1" x14ac:dyDescent="0.25">
      <c r="L757" s="6"/>
      <c r="M757" s="8"/>
      <c r="N757" s="8"/>
      <c r="O757" s="8"/>
    </row>
    <row r="758" spans="12:15" ht="15.75" customHeight="1" x14ac:dyDescent="0.25">
      <c r="L758" s="6"/>
      <c r="M758" s="8"/>
      <c r="N758" s="8"/>
      <c r="O758" s="8"/>
    </row>
    <row r="759" spans="12:15" ht="15.75" customHeight="1" x14ac:dyDescent="0.25">
      <c r="L759" s="6"/>
      <c r="M759" s="8"/>
      <c r="N759" s="8"/>
      <c r="O759" s="8"/>
    </row>
    <row r="760" spans="12:15" ht="15.75" customHeight="1" x14ac:dyDescent="0.25">
      <c r="L760" s="6"/>
      <c r="M760" s="8"/>
      <c r="N760" s="8"/>
      <c r="O760" s="8"/>
    </row>
    <row r="761" spans="12:15" ht="15.75" customHeight="1" x14ac:dyDescent="0.25">
      <c r="L761" s="6"/>
      <c r="M761" s="8"/>
      <c r="N761" s="8"/>
      <c r="O761" s="8"/>
    </row>
    <row r="762" spans="12:15" ht="15.75" customHeight="1" x14ac:dyDescent="0.25">
      <c r="L762" s="6"/>
      <c r="M762" s="8"/>
      <c r="N762" s="8"/>
      <c r="O762" s="8"/>
    </row>
    <row r="763" spans="12:15" ht="15.75" customHeight="1" x14ac:dyDescent="0.25">
      <c r="L763" s="6"/>
      <c r="M763" s="8"/>
      <c r="N763" s="8"/>
      <c r="O763" s="8"/>
    </row>
    <row r="764" spans="12:15" ht="15.75" customHeight="1" x14ac:dyDescent="0.25">
      <c r="L764" s="6"/>
      <c r="M764" s="8"/>
      <c r="N764" s="8"/>
      <c r="O764" s="8"/>
    </row>
    <row r="765" spans="12:15" ht="15.75" customHeight="1" x14ac:dyDescent="0.25">
      <c r="L765" s="6"/>
      <c r="M765" s="8"/>
      <c r="N765" s="8"/>
      <c r="O765" s="8"/>
    </row>
    <row r="766" spans="12:15" ht="15.75" customHeight="1" x14ac:dyDescent="0.25">
      <c r="L766" s="6"/>
      <c r="M766" s="8"/>
      <c r="N766" s="8"/>
      <c r="O766" s="8"/>
    </row>
    <row r="767" spans="12:15" ht="15.75" customHeight="1" x14ac:dyDescent="0.25">
      <c r="L767" s="6"/>
      <c r="M767" s="8"/>
      <c r="N767" s="8"/>
      <c r="O767" s="8"/>
    </row>
    <row r="768" spans="12:15" ht="15.75" customHeight="1" x14ac:dyDescent="0.25">
      <c r="L768" s="6"/>
      <c r="M768" s="8"/>
      <c r="N768" s="8"/>
      <c r="O768" s="8"/>
    </row>
    <row r="769" spans="12:15" ht="15.75" customHeight="1" x14ac:dyDescent="0.25">
      <c r="L769" s="6"/>
      <c r="M769" s="8"/>
      <c r="N769" s="8"/>
      <c r="O769" s="8"/>
    </row>
    <row r="770" spans="12:15" ht="15.75" customHeight="1" x14ac:dyDescent="0.25">
      <c r="L770" s="6"/>
      <c r="M770" s="8"/>
      <c r="N770" s="8"/>
      <c r="O770" s="8"/>
    </row>
    <row r="771" spans="12:15" ht="15.75" customHeight="1" x14ac:dyDescent="0.25">
      <c r="L771" s="6"/>
      <c r="M771" s="8"/>
      <c r="N771" s="8"/>
      <c r="O771" s="8"/>
    </row>
    <row r="772" spans="12:15" ht="15.75" customHeight="1" x14ac:dyDescent="0.25">
      <c r="L772" s="6"/>
      <c r="M772" s="8"/>
      <c r="N772" s="8"/>
      <c r="O772" s="8"/>
    </row>
    <row r="773" spans="12:15" ht="15.75" customHeight="1" x14ac:dyDescent="0.25">
      <c r="L773" s="6"/>
      <c r="M773" s="8"/>
      <c r="N773" s="8"/>
      <c r="O773" s="8"/>
    </row>
    <row r="774" spans="12:15" ht="15.75" customHeight="1" x14ac:dyDescent="0.25">
      <c r="L774" s="6"/>
      <c r="M774" s="8"/>
      <c r="N774" s="8"/>
      <c r="O774" s="8"/>
    </row>
    <row r="775" spans="12:15" ht="15.75" customHeight="1" x14ac:dyDescent="0.25">
      <c r="L775" s="6"/>
      <c r="M775" s="8"/>
      <c r="N775" s="8"/>
      <c r="O775" s="8"/>
    </row>
    <row r="776" spans="12:15" ht="15.75" customHeight="1" x14ac:dyDescent="0.25">
      <c r="L776" s="6"/>
      <c r="M776" s="8"/>
      <c r="N776" s="8"/>
      <c r="O776" s="8"/>
    </row>
    <row r="777" spans="12:15" ht="15.75" customHeight="1" x14ac:dyDescent="0.25">
      <c r="L777" s="6"/>
      <c r="M777" s="8"/>
      <c r="N777" s="8"/>
      <c r="O777" s="8"/>
    </row>
    <row r="778" spans="12:15" ht="15.75" customHeight="1" x14ac:dyDescent="0.25">
      <c r="L778" s="6"/>
      <c r="M778" s="8"/>
      <c r="N778" s="8"/>
      <c r="O778" s="8"/>
    </row>
    <row r="779" spans="12:15" ht="15.75" customHeight="1" x14ac:dyDescent="0.25">
      <c r="L779" s="6"/>
      <c r="M779" s="8"/>
      <c r="N779" s="8"/>
      <c r="O779" s="8"/>
    </row>
    <row r="780" spans="12:15" ht="15.75" customHeight="1" x14ac:dyDescent="0.25">
      <c r="L780" s="6"/>
      <c r="M780" s="8"/>
      <c r="N780" s="8"/>
      <c r="O780" s="8"/>
    </row>
    <row r="781" spans="12:15" ht="15.75" customHeight="1" x14ac:dyDescent="0.25">
      <c r="L781" s="6"/>
      <c r="M781" s="8"/>
      <c r="N781" s="8"/>
      <c r="O781" s="8"/>
    </row>
    <row r="782" spans="12:15" ht="15.75" customHeight="1" x14ac:dyDescent="0.25">
      <c r="L782" s="6"/>
      <c r="M782" s="8"/>
      <c r="N782" s="8"/>
      <c r="O782" s="8"/>
    </row>
    <row r="783" spans="12:15" ht="15.75" customHeight="1" x14ac:dyDescent="0.25">
      <c r="L783" s="6"/>
      <c r="M783" s="8"/>
      <c r="N783" s="8"/>
      <c r="O783" s="8"/>
    </row>
    <row r="784" spans="12:15" ht="15.75" customHeight="1" x14ac:dyDescent="0.25">
      <c r="L784" s="6"/>
      <c r="M784" s="8"/>
      <c r="N784" s="8"/>
      <c r="O784" s="8"/>
    </row>
    <row r="785" spans="12:15" ht="15.75" customHeight="1" x14ac:dyDescent="0.25">
      <c r="L785" s="6"/>
      <c r="M785" s="8"/>
      <c r="N785" s="8"/>
      <c r="O785" s="8"/>
    </row>
    <row r="786" spans="12:15" ht="15.75" customHeight="1" x14ac:dyDescent="0.25">
      <c r="L786" s="6"/>
      <c r="M786" s="8"/>
      <c r="N786" s="8"/>
      <c r="O786" s="8"/>
    </row>
    <row r="787" spans="12:15" ht="15.75" customHeight="1" x14ac:dyDescent="0.25">
      <c r="L787" s="6"/>
      <c r="M787" s="8"/>
      <c r="N787" s="8"/>
      <c r="O787" s="8"/>
    </row>
    <row r="788" spans="12:15" ht="15.75" customHeight="1" x14ac:dyDescent="0.25">
      <c r="L788" s="6"/>
      <c r="M788" s="8"/>
      <c r="N788" s="8"/>
      <c r="O788" s="8"/>
    </row>
    <row r="789" spans="12:15" ht="15.75" customHeight="1" x14ac:dyDescent="0.25">
      <c r="L789" s="6"/>
      <c r="M789" s="8"/>
      <c r="N789" s="8"/>
      <c r="O789" s="8"/>
    </row>
    <row r="790" spans="12:15" ht="15.75" customHeight="1" x14ac:dyDescent="0.25">
      <c r="L790" s="6"/>
      <c r="M790" s="8"/>
      <c r="N790" s="8"/>
      <c r="O790" s="8"/>
    </row>
    <row r="791" spans="12:15" ht="15.75" customHeight="1" x14ac:dyDescent="0.25">
      <c r="L791" s="6"/>
      <c r="M791" s="8"/>
      <c r="N791" s="8"/>
      <c r="O791" s="8"/>
    </row>
    <row r="792" spans="12:15" ht="15.75" customHeight="1" x14ac:dyDescent="0.25">
      <c r="L792" s="6"/>
      <c r="M792" s="8"/>
      <c r="N792" s="8"/>
      <c r="O792" s="8"/>
    </row>
    <row r="793" spans="12:15" ht="15.75" customHeight="1" x14ac:dyDescent="0.25">
      <c r="L793" s="6"/>
      <c r="M793" s="8"/>
      <c r="N793" s="8"/>
      <c r="O793" s="8"/>
    </row>
    <row r="794" spans="12:15" ht="15.75" customHeight="1" x14ac:dyDescent="0.25">
      <c r="L794" s="6"/>
      <c r="M794" s="8"/>
      <c r="N794" s="8"/>
      <c r="O794" s="8"/>
    </row>
    <row r="795" spans="12:15" ht="15.75" customHeight="1" x14ac:dyDescent="0.25">
      <c r="L795" s="6"/>
      <c r="M795" s="8"/>
      <c r="N795" s="8"/>
      <c r="O795" s="8"/>
    </row>
    <row r="796" spans="12:15" ht="15.75" customHeight="1" x14ac:dyDescent="0.25">
      <c r="L796" s="6"/>
      <c r="M796" s="8"/>
      <c r="N796" s="8"/>
      <c r="O796" s="8"/>
    </row>
    <row r="797" spans="12:15" ht="15.75" customHeight="1" x14ac:dyDescent="0.25">
      <c r="L797" s="6"/>
      <c r="M797" s="8"/>
      <c r="N797" s="8"/>
      <c r="O797" s="8"/>
    </row>
    <row r="798" spans="12:15" ht="15.75" customHeight="1" x14ac:dyDescent="0.25">
      <c r="L798" s="6"/>
      <c r="M798" s="8"/>
      <c r="N798" s="8"/>
      <c r="O798" s="8"/>
    </row>
    <row r="799" spans="12:15" ht="15.75" customHeight="1" x14ac:dyDescent="0.25">
      <c r="L799" s="6"/>
      <c r="M799" s="8"/>
      <c r="N799" s="8"/>
      <c r="O799" s="8"/>
    </row>
    <row r="800" spans="12:15" ht="15.75" customHeight="1" x14ac:dyDescent="0.25">
      <c r="L800" s="6"/>
      <c r="M800" s="8"/>
      <c r="N800" s="8"/>
      <c r="O800" s="8"/>
    </row>
    <row r="801" spans="12:15" ht="15.75" customHeight="1" x14ac:dyDescent="0.25">
      <c r="L801" s="6"/>
      <c r="M801" s="8"/>
      <c r="N801" s="8"/>
      <c r="O801" s="8"/>
    </row>
    <row r="802" spans="12:15" ht="15.75" customHeight="1" x14ac:dyDescent="0.25">
      <c r="L802" s="6"/>
      <c r="M802" s="8"/>
      <c r="N802" s="8"/>
      <c r="O802" s="8"/>
    </row>
    <row r="803" spans="12:15" ht="15.75" customHeight="1" x14ac:dyDescent="0.25">
      <c r="L803" s="6"/>
      <c r="M803" s="8"/>
      <c r="N803" s="8"/>
      <c r="O803" s="8"/>
    </row>
    <row r="804" spans="12:15" ht="15.75" customHeight="1" x14ac:dyDescent="0.25">
      <c r="L804" s="6"/>
      <c r="M804" s="8"/>
      <c r="N804" s="8"/>
      <c r="O804" s="8"/>
    </row>
    <row r="805" spans="12:15" ht="15.75" customHeight="1" x14ac:dyDescent="0.25">
      <c r="L805" s="6"/>
      <c r="M805" s="8"/>
      <c r="N805" s="8"/>
      <c r="O805" s="8"/>
    </row>
    <row r="806" spans="12:15" ht="15.75" customHeight="1" x14ac:dyDescent="0.25">
      <c r="L806" s="6"/>
      <c r="M806" s="8"/>
      <c r="N806" s="8"/>
      <c r="O806" s="8"/>
    </row>
    <row r="807" spans="12:15" ht="15.75" customHeight="1" x14ac:dyDescent="0.25">
      <c r="L807" s="6"/>
      <c r="M807" s="8"/>
      <c r="N807" s="8"/>
      <c r="O807" s="8"/>
    </row>
    <row r="808" spans="12:15" ht="15.75" customHeight="1" x14ac:dyDescent="0.25">
      <c r="L808" s="6"/>
      <c r="M808" s="8"/>
      <c r="N808" s="8"/>
      <c r="O808" s="8"/>
    </row>
    <row r="809" spans="12:15" ht="15.75" customHeight="1" x14ac:dyDescent="0.25">
      <c r="L809" s="6"/>
      <c r="M809" s="8"/>
      <c r="N809" s="8"/>
      <c r="O809" s="8"/>
    </row>
    <row r="810" spans="12:15" ht="15.75" customHeight="1" x14ac:dyDescent="0.25">
      <c r="L810" s="6"/>
      <c r="M810" s="8"/>
      <c r="N810" s="8"/>
      <c r="O810" s="8"/>
    </row>
    <row r="811" spans="12:15" ht="15.75" customHeight="1" x14ac:dyDescent="0.25">
      <c r="L811" s="6"/>
      <c r="M811" s="8"/>
      <c r="N811" s="8"/>
      <c r="O811" s="8"/>
    </row>
    <row r="812" spans="12:15" ht="15.75" customHeight="1" x14ac:dyDescent="0.25">
      <c r="L812" s="6"/>
      <c r="M812" s="8"/>
      <c r="N812" s="8"/>
      <c r="O812" s="8"/>
    </row>
    <row r="813" spans="12:15" ht="15.75" customHeight="1" x14ac:dyDescent="0.25">
      <c r="L813" s="6"/>
      <c r="M813" s="8"/>
      <c r="N813" s="8"/>
      <c r="O813" s="8"/>
    </row>
    <row r="814" spans="12:15" ht="15.75" customHeight="1" x14ac:dyDescent="0.25">
      <c r="L814" s="6"/>
      <c r="M814" s="8"/>
      <c r="N814" s="8"/>
      <c r="O814" s="8"/>
    </row>
    <row r="815" spans="12:15" ht="15.75" customHeight="1" x14ac:dyDescent="0.25">
      <c r="L815" s="6"/>
      <c r="M815" s="8"/>
      <c r="N815" s="8"/>
      <c r="O815" s="8"/>
    </row>
    <row r="816" spans="12:15" ht="15.75" customHeight="1" x14ac:dyDescent="0.25">
      <c r="L816" s="6"/>
      <c r="M816" s="8"/>
      <c r="N816" s="8"/>
      <c r="O816" s="8"/>
    </row>
    <row r="817" spans="12:15" ht="15.75" customHeight="1" x14ac:dyDescent="0.25">
      <c r="L817" s="6"/>
      <c r="M817" s="8"/>
      <c r="N817" s="8"/>
      <c r="O817" s="8"/>
    </row>
    <row r="818" spans="12:15" ht="15.75" customHeight="1" x14ac:dyDescent="0.25">
      <c r="L818" s="6"/>
      <c r="M818" s="8"/>
      <c r="N818" s="8"/>
      <c r="O818" s="8"/>
    </row>
    <row r="819" spans="12:15" ht="15.75" customHeight="1" x14ac:dyDescent="0.25">
      <c r="L819" s="6"/>
      <c r="M819" s="8"/>
      <c r="N819" s="8"/>
      <c r="O819" s="8"/>
    </row>
    <row r="820" spans="12:15" ht="15.75" customHeight="1" x14ac:dyDescent="0.25">
      <c r="L820" s="6"/>
      <c r="M820" s="8"/>
      <c r="N820" s="8"/>
      <c r="O820" s="8"/>
    </row>
    <row r="821" spans="12:15" ht="15.75" customHeight="1" x14ac:dyDescent="0.25">
      <c r="L821" s="6"/>
      <c r="M821" s="8"/>
      <c r="N821" s="8"/>
      <c r="O821" s="8"/>
    </row>
    <row r="822" spans="12:15" ht="15.75" customHeight="1" x14ac:dyDescent="0.25">
      <c r="L822" s="6"/>
      <c r="M822" s="8"/>
      <c r="N822" s="8"/>
      <c r="O822" s="8"/>
    </row>
    <row r="823" spans="12:15" ht="15.75" customHeight="1" x14ac:dyDescent="0.25">
      <c r="L823" s="6"/>
      <c r="M823" s="8"/>
      <c r="N823" s="8"/>
      <c r="O823" s="8"/>
    </row>
    <row r="824" spans="12:15" ht="15.75" customHeight="1" x14ac:dyDescent="0.25">
      <c r="L824" s="6"/>
      <c r="M824" s="8"/>
      <c r="N824" s="8"/>
      <c r="O824" s="8"/>
    </row>
    <row r="825" spans="12:15" ht="15.75" customHeight="1" x14ac:dyDescent="0.25">
      <c r="L825" s="6"/>
      <c r="M825" s="8"/>
      <c r="N825" s="8"/>
      <c r="O825" s="8"/>
    </row>
    <row r="826" spans="12:15" ht="15.75" customHeight="1" x14ac:dyDescent="0.25">
      <c r="L826" s="6"/>
      <c r="M826" s="8"/>
      <c r="N826" s="8"/>
      <c r="O826" s="8"/>
    </row>
    <row r="827" spans="12:15" ht="15.75" customHeight="1" x14ac:dyDescent="0.25">
      <c r="L827" s="6"/>
      <c r="M827" s="8"/>
      <c r="N827" s="8"/>
      <c r="O827" s="8"/>
    </row>
    <row r="828" spans="12:15" ht="15.75" customHeight="1" x14ac:dyDescent="0.25">
      <c r="L828" s="6"/>
      <c r="M828" s="8"/>
      <c r="N828" s="8"/>
      <c r="O828" s="8"/>
    </row>
    <row r="829" spans="12:15" ht="15.75" customHeight="1" x14ac:dyDescent="0.25">
      <c r="L829" s="6"/>
      <c r="M829" s="8"/>
      <c r="N829" s="8"/>
      <c r="O829" s="8"/>
    </row>
    <row r="830" spans="12:15" ht="15.75" customHeight="1" x14ac:dyDescent="0.25">
      <c r="L830" s="6"/>
      <c r="M830" s="8"/>
      <c r="N830" s="8"/>
      <c r="O830" s="8"/>
    </row>
    <row r="831" spans="12:15" ht="15.75" customHeight="1" x14ac:dyDescent="0.25">
      <c r="L831" s="6"/>
      <c r="M831" s="8"/>
      <c r="N831" s="8"/>
      <c r="O831" s="8"/>
    </row>
    <row r="832" spans="12:15" ht="15.75" customHeight="1" x14ac:dyDescent="0.25">
      <c r="L832" s="6"/>
      <c r="M832" s="8"/>
      <c r="N832" s="8"/>
      <c r="O832" s="8"/>
    </row>
    <row r="833" spans="12:15" ht="15.75" customHeight="1" x14ac:dyDescent="0.25">
      <c r="L833" s="6"/>
      <c r="M833" s="8"/>
      <c r="N833" s="8"/>
      <c r="O833" s="8"/>
    </row>
    <row r="834" spans="12:15" ht="15.75" customHeight="1" x14ac:dyDescent="0.25">
      <c r="L834" s="6"/>
      <c r="M834" s="8"/>
      <c r="N834" s="8"/>
      <c r="O834" s="8"/>
    </row>
    <row r="835" spans="12:15" ht="15.75" customHeight="1" x14ac:dyDescent="0.25">
      <c r="L835" s="6"/>
      <c r="M835" s="8"/>
      <c r="N835" s="8"/>
      <c r="O835" s="8"/>
    </row>
    <row r="836" spans="12:15" ht="15.75" customHeight="1" x14ac:dyDescent="0.25">
      <c r="L836" s="6"/>
      <c r="M836" s="8"/>
      <c r="N836" s="8"/>
      <c r="O836" s="8"/>
    </row>
    <row r="837" spans="12:15" ht="15.75" customHeight="1" x14ac:dyDescent="0.25">
      <c r="L837" s="6"/>
      <c r="M837" s="8"/>
      <c r="N837" s="8"/>
      <c r="O837" s="8"/>
    </row>
    <row r="838" spans="12:15" ht="15.75" customHeight="1" x14ac:dyDescent="0.25">
      <c r="L838" s="6"/>
      <c r="M838" s="8"/>
      <c r="N838" s="8"/>
      <c r="O838" s="8"/>
    </row>
    <row r="839" spans="12:15" ht="15.75" customHeight="1" x14ac:dyDescent="0.25">
      <c r="L839" s="6"/>
      <c r="M839" s="8"/>
      <c r="N839" s="8"/>
      <c r="O839" s="8"/>
    </row>
    <row r="840" spans="12:15" ht="15.75" customHeight="1" x14ac:dyDescent="0.25">
      <c r="L840" s="6"/>
      <c r="M840" s="8"/>
      <c r="N840" s="8"/>
      <c r="O840" s="8"/>
    </row>
    <row r="841" spans="12:15" ht="15.75" customHeight="1" x14ac:dyDescent="0.25">
      <c r="L841" s="6"/>
      <c r="M841" s="8"/>
      <c r="N841" s="8"/>
      <c r="O841" s="8"/>
    </row>
    <row r="842" spans="12:15" ht="15.75" customHeight="1" x14ac:dyDescent="0.25">
      <c r="L842" s="6"/>
      <c r="M842" s="8"/>
      <c r="N842" s="8"/>
      <c r="O842" s="8"/>
    </row>
    <row r="843" spans="12:15" ht="15.75" customHeight="1" x14ac:dyDescent="0.25">
      <c r="L843" s="6"/>
      <c r="M843" s="8"/>
      <c r="N843" s="8"/>
      <c r="O843" s="8"/>
    </row>
    <row r="844" spans="12:15" ht="15.75" customHeight="1" x14ac:dyDescent="0.25">
      <c r="L844" s="6"/>
      <c r="M844" s="8"/>
      <c r="N844" s="8"/>
      <c r="O844" s="8"/>
    </row>
    <row r="845" spans="12:15" ht="15.75" customHeight="1" x14ac:dyDescent="0.25">
      <c r="L845" s="6"/>
      <c r="M845" s="8"/>
      <c r="N845" s="8"/>
      <c r="O845" s="8"/>
    </row>
    <row r="846" spans="12:15" ht="15.75" customHeight="1" x14ac:dyDescent="0.25">
      <c r="L846" s="6"/>
      <c r="M846" s="8"/>
      <c r="N846" s="8"/>
      <c r="O846" s="8"/>
    </row>
    <row r="847" spans="12:15" ht="15.75" customHeight="1" x14ac:dyDescent="0.25">
      <c r="L847" s="6"/>
      <c r="M847" s="8"/>
      <c r="N847" s="8"/>
      <c r="O847" s="8"/>
    </row>
    <row r="848" spans="12:15" ht="15.75" customHeight="1" x14ac:dyDescent="0.25">
      <c r="L848" s="6"/>
      <c r="M848" s="8"/>
      <c r="N848" s="8"/>
      <c r="O848" s="8"/>
    </row>
    <row r="849" spans="12:15" ht="15.75" customHeight="1" x14ac:dyDescent="0.25">
      <c r="L849" s="6"/>
      <c r="M849" s="8"/>
      <c r="N849" s="8"/>
      <c r="O849" s="8"/>
    </row>
    <row r="850" spans="12:15" ht="15.75" customHeight="1" x14ac:dyDescent="0.25">
      <c r="L850" s="6"/>
      <c r="M850" s="8"/>
      <c r="N850" s="8"/>
      <c r="O850" s="8"/>
    </row>
    <row r="851" spans="12:15" ht="15.75" customHeight="1" x14ac:dyDescent="0.25">
      <c r="L851" s="6"/>
      <c r="M851" s="8"/>
      <c r="N851" s="8"/>
      <c r="O851" s="8"/>
    </row>
    <row r="852" spans="12:15" ht="15.75" customHeight="1" x14ac:dyDescent="0.25">
      <c r="L852" s="6"/>
      <c r="M852" s="8"/>
      <c r="N852" s="8"/>
      <c r="O852" s="8"/>
    </row>
    <row r="853" spans="12:15" ht="15.75" customHeight="1" x14ac:dyDescent="0.25">
      <c r="L853" s="6"/>
      <c r="M853" s="8"/>
      <c r="N853" s="8"/>
      <c r="O853" s="8"/>
    </row>
    <row r="854" spans="12:15" ht="15.75" customHeight="1" x14ac:dyDescent="0.25">
      <c r="L854" s="6"/>
      <c r="M854" s="8"/>
      <c r="N854" s="8"/>
      <c r="O854" s="8"/>
    </row>
    <row r="855" spans="12:15" ht="15.75" customHeight="1" x14ac:dyDescent="0.25">
      <c r="L855" s="6"/>
      <c r="M855" s="8"/>
      <c r="N855" s="8"/>
      <c r="O855" s="8"/>
    </row>
    <row r="856" spans="12:15" ht="15.75" customHeight="1" x14ac:dyDescent="0.25">
      <c r="L856" s="6"/>
      <c r="M856" s="8"/>
      <c r="N856" s="8"/>
      <c r="O856" s="8"/>
    </row>
    <row r="857" spans="12:15" ht="15.75" customHeight="1" x14ac:dyDescent="0.25">
      <c r="L857" s="6"/>
      <c r="M857" s="8"/>
      <c r="N857" s="8"/>
      <c r="O857" s="8"/>
    </row>
    <row r="858" spans="12:15" ht="15.75" customHeight="1" x14ac:dyDescent="0.25">
      <c r="L858" s="6"/>
      <c r="M858" s="8"/>
      <c r="N858" s="8"/>
      <c r="O858" s="8"/>
    </row>
    <row r="859" spans="12:15" ht="15.75" customHeight="1" x14ac:dyDescent="0.25">
      <c r="L859" s="6"/>
      <c r="M859" s="8"/>
      <c r="N859" s="8"/>
      <c r="O859" s="8"/>
    </row>
    <row r="860" spans="12:15" ht="15.75" customHeight="1" x14ac:dyDescent="0.25">
      <c r="L860" s="6"/>
      <c r="M860" s="8"/>
      <c r="N860" s="8"/>
      <c r="O860" s="8"/>
    </row>
    <row r="861" spans="12:15" ht="15.75" customHeight="1" x14ac:dyDescent="0.25">
      <c r="L861" s="6"/>
      <c r="M861" s="8"/>
      <c r="N861" s="8"/>
      <c r="O861" s="8"/>
    </row>
    <row r="862" spans="12:15" ht="15.75" customHeight="1" x14ac:dyDescent="0.25">
      <c r="L862" s="6"/>
      <c r="M862" s="8"/>
      <c r="N862" s="8"/>
      <c r="O862" s="8"/>
    </row>
    <row r="863" spans="12:15" ht="15.75" customHeight="1" x14ac:dyDescent="0.25">
      <c r="L863" s="6"/>
      <c r="M863" s="8"/>
      <c r="N863" s="8"/>
      <c r="O863" s="8"/>
    </row>
    <row r="864" spans="12:15" ht="15.75" customHeight="1" x14ac:dyDescent="0.25">
      <c r="L864" s="6"/>
      <c r="M864" s="8"/>
      <c r="N864" s="8"/>
      <c r="O864" s="8"/>
    </row>
    <row r="865" spans="12:15" ht="15.75" customHeight="1" x14ac:dyDescent="0.25">
      <c r="L865" s="6"/>
      <c r="M865" s="8"/>
      <c r="N865" s="8"/>
      <c r="O865" s="8"/>
    </row>
    <row r="866" spans="12:15" ht="15.75" customHeight="1" x14ac:dyDescent="0.25">
      <c r="L866" s="6"/>
      <c r="M866" s="8"/>
      <c r="N866" s="8"/>
      <c r="O866" s="8"/>
    </row>
    <row r="867" spans="12:15" ht="15.75" customHeight="1" x14ac:dyDescent="0.25">
      <c r="L867" s="6"/>
      <c r="M867" s="8"/>
      <c r="N867" s="8"/>
      <c r="O867" s="8"/>
    </row>
    <row r="868" spans="12:15" ht="15.75" customHeight="1" x14ac:dyDescent="0.25">
      <c r="L868" s="6"/>
      <c r="M868" s="8"/>
      <c r="N868" s="8"/>
      <c r="O868" s="8"/>
    </row>
    <row r="869" spans="12:15" ht="15.75" customHeight="1" x14ac:dyDescent="0.25">
      <c r="L869" s="6"/>
      <c r="M869" s="8"/>
      <c r="N869" s="8"/>
      <c r="O869" s="8"/>
    </row>
    <row r="870" spans="12:15" ht="15.75" customHeight="1" x14ac:dyDescent="0.25">
      <c r="L870" s="6"/>
      <c r="M870" s="8"/>
      <c r="N870" s="8"/>
      <c r="O870" s="8"/>
    </row>
    <row r="871" spans="12:15" ht="15.75" customHeight="1" x14ac:dyDescent="0.25">
      <c r="L871" s="6"/>
      <c r="M871" s="8"/>
      <c r="N871" s="8"/>
      <c r="O871" s="8"/>
    </row>
    <row r="872" spans="12:15" ht="15.75" customHeight="1" x14ac:dyDescent="0.25">
      <c r="L872" s="6"/>
      <c r="M872" s="8"/>
      <c r="N872" s="8"/>
      <c r="O872" s="8"/>
    </row>
    <row r="873" spans="12:15" ht="15.75" customHeight="1" x14ac:dyDescent="0.25">
      <c r="L873" s="6"/>
      <c r="M873" s="8"/>
      <c r="N873" s="8"/>
      <c r="O873" s="8"/>
    </row>
    <row r="874" spans="12:15" ht="15.75" customHeight="1" x14ac:dyDescent="0.25">
      <c r="L874" s="6"/>
      <c r="M874" s="8"/>
      <c r="N874" s="8"/>
      <c r="O874" s="8"/>
    </row>
    <row r="875" spans="12:15" ht="15.75" customHeight="1" x14ac:dyDescent="0.25">
      <c r="L875" s="6"/>
      <c r="M875" s="8"/>
      <c r="N875" s="8"/>
      <c r="O875" s="8"/>
    </row>
    <row r="876" spans="12:15" ht="15.75" customHeight="1" x14ac:dyDescent="0.25">
      <c r="L876" s="6"/>
      <c r="M876" s="8"/>
      <c r="N876" s="8"/>
      <c r="O876" s="8"/>
    </row>
    <row r="877" spans="12:15" ht="15.75" customHeight="1" x14ac:dyDescent="0.25">
      <c r="L877" s="6"/>
      <c r="M877" s="8"/>
      <c r="N877" s="8"/>
      <c r="O877" s="8"/>
    </row>
    <row r="878" spans="12:15" ht="15.75" customHeight="1" x14ac:dyDescent="0.25">
      <c r="L878" s="6"/>
      <c r="M878" s="8"/>
      <c r="N878" s="8"/>
      <c r="O878" s="8"/>
    </row>
    <row r="879" spans="12:15" ht="15.75" customHeight="1" x14ac:dyDescent="0.25">
      <c r="L879" s="6"/>
      <c r="M879" s="8"/>
      <c r="N879" s="8"/>
      <c r="O879" s="8"/>
    </row>
    <row r="880" spans="12:15" ht="15.75" customHeight="1" x14ac:dyDescent="0.25">
      <c r="L880" s="6"/>
      <c r="M880" s="8"/>
      <c r="N880" s="8"/>
      <c r="O880" s="8"/>
    </row>
    <row r="881" spans="12:15" ht="15.75" customHeight="1" x14ac:dyDescent="0.25">
      <c r="L881" s="6"/>
      <c r="M881" s="8"/>
      <c r="N881" s="8"/>
      <c r="O881" s="8"/>
    </row>
    <row r="882" spans="12:15" ht="15.75" customHeight="1" x14ac:dyDescent="0.25">
      <c r="L882" s="6"/>
      <c r="M882" s="8"/>
      <c r="N882" s="8"/>
      <c r="O882" s="8"/>
    </row>
    <row r="883" spans="12:15" ht="15.75" customHeight="1" x14ac:dyDescent="0.25">
      <c r="L883" s="6"/>
      <c r="M883" s="8"/>
      <c r="N883" s="8"/>
      <c r="O883" s="8"/>
    </row>
    <row r="884" spans="12:15" ht="15.75" customHeight="1" x14ac:dyDescent="0.25">
      <c r="L884" s="6"/>
      <c r="M884" s="8"/>
      <c r="N884" s="8"/>
      <c r="O884" s="8"/>
    </row>
    <row r="885" spans="12:15" ht="15.75" customHeight="1" x14ac:dyDescent="0.25">
      <c r="L885" s="6"/>
      <c r="M885" s="8"/>
      <c r="N885" s="8"/>
      <c r="O885" s="8"/>
    </row>
    <row r="886" spans="12:15" ht="15.75" customHeight="1" x14ac:dyDescent="0.25">
      <c r="L886" s="6"/>
      <c r="M886" s="8"/>
      <c r="N886" s="8"/>
      <c r="O886" s="8"/>
    </row>
    <row r="887" spans="12:15" ht="15.75" customHeight="1" x14ac:dyDescent="0.25">
      <c r="L887" s="6"/>
      <c r="M887" s="8"/>
      <c r="N887" s="8"/>
      <c r="O887" s="8"/>
    </row>
    <row r="888" spans="12:15" ht="15.75" customHeight="1" x14ac:dyDescent="0.25">
      <c r="L888" s="6"/>
      <c r="M888" s="8"/>
      <c r="N888" s="8"/>
      <c r="O888" s="8"/>
    </row>
    <row r="889" spans="12:15" ht="15.75" customHeight="1" x14ac:dyDescent="0.25">
      <c r="L889" s="6"/>
      <c r="M889" s="8"/>
      <c r="N889" s="8"/>
      <c r="O889" s="8"/>
    </row>
    <row r="890" spans="12:15" ht="15.75" customHeight="1" x14ac:dyDescent="0.25">
      <c r="L890" s="6"/>
      <c r="M890" s="8"/>
      <c r="N890" s="8"/>
      <c r="O890" s="8"/>
    </row>
    <row r="891" spans="12:15" ht="15.75" customHeight="1" x14ac:dyDescent="0.25">
      <c r="L891" s="6"/>
      <c r="M891" s="8"/>
      <c r="N891" s="8"/>
      <c r="O891" s="8"/>
    </row>
    <row r="892" spans="12:15" ht="15.75" customHeight="1" x14ac:dyDescent="0.25">
      <c r="L892" s="6"/>
      <c r="M892" s="8"/>
      <c r="N892" s="8"/>
      <c r="O892" s="8"/>
    </row>
    <row r="893" spans="12:15" ht="15.75" customHeight="1" x14ac:dyDescent="0.25">
      <c r="L893" s="6"/>
      <c r="M893" s="8"/>
      <c r="N893" s="8"/>
      <c r="O893" s="8"/>
    </row>
    <row r="894" spans="12:15" ht="15.75" customHeight="1" x14ac:dyDescent="0.25">
      <c r="L894" s="6"/>
      <c r="M894" s="8"/>
      <c r="N894" s="8"/>
      <c r="O894" s="8"/>
    </row>
    <row r="895" spans="12:15" ht="15.75" customHeight="1" x14ac:dyDescent="0.25">
      <c r="L895" s="6"/>
      <c r="M895" s="8"/>
      <c r="N895" s="8"/>
      <c r="O895" s="8"/>
    </row>
    <row r="896" spans="12:15" ht="15.75" customHeight="1" x14ac:dyDescent="0.25">
      <c r="L896" s="6"/>
      <c r="M896" s="8"/>
      <c r="N896" s="8"/>
      <c r="O896" s="8"/>
    </row>
    <row r="897" spans="12:15" ht="15.75" customHeight="1" x14ac:dyDescent="0.25">
      <c r="L897" s="6"/>
      <c r="M897" s="8"/>
      <c r="N897" s="8"/>
      <c r="O897" s="8"/>
    </row>
    <row r="898" spans="12:15" ht="15.75" customHeight="1" x14ac:dyDescent="0.25">
      <c r="L898" s="6"/>
      <c r="M898" s="8"/>
      <c r="N898" s="8"/>
      <c r="O898" s="8"/>
    </row>
    <row r="899" spans="12:15" ht="15.75" customHeight="1" x14ac:dyDescent="0.25">
      <c r="L899" s="6"/>
      <c r="M899" s="8"/>
      <c r="N899" s="8"/>
      <c r="O899" s="8"/>
    </row>
    <row r="900" spans="12:15" ht="15.75" customHeight="1" x14ac:dyDescent="0.25">
      <c r="L900" s="6"/>
      <c r="M900" s="8"/>
      <c r="N900" s="8"/>
      <c r="O900" s="8"/>
    </row>
    <row r="901" spans="12:15" ht="15.75" customHeight="1" x14ac:dyDescent="0.25">
      <c r="L901" s="6"/>
      <c r="M901" s="8"/>
      <c r="N901" s="8"/>
      <c r="O901" s="8"/>
    </row>
    <row r="902" spans="12:15" ht="15.75" customHeight="1" x14ac:dyDescent="0.25">
      <c r="L902" s="6"/>
      <c r="M902" s="8"/>
      <c r="N902" s="8"/>
      <c r="O902" s="8"/>
    </row>
    <row r="903" spans="12:15" ht="15.75" customHeight="1" x14ac:dyDescent="0.25">
      <c r="L903" s="6"/>
      <c r="M903" s="8"/>
      <c r="N903" s="8"/>
      <c r="O903" s="8"/>
    </row>
    <row r="904" spans="12:15" ht="15.75" customHeight="1" x14ac:dyDescent="0.25">
      <c r="L904" s="6"/>
      <c r="M904" s="8"/>
      <c r="N904" s="8"/>
      <c r="O904" s="8"/>
    </row>
    <row r="905" spans="12:15" ht="15.75" customHeight="1" x14ac:dyDescent="0.25">
      <c r="L905" s="6"/>
      <c r="M905" s="8"/>
      <c r="N905" s="8"/>
      <c r="O905" s="8"/>
    </row>
    <row r="906" spans="12:15" ht="15.75" customHeight="1" x14ac:dyDescent="0.25">
      <c r="L906" s="6"/>
      <c r="M906" s="8"/>
      <c r="N906" s="8"/>
      <c r="O906" s="8"/>
    </row>
    <row r="907" spans="12:15" ht="15.75" customHeight="1" x14ac:dyDescent="0.25">
      <c r="L907" s="6"/>
      <c r="M907" s="8"/>
      <c r="N907" s="8"/>
      <c r="O907" s="8"/>
    </row>
    <row r="908" spans="12:15" ht="15.75" customHeight="1" x14ac:dyDescent="0.25">
      <c r="L908" s="6"/>
      <c r="M908" s="8"/>
      <c r="N908" s="8"/>
      <c r="O908" s="8"/>
    </row>
    <row r="909" spans="12:15" ht="15.75" customHeight="1" x14ac:dyDescent="0.25">
      <c r="L909" s="6"/>
      <c r="M909" s="8"/>
      <c r="N909" s="8"/>
      <c r="O909" s="8"/>
    </row>
    <row r="910" spans="12:15" ht="15.75" customHeight="1" x14ac:dyDescent="0.25">
      <c r="L910" s="6"/>
      <c r="M910" s="8"/>
      <c r="N910" s="8"/>
      <c r="O910" s="8"/>
    </row>
    <row r="911" spans="12:15" ht="15.75" customHeight="1" x14ac:dyDescent="0.25">
      <c r="L911" s="6"/>
      <c r="M911" s="8"/>
      <c r="N911" s="8"/>
      <c r="O911" s="8"/>
    </row>
    <row r="912" spans="12:15" ht="15.75" customHeight="1" x14ac:dyDescent="0.25">
      <c r="L912" s="6"/>
      <c r="M912" s="8"/>
      <c r="N912" s="8"/>
      <c r="O912" s="8"/>
    </row>
    <row r="913" spans="12:15" ht="15.75" customHeight="1" x14ac:dyDescent="0.25">
      <c r="L913" s="6"/>
      <c r="M913" s="8"/>
      <c r="N913" s="8"/>
      <c r="O913" s="8"/>
    </row>
    <row r="914" spans="12:15" ht="15.75" customHeight="1" x14ac:dyDescent="0.25">
      <c r="L914" s="6"/>
      <c r="M914" s="8"/>
      <c r="N914" s="8"/>
      <c r="O914" s="8"/>
    </row>
    <row r="915" spans="12:15" ht="15.75" customHeight="1" x14ac:dyDescent="0.25">
      <c r="L915" s="6"/>
      <c r="M915" s="8"/>
      <c r="N915" s="8"/>
      <c r="O915" s="8"/>
    </row>
    <row r="916" spans="12:15" ht="15.75" customHeight="1" x14ac:dyDescent="0.25">
      <c r="L916" s="6"/>
      <c r="M916" s="8"/>
      <c r="N916" s="8"/>
      <c r="O916" s="8"/>
    </row>
    <row r="917" spans="12:15" ht="15.75" customHeight="1" x14ac:dyDescent="0.25">
      <c r="L917" s="6"/>
      <c r="M917" s="8"/>
      <c r="N917" s="8"/>
      <c r="O917" s="8"/>
    </row>
    <row r="918" spans="12:15" ht="15.75" customHeight="1" x14ac:dyDescent="0.25">
      <c r="L918" s="6"/>
      <c r="M918" s="8"/>
      <c r="N918" s="8"/>
      <c r="O918" s="8"/>
    </row>
    <row r="919" spans="12:15" ht="15.75" customHeight="1" x14ac:dyDescent="0.25">
      <c r="L919" s="6"/>
      <c r="M919" s="8"/>
      <c r="N919" s="8"/>
      <c r="O919" s="8"/>
    </row>
    <row r="920" spans="12:15" ht="15.75" customHeight="1" x14ac:dyDescent="0.25">
      <c r="L920" s="6"/>
      <c r="M920" s="8"/>
      <c r="N920" s="8"/>
      <c r="O920" s="8"/>
    </row>
    <row r="921" spans="12:15" ht="15.75" customHeight="1" x14ac:dyDescent="0.25">
      <c r="L921" s="6"/>
      <c r="M921" s="8"/>
      <c r="N921" s="8"/>
      <c r="O921" s="8"/>
    </row>
    <row r="922" spans="12:15" ht="15.75" customHeight="1" x14ac:dyDescent="0.25">
      <c r="L922" s="6"/>
      <c r="M922" s="8"/>
      <c r="N922" s="8"/>
      <c r="O922" s="8"/>
    </row>
    <row r="923" spans="12:15" ht="15.75" customHeight="1" x14ac:dyDescent="0.25">
      <c r="L923" s="6"/>
      <c r="M923" s="8"/>
      <c r="N923" s="8"/>
      <c r="O923" s="8"/>
    </row>
    <row r="924" spans="12:15" ht="15.75" customHeight="1" x14ac:dyDescent="0.25">
      <c r="L924" s="6"/>
      <c r="M924" s="8"/>
      <c r="N924" s="8"/>
      <c r="O924" s="8"/>
    </row>
    <row r="925" spans="12:15" ht="15.75" customHeight="1" x14ac:dyDescent="0.25">
      <c r="L925" s="6"/>
      <c r="M925" s="8"/>
      <c r="N925" s="8"/>
      <c r="O925" s="8"/>
    </row>
    <row r="926" spans="12:15" ht="15.75" customHeight="1" x14ac:dyDescent="0.25">
      <c r="L926" s="6"/>
      <c r="M926" s="8"/>
      <c r="N926" s="8"/>
      <c r="O926" s="8"/>
    </row>
    <row r="927" spans="12:15" ht="15.75" customHeight="1" x14ac:dyDescent="0.25">
      <c r="L927" s="6"/>
      <c r="M927" s="8"/>
      <c r="N927" s="8"/>
      <c r="O927" s="8"/>
    </row>
    <row r="928" spans="12:15" ht="15.75" customHeight="1" x14ac:dyDescent="0.25">
      <c r="L928" s="6"/>
      <c r="M928" s="8"/>
      <c r="N928" s="8"/>
      <c r="O928" s="8"/>
    </row>
    <row r="929" spans="12:15" ht="15.75" customHeight="1" x14ac:dyDescent="0.25">
      <c r="L929" s="6"/>
      <c r="M929" s="8"/>
      <c r="N929" s="8"/>
      <c r="O929" s="8"/>
    </row>
    <row r="930" spans="12:15" ht="15.75" customHeight="1" x14ac:dyDescent="0.25">
      <c r="L930" s="6"/>
      <c r="M930" s="8"/>
      <c r="N930" s="8"/>
      <c r="O930" s="8"/>
    </row>
    <row r="931" spans="12:15" ht="15.75" customHeight="1" x14ac:dyDescent="0.25">
      <c r="L931" s="6"/>
      <c r="M931" s="8"/>
      <c r="N931" s="8"/>
      <c r="O931" s="8"/>
    </row>
    <row r="932" spans="12:15" ht="15.75" customHeight="1" x14ac:dyDescent="0.25">
      <c r="L932" s="6"/>
      <c r="M932" s="8"/>
      <c r="N932" s="8"/>
      <c r="O932" s="8"/>
    </row>
    <row r="933" spans="12:15" ht="15.75" customHeight="1" x14ac:dyDescent="0.25">
      <c r="L933" s="6"/>
      <c r="M933" s="8"/>
      <c r="N933" s="8"/>
      <c r="O933" s="8"/>
    </row>
    <row r="934" spans="12:15" ht="15.75" customHeight="1" x14ac:dyDescent="0.25">
      <c r="L934" s="6"/>
      <c r="M934" s="8"/>
      <c r="N934" s="8"/>
      <c r="O934" s="8"/>
    </row>
    <row r="935" spans="12:15" ht="15.75" customHeight="1" x14ac:dyDescent="0.25">
      <c r="L935" s="6"/>
      <c r="M935" s="8"/>
      <c r="N935" s="8"/>
      <c r="O935" s="8"/>
    </row>
    <row r="936" spans="12:15" ht="15.75" customHeight="1" x14ac:dyDescent="0.25">
      <c r="L936" s="6"/>
      <c r="M936" s="8"/>
      <c r="N936" s="8"/>
      <c r="O936" s="8"/>
    </row>
    <row r="937" spans="12:15" ht="15.75" customHeight="1" x14ac:dyDescent="0.25">
      <c r="L937" s="6"/>
      <c r="M937" s="8"/>
      <c r="N937" s="8"/>
      <c r="O937" s="8"/>
    </row>
    <row r="938" spans="12:15" ht="15.75" customHeight="1" x14ac:dyDescent="0.25">
      <c r="L938" s="6"/>
      <c r="M938" s="8"/>
      <c r="N938" s="8"/>
      <c r="O938" s="8"/>
    </row>
    <row r="939" spans="12:15" ht="15.75" customHeight="1" x14ac:dyDescent="0.25">
      <c r="L939" s="6"/>
      <c r="M939" s="8"/>
      <c r="N939" s="8"/>
      <c r="O939" s="8"/>
    </row>
    <row r="940" spans="12:15" ht="15.75" customHeight="1" x14ac:dyDescent="0.25">
      <c r="L940" s="6"/>
      <c r="M940" s="8"/>
      <c r="N940" s="8"/>
      <c r="O940" s="8"/>
    </row>
    <row r="941" spans="12:15" ht="15.75" customHeight="1" x14ac:dyDescent="0.25">
      <c r="L941" s="6"/>
      <c r="M941" s="8"/>
      <c r="N941" s="8"/>
      <c r="O941" s="8"/>
    </row>
    <row r="942" spans="12:15" ht="15.75" customHeight="1" x14ac:dyDescent="0.25">
      <c r="L942" s="6"/>
      <c r="M942" s="8"/>
      <c r="N942" s="8"/>
      <c r="O942" s="8"/>
    </row>
    <row r="943" spans="12:15" ht="15.75" customHeight="1" x14ac:dyDescent="0.25">
      <c r="L943" s="6"/>
      <c r="M943" s="8"/>
      <c r="N943" s="8"/>
      <c r="O943" s="8"/>
    </row>
    <row r="944" spans="12:15" ht="15.75" customHeight="1" x14ac:dyDescent="0.25">
      <c r="L944" s="6"/>
      <c r="M944" s="8"/>
      <c r="N944" s="8"/>
      <c r="O944" s="8"/>
    </row>
    <row r="945" spans="12:15" ht="15.75" customHeight="1" x14ac:dyDescent="0.25">
      <c r="L945" s="6"/>
      <c r="M945" s="8"/>
      <c r="N945" s="8"/>
      <c r="O945" s="8"/>
    </row>
    <row r="946" spans="12:15" ht="15.75" customHeight="1" x14ac:dyDescent="0.25">
      <c r="L946" s="6"/>
      <c r="M946" s="8"/>
      <c r="N946" s="8"/>
      <c r="O946" s="8"/>
    </row>
    <row r="947" spans="12:15" ht="15.75" customHeight="1" x14ac:dyDescent="0.25">
      <c r="L947" s="6"/>
      <c r="M947" s="8"/>
      <c r="N947" s="8"/>
      <c r="O947" s="8"/>
    </row>
    <row r="948" spans="12:15" ht="15.75" customHeight="1" x14ac:dyDescent="0.25">
      <c r="L948" s="6"/>
      <c r="M948" s="8"/>
      <c r="N948" s="8"/>
      <c r="O948" s="8"/>
    </row>
    <row r="949" spans="12:15" ht="15.75" customHeight="1" x14ac:dyDescent="0.25">
      <c r="L949" s="6"/>
      <c r="M949" s="8"/>
      <c r="N949" s="8"/>
      <c r="O949" s="8"/>
    </row>
    <row r="950" spans="12:15" ht="15.75" customHeight="1" x14ac:dyDescent="0.25">
      <c r="L950" s="6"/>
      <c r="M950" s="8"/>
      <c r="N950" s="8"/>
      <c r="O950" s="8"/>
    </row>
    <row r="951" spans="12:15" ht="15.75" customHeight="1" x14ac:dyDescent="0.25">
      <c r="L951" s="6"/>
      <c r="M951" s="8"/>
      <c r="N951" s="8"/>
      <c r="O951" s="8"/>
    </row>
    <row r="952" spans="12:15" ht="15.75" customHeight="1" x14ac:dyDescent="0.25">
      <c r="L952" s="6"/>
      <c r="M952" s="8"/>
      <c r="N952" s="8"/>
      <c r="O952" s="8"/>
    </row>
    <row r="953" spans="12:15" ht="15.75" customHeight="1" x14ac:dyDescent="0.25">
      <c r="L953" s="6"/>
      <c r="M953" s="8"/>
      <c r="N953" s="8"/>
      <c r="O953" s="8"/>
    </row>
    <row r="954" spans="12:15" ht="15.75" customHeight="1" x14ac:dyDescent="0.25">
      <c r="L954" s="6"/>
      <c r="M954" s="8"/>
      <c r="N954" s="8"/>
      <c r="O954" s="8"/>
    </row>
    <row r="955" spans="12:15" ht="15.75" customHeight="1" x14ac:dyDescent="0.25">
      <c r="L955" s="6"/>
      <c r="M955" s="8"/>
      <c r="N955" s="8"/>
      <c r="O955" s="8"/>
    </row>
    <row r="956" spans="12:15" ht="15.75" customHeight="1" x14ac:dyDescent="0.25">
      <c r="L956" s="6"/>
      <c r="M956" s="8"/>
      <c r="N956" s="8"/>
      <c r="O956" s="8"/>
    </row>
    <row r="957" spans="12:15" ht="15.75" customHeight="1" x14ac:dyDescent="0.25">
      <c r="L957" s="6"/>
      <c r="M957" s="8"/>
      <c r="N957" s="8"/>
      <c r="O957" s="8"/>
    </row>
    <row r="958" spans="12:15" ht="15.75" customHeight="1" x14ac:dyDescent="0.25">
      <c r="L958" s="6"/>
      <c r="M958" s="8"/>
      <c r="N958" s="8"/>
      <c r="O958" s="8"/>
    </row>
    <row r="959" spans="12:15" ht="15.75" customHeight="1" x14ac:dyDescent="0.25">
      <c r="L959" s="6"/>
      <c r="M959" s="8"/>
      <c r="N959" s="8"/>
      <c r="O959" s="8"/>
    </row>
    <row r="960" spans="12:15" ht="15.75" customHeight="1" x14ac:dyDescent="0.25">
      <c r="L960" s="6"/>
      <c r="M960" s="8"/>
      <c r="N960" s="8"/>
      <c r="O960" s="8"/>
    </row>
    <row r="961" spans="12:15" ht="15.75" customHeight="1" x14ac:dyDescent="0.25">
      <c r="L961" s="6"/>
      <c r="M961" s="8"/>
      <c r="N961" s="8"/>
      <c r="O961" s="8"/>
    </row>
    <row r="962" spans="12:15" ht="15.75" customHeight="1" x14ac:dyDescent="0.25">
      <c r="L962" s="6"/>
      <c r="M962" s="8"/>
      <c r="N962" s="8"/>
      <c r="O962" s="8"/>
    </row>
    <row r="963" spans="12:15" ht="15.75" customHeight="1" x14ac:dyDescent="0.25">
      <c r="L963" s="6"/>
      <c r="M963" s="8"/>
      <c r="N963" s="8"/>
      <c r="O963" s="8"/>
    </row>
    <row r="964" spans="12:15" ht="15.75" customHeight="1" x14ac:dyDescent="0.25">
      <c r="L964" s="6"/>
      <c r="M964" s="8"/>
      <c r="N964" s="8"/>
      <c r="O964" s="8"/>
    </row>
    <row r="965" spans="12:15" ht="15.75" customHeight="1" x14ac:dyDescent="0.25">
      <c r="L965" s="6"/>
      <c r="M965" s="8"/>
      <c r="N965" s="8"/>
      <c r="O965" s="8"/>
    </row>
    <row r="966" spans="12:15" ht="15.75" customHeight="1" x14ac:dyDescent="0.25">
      <c r="L966" s="6"/>
      <c r="M966" s="8"/>
      <c r="N966" s="8"/>
      <c r="O966" s="8"/>
    </row>
    <row r="967" spans="12:15" ht="15.75" customHeight="1" x14ac:dyDescent="0.25">
      <c r="L967" s="6"/>
      <c r="M967" s="8"/>
      <c r="N967" s="8"/>
      <c r="O967" s="8"/>
    </row>
    <row r="968" spans="12:15" ht="15.75" customHeight="1" x14ac:dyDescent="0.25">
      <c r="L968" s="6"/>
      <c r="M968" s="8"/>
      <c r="N968" s="8"/>
      <c r="O968" s="8"/>
    </row>
    <row r="969" spans="12:15" ht="15.75" customHeight="1" x14ac:dyDescent="0.25">
      <c r="L969" s="6"/>
      <c r="M969" s="8"/>
      <c r="N969" s="8"/>
      <c r="O969" s="8"/>
    </row>
    <row r="970" spans="12:15" ht="15.75" customHeight="1" x14ac:dyDescent="0.25">
      <c r="L970" s="6"/>
      <c r="M970" s="8"/>
      <c r="N970" s="8"/>
      <c r="O970" s="8"/>
    </row>
    <row r="971" spans="12:15" ht="15.75" customHeight="1" x14ac:dyDescent="0.25">
      <c r="L971" s="6"/>
      <c r="M971" s="8"/>
      <c r="N971" s="8"/>
      <c r="O971" s="8"/>
    </row>
    <row r="972" spans="12:15" ht="15.75" customHeight="1" x14ac:dyDescent="0.25">
      <c r="L972" s="6"/>
      <c r="M972" s="8"/>
      <c r="N972" s="8"/>
      <c r="O972" s="8"/>
    </row>
    <row r="973" spans="12:15" ht="15.75" customHeight="1" x14ac:dyDescent="0.25">
      <c r="L973" s="6"/>
      <c r="M973" s="8"/>
      <c r="N973" s="8"/>
      <c r="O973" s="8"/>
    </row>
    <row r="974" spans="12:15" ht="15.75" customHeight="1" x14ac:dyDescent="0.25">
      <c r="L974" s="6"/>
      <c r="M974" s="8"/>
      <c r="N974" s="8"/>
      <c r="O974" s="8"/>
    </row>
    <row r="975" spans="12:15" ht="15.75" customHeight="1" x14ac:dyDescent="0.25">
      <c r="L975" s="6"/>
      <c r="M975" s="8"/>
      <c r="N975" s="8"/>
      <c r="O975" s="8"/>
    </row>
    <row r="976" spans="12:15" ht="15.75" customHeight="1" x14ac:dyDescent="0.25">
      <c r="L976" s="6"/>
      <c r="M976" s="8"/>
      <c r="N976" s="8"/>
      <c r="O976" s="8"/>
    </row>
    <row r="977" spans="12:15" ht="15.75" customHeight="1" x14ac:dyDescent="0.25">
      <c r="L977" s="6"/>
      <c r="M977" s="8"/>
      <c r="N977" s="8"/>
      <c r="O977" s="8"/>
    </row>
    <row r="978" spans="12:15" ht="15.75" customHeight="1" x14ac:dyDescent="0.25">
      <c r="L978" s="6"/>
      <c r="M978" s="8"/>
      <c r="N978" s="8"/>
      <c r="O978" s="8"/>
    </row>
    <row r="979" spans="12:15" ht="15.75" customHeight="1" x14ac:dyDescent="0.25">
      <c r="L979" s="6"/>
      <c r="M979" s="8"/>
      <c r="N979" s="8"/>
      <c r="O979" s="8"/>
    </row>
    <row r="980" spans="12:15" ht="15.75" customHeight="1" x14ac:dyDescent="0.25">
      <c r="L980" s="6"/>
      <c r="M980" s="8"/>
      <c r="N980" s="8"/>
      <c r="O980" s="8"/>
    </row>
    <row r="981" spans="12:15" ht="15.75" customHeight="1" x14ac:dyDescent="0.25">
      <c r="L981" s="6"/>
      <c r="M981" s="8"/>
      <c r="N981" s="8"/>
      <c r="O981" s="8"/>
    </row>
    <row r="982" spans="12:15" ht="15.75" customHeight="1" x14ac:dyDescent="0.25">
      <c r="L982" s="6"/>
      <c r="M982" s="8"/>
      <c r="N982" s="8"/>
      <c r="O982" s="8"/>
    </row>
    <row r="983" spans="12:15" ht="15.75" customHeight="1" x14ac:dyDescent="0.25">
      <c r="L983" s="6"/>
      <c r="M983" s="8"/>
      <c r="N983" s="8"/>
      <c r="O983" s="8"/>
    </row>
    <row r="984" spans="12:15" ht="15.75" customHeight="1" x14ac:dyDescent="0.25">
      <c r="L984" s="6"/>
      <c r="M984" s="8"/>
      <c r="N984" s="8"/>
      <c r="O984" s="8"/>
    </row>
    <row r="985" spans="12:15" ht="15.75" customHeight="1" x14ac:dyDescent="0.25">
      <c r="L985" s="6"/>
      <c r="M985" s="8"/>
      <c r="N985" s="8"/>
      <c r="O985" s="8"/>
    </row>
    <row r="986" spans="12:15" ht="15.75" customHeight="1" x14ac:dyDescent="0.25">
      <c r="L986" s="6"/>
      <c r="M986" s="8"/>
      <c r="N986" s="8"/>
      <c r="O986" s="8"/>
    </row>
    <row r="987" spans="12:15" ht="15.75" customHeight="1" x14ac:dyDescent="0.25">
      <c r="L987" s="6"/>
      <c r="M987" s="8"/>
      <c r="N987" s="8"/>
      <c r="O987" s="8"/>
    </row>
    <row r="988" spans="12:15" ht="15.75" customHeight="1" x14ac:dyDescent="0.25">
      <c r="L988" s="6"/>
      <c r="M988" s="8"/>
      <c r="N988" s="8"/>
      <c r="O988" s="8"/>
    </row>
    <row r="989" spans="12:15" ht="15.75" customHeight="1" x14ac:dyDescent="0.25">
      <c r="L989" s="6"/>
      <c r="M989" s="8"/>
      <c r="N989" s="8"/>
      <c r="O989" s="8"/>
    </row>
    <row r="990" spans="12:15" ht="15.75" customHeight="1" x14ac:dyDescent="0.25">
      <c r="L990" s="6"/>
      <c r="M990" s="8"/>
      <c r="N990" s="8"/>
      <c r="O990" s="8"/>
    </row>
    <row r="991" spans="12:15" ht="15.75" customHeight="1" x14ac:dyDescent="0.25">
      <c r="L991" s="6"/>
      <c r="M991" s="8"/>
      <c r="N991" s="8"/>
      <c r="O991" s="8"/>
    </row>
    <row r="992" spans="12:15" ht="15.75" customHeight="1" x14ac:dyDescent="0.25">
      <c r="L992" s="6"/>
      <c r="M992" s="8"/>
      <c r="N992" s="8"/>
      <c r="O992" s="8"/>
    </row>
    <row r="993" spans="12:15" ht="15.75" customHeight="1" x14ac:dyDescent="0.25">
      <c r="L993" s="6"/>
      <c r="M993" s="8"/>
      <c r="N993" s="8"/>
      <c r="O993" s="8"/>
    </row>
    <row r="994" spans="12:15" ht="15.75" customHeight="1" x14ac:dyDescent="0.25">
      <c r="L994" s="6"/>
      <c r="M994" s="8"/>
      <c r="N994" s="8"/>
      <c r="O994" s="8"/>
    </row>
    <row r="995" spans="12:15" ht="15.75" customHeight="1" x14ac:dyDescent="0.25">
      <c r="L995" s="6"/>
      <c r="M995" s="8"/>
      <c r="N995" s="8"/>
      <c r="O995" s="8"/>
    </row>
    <row r="996" spans="12:15" ht="15.75" customHeight="1" x14ac:dyDescent="0.25">
      <c r="L996" s="6"/>
      <c r="M996" s="8"/>
      <c r="N996" s="8"/>
      <c r="O996" s="8"/>
    </row>
    <row r="997" spans="12:15" ht="15.75" customHeight="1" x14ac:dyDescent="0.25">
      <c r="L997" s="6"/>
      <c r="M997" s="8"/>
      <c r="N997" s="8"/>
      <c r="O997" s="8"/>
    </row>
    <row r="998" spans="12:15" ht="15.75" customHeight="1" x14ac:dyDescent="0.25">
      <c r="L998" s="6"/>
      <c r="M998" s="8"/>
      <c r="N998" s="8"/>
      <c r="O998" s="8"/>
    </row>
    <row r="999" spans="12:15" ht="15.75" customHeight="1" x14ac:dyDescent="0.25">
      <c r="L999" s="6"/>
      <c r="M999" s="8"/>
      <c r="N999" s="8"/>
      <c r="O999" s="8"/>
    </row>
    <row r="1000" spans="12:15" ht="15.75" customHeight="1" x14ac:dyDescent="0.25">
      <c r="L1000" s="6"/>
      <c r="M1000" s="8"/>
      <c r="N1000" s="8"/>
      <c r="O1000" s="8"/>
    </row>
  </sheetData>
  <mergeCells count="524">
    <mergeCell ref="B373:F373"/>
    <mergeCell ref="I373:J373"/>
    <mergeCell ref="B374:F374"/>
    <mergeCell ref="I374:J374"/>
    <mergeCell ref="B375:F375"/>
    <mergeCell ref="I375:J375"/>
    <mergeCell ref="B376:K376"/>
    <mergeCell ref="B322:F322"/>
    <mergeCell ref="I322:J322"/>
    <mergeCell ref="B324:K324"/>
    <mergeCell ref="I325:J325"/>
    <mergeCell ref="I328:J328"/>
    <mergeCell ref="I329:J329"/>
    <mergeCell ref="B325:F325"/>
    <mergeCell ref="B326:F326"/>
    <mergeCell ref="I326:J326"/>
    <mergeCell ref="B327:F327"/>
    <mergeCell ref="I327:J327"/>
    <mergeCell ref="B328:F328"/>
    <mergeCell ref="B329:F329"/>
    <mergeCell ref="B317:F317"/>
    <mergeCell ref="I317:J317"/>
    <mergeCell ref="B318:F318"/>
    <mergeCell ref="I318:J318"/>
    <mergeCell ref="B319:F319"/>
    <mergeCell ref="I319:J319"/>
    <mergeCell ref="I320:J320"/>
    <mergeCell ref="B320:F320"/>
    <mergeCell ref="B321:F321"/>
    <mergeCell ref="I321:J321"/>
    <mergeCell ref="I315:J315"/>
    <mergeCell ref="I316:J316"/>
    <mergeCell ref="B312:K312"/>
    <mergeCell ref="B313:F313"/>
    <mergeCell ref="I313:J313"/>
    <mergeCell ref="B314:F314"/>
    <mergeCell ref="I314:J314"/>
    <mergeCell ref="B315:F315"/>
    <mergeCell ref="B316:F316"/>
    <mergeCell ref="B361:J361"/>
    <mergeCell ref="B364:K364"/>
    <mergeCell ref="B366:K366"/>
    <mergeCell ref="B367:K367"/>
    <mergeCell ref="I371:J371"/>
    <mergeCell ref="I372:J372"/>
    <mergeCell ref="B368:K368"/>
    <mergeCell ref="B369:F369"/>
    <mergeCell ref="I369:J369"/>
    <mergeCell ref="B370:F370"/>
    <mergeCell ref="I370:J370"/>
    <mergeCell ref="B371:F371"/>
    <mergeCell ref="B372:F372"/>
    <mergeCell ref="B355:F355"/>
    <mergeCell ref="I355:J355"/>
    <mergeCell ref="B356:F356"/>
    <mergeCell ref="I356:J356"/>
    <mergeCell ref="B357:F357"/>
    <mergeCell ref="I357:J357"/>
    <mergeCell ref="I358:J358"/>
    <mergeCell ref="B358:F358"/>
    <mergeCell ref="B359:F359"/>
    <mergeCell ref="I359:J359"/>
    <mergeCell ref="B348:F348"/>
    <mergeCell ref="I348:J348"/>
    <mergeCell ref="B349:F349"/>
    <mergeCell ref="B350:F350"/>
    <mergeCell ref="I353:J353"/>
    <mergeCell ref="I354:J354"/>
    <mergeCell ref="I349:J349"/>
    <mergeCell ref="I350:J350"/>
    <mergeCell ref="B351:K351"/>
    <mergeCell ref="B352:F352"/>
    <mergeCell ref="I352:J352"/>
    <mergeCell ref="B353:F353"/>
    <mergeCell ref="B354:F354"/>
    <mergeCell ref="B343:F343"/>
    <mergeCell ref="I343:J343"/>
    <mergeCell ref="B344:F344"/>
    <mergeCell ref="I344:J344"/>
    <mergeCell ref="B345:F345"/>
    <mergeCell ref="I345:J345"/>
    <mergeCell ref="I346:J346"/>
    <mergeCell ref="B346:F346"/>
    <mergeCell ref="B347:F347"/>
    <mergeCell ref="I347:J347"/>
    <mergeCell ref="B335:F335"/>
    <mergeCell ref="I335:J335"/>
    <mergeCell ref="B336:F336"/>
    <mergeCell ref="I336:J336"/>
    <mergeCell ref="I341:J341"/>
    <mergeCell ref="I342:J342"/>
    <mergeCell ref="B338:K338"/>
    <mergeCell ref="B339:F339"/>
    <mergeCell ref="I339:J339"/>
    <mergeCell ref="B340:F340"/>
    <mergeCell ref="I340:J340"/>
    <mergeCell ref="B341:F341"/>
    <mergeCell ref="B342:F342"/>
    <mergeCell ref="B330:F330"/>
    <mergeCell ref="I330:J330"/>
    <mergeCell ref="B331:F331"/>
    <mergeCell ref="I331:J331"/>
    <mergeCell ref="B332:F332"/>
    <mergeCell ref="I332:J332"/>
    <mergeCell ref="I333:J333"/>
    <mergeCell ref="B333:F333"/>
    <mergeCell ref="B334:F334"/>
    <mergeCell ref="I334:J334"/>
    <mergeCell ref="L386:L394"/>
    <mergeCell ref="I387:J387"/>
    <mergeCell ref="I388:J388"/>
    <mergeCell ref="I389:J389"/>
    <mergeCell ref="I390:J390"/>
    <mergeCell ref="I401:J401"/>
    <mergeCell ref="I402:J402"/>
    <mergeCell ref="I423:J423"/>
    <mergeCell ref="I424:J424"/>
    <mergeCell ref="I382:J382"/>
    <mergeCell ref="B383:F383"/>
    <mergeCell ref="I383:J383"/>
    <mergeCell ref="B384:K384"/>
    <mergeCell ref="B385:K385"/>
    <mergeCell ref="B386:K386"/>
    <mergeCell ref="I391:J391"/>
    <mergeCell ref="I392:J392"/>
    <mergeCell ref="I380:J380"/>
    <mergeCell ref="I381:J381"/>
    <mergeCell ref="C451:G451"/>
    <mergeCell ref="I451:J451"/>
    <mergeCell ref="B452:J452"/>
    <mergeCell ref="B455:J455"/>
    <mergeCell ref="B440:F440"/>
    <mergeCell ref="B441:F441"/>
    <mergeCell ref="I441:J441"/>
    <mergeCell ref="B442:F442"/>
    <mergeCell ref="I442:J442"/>
    <mergeCell ref="B443:J443"/>
    <mergeCell ref="B446:J446"/>
    <mergeCell ref="B433:K433"/>
    <mergeCell ref="B434:J434"/>
    <mergeCell ref="B437:K437"/>
    <mergeCell ref="B438:K438"/>
    <mergeCell ref="B439:F439"/>
    <mergeCell ref="I439:J439"/>
    <mergeCell ref="I440:J440"/>
    <mergeCell ref="B449:K449"/>
    <mergeCell ref="C450:G450"/>
    <mergeCell ref="I450:J450"/>
    <mergeCell ref="I431:J431"/>
    <mergeCell ref="I432:J432"/>
    <mergeCell ref="B428:F428"/>
    <mergeCell ref="B429:F429"/>
    <mergeCell ref="I429:J429"/>
    <mergeCell ref="B430:F430"/>
    <mergeCell ref="I430:J430"/>
    <mergeCell ref="B431:F431"/>
    <mergeCell ref="B432:F432"/>
    <mergeCell ref="B423:F423"/>
    <mergeCell ref="B424:F424"/>
    <mergeCell ref="B425:F425"/>
    <mergeCell ref="I425:J425"/>
    <mergeCell ref="B426:F426"/>
    <mergeCell ref="I426:J426"/>
    <mergeCell ref="B427:F427"/>
    <mergeCell ref="I427:J427"/>
    <mergeCell ref="I428:J428"/>
    <mergeCell ref="B417:F417"/>
    <mergeCell ref="I417:J417"/>
    <mergeCell ref="B418:F418"/>
    <mergeCell ref="I418:J418"/>
    <mergeCell ref="I419:J419"/>
    <mergeCell ref="B419:F419"/>
    <mergeCell ref="B420:K420"/>
    <mergeCell ref="B421:K421"/>
    <mergeCell ref="B422:F422"/>
    <mergeCell ref="I422:J422"/>
    <mergeCell ref="I415:J415"/>
    <mergeCell ref="B411:K411"/>
    <mergeCell ref="B412:F412"/>
    <mergeCell ref="I412:J412"/>
    <mergeCell ref="B413:F413"/>
    <mergeCell ref="I413:J413"/>
    <mergeCell ref="B414:F414"/>
    <mergeCell ref="B415:F415"/>
    <mergeCell ref="B416:F416"/>
    <mergeCell ref="I416:J416"/>
    <mergeCell ref="I406:J406"/>
    <mergeCell ref="B406:F406"/>
    <mergeCell ref="B407:F407"/>
    <mergeCell ref="I407:J407"/>
    <mergeCell ref="B408:F408"/>
    <mergeCell ref="I408:J408"/>
    <mergeCell ref="B409:K409"/>
    <mergeCell ref="B410:K410"/>
    <mergeCell ref="I414:J414"/>
    <mergeCell ref="B400:F400"/>
    <mergeCell ref="I400:J400"/>
    <mergeCell ref="B401:F401"/>
    <mergeCell ref="B402:F402"/>
    <mergeCell ref="B403:F403"/>
    <mergeCell ref="I403:J403"/>
    <mergeCell ref="B404:F404"/>
    <mergeCell ref="I404:J404"/>
    <mergeCell ref="B405:F405"/>
    <mergeCell ref="I405:J405"/>
    <mergeCell ref="I394:J394"/>
    <mergeCell ref="B395:K395"/>
    <mergeCell ref="B396:K396"/>
    <mergeCell ref="B397:F397"/>
    <mergeCell ref="I397:J397"/>
    <mergeCell ref="I398:J398"/>
    <mergeCell ref="B398:F398"/>
    <mergeCell ref="B399:F399"/>
    <mergeCell ref="I399:J399"/>
    <mergeCell ref="B394:F394"/>
    <mergeCell ref="I307:J307"/>
    <mergeCell ref="B307:F307"/>
    <mergeCell ref="B308:F308"/>
    <mergeCell ref="I308:J308"/>
    <mergeCell ref="B309:F309"/>
    <mergeCell ref="I309:J309"/>
    <mergeCell ref="B310:F310"/>
    <mergeCell ref="I310:J310"/>
    <mergeCell ref="I393:J393"/>
    <mergeCell ref="B377:K377"/>
    <mergeCell ref="B378:F378"/>
    <mergeCell ref="I378:J378"/>
    <mergeCell ref="B379:F379"/>
    <mergeCell ref="I379:J379"/>
    <mergeCell ref="B380:F380"/>
    <mergeCell ref="B381:F381"/>
    <mergeCell ref="B387:F387"/>
    <mergeCell ref="B388:F388"/>
    <mergeCell ref="B389:F389"/>
    <mergeCell ref="B390:F390"/>
    <mergeCell ref="B391:F391"/>
    <mergeCell ref="B392:F392"/>
    <mergeCell ref="B393:F393"/>
    <mergeCell ref="B382:F382"/>
    <mergeCell ref="C295:G295"/>
    <mergeCell ref="C296:I296"/>
    <mergeCell ref="B297:J297"/>
    <mergeCell ref="B298:J298"/>
    <mergeCell ref="B300:J300"/>
    <mergeCell ref="B303:K303"/>
    <mergeCell ref="B305:K305"/>
    <mergeCell ref="B306:F306"/>
    <mergeCell ref="I306:J306"/>
    <mergeCell ref="C286:I286"/>
    <mergeCell ref="C287:I287"/>
    <mergeCell ref="C288:I288"/>
    <mergeCell ref="C289:I289"/>
    <mergeCell ref="C290:I290"/>
    <mergeCell ref="C291:G291"/>
    <mergeCell ref="C292:G292"/>
    <mergeCell ref="C293:G293"/>
    <mergeCell ref="C294:G294"/>
    <mergeCell ref="B272:J272"/>
    <mergeCell ref="B274:K274"/>
    <mergeCell ref="C275:G275"/>
    <mergeCell ref="C276:G276"/>
    <mergeCell ref="B277:B278"/>
    <mergeCell ref="C277:G278"/>
    <mergeCell ref="C283:G283"/>
    <mergeCell ref="C284:I284"/>
    <mergeCell ref="C285:I285"/>
    <mergeCell ref="C263:I263"/>
    <mergeCell ref="C264:I264"/>
    <mergeCell ref="C265:G265"/>
    <mergeCell ref="C266:G266"/>
    <mergeCell ref="C267:G267"/>
    <mergeCell ref="C268:G268"/>
    <mergeCell ref="C269:G269"/>
    <mergeCell ref="C270:I270"/>
    <mergeCell ref="B271:J271"/>
    <mergeCell ref="B252:K252"/>
    <mergeCell ref="C253:G253"/>
    <mergeCell ref="C254:G254"/>
    <mergeCell ref="C257:G257"/>
    <mergeCell ref="C258:I258"/>
    <mergeCell ref="C259:I259"/>
    <mergeCell ref="C260:I260"/>
    <mergeCell ref="C261:I261"/>
    <mergeCell ref="C262:I262"/>
    <mergeCell ref="C225:G225"/>
    <mergeCell ref="C226:I226"/>
    <mergeCell ref="B227:J227"/>
    <mergeCell ref="B228:J228"/>
    <mergeCell ref="B230:K230"/>
    <mergeCell ref="C231:G231"/>
    <mergeCell ref="C248:I248"/>
    <mergeCell ref="B249:J249"/>
    <mergeCell ref="B250:J250"/>
    <mergeCell ref="C245:G245"/>
    <mergeCell ref="C246:G246"/>
    <mergeCell ref="C247:G247"/>
    <mergeCell ref="B181:J181"/>
    <mergeCell ref="B183:K183"/>
    <mergeCell ref="C184:G184"/>
    <mergeCell ref="C185:G185"/>
    <mergeCell ref="B186:B187"/>
    <mergeCell ref="C186:G187"/>
    <mergeCell ref="C192:G192"/>
    <mergeCell ref="C193:I193"/>
    <mergeCell ref="C194:I194"/>
    <mergeCell ref="C195:I195"/>
    <mergeCell ref="C196:I196"/>
    <mergeCell ref="C197:I197"/>
    <mergeCell ref="C198:I198"/>
    <mergeCell ref="C199:I199"/>
    <mergeCell ref="C200:G200"/>
    <mergeCell ref="C201:G201"/>
    <mergeCell ref="C202:G202"/>
    <mergeCell ref="C203:G203"/>
    <mergeCell ref="C204:I204"/>
    <mergeCell ref="B205:J205"/>
    <mergeCell ref="B206:J206"/>
    <mergeCell ref="C236:I236"/>
    <mergeCell ref="C237:I237"/>
    <mergeCell ref="C238:I238"/>
    <mergeCell ref="C239:I239"/>
    <mergeCell ref="C240:I240"/>
    <mergeCell ref="C241:I241"/>
    <mergeCell ref="C242:I242"/>
    <mergeCell ref="C243:G243"/>
    <mergeCell ref="C244:G244"/>
    <mergeCell ref="C174:I174"/>
    <mergeCell ref="C175:G175"/>
    <mergeCell ref="C176:G176"/>
    <mergeCell ref="C177:G177"/>
    <mergeCell ref="C178:G178"/>
    <mergeCell ref="C179:I179"/>
    <mergeCell ref="B180:J180"/>
    <mergeCell ref="C232:G232"/>
    <mergeCell ref="C235:G235"/>
    <mergeCell ref="B208:K208"/>
    <mergeCell ref="C209:G209"/>
    <mergeCell ref="C210:G210"/>
    <mergeCell ref="C213:G213"/>
    <mergeCell ref="C214:I214"/>
    <mergeCell ref="C215:I215"/>
    <mergeCell ref="C216:I216"/>
    <mergeCell ref="C217:I217"/>
    <mergeCell ref="C218:I218"/>
    <mergeCell ref="C219:I219"/>
    <mergeCell ref="C220:I220"/>
    <mergeCell ref="C221:G221"/>
    <mergeCell ref="C222:G222"/>
    <mergeCell ref="C223:G223"/>
    <mergeCell ref="C224:G224"/>
    <mergeCell ref="C163:G163"/>
    <mergeCell ref="C164:G164"/>
    <mergeCell ref="C167:G167"/>
    <mergeCell ref="C168:I168"/>
    <mergeCell ref="C169:I169"/>
    <mergeCell ref="C170:I170"/>
    <mergeCell ref="C171:I171"/>
    <mergeCell ref="C172:I172"/>
    <mergeCell ref="C173:I173"/>
    <mergeCell ref="C153:I153"/>
    <mergeCell ref="C154:G154"/>
    <mergeCell ref="C155:G155"/>
    <mergeCell ref="C156:G156"/>
    <mergeCell ref="C157:G157"/>
    <mergeCell ref="C158:I158"/>
    <mergeCell ref="B159:J159"/>
    <mergeCell ref="B160:J160"/>
    <mergeCell ref="B162:K162"/>
    <mergeCell ref="B140:B141"/>
    <mergeCell ref="C140:G141"/>
    <mergeCell ref="C146:G146"/>
    <mergeCell ref="C147:I147"/>
    <mergeCell ref="C148:I148"/>
    <mergeCell ref="C149:I149"/>
    <mergeCell ref="C150:I150"/>
    <mergeCell ref="C151:I151"/>
    <mergeCell ref="C152:I152"/>
    <mergeCell ref="C130:G130"/>
    <mergeCell ref="C131:G131"/>
    <mergeCell ref="C132:G132"/>
    <mergeCell ref="C133:I133"/>
    <mergeCell ref="B134:J134"/>
    <mergeCell ref="B135:J135"/>
    <mergeCell ref="B137:K137"/>
    <mergeCell ref="C138:G138"/>
    <mergeCell ref="C139:G139"/>
    <mergeCell ref="C121:G121"/>
    <mergeCell ref="C122:I122"/>
    <mergeCell ref="C123:I123"/>
    <mergeCell ref="C124:I124"/>
    <mergeCell ref="C125:I125"/>
    <mergeCell ref="C126:I126"/>
    <mergeCell ref="C127:I127"/>
    <mergeCell ref="C128:I128"/>
    <mergeCell ref="C129:G129"/>
    <mergeCell ref="C109:G109"/>
    <mergeCell ref="C110:G110"/>
    <mergeCell ref="C111:G111"/>
    <mergeCell ref="C112:I112"/>
    <mergeCell ref="B113:J113"/>
    <mergeCell ref="B114:J114"/>
    <mergeCell ref="B116:K116"/>
    <mergeCell ref="C117:G117"/>
    <mergeCell ref="C118:G118"/>
    <mergeCell ref="C100:I100"/>
    <mergeCell ref="C101:I101"/>
    <mergeCell ref="C102:I102"/>
    <mergeCell ref="C103:I103"/>
    <mergeCell ref="C104:I104"/>
    <mergeCell ref="C105:I105"/>
    <mergeCell ref="C106:I106"/>
    <mergeCell ref="C107:G107"/>
    <mergeCell ref="C108:G108"/>
    <mergeCell ref="C90:G90"/>
    <mergeCell ref="C91:G91"/>
    <mergeCell ref="C92:G92"/>
    <mergeCell ref="C93:I93"/>
    <mergeCell ref="B94:J94"/>
    <mergeCell ref="B95:J95"/>
    <mergeCell ref="B97:K97"/>
    <mergeCell ref="C98:I98"/>
    <mergeCell ref="C99:I99"/>
    <mergeCell ref="C81:G81"/>
    <mergeCell ref="C82:I82"/>
    <mergeCell ref="C83:I83"/>
    <mergeCell ref="C84:I84"/>
    <mergeCell ref="C85:I85"/>
    <mergeCell ref="C86:I86"/>
    <mergeCell ref="C87:I87"/>
    <mergeCell ref="C88:I88"/>
    <mergeCell ref="C89:G89"/>
    <mergeCell ref="C67:G67"/>
    <mergeCell ref="C68:I68"/>
    <mergeCell ref="B69:J69"/>
    <mergeCell ref="B70:J70"/>
    <mergeCell ref="B72:K72"/>
    <mergeCell ref="C73:G73"/>
    <mergeCell ref="C74:G74"/>
    <mergeCell ref="B75:B76"/>
    <mergeCell ref="C75:G76"/>
    <mergeCell ref="C58:I58"/>
    <mergeCell ref="C59:I59"/>
    <mergeCell ref="C60:I60"/>
    <mergeCell ref="C61:I61"/>
    <mergeCell ref="C62:I62"/>
    <mergeCell ref="C63:I63"/>
    <mergeCell ref="C64:G64"/>
    <mergeCell ref="C65:G65"/>
    <mergeCell ref="C66:G66"/>
    <mergeCell ref="C46:G46"/>
    <mergeCell ref="C47:I47"/>
    <mergeCell ref="B48:J48"/>
    <mergeCell ref="B49:J49"/>
    <mergeCell ref="B51:K51"/>
    <mergeCell ref="C52:G52"/>
    <mergeCell ref="C53:G53"/>
    <mergeCell ref="C56:G56"/>
    <mergeCell ref="C57:I57"/>
    <mergeCell ref="C37:I37"/>
    <mergeCell ref="C38:I38"/>
    <mergeCell ref="C39:I39"/>
    <mergeCell ref="C40:I40"/>
    <mergeCell ref="C41:I41"/>
    <mergeCell ref="C42:I42"/>
    <mergeCell ref="C43:G43"/>
    <mergeCell ref="C44:G44"/>
    <mergeCell ref="C45:G45"/>
    <mergeCell ref="C28:G28"/>
    <mergeCell ref="I28:J28"/>
    <mergeCell ref="B29:J29"/>
    <mergeCell ref="B31:K31"/>
    <mergeCell ref="B32:K32"/>
    <mergeCell ref="B33:K33"/>
    <mergeCell ref="C34:I34"/>
    <mergeCell ref="C35:I35"/>
    <mergeCell ref="C36:I36"/>
    <mergeCell ref="I26:J26"/>
    <mergeCell ref="I27:J27"/>
    <mergeCell ref="C20:G20"/>
    <mergeCell ref="I20:J20"/>
    <mergeCell ref="C21:G21"/>
    <mergeCell ref="I21:J21"/>
    <mergeCell ref="C22:G22"/>
    <mergeCell ref="I22:J22"/>
    <mergeCell ref="I23:J23"/>
    <mergeCell ref="C23:G23"/>
    <mergeCell ref="C24:G24"/>
    <mergeCell ref="I24:J24"/>
    <mergeCell ref="C25:G25"/>
    <mergeCell ref="I25:J25"/>
    <mergeCell ref="C26:G26"/>
    <mergeCell ref="C27:G27"/>
    <mergeCell ref="C12:G12"/>
    <mergeCell ref="I12:J12"/>
    <mergeCell ref="C13:G13"/>
    <mergeCell ref="I13:J13"/>
    <mergeCell ref="C14:G14"/>
    <mergeCell ref="I14:J14"/>
    <mergeCell ref="I15:J15"/>
    <mergeCell ref="I18:J18"/>
    <mergeCell ref="I19:J19"/>
    <mergeCell ref="C15:G15"/>
    <mergeCell ref="C16:G16"/>
    <mergeCell ref="I16:J16"/>
    <mergeCell ref="C17:G17"/>
    <mergeCell ref="I17:J17"/>
    <mergeCell ref="C18:G18"/>
    <mergeCell ref="C19:G19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</mergeCells>
  <pageMargins left="0.78749999999999998" right="0.78749999999999998" top="1.05277777777778" bottom="1.05277777777778" header="0" footer="0"/>
  <pageSetup paperSize="9" orientation="portrait"/>
  <headerFooter>
    <oddHeader>&amp;Cffffff&amp;A</oddHeader>
    <oddFooter>&amp;CffffffPágina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1000"/>
  <sheetViews>
    <sheetView showGridLines="0" workbookViewId="0"/>
  </sheetViews>
  <sheetFormatPr defaultColWidth="14.42578125" defaultRowHeight="15" customHeight="1" x14ac:dyDescent="0.25"/>
  <cols>
    <col min="1" max="1" width="22.28515625" customWidth="1"/>
    <col min="2" max="2" width="8.7109375" customWidth="1"/>
    <col min="3" max="3" width="9" customWidth="1"/>
    <col min="4" max="4" width="8.7109375" customWidth="1"/>
    <col min="5" max="5" width="9.7109375" customWidth="1"/>
    <col min="6" max="6" width="14.42578125" customWidth="1"/>
    <col min="7" max="7" width="13.140625" customWidth="1"/>
    <col min="8" max="8" width="14.42578125" customWidth="1"/>
    <col min="9" max="9" width="10" customWidth="1"/>
    <col min="10" max="10" width="11.42578125" customWidth="1"/>
    <col min="11" max="11" width="18.7109375" customWidth="1"/>
    <col min="12" max="12" width="50" customWidth="1"/>
    <col min="13" max="13" width="11.5703125" customWidth="1"/>
    <col min="14" max="14" width="11.7109375" customWidth="1"/>
    <col min="15" max="15" width="11.140625" customWidth="1"/>
    <col min="16" max="17" width="8.7109375" customWidth="1"/>
    <col min="18" max="18" width="11.42578125" customWidth="1"/>
    <col min="19" max="30" width="8.7109375" customWidth="1"/>
  </cols>
  <sheetData>
    <row r="1" spans="2:14" x14ac:dyDescent="0.25">
      <c r="L1" s="6"/>
      <c r="M1" s="8"/>
      <c r="N1" s="8"/>
    </row>
    <row r="2" spans="2:14" ht="15.75" x14ac:dyDescent="0.25">
      <c r="B2" s="531" t="s">
        <v>179</v>
      </c>
      <c r="C2" s="532"/>
      <c r="D2" s="532"/>
      <c r="E2" s="532"/>
      <c r="F2" s="532"/>
      <c r="G2" s="532"/>
      <c r="H2" s="532"/>
      <c r="I2" s="532"/>
      <c r="J2" s="532"/>
      <c r="K2" s="533"/>
      <c r="L2" s="12"/>
      <c r="M2" s="30"/>
      <c r="N2" s="8"/>
    </row>
    <row r="3" spans="2:14" x14ac:dyDescent="0.25">
      <c r="L3" s="6"/>
      <c r="M3" s="8"/>
      <c r="N3" s="8"/>
    </row>
    <row r="4" spans="2:14" x14ac:dyDescent="0.25">
      <c r="B4" s="551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8"/>
      <c r="N4" s="8"/>
    </row>
    <row r="5" spans="2:14" ht="33" customHeight="1" x14ac:dyDescent="0.25">
      <c r="B5" s="552" t="s">
        <v>31</v>
      </c>
      <c r="C5" s="537"/>
      <c r="D5" s="537"/>
      <c r="E5" s="537"/>
      <c r="F5" s="537"/>
      <c r="G5" s="538"/>
      <c r="H5" s="17" t="s">
        <v>32</v>
      </c>
      <c r="I5" s="553" t="s">
        <v>33</v>
      </c>
      <c r="J5" s="538"/>
      <c r="K5" s="18" t="s">
        <v>34</v>
      </c>
      <c r="L5" s="6"/>
      <c r="M5" s="8"/>
      <c r="N5" s="8"/>
    </row>
    <row r="6" spans="2:14" x14ac:dyDescent="0.25">
      <c r="B6" s="19" t="s">
        <v>184</v>
      </c>
      <c r="C6" s="554" t="s">
        <v>36</v>
      </c>
      <c r="D6" s="537"/>
      <c r="E6" s="537"/>
      <c r="F6" s="537"/>
      <c r="G6" s="538"/>
      <c r="H6" s="23">
        <f>SUM(H7:H10)</f>
        <v>36</v>
      </c>
      <c r="I6" s="555"/>
      <c r="J6" s="538"/>
      <c r="K6" s="25">
        <f>SUM(K7:K10)</f>
        <v>263494.17328472884</v>
      </c>
      <c r="L6" s="6"/>
      <c r="M6" s="8"/>
      <c r="N6" s="8"/>
    </row>
    <row r="7" spans="2:14" x14ac:dyDescent="0.25">
      <c r="B7" s="26" t="s">
        <v>191</v>
      </c>
      <c r="C7" s="545" t="s">
        <v>43</v>
      </c>
      <c r="D7" s="537"/>
      <c r="E7" s="537"/>
      <c r="F7" s="537"/>
      <c r="G7" s="538"/>
      <c r="H7" s="3">
        <v>11</v>
      </c>
      <c r="I7" s="590">
        <f>K49</f>
        <v>6465.5533496361713</v>
      </c>
      <c r="J7" s="538"/>
      <c r="K7" s="31">
        <f t="shared" ref="K7:K10" si="0">I7*H7</f>
        <v>71121.086845997881</v>
      </c>
      <c r="L7" s="6"/>
      <c r="M7" s="8"/>
      <c r="N7" s="8"/>
    </row>
    <row r="8" spans="2:14" x14ac:dyDescent="0.25">
      <c r="B8" s="26" t="s">
        <v>194</v>
      </c>
      <c r="C8" s="545" t="s">
        <v>49</v>
      </c>
      <c r="D8" s="537"/>
      <c r="E8" s="537"/>
      <c r="F8" s="537"/>
      <c r="G8" s="538"/>
      <c r="H8" s="3">
        <v>11</v>
      </c>
      <c r="I8" s="590">
        <f>K75</f>
        <v>7027.655911265706</v>
      </c>
      <c r="J8" s="538"/>
      <c r="K8" s="31">
        <f t="shared" si="0"/>
        <v>77304.215023922763</v>
      </c>
      <c r="L8" s="6"/>
      <c r="M8" s="8"/>
      <c r="N8" s="8"/>
    </row>
    <row r="9" spans="2:14" x14ac:dyDescent="0.25">
      <c r="B9" s="26" t="s">
        <v>196</v>
      </c>
      <c r="C9" s="545" t="s">
        <v>52</v>
      </c>
      <c r="D9" s="537"/>
      <c r="E9" s="537"/>
      <c r="F9" s="537"/>
      <c r="G9" s="538"/>
      <c r="H9" s="3">
        <v>7</v>
      </c>
      <c r="I9" s="590">
        <f>K96</f>
        <v>7554.1758915477112</v>
      </c>
      <c r="J9" s="538"/>
      <c r="K9" s="31">
        <f t="shared" si="0"/>
        <v>52879.231240833979</v>
      </c>
      <c r="L9" s="6"/>
      <c r="M9" s="8"/>
      <c r="N9" s="8"/>
    </row>
    <row r="10" spans="2:14" x14ac:dyDescent="0.25">
      <c r="B10" s="26" t="s">
        <v>197</v>
      </c>
      <c r="C10" s="545" t="s">
        <v>56</v>
      </c>
      <c r="D10" s="537"/>
      <c r="E10" s="537"/>
      <c r="F10" s="537"/>
      <c r="G10" s="538"/>
      <c r="H10" s="3">
        <v>7</v>
      </c>
      <c r="I10" s="590">
        <f>K121</f>
        <v>8884.2343105677428</v>
      </c>
      <c r="J10" s="538"/>
      <c r="K10" s="31">
        <f t="shared" si="0"/>
        <v>62189.6401739742</v>
      </c>
      <c r="L10" s="6"/>
      <c r="M10" s="8"/>
      <c r="N10" s="8"/>
    </row>
    <row r="11" spans="2:14" x14ac:dyDescent="0.25">
      <c r="B11" s="19" t="s">
        <v>199</v>
      </c>
      <c r="C11" s="555" t="s">
        <v>58</v>
      </c>
      <c r="D11" s="537"/>
      <c r="E11" s="537"/>
      <c r="F11" s="537"/>
      <c r="G11" s="538"/>
      <c r="H11" s="23">
        <f>SUM(H12:H13)</f>
        <v>36</v>
      </c>
      <c r="I11" s="555"/>
      <c r="J11" s="538"/>
      <c r="K11" s="25">
        <f>SUM(K12:K13)</f>
        <v>7440.3355555555554</v>
      </c>
      <c r="L11" s="6"/>
      <c r="M11" s="8"/>
      <c r="N11" s="8"/>
    </row>
    <row r="12" spans="2:14" x14ac:dyDescent="0.25">
      <c r="B12" s="55" t="s">
        <v>201</v>
      </c>
      <c r="C12" s="545" t="s">
        <v>62</v>
      </c>
      <c r="D12" s="537"/>
      <c r="E12" s="537"/>
      <c r="F12" s="537"/>
      <c r="G12" s="538"/>
      <c r="H12" s="3">
        <f>SUM(H7:H8)</f>
        <v>22</v>
      </c>
      <c r="I12" s="602">
        <f>K143</f>
        <v>280.10555555555555</v>
      </c>
      <c r="J12" s="538"/>
      <c r="K12" s="45">
        <f t="shared" ref="K12:K13" si="1">I12*H12</f>
        <v>6162.3222222222221</v>
      </c>
      <c r="L12" s="6"/>
      <c r="M12" s="8"/>
      <c r="N12" s="8"/>
    </row>
    <row r="13" spans="2:14" ht="15" customHeight="1" x14ac:dyDescent="0.25">
      <c r="B13" s="55" t="s">
        <v>202</v>
      </c>
      <c r="C13" s="561" t="s">
        <v>66</v>
      </c>
      <c r="D13" s="537"/>
      <c r="E13" s="537"/>
      <c r="F13" s="537"/>
      <c r="G13" s="538"/>
      <c r="H13" s="3">
        <f>SUM(H9:H10)</f>
        <v>14</v>
      </c>
      <c r="I13" s="602">
        <f>K156</f>
        <v>91.286666666666676</v>
      </c>
      <c r="J13" s="538"/>
      <c r="K13" s="45">
        <f t="shared" si="1"/>
        <v>1278.0133333333335</v>
      </c>
      <c r="L13" s="6"/>
      <c r="M13" s="8"/>
      <c r="N13" s="8"/>
    </row>
    <row r="14" spans="2:14" x14ac:dyDescent="0.25">
      <c r="B14" s="19" t="s">
        <v>203</v>
      </c>
      <c r="C14" s="555" t="s">
        <v>70</v>
      </c>
      <c r="D14" s="537"/>
      <c r="E14" s="537"/>
      <c r="F14" s="537"/>
      <c r="G14" s="538"/>
      <c r="H14" s="23">
        <f>SUM(H15:H18)</f>
        <v>857</v>
      </c>
      <c r="I14" s="555"/>
      <c r="J14" s="538"/>
      <c r="K14" s="25">
        <f>SUM(K15:K18)</f>
        <v>196393.54731718154</v>
      </c>
      <c r="L14" s="6"/>
      <c r="M14" s="8"/>
      <c r="N14" s="8"/>
    </row>
    <row r="15" spans="2:14" x14ac:dyDescent="0.25">
      <c r="B15" s="26" t="s">
        <v>204</v>
      </c>
      <c r="C15" s="545" t="s">
        <v>79</v>
      </c>
      <c r="D15" s="537"/>
      <c r="E15" s="537"/>
      <c r="F15" s="537"/>
      <c r="G15" s="538"/>
      <c r="H15" s="47">
        <v>3</v>
      </c>
      <c r="I15" s="602">
        <f>I166</f>
        <v>28018.596522514956</v>
      </c>
      <c r="J15" s="538"/>
      <c r="K15" s="31">
        <f>K166</f>
        <v>84055.789567544882</v>
      </c>
      <c r="L15" s="123"/>
      <c r="M15" s="8"/>
      <c r="N15" s="8"/>
    </row>
    <row r="16" spans="2:14" x14ac:dyDescent="0.25">
      <c r="B16" s="26" t="s">
        <v>205</v>
      </c>
      <c r="C16" s="545" t="s">
        <v>206</v>
      </c>
      <c r="D16" s="537"/>
      <c r="E16" s="537"/>
      <c r="F16" s="537"/>
      <c r="G16" s="538"/>
      <c r="H16" s="47">
        <v>1</v>
      </c>
      <c r="I16" s="602">
        <f>I174</f>
        <v>21765.172487640833</v>
      </c>
      <c r="J16" s="538"/>
      <c r="K16" s="31">
        <f>K174</f>
        <v>21765.172487640833</v>
      </c>
      <c r="L16" s="6"/>
      <c r="M16" s="8"/>
      <c r="N16" s="8"/>
    </row>
    <row r="17" spans="2:14" x14ac:dyDescent="0.25">
      <c r="B17" s="26" t="s">
        <v>208</v>
      </c>
      <c r="C17" s="559" t="s">
        <v>84</v>
      </c>
      <c r="D17" s="537"/>
      <c r="E17" s="537"/>
      <c r="F17" s="537"/>
      <c r="G17" s="538"/>
      <c r="H17" s="47">
        <v>3</v>
      </c>
      <c r="I17" s="590">
        <f>I182</f>
        <v>3834.7556993111111</v>
      </c>
      <c r="J17" s="538"/>
      <c r="K17" s="31">
        <f>K182</f>
        <v>11504.267097933331</v>
      </c>
      <c r="L17" s="6"/>
      <c r="M17" s="8"/>
      <c r="N17" s="8"/>
    </row>
    <row r="18" spans="2:14" x14ac:dyDescent="0.25">
      <c r="B18" s="26" t="s">
        <v>210</v>
      </c>
      <c r="C18" s="559" t="s">
        <v>211</v>
      </c>
      <c r="D18" s="537"/>
      <c r="E18" s="537"/>
      <c r="F18" s="537"/>
      <c r="G18" s="538"/>
      <c r="H18" s="47">
        <v>850</v>
      </c>
      <c r="I18" s="590">
        <f>I190</f>
        <v>7498.7636507812504</v>
      </c>
      <c r="J18" s="538"/>
      <c r="K18" s="31">
        <f>K190</f>
        <v>79068.318164062497</v>
      </c>
      <c r="L18" s="6"/>
      <c r="M18" s="8"/>
      <c r="N18" s="8"/>
    </row>
    <row r="19" spans="2:14" x14ac:dyDescent="0.25">
      <c r="B19" s="19" t="s">
        <v>212</v>
      </c>
      <c r="C19" s="554" t="s">
        <v>92</v>
      </c>
      <c r="D19" s="537"/>
      <c r="E19" s="537"/>
      <c r="F19" s="537"/>
      <c r="G19" s="538"/>
      <c r="H19" s="48"/>
      <c r="I19" s="664"/>
      <c r="J19" s="538"/>
      <c r="K19" s="25">
        <f>K468</f>
        <v>2270.3212222222219</v>
      </c>
      <c r="L19" s="6"/>
      <c r="M19" s="8"/>
      <c r="N19" s="8"/>
    </row>
    <row r="20" spans="2:14" x14ac:dyDescent="0.25">
      <c r="B20" s="19" t="s">
        <v>214</v>
      </c>
      <c r="C20" s="555" t="s">
        <v>215</v>
      </c>
      <c r="D20" s="537"/>
      <c r="E20" s="537"/>
      <c r="F20" s="537"/>
      <c r="G20" s="538"/>
      <c r="H20" s="23"/>
      <c r="I20" s="555"/>
      <c r="J20" s="538"/>
      <c r="K20" s="25">
        <f>SUM(K21:K22)</f>
        <v>285859.92946264119</v>
      </c>
      <c r="L20" s="6"/>
      <c r="M20" s="8"/>
      <c r="N20" s="8"/>
    </row>
    <row r="21" spans="2:14" ht="15.75" customHeight="1" x14ac:dyDescent="0.25">
      <c r="B21" s="26" t="s">
        <v>216</v>
      </c>
      <c r="C21" s="559" t="s">
        <v>217</v>
      </c>
      <c r="D21" s="537"/>
      <c r="E21" s="537"/>
      <c r="F21" s="537"/>
      <c r="G21" s="538"/>
      <c r="H21" s="3">
        <v>1</v>
      </c>
      <c r="I21" s="590">
        <f t="shared" ref="I21:I22" si="2">K477</f>
        <v>155828.63656098727</v>
      </c>
      <c r="J21" s="538"/>
      <c r="K21" s="31">
        <f t="shared" ref="K21:K22" si="3">I21*H21</f>
        <v>155828.63656098727</v>
      </c>
      <c r="L21" s="6"/>
      <c r="M21" s="8"/>
      <c r="N21" s="8"/>
    </row>
    <row r="22" spans="2:14" ht="15.75" customHeight="1" x14ac:dyDescent="0.25">
      <c r="B22" s="26" t="s">
        <v>219</v>
      </c>
      <c r="C22" s="559" t="s">
        <v>102</v>
      </c>
      <c r="D22" s="537"/>
      <c r="E22" s="537"/>
      <c r="F22" s="537"/>
      <c r="G22" s="538"/>
      <c r="H22" s="3">
        <v>1</v>
      </c>
      <c r="I22" s="590">
        <f t="shared" si="2"/>
        <v>130031.2929016539</v>
      </c>
      <c r="J22" s="538"/>
      <c r="K22" s="31">
        <f t="shared" si="3"/>
        <v>130031.2929016539</v>
      </c>
      <c r="L22" s="6"/>
      <c r="M22" s="8"/>
      <c r="N22" s="8"/>
    </row>
    <row r="23" spans="2:14" ht="15.75" customHeight="1" x14ac:dyDescent="0.25">
      <c r="B23" s="551" t="s">
        <v>105</v>
      </c>
      <c r="C23" s="537"/>
      <c r="D23" s="537"/>
      <c r="E23" s="537"/>
      <c r="F23" s="537"/>
      <c r="G23" s="537"/>
      <c r="H23" s="537"/>
      <c r="I23" s="537"/>
      <c r="J23" s="538"/>
      <c r="K23" s="51">
        <f>K20+K14+K11+K6+K19</f>
        <v>755458.30684232921</v>
      </c>
      <c r="L23" s="6"/>
      <c r="M23" s="8"/>
      <c r="N23" s="8"/>
    </row>
    <row r="24" spans="2:14" ht="15.75" customHeight="1" x14ac:dyDescent="0.25">
      <c r="B24" s="551" t="s">
        <v>107</v>
      </c>
      <c r="C24" s="537"/>
      <c r="D24" s="537"/>
      <c r="E24" s="537"/>
      <c r="F24" s="537"/>
      <c r="G24" s="537"/>
      <c r="H24" s="537"/>
      <c r="I24" s="537"/>
      <c r="J24" s="538"/>
      <c r="K24" s="51">
        <f>K23*6</f>
        <v>4532749.8410539757</v>
      </c>
      <c r="L24" s="6"/>
      <c r="M24" s="8"/>
      <c r="N24" s="8"/>
    </row>
    <row r="25" spans="2:14" ht="15.75" customHeight="1" x14ac:dyDescent="0.25">
      <c r="B25" s="661" t="s">
        <v>221</v>
      </c>
      <c r="C25" s="537"/>
      <c r="D25" s="537"/>
      <c r="E25" s="537"/>
      <c r="F25" s="537"/>
      <c r="G25" s="538"/>
      <c r="H25" s="53">
        <v>850</v>
      </c>
      <c r="I25" s="660" t="s">
        <v>23</v>
      </c>
      <c r="J25" s="538"/>
      <c r="K25" s="54">
        <f>$K$23/H25</f>
        <v>888.77447863803434</v>
      </c>
      <c r="L25" s="6"/>
      <c r="M25" s="8"/>
      <c r="N25" s="8"/>
    </row>
    <row r="26" spans="2:14" ht="15.75" customHeight="1" x14ac:dyDescent="0.25">
      <c r="L26" s="6"/>
      <c r="M26" s="8"/>
      <c r="N26" s="8"/>
    </row>
    <row r="27" spans="2:14" ht="15.75" customHeight="1" x14ac:dyDescent="0.25">
      <c r="L27" s="6"/>
      <c r="M27" s="8"/>
      <c r="N27" s="8"/>
    </row>
    <row r="28" spans="2:14" ht="15" customHeight="1" x14ac:dyDescent="0.25">
      <c r="B28" s="566" t="s">
        <v>223</v>
      </c>
      <c r="C28" s="537"/>
      <c r="D28" s="537"/>
      <c r="E28" s="537"/>
      <c r="F28" s="537"/>
      <c r="G28" s="537"/>
      <c r="H28" s="537"/>
      <c r="I28" s="537"/>
      <c r="J28" s="537"/>
      <c r="K28" s="538"/>
      <c r="L28" s="6"/>
      <c r="M28" s="8"/>
      <c r="N28" s="8"/>
    </row>
    <row r="29" spans="2:14" ht="15" customHeight="1" x14ac:dyDescent="0.25">
      <c r="B29" s="662"/>
      <c r="C29" s="625"/>
      <c r="D29" s="625"/>
      <c r="E29" s="625"/>
      <c r="F29" s="625"/>
      <c r="G29" s="625"/>
      <c r="H29" s="625"/>
      <c r="I29" s="625"/>
      <c r="J29" s="625"/>
      <c r="K29" s="625"/>
      <c r="L29" s="6"/>
      <c r="M29" s="8"/>
      <c r="N29" s="8"/>
    </row>
    <row r="30" spans="2:14" ht="15.75" customHeight="1" x14ac:dyDescent="0.25">
      <c r="B30" s="568" t="s">
        <v>224</v>
      </c>
      <c r="C30" s="537"/>
      <c r="D30" s="537"/>
      <c r="E30" s="537"/>
      <c r="F30" s="537"/>
      <c r="G30" s="537"/>
      <c r="H30" s="537"/>
      <c r="I30" s="537"/>
      <c r="J30" s="537"/>
      <c r="K30" s="538"/>
      <c r="L30" s="6"/>
      <c r="M30" s="8"/>
      <c r="N30" s="8"/>
    </row>
    <row r="31" spans="2:14" ht="15.75" customHeight="1" x14ac:dyDescent="0.25">
      <c r="B31" s="58" t="s">
        <v>116</v>
      </c>
      <c r="C31" s="569" t="s">
        <v>117</v>
      </c>
      <c r="D31" s="537"/>
      <c r="E31" s="537"/>
      <c r="F31" s="537"/>
      <c r="G31" s="538"/>
      <c r="H31" s="59" t="s">
        <v>118</v>
      </c>
      <c r="I31" s="105" t="s">
        <v>119</v>
      </c>
      <c r="J31" s="61" t="s">
        <v>120</v>
      </c>
      <c r="K31" s="61" t="s">
        <v>121</v>
      </c>
      <c r="L31" s="6"/>
      <c r="M31" s="8"/>
      <c r="N31" s="8"/>
    </row>
    <row r="32" spans="2:14" ht="15.75" customHeight="1" x14ac:dyDescent="0.25">
      <c r="B32" s="14" t="s">
        <v>122</v>
      </c>
      <c r="C32" s="571" t="s">
        <v>123</v>
      </c>
      <c r="D32" s="537"/>
      <c r="E32" s="537"/>
      <c r="F32" s="537"/>
      <c r="G32" s="538"/>
      <c r="H32" s="3">
        <v>220</v>
      </c>
      <c r="I32" s="14" t="s">
        <v>126</v>
      </c>
      <c r="J32" s="66">
        <f>K32/H32</f>
        <v>9.4650454545454537</v>
      </c>
      <c r="K32" s="67">
        <f>'6 - DADOS CC MO'!E10</f>
        <v>2082.31</v>
      </c>
      <c r="L32" s="6"/>
      <c r="M32" s="8"/>
      <c r="N32" s="8"/>
    </row>
    <row r="33" spans="2:14" ht="15.75" customHeight="1" x14ac:dyDescent="0.25">
      <c r="B33" s="14" t="s">
        <v>129</v>
      </c>
      <c r="C33" s="63" t="s">
        <v>130</v>
      </c>
      <c r="D33" s="68"/>
      <c r="E33" s="68"/>
      <c r="F33" s="68"/>
      <c r="G33" s="69"/>
      <c r="H33" s="71">
        <f>7+1/3</f>
        <v>7.333333333333333</v>
      </c>
      <c r="I33" s="14" t="s">
        <v>126</v>
      </c>
      <c r="J33" s="66">
        <f>J32*2</f>
        <v>18.930090909090907</v>
      </c>
      <c r="K33" s="67">
        <f>H33*J33</f>
        <v>138.82066666666665</v>
      </c>
      <c r="L33" s="6"/>
      <c r="M33" s="8"/>
      <c r="N33" s="8"/>
    </row>
    <row r="34" spans="2:14" ht="15.75" customHeight="1" x14ac:dyDescent="0.25">
      <c r="B34" s="14" t="s">
        <v>134</v>
      </c>
      <c r="C34" s="63" t="s">
        <v>135</v>
      </c>
      <c r="D34" s="68"/>
      <c r="E34" s="68"/>
      <c r="F34" s="68"/>
      <c r="G34" s="69"/>
      <c r="H34" s="71"/>
      <c r="I34" s="14"/>
      <c r="J34" s="66">
        <f>61/304*(SUM(K33))</f>
        <v>27.855462719298245</v>
      </c>
      <c r="K34" s="67">
        <f>J34</f>
        <v>27.855462719298245</v>
      </c>
      <c r="L34" s="6"/>
      <c r="M34" s="8"/>
      <c r="N34" s="8"/>
    </row>
    <row r="35" spans="2:14" ht="15.75" customHeight="1" x14ac:dyDescent="0.25">
      <c r="B35" s="14" t="s">
        <v>138</v>
      </c>
      <c r="C35" s="571" t="s">
        <v>139</v>
      </c>
      <c r="D35" s="537"/>
      <c r="E35" s="537"/>
      <c r="F35" s="537"/>
      <c r="G35" s="538"/>
      <c r="H35" s="3">
        <v>40</v>
      </c>
      <c r="I35" s="14" t="s">
        <v>141</v>
      </c>
      <c r="J35" s="74"/>
      <c r="K35" s="67">
        <f>K32*40%</f>
        <v>832.92399999999998</v>
      </c>
      <c r="L35" s="6"/>
      <c r="M35" s="8"/>
      <c r="N35" s="8"/>
    </row>
    <row r="36" spans="2:14" ht="15.75" customHeight="1" x14ac:dyDescent="0.25">
      <c r="B36" s="3"/>
      <c r="C36" s="570" t="s">
        <v>142</v>
      </c>
      <c r="D36" s="537"/>
      <c r="E36" s="537"/>
      <c r="F36" s="537"/>
      <c r="G36" s="537"/>
      <c r="H36" s="537"/>
      <c r="I36" s="538"/>
      <c r="J36" s="75"/>
      <c r="K36" s="76">
        <f>SUM(K32:K35)</f>
        <v>3081.9101293859649</v>
      </c>
      <c r="L36" s="6"/>
      <c r="M36" s="8"/>
      <c r="N36" s="8"/>
    </row>
    <row r="37" spans="2:14" ht="15.75" customHeight="1" x14ac:dyDescent="0.25">
      <c r="B37" s="61" t="s">
        <v>145</v>
      </c>
      <c r="C37" s="569" t="s">
        <v>146</v>
      </c>
      <c r="D37" s="537"/>
      <c r="E37" s="537"/>
      <c r="F37" s="537"/>
      <c r="G37" s="537"/>
      <c r="H37" s="537"/>
      <c r="I37" s="538"/>
      <c r="J37" s="61" t="s">
        <v>141</v>
      </c>
      <c r="K37" s="61" t="s">
        <v>121</v>
      </c>
      <c r="L37" s="6"/>
      <c r="M37" s="8"/>
      <c r="N37" s="8"/>
    </row>
    <row r="38" spans="2:14" ht="15.75" customHeight="1" x14ac:dyDescent="0.25">
      <c r="B38" s="14" t="s">
        <v>147</v>
      </c>
      <c r="C38" s="571" t="s">
        <v>148</v>
      </c>
      <c r="D38" s="537"/>
      <c r="E38" s="537"/>
      <c r="F38" s="537"/>
      <c r="G38" s="537"/>
      <c r="H38" s="537"/>
      <c r="I38" s="538"/>
      <c r="J38" s="78">
        <f>'7 - ENCARGOS SOCIAIS'!$D$13</f>
        <v>0.36800000000000005</v>
      </c>
      <c r="K38" s="67">
        <f t="shared" ref="K38:K41" si="4">J38*$K$36</f>
        <v>1134.1429276140352</v>
      </c>
      <c r="L38" s="6"/>
      <c r="M38" s="8"/>
      <c r="N38" s="8"/>
    </row>
    <row r="39" spans="2:14" ht="15.75" customHeight="1" x14ac:dyDescent="0.25">
      <c r="B39" s="14" t="s">
        <v>150</v>
      </c>
      <c r="C39" s="571" t="s">
        <v>151</v>
      </c>
      <c r="D39" s="537"/>
      <c r="E39" s="537"/>
      <c r="F39" s="537"/>
      <c r="G39" s="537"/>
      <c r="H39" s="537"/>
      <c r="I39" s="538"/>
      <c r="J39" s="78">
        <f>'7 - ENCARGOS SOCIAIS'!$D$21</f>
        <v>0.15387245147090212</v>
      </c>
      <c r="K39" s="67">
        <f t="shared" si="4"/>
        <v>474.22106682162354</v>
      </c>
      <c r="L39" s="6"/>
      <c r="M39" s="8"/>
      <c r="N39" s="8"/>
    </row>
    <row r="40" spans="2:14" ht="15.75" customHeight="1" x14ac:dyDescent="0.25">
      <c r="B40" s="14" t="s">
        <v>152</v>
      </c>
      <c r="C40" s="571" t="s">
        <v>153</v>
      </c>
      <c r="D40" s="537"/>
      <c r="E40" s="537"/>
      <c r="F40" s="537"/>
      <c r="G40" s="537"/>
      <c r="H40" s="537"/>
      <c r="I40" s="538"/>
      <c r="J40" s="78">
        <f>'7 - ENCARGOS SOCIAIS'!$D$28</f>
        <v>0.12666581537651095</v>
      </c>
      <c r="K40" s="67">
        <f t="shared" si="4"/>
        <v>390.37265945580157</v>
      </c>
      <c r="L40" s="6"/>
      <c r="M40" s="8"/>
      <c r="N40" s="8"/>
    </row>
    <row r="41" spans="2:14" ht="15.75" customHeight="1" x14ac:dyDescent="0.25">
      <c r="B41" s="14" t="s">
        <v>155</v>
      </c>
      <c r="C41" s="571" t="s">
        <v>156</v>
      </c>
      <c r="D41" s="537"/>
      <c r="E41" s="537"/>
      <c r="F41" s="537"/>
      <c r="G41" s="537"/>
      <c r="H41" s="537"/>
      <c r="I41" s="538"/>
      <c r="J41" s="78">
        <f>'7 - ENCARGOS SOCIAIS'!$D$32</f>
        <v>5.9231502118822603E-2</v>
      </c>
      <c r="K41" s="67">
        <f t="shared" si="4"/>
        <v>182.54616635874561</v>
      </c>
      <c r="L41" s="6"/>
      <c r="M41" s="8"/>
      <c r="N41" s="8"/>
    </row>
    <row r="42" spans="2:14" ht="15.75" customHeight="1" x14ac:dyDescent="0.25">
      <c r="B42" s="17"/>
      <c r="C42" s="552" t="s">
        <v>157</v>
      </c>
      <c r="D42" s="537"/>
      <c r="E42" s="537"/>
      <c r="F42" s="537"/>
      <c r="G42" s="537"/>
      <c r="H42" s="537"/>
      <c r="I42" s="538"/>
      <c r="J42" s="83">
        <f t="shared" ref="J42:K42" si="5">SUM(J38:J41)</f>
        <v>0.70776976896623567</v>
      </c>
      <c r="K42" s="84">
        <f t="shared" si="5"/>
        <v>2181.282820250206</v>
      </c>
      <c r="L42" s="6"/>
      <c r="M42" s="8"/>
      <c r="N42" s="8"/>
    </row>
    <row r="43" spans="2:14" ht="23.25" customHeight="1" x14ac:dyDescent="0.25">
      <c r="B43" s="61" t="s">
        <v>158</v>
      </c>
      <c r="C43" s="572" t="s">
        <v>159</v>
      </c>
      <c r="D43" s="537"/>
      <c r="E43" s="537"/>
      <c r="F43" s="537"/>
      <c r="G43" s="538"/>
      <c r="H43" s="59" t="s">
        <v>160</v>
      </c>
      <c r="I43" s="61" t="s">
        <v>120</v>
      </c>
      <c r="J43" s="61" t="s">
        <v>161</v>
      </c>
      <c r="K43" s="61" t="s">
        <v>121</v>
      </c>
      <c r="L43" s="6"/>
      <c r="M43" s="8"/>
      <c r="N43" s="8"/>
    </row>
    <row r="44" spans="2:14" ht="15" customHeight="1" x14ac:dyDescent="0.25">
      <c r="B44" s="14" t="s">
        <v>162</v>
      </c>
      <c r="C44" s="561" t="s">
        <v>163</v>
      </c>
      <c r="D44" s="537"/>
      <c r="E44" s="537"/>
      <c r="F44" s="537"/>
      <c r="G44" s="538"/>
      <c r="H44" s="14">
        <v>26</v>
      </c>
      <c r="I44" s="88">
        <v>27.15</v>
      </c>
      <c r="J44" s="89">
        <v>0.19</v>
      </c>
      <c r="K44" s="31">
        <f>(H44*I44)-((H44*I44)*J44)</f>
        <v>571.779</v>
      </c>
      <c r="L44" s="6"/>
      <c r="M44" s="8"/>
      <c r="N44" s="8"/>
    </row>
    <row r="45" spans="2:14" ht="15.75" customHeight="1" x14ac:dyDescent="0.25">
      <c r="B45" s="14" t="s">
        <v>164</v>
      </c>
      <c r="C45" s="571" t="s">
        <v>165</v>
      </c>
      <c r="D45" s="537"/>
      <c r="E45" s="537"/>
      <c r="F45" s="537"/>
      <c r="G45" s="538"/>
      <c r="H45" s="14">
        <f>H44*4</f>
        <v>104</v>
      </c>
      <c r="I45" s="93">
        <v>6.25</v>
      </c>
      <c r="J45" s="89">
        <v>0.06</v>
      </c>
      <c r="K45" s="31">
        <f>(H45*I45)-(K32*J45)</f>
        <v>525.06140000000005</v>
      </c>
      <c r="L45" s="6"/>
      <c r="M45" s="8"/>
      <c r="N45" s="8"/>
    </row>
    <row r="46" spans="2:14" ht="15.75" customHeight="1" x14ac:dyDescent="0.25">
      <c r="B46" s="14" t="s">
        <v>166</v>
      </c>
      <c r="C46" s="571" t="s">
        <v>167</v>
      </c>
      <c r="D46" s="537"/>
      <c r="E46" s="537"/>
      <c r="F46" s="537"/>
      <c r="G46" s="538"/>
      <c r="H46" s="3">
        <v>1</v>
      </c>
      <c r="I46" s="88">
        <v>25.52</v>
      </c>
      <c r="J46" s="26"/>
      <c r="K46" s="94">
        <f t="shared" ref="K46:K47" si="6">I46</f>
        <v>25.52</v>
      </c>
      <c r="L46" s="6"/>
      <c r="M46" s="8"/>
      <c r="N46" s="8"/>
    </row>
    <row r="47" spans="2:14" ht="15.75" customHeight="1" x14ac:dyDescent="0.25">
      <c r="B47" s="14" t="s">
        <v>168</v>
      </c>
      <c r="C47" s="571" t="s">
        <v>169</v>
      </c>
      <c r="D47" s="537"/>
      <c r="E47" s="537"/>
      <c r="F47" s="537"/>
      <c r="G47" s="538"/>
      <c r="H47" s="3">
        <v>1</v>
      </c>
      <c r="I47" s="88">
        <v>80</v>
      </c>
      <c r="J47" s="26"/>
      <c r="K47" s="94">
        <f t="shared" si="6"/>
        <v>80</v>
      </c>
      <c r="L47" s="6"/>
      <c r="M47" s="8"/>
      <c r="N47" s="8"/>
    </row>
    <row r="48" spans="2:14" ht="15.75" customHeight="1" x14ac:dyDescent="0.25">
      <c r="B48" s="26"/>
      <c r="C48" s="570" t="s">
        <v>170</v>
      </c>
      <c r="D48" s="537"/>
      <c r="E48" s="537"/>
      <c r="F48" s="537"/>
      <c r="G48" s="537"/>
      <c r="H48" s="537"/>
      <c r="I48" s="538"/>
      <c r="J48" s="75"/>
      <c r="K48" s="45">
        <f>SUM(K44:K47)</f>
        <v>1202.3604</v>
      </c>
      <c r="L48" s="6"/>
      <c r="M48" s="8"/>
      <c r="N48" s="8"/>
    </row>
    <row r="49" spans="2:14" ht="15.75" customHeight="1" x14ac:dyDescent="0.25">
      <c r="B49" s="563" t="s">
        <v>171</v>
      </c>
      <c r="C49" s="564"/>
      <c r="D49" s="564"/>
      <c r="E49" s="564"/>
      <c r="F49" s="564"/>
      <c r="G49" s="564"/>
      <c r="H49" s="564"/>
      <c r="I49" s="564"/>
      <c r="J49" s="565"/>
      <c r="K49" s="95">
        <f>K48+K42+K36</f>
        <v>6465.5533496361713</v>
      </c>
      <c r="L49" s="6"/>
      <c r="M49" s="8"/>
      <c r="N49" s="8"/>
    </row>
    <row r="50" spans="2:14" ht="15" customHeight="1" x14ac:dyDescent="0.25">
      <c r="B50" s="574" t="s">
        <v>172</v>
      </c>
      <c r="C50" s="535"/>
      <c r="D50" s="535"/>
      <c r="E50" s="535"/>
      <c r="F50" s="535"/>
      <c r="G50" s="535"/>
      <c r="H50" s="575"/>
      <c r="I50" s="99">
        <f>H7</f>
        <v>11</v>
      </c>
      <c r="J50" s="99" t="s">
        <v>173</v>
      </c>
      <c r="K50" s="101">
        <f>K49*I50</f>
        <v>71121.086845997881</v>
      </c>
      <c r="L50" s="6"/>
      <c r="M50" s="8"/>
      <c r="N50" s="8"/>
    </row>
    <row r="51" spans="2:14" ht="15.75" customHeight="1" x14ac:dyDescent="0.25">
      <c r="L51" s="6"/>
      <c r="M51" s="8"/>
      <c r="N51" s="8"/>
    </row>
    <row r="52" spans="2:14" ht="15.75" customHeight="1" x14ac:dyDescent="0.25">
      <c r="B52" s="568" t="s">
        <v>230</v>
      </c>
      <c r="C52" s="537"/>
      <c r="D52" s="537"/>
      <c r="E52" s="537"/>
      <c r="F52" s="537"/>
      <c r="G52" s="537"/>
      <c r="H52" s="537"/>
      <c r="I52" s="537"/>
      <c r="J52" s="537"/>
      <c r="K52" s="538"/>
      <c r="L52" s="6"/>
      <c r="M52" s="8"/>
      <c r="N52" s="8"/>
    </row>
    <row r="53" spans="2:14" ht="15.75" customHeight="1" x14ac:dyDescent="0.25">
      <c r="B53" s="58" t="s">
        <v>116</v>
      </c>
      <c r="C53" s="569" t="s">
        <v>117</v>
      </c>
      <c r="D53" s="537"/>
      <c r="E53" s="537"/>
      <c r="F53" s="537"/>
      <c r="G53" s="538"/>
      <c r="H53" s="59" t="s">
        <v>118</v>
      </c>
      <c r="I53" s="105" t="s">
        <v>119</v>
      </c>
      <c r="J53" s="61" t="s">
        <v>120</v>
      </c>
      <c r="K53" s="61" t="s">
        <v>121</v>
      </c>
      <c r="L53" s="6"/>
      <c r="M53" s="8"/>
      <c r="N53" s="8"/>
    </row>
    <row r="54" spans="2:14" ht="15.75" customHeight="1" x14ac:dyDescent="0.25">
      <c r="B54" s="14" t="s">
        <v>122</v>
      </c>
      <c r="C54" s="571" t="s">
        <v>123</v>
      </c>
      <c r="D54" s="537"/>
      <c r="E54" s="537"/>
      <c r="F54" s="537"/>
      <c r="G54" s="538"/>
      <c r="H54" s="3">
        <v>220</v>
      </c>
      <c r="I54" s="14" t="s">
        <v>126</v>
      </c>
      <c r="J54" s="66">
        <f>K54/H54</f>
        <v>9.4650454545454537</v>
      </c>
      <c r="K54" s="67">
        <f>'6 - DADOS CC MO'!E10</f>
        <v>2082.31</v>
      </c>
      <c r="L54" s="6"/>
      <c r="M54" s="8"/>
      <c r="N54" s="8"/>
    </row>
    <row r="55" spans="2:14" ht="15.75" customHeight="1" x14ac:dyDescent="0.25">
      <c r="B55" s="548" t="s">
        <v>129</v>
      </c>
      <c r="C55" s="576" t="s">
        <v>178</v>
      </c>
      <c r="D55" s="542"/>
      <c r="E55" s="542"/>
      <c r="F55" s="542"/>
      <c r="G55" s="577"/>
      <c r="H55" s="71">
        <v>112.67</v>
      </c>
      <c r="I55" s="14" t="s">
        <v>180</v>
      </c>
      <c r="J55" s="66"/>
      <c r="K55" s="67"/>
      <c r="L55" s="6"/>
      <c r="M55" s="8"/>
      <c r="N55" s="8"/>
    </row>
    <row r="56" spans="2:14" ht="15.75" customHeight="1" x14ac:dyDescent="0.25">
      <c r="B56" s="550"/>
      <c r="C56" s="578"/>
      <c r="D56" s="544"/>
      <c r="E56" s="544"/>
      <c r="F56" s="544"/>
      <c r="G56" s="579"/>
      <c r="H56" s="71">
        <f>H55*8/7</f>
        <v>128.7657142857143</v>
      </c>
      <c r="I56" s="14" t="s">
        <v>181</v>
      </c>
      <c r="J56" s="66">
        <f>J54*0.2</f>
        <v>1.8930090909090909</v>
      </c>
      <c r="K56" s="67">
        <f t="shared" ref="K56:K57" si="7">H56*J56</f>
        <v>243.75466774025975</v>
      </c>
      <c r="L56" s="6"/>
      <c r="M56" s="8"/>
      <c r="N56" s="8"/>
    </row>
    <row r="57" spans="2:14" ht="15.75" customHeight="1" x14ac:dyDescent="0.25">
      <c r="B57" s="14" t="s">
        <v>183</v>
      </c>
      <c r="C57" s="63" t="s">
        <v>130</v>
      </c>
      <c r="D57" s="68"/>
      <c r="E57" s="68"/>
      <c r="F57" s="68"/>
      <c r="G57" s="69"/>
      <c r="H57" s="71">
        <v>3</v>
      </c>
      <c r="I57" s="14" t="s">
        <v>126</v>
      </c>
      <c r="J57" s="66">
        <f>J54*2</f>
        <v>18.930090909090907</v>
      </c>
      <c r="K57" s="67">
        <f t="shared" si="7"/>
        <v>56.790272727272722</v>
      </c>
      <c r="L57" s="6"/>
      <c r="M57" s="8"/>
      <c r="N57" s="8"/>
    </row>
    <row r="58" spans="2:14" ht="15.75" customHeight="1" x14ac:dyDescent="0.25">
      <c r="B58" s="14" t="s">
        <v>185</v>
      </c>
      <c r="C58" s="63" t="s">
        <v>186</v>
      </c>
      <c r="D58" s="68"/>
      <c r="E58" s="68"/>
      <c r="F58" s="68"/>
      <c r="G58" s="69"/>
      <c r="H58" s="71">
        <v>4.33</v>
      </c>
      <c r="I58" s="14" t="s">
        <v>126</v>
      </c>
      <c r="J58" s="66"/>
      <c r="K58" s="67"/>
      <c r="L58" s="6"/>
      <c r="M58" s="8"/>
      <c r="N58" s="8"/>
    </row>
    <row r="59" spans="2:14" ht="15.75" customHeight="1" x14ac:dyDescent="0.25">
      <c r="B59" s="14" t="s">
        <v>188</v>
      </c>
      <c r="C59" s="63" t="s">
        <v>189</v>
      </c>
      <c r="D59" s="68"/>
      <c r="E59" s="68"/>
      <c r="F59" s="68"/>
      <c r="G59" s="69"/>
      <c r="H59" s="71">
        <f>H58*8/7</f>
        <v>4.9485714285714284</v>
      </c>
      <c r="I59" s="14" t="s">
        <v>126</v>
      </c>
      <c r="J59" s="66">
        <f>J54*2*1.2</f>
        <v>22.716109090909089</v>
      </c>
      <c r="K59" s="67">
        <f>H59*J59</f>
        <v>112.4122884155844</v>
      </c>
      <c r="L59" s="6"/>
      <c r="M59" s="8"/>
      <c r="N59" s="8"/>
    </row>
    <row r="60" spans="2:14" ht="15.75" customHeight="1" x14ac:dyDescent="0.25">
      <c r="B60" s="14" t="s">
        <v>192</v>
      </c>
      <c r="C60" s="63" t="s">
        <v>135</v>
      </c>
      <c r="D60" s="68"/>
      <c r="E60" s="68"/>
      <c r="F60" s="68"/>
      <c r="G60" s="69"/>
      <c r="H60" s="71"/>
      <c r="I60" s="14"/>
      <c r="J60" s="66">
        <f>61/304*(SUM(K56:K59))</f>
        <v>82.863128164046472</v>
      </c>
      <c r="K60" s="67">
        <f>J60</f>
        <v>82.863128164046472</v>
      </c>
      <c r="L60" s="6"/>
      <c r="M60" s="8"/>
      <c r="N60" s="8"/>
    </row>
    <row r="61" spans="2:14" ht="15.75" customHeight="1" x14ac:dyDescent="0.25">
      <c r="B61" s="14" t="s">
        <v>134</v>
      </c>
      <c r="C61" s="571" t="s">
        <v>139</v>
      </c>
      <c r="D61" s="537"/>
      <c r="E61" s="537"/>
      <c r="F61" s="537"/>
      <c r="G61" s="538"/>
      <c r="H61" s="3">
        <v>40</v>
      </c>
      <c r="I61" s="14" t="s">
        <v>141</v>
      </c>
      <c r="J61" s="74"/>
      <c r="K61" s="67">
        <f>K54*40%</f>
        <v>832.92399999999998</v>
      </c>
      <c r="L61" s="6"/>
      <c r="M61" s="8"/>
      <c r="N61" s="8"/>
    </row>
    <row r="62" spans="2:14" ht="15.75" customHeight="1" x14ac:dyDescent="0.25">
      <c r="B62" s="3"/>
      <c r="C62" s="570" t="s">
        <v>142</v>
      </c>
      <c r="D62" s="537"/>
      <c r="E62" s="537"/>
      <c r="F62" s="537"/>
      <c r="G62" s="537"/>
      <c r="H62" s="537"/>
      <c r="I62" s="538"/>
      <c r="J62" s="75"/>
      <c r="K62" s="76">
        <f>SUM(K54:K61)</f>
        <v>3411.0543570471632</v>
      </c>
      <c r="L62" s="6"/>
      <c r="M62" s="8"/>
      <c r="N62" s="8"/>
    </row>
    <row r="63" spans="2:14" ht="15.75" customHeight="1" x14ac:dyDescent="0.25">
      <c r="B63" s="61" t="s">
        <v>145</v>
      </c>
      <c r="C63" s="569" t="s">
        <v>146</v>
      </c>
      <c r="D63" s="537"/>
      <c r="E63" s="537"/>
      <c r="F63" s="537"/>
      <c r="G63" s="537"/>
      <c r="H63" s="537"/>
      <c r="I63" s="538"/>
      <c r="J63" s="61" t="s">
        <v>141</v>
      </c>
      <c r="K63" s="61" t="s">
        <v>121</v>
      </c>
      <c r="L63" s="6"/>
      <c r="M63" s="8"/>
      <c r="N63" s="8"/>
    </row>
    <row r="64" spans="2:14" ht="15.75" customHeight="1" x14ac:dyDescent="0.25">
      <c r="B64" s="3" t="s">
        <v>147</v>
      </c>
      <c r="C64" s="545" t="s">
        <v>148</v>
      </c>
      <c r="D64" s="537"/>
      <c r="E64" s="537"/>
      <c r="F64" s="537"/>
      <c r="G64" s="537"/>
      <c r="H64" s="537"/>
      <c r="I64" s="538"/>
      <c r="J64" s="133">
        <f>'7 - ENCARGOS SOCIAIS'!$D$13</f>
        <v>0.36800000000000005</v>
      </c>
      <c r="K64" s="94">
        <f t="shared" ref="K64:K67" si="8">J64*$K$62</f>
        <v>1255.2680033933561</v>
      </c>
      <c r="L64" s="6"/>
      <c r="M64" s="8"/>
      <c r="N64" s="8"/>
    </row>
    <row r="65" spans="2:14" ht="15.75" customHeight="1" x14ac:dyDescent="0.25">
      <c r="B65" s="3" t="s">
        <v>150</v>
      </c>
      <c r="C65" s="545" t="s">
        <v>151</v>
      </c>
      <c r="D65" s="537"/>
      <c r="E65" s="537"/>
      <c r="F65" s="537"/>
      <c r="G65" s="537"/>
      <c r="H65" s="537"/>
      <c r="I65" s="538"/>
      <c r="J65" s="133">
        <f>'7 - ENCARGOS SOCIAIS'!$D$21</f>
        <v>0.15387245147090212</v>
      </c>
      <c r="K65" s="94">
        <f t="shared" si="8"/>
        <v>524.86729601934883</v>
      </c>
      <c r="L65" s="6"/>
      <c r="M65" s="8"/>
      <c r="N65" s="8"/>
    </row>
    <row r="66" spans="2:14" ht="15.75" customHeight="1" x14ac:dyDescent="0.25">
      <c r="B66" s="3" t="s">
        <v>152</v>
      </c>
      <c r="C66" s="545" t="s">
        <v>153</v>
      </c>
      <c r="D66" s="537"/>
      <c r="E66" s="537"/>
      <c r="F66" s="537"/>
      <c r="G66" s="537"/>
      <c r="H66" s="537"/>
      <c r="I66" s="538"/>
      <c r="J66" s="133">
        <f>'7 - ENCARGOS SOCIAIS'!$D$28</f>
        <v>0.12666581537651095</v>
      </c>
      <c r="K66" s="94">
        <f t="shared" si="8"/>
        <v>432.06398142897922</v>
      </c>
      <c r="L66" s="6"/>
      <c r="M66" s="8"/>
      <c r="N66" s="8"/>
    </row>
    <row r="67" spans="2:14" ht="15.75" customHeight="1" x14ac:dyDescent="0.25">
      <c r="B67" s="3" t="s">
        <v>155</v>
      </c>
      <c r="C67" s="545" t="s">
        <v>156</v>
      </c>
      <c r="D67" s="537"/>
      <c r="E67" s="537"/>
      <c r="F67" s="537"/>
      <c r="G67" s="537"/>
      <c r="H67" s="537"/>
      <c r="I67" s="538"/>
      <c r="J67" s="133">
        <f>'7 - ENCARGOS SOCIAIS'!$D$32</f>
        <v>5.9231502118822603E-2</v>
      </c>
      <c r="K67" s="94">
        <f t="shared" si="8"/>
        <v>202.04187337685812</v>
      </c>
      <c r="L67" s="6"/>
      <c r="M67" s="8"/>
      <c r="N67" s="8"/>
    </row>
    <row r="68" spans="2:14" ht="15.75" customHeight="1" x14ac:dyDescent="0.25">
      <c r="B68" s="17"/>
      <c r="C68" s="552" t="s">
        <v>157</v>
      </c>
      <c r="D68" s="537"/>
      <c r="E68" s="537"/>
      <c r="F68" s="537"/>
      <c r="G68" s="537"/>
      <c r="H68" s="537"/>
      <c r="I68" s="538"/>
      <c r="J68" s="83">
        <f t="shared" ref="J68:K68" si="9">SUM(J64:J67)</f>
        <v>0.70776976896623567</v>
      </c>
      <c r="K68" s="84">
        <f t="shared" si="9"/>
        <v>2414.2411542185428</v>
      </c>
      <c r="L68" s="6"/>
      <c r="M68" s="8"/>
      <c r="N68" s="8"/>
    </row>
    <row r="69" spans="2:14" ht="24.75" customHeight="1" x14ac:dyDescent="0.25">
      <c r="B69" s="61" t="s">
        <v>158</v>
      </c>
      <c r="C69" s="572" t="s">
        <v>159</v>
      </c>
      <c r="D69" s="537"/>
      <c r="E69" s="537"/>
      <c r="F69" s="537"/>
      <c r="G69" s="538"/>
      <c r="H69" s="59" t="s">
        <v>160</v>
      </c>
      <c r="I69" s="61" t="s">
        <v>120</v>
      </c>
      <c r="J69" s="61" t="s">
        <v>161</v>
      </c>
      <c r="K69" s="61" t="s">
        <v>121</v>
      </c>
      <c r="L69" s="6"/>
      <c r="M69" s="8"/>
      <c r="N69" s="8"/>
    </row>
    <row r="70" spans="2:14" ht="15" customHeight="1" x14ac:dyDescent="0.25">
      <c r="B70" s="14" t="s">
        <v>162</v>
      </c>
      <c r="C70" s="561" t="s">
        <v>163</v>
      </c>
      <c r="D70" s="537"/>
      <c r="E70" s="537"/>
      <c r="F70" s="537"/>
      <c r="G70" s="538"/>
      <c r="H70" s="14">
        <v>26</v>
      </c>
      <c r="I70" s="88">
        <v>27.15</v>
      </c>
      <c r="J70" s="89">
        <v>0.19</v>
      </c>
      <c r="K70" s="31">
        <f>(H70*I70)-((H70*I70)*J70)</f>
        <v>571.779</v>
      </c>
      <c r="L70" s="6"/>
      <c r="M70" s="8"/>
      <c r="N70" s="8"/>
    </row>
    <row r="71" spans="2:14" ht="15" customHeight="1" x14ac:dyDescent="0.25">
      <c r="B71" s="14" t="s">
        <v>164</v>
      </c>
      <c r="C71" s="571" t="s">
        <v>165</v>
      </c>
      <c r="D71" s="537"/>
      <c r="E71" s="537"/>
      <c r="F71" s="537"/>
      <c r="G71" s="538"/>
      <c r="H71" s="14">
        <f>H70*4</f>
        <v>104</v>
      </c>
      <c r="I71" s="93">
        <v>6.25</v>
      </c>
      <c r="J71" s="89">
        <v>0.06</v>
      </c>
      <c r="K71" s="31">
        <f>(H71*I71)-(K54*J71)</f>
        <v>525.06140000000005</v>
      </c>
      <c r="L71" s="6"/>
      <c r="M71" s="8"/>
      <c r="N71" s="8"/>
    </row>
    <row r="72" spans="2:14" ht="15.75" customHeight="1" x14ac:dyDescent="0.25">
      <c r="B72" s="14" t="s">
        <v>166</v>
      </c>
      <c r="C72" s="571" t="s">
        <v>167</v>
      </c>
      <c r="D72" s="537"/>
      <c r="E72" s="537"/>
      <c r="F72" s="537"/>
      <c r="G72" s="538"/>
      <c r="H72" s="3">
        <v>1</v>
      </c>
      <c r="I72" s="88">
        <v>25.52</v>
      </c>
      <c r="J72" s="26"/>
      <c r="K72" s="94">
        <f t="shared" ref="K72:K73" si="10">I72</f>
        <v>25.52</v>
      </c>
      <c r="L72" s="6"/>
      <c r="M72" s="8"/>
      <c r="N72" s="8"/>
    </row>
    <row r="73" spans="2:14" ht="15.75" customHeight="1" x14ac:dyDescent="0.25">
      <c r="B73" s="14" t="s">
        <v>168</v>
      </c>
      <c r="C73" s="580" t="s">
        <v>207</v>
      </c>
      <c r="D73" s="537"/>
      <c r="E73" s="537"/>
      <c r="F73" s="537"/>
      <c r="G73" s="538"/>
      <c r="H73" s="3">
        <v>1</v>
      </c>
      <c r="I73" s="88">
        <v>80</v>
      </c>
      <c r="J73" s="26"/>
      <c r="K73" s="94">
        <f t="shared" si="10"/>
        <v>80</v>
      </c>
      <c r="L73" s="6"/>
      <c r="M73" s="8"/>
      <c r="N73" s="8"/>
    </row>
    <row r="74" spans="2:14" ht="15.75" customHeight="1" x14ac:dyDescent="0.25">
      <c r="B74" s="26"/>
      <c r="C74" s="570" t="s">
        <v>170</v>
      </c>
      <c r="D74" s="537"/>
      <c r="E74" s="537"/>
      <c r="F74" s="537"/>
      <c r="G74" s="537"/>
      <c r="H74" s="537"/>
      <c r="I74" s="538"/>
      <c r="J74" s="75"/>
      <c r="K74" s="45">
        <f>SUM(K70:K73)</f>
        <v>1202.3604</v>
      </c>
      <c r="L74" s="6"/>
      <c r="M74" s="8"/>
      <c r="N74" s="8"/>
    </row>
    <row r="75" spans="2:14" ht="15.75" customHeight="1" x14ac:dyDescent="0.25">
      <c r="B75" s="563" t="s">
        <v>209</v>
      </c>
      <c r="C75" s="564"/>
      <c r="D75" s="564"/>
      <c r="E75" s="564"/>
      <c r="F75" s="564"/>
      <c r="G75" s="564"/>
      <c r="H75" s="564"/>
      <c r="I75" s="564"/>
      <c r="J75" s="565"/>
      <c r="K75" s="95">
        <f>K74+K68+K62</f>
        <v>7027.655911265706</v>
      </c>
      <c r="L75" s="6"/>
      <c r="M75" s="8"/>
      <c r="N75" s="8"/>
    </row>
    <row r="76" spans="2:14" ht="15.75" customHeight="1" x14ac:dyDescent="0.25">
      <c r="B76" s="574" t="s">
        <v>172</v>
      </c>
      <c r="C76" s="535"/>
      <c r="D76" s="535"/>
      <c r="E76" s="535"/>
      <c r="F76" s="535"/>
      <c r="G76" s="535"/>
      <c r="H76" s="575"/>
      <c r="I76" s="99">
        <f>H8</f>
        <v>11</v>
      </c>
      <c r="J76" s="99" t="s">
        <v>173</v>
      </c>
      <c r="K76" s="101">
        <f>K75*I76</f>
        <v>77304.215023922763</v>
      </c>
      <c r="L76" s="6"/>
      <c r="M76" s="8"/>
      <c r="N76" s="8"/>
    </row>
    <row r="77" spans="2:14" ht="15.75" customHeight="1" x14ac:dyDescent="0.25">
      <c r="L77" s="6"/>
      <c r="M77" s="8"/>
      <c r="N77" s="8"/>
    </row>
    <row r="78" spans="2:14" ht="15.75" customHeight="1" x14ac:dyDescent="0.25">
      <c r="B78" s="568" t="s">
        <v>251</v>
      </c>
      <c r="C78" s="537"/>
      <c r="D78" s="537"/>
      <c r="E78" s="537"/>
      <c r="F78" s="537"/>
      <c r="G78" s="537"/>
      <c r="H78" s="537"/>
      <c r="I78" s="537"/>
      <c r="J78" s="537"/>
      <c r="K78" s="538"/>
      <c r="L78" s="6"/>
      <c r="M78" s="8"/>
      <c r="N78" s="8"/>
    </row>
    <row r="79" spans="2:14" ht="15.75" customHeight="1" x14ac:dyDescent="0.25">
      <c r="B79" s="58" t="s">
        <v>116</v>
      </c>
      <c r="C79" s="569" t="s">
        <v>117</v>
      </c>
      <c r="D79" s="537"/>
      <c r="E79" s="537"/>
      <c r="F79" s="537"/>
      <c r="G79" s="538"/>
      <c r="H79" s="59" t="s">
        <v>118</v>
      </c>
      <c r="I79" s="105" t="s">
        <v>119</v>
      </c>
      <c r="J79" s="61" t="s">
        <v>120</v>
      </c>
      <c r="K79" s="61" t="s">
        <v>121</v>
      </c>
      <c r="L79" s="6"/>
      <c r="M79" s="8"/>
      <c r="N79" s="8"/>
    </row>
    <row r="80" spans="2:14" ht="15.75" customHeight="1" x14ac:dyDescent="0.25">
      <c r="B80" s="3" t="s">
        <v>122</v>
      </c>
      <c r="C80" s="545" t="s">
        <v>123</v>
      </c>
      <c r="D80" s="537"/>
      <c r="E80" s="537"/>
      <c r="F80" s="537"/>
      <c r="G80" s="538"/>
      <c r="H80" s="3">
        <v>220</v>
      </c>
      <c r="I80" s="3" t="s">
        <v>126</v>
      </c>
      <c r="J80" s="88">
        <f>K80/H80</f>
        <v>11.441227272727273</v>
      </c>
      <c r="K80" s="67">
        <f>'6 - DADOS CC MO'!E22</f>
        <v>2517.0700000000002</v>
      </c>
      <c r="L80" s="6"/>
      <c r="M80" s="8"/>
      <c r="N80" s="8"/>
    </row>
    <row r="81" spans="2:14" ht="15.75" customHeight="1" x14ac:dyDescent="0.25">
      <c r="B81" s="3" t="s">
        <v>195</v>
      </c>
      <c r="C81" s="4" t="s">
        <v>130</v>
      </c>
      <c r="D81" s="138"/>
      <c r="E81" s="138"/>
      <c r="F81" s="138"/>
      <c r="G81" s="139"/>
      <c r="H81" s="71">
        <f>7+1/3</f>
        <v>7.333333333333333</v>
      </c>
      <c r="I81" s="3" t="s">
        <v>126</v>
      </c>
      <c r="J81" s="88">
        <f>J80*2</f>
        <v>22.882454545454546</v>
      </c>
      <c r="K81" s="67">
        <f>H81*J81</f>
        <v>167.80466666666666</v>
      </c>
      <c r="L81" s="6"/>
      <c r="M81" s="8"/>
      <c r="N81" s="8"/>
    </row>
    <row r="82" spans="2:14" ht="15.75" customHeight="1" x14ac:dyDescent="0.25">
      <c r="B82" s="3" t="s">
        <v>198</v>
      </c>
      <c r="C82" s="4" t="s">
        <v>135</v>
      </c>
      <c r="D82" s="138"/>
      <c r="E82" s="138"/>
      <c r="F82" s="138"/>
      <c r="G82" s="139"/>
      <c r="H82" s="71"/>
      <c r="I82" s="3"/>
      <c r="J82" s="88">
        <f>61/304*(SUM(K81))</f>
        <v>33.67133114035088</v>
      </c>
      <c r="K82" s="67">
        <f>J82</f>
        <v>33.67133114035088</v>
      </c>
      <c r="L82" s="6"/>
      <c r="M82" s="8"/>
      <c r="N82" s="8"/>
    </row>
    <row r="83" spans="2:14" ht="15.75" customHeight="1" x14ac:dyDescent="0.25">
      <c r="B83" s="14" t="s">
        <v>129</v>
      </c>
      <c r="C83" s="571" t="s">
        <v>139</v>
      </c>
      <c r="D83" s="537"/>
      <c r="E83" s="537"/>
      <c r="F83" s="537"/>
      <c r="G83" s="538"/>
      <c r="H83" s="3">
        <v>40</v>
      </c>
      <c r="I83" s="14" t="s">
        <v>141</v>
      </c>
      <c r="J83" s="74"/>
      <c r="K83" s="67">
        <f>K80*40%</f>
        <v>1006.8280000000001</v>
      </c>
      <c r="L83" s="6"/>
      <c r="M83" s="8"/>
      <c r="N83" s="8"/>
    </row>
    <row r="84" spans="2:14" ht="15.75" customHeight="1" x14ac:dyDescent="0.25">
      <c r="B84" s="3"/>
      <c r="C84" s="570" t="s">
        <v>142</v>
      </c>
      <c r="D84" s="537"/>
      <c r="E84" s="537"/>
      <c r="F84" s="537"/>
      <c r="G84" s="537"/>
      <c r="H84" s="537"/>
      <c r="I84" s="538"/>
      <c r="J84" s="75"/>
      <c r="K84" s="76">
        <f>SUM(K80:K83)</f>
        <v>3725.3739978070175</v>
      </c>
      <c r="L84" s="6"/>
      <c r="M84" s="8"/>
      <c r="N84" s="8"/>
    </row>
    <row r="85" spans="2:14" ht="15.75" customHeight="1" x14ac:dyDescent="0.25">
      <c r="B85" s="61" t="s">
        <v>145</v>
      </c>
      <c r="C85" s="569" t="s">
        <v>146</v>
      </c>
      <c r="D85" s="537"/>
      <c r="E85" s="537"/>
      <c r="F85" s="537"/>
      <c r="G85" s="537"/>
      <c r="H85" s="537"/>
      <c r="I85" s="538"/>
      <c r="J85" s="61" t="s">
        <v>141</v>
      </c>
      <c r="K85" s="61" t="s">
        <v>121</v>
      </c>
      <c r="L85" s="6"/>
      <c r="M85" s="8"/>
      <c r="N85" s="8"/>
    </row>
    <row r="86" spans="2:14" ht="15.75" customHeight="1" x14ac:dyDescent="0.25">
      <c r="B86" s="14" t="s">
        <v>147</v>
      </c>
      <c r="C86" s="571" t="s">
        <v>148</v>
      </c>
      <c r="D86" s="537"/>
      <c r="E86" s="537"/>
      <c r="F86" s="537"/>
      <c r="G86" s="537"/>
      <c r="H86" s="537"/>
      <c r="I86" s="538"/>
      <c r="J86" s="133">
        <f>'7 - ENCARGOS SOCIAIS'!$D$13</f>
        <v>0.36800000000000005</v>
      </c>
      <c r="K86" s="67">
        <f t="shared" ref="K86:K89" si="11">J86*$K$84</f>
        <v>1370.9376311929827</v>
      </c>
      <c r="L86" s="6"/>
      <c r="M86" s="8"/>
      <c r="N86" s="8"/>
    </row>
    <row r="87" spans="2:14" ht="15.75" customHeight="1" x14ac:dyDescent="0.25">
      <c r="B87" s="14" t="s">
        <v>150</v>
      </c>
      <c r="C87" s="571" t="s">
        <v>151</v>
      </c>
      <c r="D87" s="537"/>
      <c r="E87" s="537"/>
      <c r="F87" s="537"/>
      <c r="G87" s="537"/>
      <c r="H87" s="537"/>
      <c r="I87" s="538"/>
      <c r="J87" s="133">
        <f>'7 - ENCARGOS SOCIAIS'!$D$21</f>
        <v>0.15387245147090212</v>
      </c>
      <c r="K87" s="67">
        <f t="shared" si="11"/>
        <v>573.23242968852094</v>
      </c>
      <c r="L87" s="6"/>
      <c r="M87" s="8"/>
      <c r="N87" s="8"/>
    </row>
    <row r="88" spans="2:14" ht="15" customHeight="1" x14ac:dyDescent="0.25">
      <c r="B88" s="14" t="s">
        <v>152</v>
      </c>
      <c r="C88" s="571" t="s">
        <v>153</v>
      </c>
      <c r="D88" s="537"/>
      <c r="E88" s="537"/>
      <c r="F88" s="537"/>
      <c r="G88" s="537"/>
      <c r="H88" s="537"/>
      <c r="I88" s="538"/>
      <c r="J88" s="133">
        <f>'7 - ENCARGOS SOCIAIS'!$D$28</f>
        <v>0.12666581537651095</v>
      </c>
      <c r="K88" s="67">
        <f t="shared" si="11"/>
        <v>471.87753501467819</v>
      </c>
      <c r="L88" s="6"/>
      <c r="M88" s="8"/>
      <c r="N88" s="8"/>
    </row>
    <row r="89" spans="2:14" ht="15.75" customHeight="1" x14ac:dyDescent="0.25">
      <c r="B89" s="14" t="s">
        <v>155</v>
      </c>
      <c r="C89" s="571" t="s">
        <v>156</v>
      </c>
      <c r="D89" s="537"/>
      <c r="E89" s="537"/>
      <c r="F89" s="537"/>
      <c r="G89" s="537"/>
      <c r="H89" s="537"/>
      <c r="I89" s="538"/>
      <c r="J89" s="133">
        <f>'7 - ENCARGOS SOCIAIS'!$D$32</f>
        <v>5.9231502118822603E-2</v>
      </c>
      <c r="K89" s="67">
        <f t="shared" si="11"/>
        <v>220.659497844513</v>
      </c>
      <c r="L89" s="6"/>
      <c r="M89" s="8"/>
      <c r="N89" s="8"/>
    </row>
    <row r="90" spans="2:14" ht="15.75" customHeight="1" x14ac:dyDescent="0.25">
      <c r="B90" s="17"/>
      <c r="C90" s="552" t="s">
        <v>157</v>
      </c>
      <c r="D90" s="537"/>
      <c r="E90" s="537"/>
      <c r="F90" s="537"/>
      <c r="G90" s="537"/>
      <c r="H90" s="537"/>
      <c r="I90" s="538"/>
      <c r="J90" s="83">
        <f t="shared" ref="J90:K90" si="12">SUM(J86:J89)</f>
        <v>0.70776976896623567</v>
      </c>
      <c r="K90" s="84">
        <f t="shared" si="12"/>
        <v>2636.7070937406943</v>
      </c>
      <c r="L90" s="6"/>
      <c r="M90" s="8"/>
      <c r="N90" s="8"/>
    </row>
    <row r="91" spans="2:14" ht="28.5" customHeight="1" x14ac:dyDescent="0.25">
      <c r="B91" s="61" t="s">
        <v>158</v>
      </c>
      <c r="C91" s="572" t="s">
        <v>159</v>
      </c>
      <c r="D91" s="537"/>
      <c r="E91" s="537"/>
      <c r="F91" s="537"/>
      <c r="G91" s="538"/>
      <c r="H91" s="59" t="s">
        <v>160</v>
      </c>
      <c r="I91" s="61" t="s">
        <v>120</v>
      </c>
      <c r="J91" s="61" t="s">
        <v>161</v>
      </c>
      <c r="K91" s="61" t="s">
        <v>121</v>
      </c>
      <c r="L91" s="6"/>
      <c r="M91" s="8"/>
      <c r="N91" s="8"/>
    </row>
    <row r="92" spans="2:14" ht="15.75" customHeight="1" x14ac:dyDescent="0.25">
      <c r="B92" s="14" t="s">
        <v>162</v>
      </c>
      <c r="C92" s="571" t="s">
        <v>174</v>
      </c>
      <c r="D92" s="537"/>
      <c r="E92" s="537"/>
      <c r="F92" s="537"/>
      <c r="G92" s="538"/>
      <c r="H92" s="14">
        <v>26</v>
      </c>
      <c r="I92" s="88">
        <v>27.15</v>
      </c>
      <c r="J92" s="89">
        <v>0.19</v>
      </c>
      <c r="K92" s="31">
        <f>(H92*I92)-((H92*I92)*J92)</f>
        <v>571.779</v>
      </c>
      <c r="L92" s="6"/>
      <c r="M92" s="8"/>
      <c r="N92" s="8"/>
    </row>
    <row r="93" spans="2:14" ht="15.75" customHeight="1" x14ac:dyDescent="0.25">
      <c r="B93" s="14" t="s">
        <v>164</v>
      </c>
      <c r="C93" s="571" t="s">
        <v>176</v>
      </c>
      <c r="D93" s="537"/>
      <c r="E93" s="537"/>
      <c r="F93" s="537"/>
      <c r="G93" s="538"/>
      <c r="H93" s="14">
        <f>H92*4</f>
        <v>104</v>
      </c>
      <c r="I93" s="93">
        <v>6.25</v>
      </c>
      <c r="J93" s="89">
        <v>0.06</v>
      </c>
      <c r="K93" s="31">
        <f>(H93*I93)-(K80*J93)</f>
        <v>498.97579999999999</v>
      </c>
      <c r="L93" s="6"/>
      <c r="M93" s="8"/>
      <c r="N93" s="8"/>
    </row>
    <row r="94" spans="2:14" ht="15.75" customHeight="1" x14ac:dyDescent="0.25">
      <c r="B94" s="14" t="s">
        <v>166</v>
      </c>
      <c r="C94" s="571" t="s">
        <v>225</v>
      </c>
      <c r="D94" s="537"/>
      <c r="E94" s="537"/>
      <c r="F94" s="537"/>
      <c r="G94" s="538"/>
      <c r="H94" s="14">
        <v>1</v>
      </c>
      <c r="I94" s="93">
        <v>121.34</v>
      </c>
      <c r="J94" s="89"/>
      <c r="K94" s="31">
        <f>I94</f>
        <v>121.34</v>
      </c>
      <c r="L94" s="6"/>
      <c r="M94" s="8"/>
      <c r="N94" s="8"/>
    </row>
    <row r="95" spans="2:14" ht="15.75" customHeight="1" x14ac:dyDescent="0.25">
      <c r="B95" s="26"/>
      <c r="C95" s="570" t="s">
        <v>170</v>
      </c>
      <c r="D95" s="537"/>
      <c r="E95" s="537"/>
      <c r="F95" s="537"/>
      <c r="G95" s="537"/>
      <c r="H95" s="537"/>
      <c r="I95" s="538"/>
      <c r="J95" s="75"/>
      <c r="K95" s="45">
        <f>SUM(K92:K94)</f>
        <v>1192.0947999999999</v>
      </c>
      <c r="L95" s="6"/>
      <c r="M95" s="8"/>
      <c r="N95" s="8"/>
    </row>
    <row r="96" spans="2:14" ht="15.75" customHeight="1" x14ac:dyDescent="0.25">
      <c r="B96" s="563" t="s">
        <v>226</v>
      </c>
      <c r="C96" s="564"/>
      <c r="D96" s="564"/>
      <c r="E96" s="564"/>
      <c r="F96" s="564"/>
      <c r="G96" s="564"/>
      <c r="H96" s="564"/>
      <c r="I96" s="564"/>
      <c r="J96" s="565"/>
      <c r="K96" s="95">
        <f>K95+K90+K84</f>
        <v>7554.1758915477112</v>
      </c>
      <c r="L96" s="6"/>
      <c r="M96" s="8"/>
      <c r="N96" s="8"/>
    </row>
    <row r="97" spans="2:14" ht="15.75" customHeight="1" x14ac:dyDescent="0.25">
      <c r="B97" s="574" t="s">
        <v>172</v>
      </c>
      <c r="C97" s="535"/>
      <c r="D97" s="535"/>
      <c r="E97" s="535"/>
      <c r="F97" s="535"/>
      <c r="G97" s="535"/>
      <c r="H97" s="575"/>
      <c r="I97" s="99">
        <f>H9</f>
        <v>7</v>
      </c>
      <c r="J97" s="99" t="s">
        <v>173</v>
      </c>
      <c r="K97" s="101">
        <f>K96*I97</f>
        <v>52879.231240833979</v>
      </c>
      <c r="L97" s="6"/>
      <c r="M97" s="8"/>
      <c r="N97" s="8"/>
    </row>
    <row r="98" spans="2:14" ht="15.75" customHeight="1" x14ac:dyDescent="0.25">
      <c r="L98" s="6"/>
      <c r="M98" s="8"/>
      <c r="N98" s="8"/>
    </row>
    <row r="99" spans="2:14" ht="15.75" customHeight="1" x14ac:dyDescent="0.25">
      <c r="B99" s="568" t="s">
        <v>268</v>
      </c>
      <c r="C99" s="537"/>
      <c r="D99" s="537"/>
      <c r="E99" s="537"/>
      <c r="F99" s="537"/>
      <c r="G99" s="537"/>
      <c r="H99" s="537"/>
      <c r="I99" s="537"/>
      <c r="J99" s="537"/>
      <c r="K99" s="538"/>
      <c r="L99" s="6"/>
      <c r="M99" s="8"/>
      <c r="N99" s="8"/>
    </row>
    <row r="100" spans="2:14" ht="15.75" customHeight="1" x14ac:dyDescent="0.25">
      <c r="B100" s="58" t="s">
        <v>116</v>
      </c>
      <c r="C100" s="569" t="s">
        <v>117</v>
      </c>
      <c r="D100" s="537"/>
      <c r="E100" s="537"/>
      <c r="F100" s="537"/>
      <c r="G100" s="538"/>
      <c r="H100" s="59" t="s">
        <v>118</v>
      </c>
      <c r="I100" s="105" t="s">
        <v>119</v>
      </c>
      <c r="J100" s="61" t="s">
        <v>120</v>
      </c>
      <c r="K100" s="61" t="s">
        <v>121</v>
      </c>
      <c r="L100" s="6"/>
      <c r="M100" s="8"/>
      <c r="N100" s="8"/>
    </row>
    <row r="101" spans="2:14" ht="15.75" customHeight="1" x14ac:dyDescent="0.25">
      <c r="B101" s="14" t="s">
        <v>122</v>
      </c>
      <c r="C101" s="571" t="s">
        <v>123</v>
      </c>
      <c r="D101" s="537"/>
      <c r="E101" s="537"/>
      <c r="F101" s="537"/>
      <c r="G101" s="538"/>
      <c r="H101" s="3">
        <v>220</v>
      </c>
      <c r="I101" s="14" t="s">
        <v>126</v>
      </c>
      <c r="J101" s="66">
        <f>K101/H101</f>
        <v>11.441227272727273</v>
      </c>
      <c r="K101" s="67">
        <f>'6 - DADOS CC MO'!E22</f>
        <v>2517.0700000000002</v>
      </c>
      <c r="L101" s="6"/>
      <c r="M101" s="8"/>
      <c r="N101" s="8"/>
    </row>
    <row r="102" spans="2:14" ht="15.75" customHeight="1" x14ac:dyDescent="0.25">
      <c r="B102" s="548" t="s">
        <v>129</v>
      </c>
      <c r="C102" s="576" t="s">
        <v>178</v>
      </c>
      <c r="D102" s="542"/>
      <c r="E102" s="542"/>
      <c r="F102" s="542"/>
      <c r="G102" s="577"/>
      <c r="H102" s="71">
        <v>112.67</v>
      </c>
      <c r="I102" s="14" t="s">
        <v>180</v>
      </c>
      <c r="J102" s="66"/>
      <c r="K102" s="67"/>
      <c r="L102" s="6"/>
      <c r="M102" s="8"/>
      <c r="N102" s="8"/>
    </row>
    <row r="103" spans="2:14" ht="15.75" customHeight="1" x14ac:dyDescent="0.25">
      <c r="B103" s="550"/>
      <c r="C103" s="578"/>
      <c r="D103" s="544"/>
      <c r="E103" s="544"/>
      <c r="F103" s="544"/>
      <c r="G103" s="579"/>
      <c r="H103" s="71">
        <f>H102*8/7</f>
        <v>128.7657142857143</v>
      </c>
      <c r="I103" s="14" t="s">
        <v>181</v>
      </c>
      <c r="J103" s="66">
        <f>J101*0.4</f>
        <v>4.5764909090909098</v>
      </c>
      <c r="K103" s="67">
        <f t="shared" ref="K103:K104" si="13">H103*J103</f>
        <v>589.29512083116902</v>
      </c>
      <c r="L103" s="6"/>
      <c r="M103" s="8"/>
      <c r="N103" s="8"/>
    </row>
    <row r="104" spans="2:14" ht="15.75" customHeight="1" x14ac:dyDescent="0.25">
      <c r="B104" s="14" t="s">
        <v>183</v>
      </c>
      <c r="C104" s="63" t="s">
        <v>130</v>
      </c>
      <c r="D104" s="68"/>
      <c r="E104" s="68"/>
      <c r="F104" s="68"/>
      <c r="G104" s="69"/>
      <c r="H104" s="158">
        <v>3</v>
      </c>
      <c r="I104" s="14" t="s">
        <v>126</v>
      </c>
      <c r="J104" s="66">
        <f>J101*2</f>
        <v>22.882454545454546</v>
      </c>
      <c r="K104" s="67">
        <f t="shared" si="13"/>
        <v>68.647363636363636</v>
      </c>
      <c r="L104" s="6"/>
      <c r="M104" s="8"/>
      <c r="N104" s="8"/>
    </row>
    <row r="105" spans="2:14" ht="15.75" customHeight="1" x14ac:dyDescent="0.25">
      <c r="B105" s="14" t="s">
        <v>185</v>
      </c>
      <c r="C105" s="63" t="s">
        <v>186</v>
      </c>
      <c r="D105" s="68"/>
      <c r="E105" s="68"/>
      <c r="F105" s="68"/>
      <c r="G105" s="69"/>
      <c r="H105" s="71">
        <v>4.33</v>
      </c>
      <c r="I105" s="14" t="s">
        <v>126</v>
      </c>
      <c r="J105" s="66"/>
      <c r="K105" s="67"/>
      <c r="L105" s="6"/>
      <c r="M105" s="8"/>
      <c r="N105" s="8"/>
    </row>
    <row r="106" spans="2:14" ht="15.75" customHeight="1" x14ac:dyDescent="0.25">
      <c r="B106" s="14" t="s">
        <v>188</v>
      </c>
      <c r="C106" s="63" t="s">
        <v>189</v>
      </c>
      <c r="D106" s="68"/>
      <c r="E106" s="68"/>
      <c r="F106" s="68"/>
      <c r="G106" s="69"/>
      <c r="H106" s="71">
        <f>H105*8/7</f>
        <v>4.9485714285714284</v>
      </c>
      <c r="I106" s="14" t="s">
        <v>126</v>
      </c>
      <c r="J106" s="66">
        <f>J101*2*1.4</f>
        <v>32.035436363636364</v>
      </c>
      <c r="K106" s="67">
        <f>H106*J106</f>
        <v>158.5296450909091</v>
      </c>
      <c r="L106" s="6"/>
      <c r="M106" s="8"/>
      <c r="N106" s="8"/>
    </row>
    <row r="107" spans="2:14" ht="15.75" customHeight="1" x14ac:dyDescent="0.25">
      <c r="B107" s="14" t="s">
        <v>192</v>
      </c>
      <c r="C107" s="705" t="s">
        <v>200</v>
      </c>
      <c r="D107" s="537"/>
      <c r="E107" s="537"/>
      <c r="F107" s="537"/>
      <c r="G107" s="538"/>
      <c r="H107" s="82"/>
      <c r="I107" s="14"/>
      <c r="J107" s="66">
        <f>61/304*(SUM(K102:K106))</f>
        <v>163.83157862850311</v>
      </c>
      <c r="K107" s="67">
        <f>J107</f>
        <v>163.83157862850311</v>
      </c>
      <c r="L107" s="6"/>
      <c r="M107" s="8"/>
      <c r="N107" s="8"/>
    </row>
    <row r="108" spans="2:14" ht="15" customHeight="1" x14ac:dyDescent="0.25">
      <c r="B108" s="14" t="s">
        <v>134</v>
      </c>
      <c r="C108" s="571" t="s">
        <v>139</v>
      </c>
      <c r="D108" s="537"/>
      <c r="E108" s="537"/>
      <c r="F108" s="537"/>
      <c r="G108" s="538"/>
      <c r="H108" s="3">
        <v>40</v>
      </c>
      <c r="I108" s="14" t="s">
        <v>141</v>
      </c>
      <c r="J108" s="74"/>
      <c r="K108" s="67">
        <f>K101*40%</f>
        <v>1006.8280000000001</v>
      </c>
      <c r="L108" s="6"/>
      <c r="M108" s="8"/>
      <c r="N108" s="8"/>
    </row>
    <row r="109" spans="2:14" ht="15" customHeight="1" x14ac:dyDescent="0.25">
      <c r="B109" s="3"/>
      <c r="C109" s="570" t="s">
        <v>142</v>
      </c>
      <c r="D109" s="537"/>
      <c r="E109" s="537"/>
      <c r="F109" s="537"/>
      <c r="G109" s="537"/>
      <c r="H109" s="537"/>
      <c r="I109" s="538"/>
      <c r="J109" s="75"/>
      <c r="K109" s="76">
        <f>SUM(K101:K108)</f>
        <v>4504.2017081869453</v>
      </c>
      <c r="L109" s="6"/>
      <c r="M109" s="8"/>
      <c r="N109" s="8"/>
    </row>
    <row r="110" spans="2:14" ht="15" customHeight="1" x14ac:dyDescent="0.25">
      <c r="B110" s="61" t="s">
        <v>145</v>
      </c>
      <c r="C110" s="569" t="s">
        <v>146</v>
      </c>
      <c r="D110" s="537"/>
      <c r="E110" s="537"/>
      <c r="F110" s="537"/>
      <c r="G110" s="537"/>
      <c r="H110" s="537"/>
      <c r="I110" s="538"/>
      <c r="J110" s="61" t="s">
        <v>141</v>
      </c>
      <c r="K110" s="61" t="s">
        <v>121</v>
      </c>
      <c r="L110" s="6"/>
      <c r="M110" s="8"/>
      <c r="N110" s="8"/>
    </row>
    <row r="111" spans="2:14" ht="15" customHeight="1" x14ac:dyDescent="0.25">
      <c r="B111" s="3" t="s">
        <v>147</v>
      </c>
      <c r="C111" s="545" t="s">
        <v>148</v>
      </c>
      <c r="D111" s="537"/>
      <c r="E111" s="537"/>
      <c r="F111" s="537"/>
      <c r="G111" s="537"/>
      <c r="H111" s="537"/>
      <c r="I111" s="538"/>
      <c r="J111" s="133">
        <f>'7 - ENCARGOS SOCIAIS'!$D$13</f>
        <v>0.36800000000000005</v>
      </c>
      <c r="K111" s="94">
        <f>K109*J111</f>
        <v>1657.5462286127961</v>
      </c>
      <c r="L111" s="6"/>
      <c r="M111" s="8"/>
      <c r="N111" s="8"/>
    </row>
    <row r="112" spans="2:14" ht="15.75" customHeight="1" x14ac:dyDescent="0.25">
      <c r="B112" s="3" t="s">
        <v>150</v>
      </c>
      <c r="C112" s="545" t="s">
        <v>151</v>
      </c>
      <c r="D112" s="537"/>
      <c r="E112" s="537"/>
      <c r="F112" s="537"/>
      <c r="G112" s="537"/>
      <c r="H112" s="537"/>
      <c r="I112" s="538"/>
      <c r="J112" s="133">
        <f>'7 - ENCARGOS SOCIAIS'!$D$21</f>
        <v>0.15387245147090212</v>
      </c>
      <c r="K112" s="94">
        <f>K109*J112</f>
        <v>693.07255875815019</v>
      </c>
      <c r="L112" s="6"/>
      <c r="M112" s="8"/>
      <c r="N112" s="8"/>
    </row>
    <row r="113" spans="2:23" ht="15" customHeight="1" x14ac:dyDescent="0.25">
      <c r="B113" s="3" t="s">
        <v>152</v>
      </c>
      <c r="C113" s="545" t="s">
        <v>153</v>
      </c>
      <c r="D113" s="537"/>
      <c r="E113" s="537"/>
      <c r="F113" s="537"/>
      <c r="G113" s="537"/>
      <c r="H113" s="537"/>
      <c r="I113" s="538"/>
      <c r="J113" s="133">
        <f>'7 - ENCARGOS SOCIAIS'!$D$28</f>
        <v>0.12666581537651095</v>
      </c>
      <c r="K113" s="94">
        <f>K109*J113</f>
        <v>570.52838198777283</v>
      </c>
      <c r="L113" s="6"/>
      <c r="M113" s="8"/>
      <c r="N113" s="8"/>
    </row>
    <row r="114" spans="2:23" ht="15.75" customHeight="1" x14ac:dyDescent="0.25">
      <c r="B114" s="3" t="s">
        <v>155</v>
      </c>
      <c r="C114" s="545" t="s">
        <v>156</v>
      </c>
      <c r="D114" s="537"/>
      <c r="E114" s="537"/>
      <c r="F114" s="537"/>
      <c r="G114" s="537"/>
      <c r="H114" s="537"/>
      <c r="I114" s="538"/>
      <c r="J114" s="133">
        <f>'7 - ENCARGOS SOCIAIS'!$D$32</f>
        <v>5.9231502118822603E-2</v>
      </c>
      <c r="K114" s="94">
        <f>K109*J114</f>
        <v>266.79063302207942</v>
      </c>
      <c r="L114" s="6"/>
      <c r="M114" s="8"/>
      <c r="N114" s="8"/>
    </row>
    <row r="115" spans="2:23" ht="15.75" customHeight="1" x14ac:dyDescent="0.25">
      <c r="B115" s="75"/>
      <c r="C115" s="570" t="s">
        <v>157</v>
      </c>
      <c r="D115" s="537"/>
      <c r="E115" s="537"/>
      <c r="F115" s="537"/>
      <c r="G115" s="537"/>
      <c r="H115" s="537"/>
      <c r="I115" s="538"/>
      <c r="J115" s="163">
        <f t="shared" ref="J115:K115" si="14">SUM(J111:J114)</f>
        <v>0.70776976896623567</v>
      </c>
      <c r="K115" s="76">
        <f t="shared" si="14"/>
        <v>3187.9378023807985</v>
      </c>
      <c r="L115" s="6"/>
      <c r="M115" s="8"/>
      <c r="N115" s="8"/>
    </row>
    <row r="116" spans="2:23" ht="31.5" customHeight="1" x14ac:dyDescent="0.25">
      <c r="B116" s="61" t="s">
        <v>158</v>
      </c>
      <c r="C116" s="572" t="s">
        <v>159</v>
      </c>
      <c r="D116" s="537"/>
      <c r="E116" s="537"/>
      <c r="F116" s="537"/>
      <c r="G116" s="538"/>
      <c r="H116" s="59" t="s">
        <v>160</v>
      </c>
      <c r="I116" s="61" t="s">
        <v>120</v>
      </c>
      <c r="J116" s="61" t="s">
        <v>161</v>
      </c>
      <c r="K116" s="61" t="s">
        <v>121</v>
      </c>
      <c r="L116" s="6"/>
      <c r="M116" s="8"/>
      <c r="N116" s="8"/>
      <c r="T116" s="21"/>
      <c r="U116" s="21"/>
      <c r="V116" s="21"/>
      <c r="W116" s="21"/>
    </row>
    <row r="117" spans="2:23" ht="15.75" customHeight="1" x14ac:dyDescent="0.25">
      <c r="B117" s="14" t="s">
        <v>162</v>
      </c>
      <c r="C117" s="571" t="s">
        <v>174</v>
      </c>
      <c r="D117" s="537"/>
      <c r="E117" s="537"/>
      <c r="F117" s="537"/>
      <c r="G117" s="538"/>
      <c r="H117" s="14">
        <v>26</v>
      </c>
      <c r="I117" s="88">
        <v>27.15</v>
      </c>
      <c r="J117" s="89">
        <v>0.19</v>
      </c>
      <c r="K117" s="31">
        <f>(H117*I117)-((H117*I117)*J117)</f>
        <v>571.779</v>
      </c>
      <c r="L117" s="6"/>
      <c r="M117" s="8"/>
      <c r="N117" s="8"/>
      <c r="T117" s="21"/>
      <c r="U117" s="21"/>
      <c r="V117" s="21"/>
      <c r="W117" s="21"/>
    </row>
    <row r="118" spans="2:23" ht="15.75" customHeight="1" x14ac:dyDescent="0.25">
      <c r="B118" s="14" t="s">
        <v>164</v>
      </c>
      <c r="C118" s="571" t="s">
        <v>176</v>
      </c>
      <c r="D118" s="537"/>
      <c r="E118" s="537"/>
      <c r="F118" s="537"/>
      <c r="G118" s="538"/>
      <c r="H118" s="14">
        <f>H117*4</f>
        <v>104</v>
      </c>
      <c r="I118" s="93">
        <v>6.25</v>
      </c>
      <c r="J118" s="89">
        <v>0.06</v>
      </c>
      <c r="K118" s="31">
        <f>(H118*I118)-(K101*J118)</f>
        <v>498.97579999999999</v>
      </c>
      <c r="L118" s="6"/>
      <c r="M118" s="8"/>
      <c r="N118" s="8"/>
      <c r="T118" s="21"/>
      <c r="U118" s="21"/>
      <c r="V118" s="21"/>
      <c r="W118" s="21"/>
    </row>
    <row r="119" spans="2:23" ht="15.75" customHeight="1" x14ac:dyDescent="0.25">
      <c r="B119" s="14" t="s">
        <v>166</v>
      </c>
      <c r="C119" s="571" t="s">
        <v>225</v>
      </c>
      <c r="D119" s="537"/>
      <c r="E119" s="537"/>
      <c r="F119" s="537"/>
      <c r="G119" s="538"/>
      <c r="H119" s="14">
        <v>1</v>
      </c>
      <c r="I119" s="93">
        <v>121.34</v>
      </c>
      <c r="J119" s="89"/>
      <c r="K119" s="31">
        <f>(H119*I119)-(K104*J119)</f>
        <v>121.34</v>
      </c>
      <c r="L119" s="6"/>
      <c r="M119" s="8"/>
      <c r="N119" s="8"/>
      <c r="T119" s="21"/>
      <c r="U119" s="21"/>
      <c r="V119" s="21"/>
      <c r="W119" s="21"/>
    </row>
    <row r="120" spans="2:23" ht="15.75" customHeight="1" x14ac:dyDescent="0.25">
      <c r="B120" s="26"/>
      <c r="C120" s="570" t="s">
        <v>170</v>
      </c>
      <c r="D120" s="537"/>
      <c r="E120" s="537"/>
      <c r="F120" s="537"/>
      <c r="G120" s="537"/>
      <c r="H120" s="537"/>
      <c r="I120" s="538"/>
      <c r="J120" s="75"/>
      <c r="K120" s="45">
        <f>SUM(K117:K119)</f>
        <v>1192.0947999999999</v>
      </c>
      <c r="L120" s="6"/>
      <c r="M120" s="8"/>
      <c r="N120" s="8"/>
      <c r="T120" s="21"/>
      <c r="U120" s="21"/>
      <c r="V120" s="21"/>
      <c r="W120" s="21"/>
    </row>
    <row r="121" spans="2:23" ht="15.75" customHeight="1" x14ac:dyDescent="0.25">
      <c r="B121" s="563" t="s">
        <v>235</v>
      </c>
      <c r="C121" s="564"/>
      <c r="D121" s="564"/>
      <c r="E121" s="564"/>
      <c r="F121" s="564"/>
      <c r="G121" s="564"/>
      <c r="H121" s="564"/>
      <c r="I121" s="564"/>
      <c r="J121" s="565"/>
      <c r="K121" s="95">
        <f>K120+K115+K109</f>
        <v>8884.2343105677428</v>
      </c>
      <c r="L121" s="6"/>
      <c r="M121" s="8"/>
      <c r="N121" s="8"/>
      <c r="T121" s="21"/>
      <c r="U121" s="21"/>
      <c r="V121" s="21"/>
      <c r="W121" s="21"/>
    </row>
    <row r="122" spans="2:23" ht="15.75" customHeight="1" x14ac:dyDescent="0.25">
      <c r="B122" s="574" t="s">
        <v>172</v>
      </c>
      <c r="C122" s="535"/>
      <c r="D122" s="535"/>
      <c r="E122" s="535"/>
      <c r="F122" s="535"/>
      <c r="G122" s="535"/>
      <c r="H122" s="575"/>
      <c r="I122" s="99">
        <f>H10</f>
        <v>7</v>
      </c>
      <c r="J122" s="99" t="s">
        <v>173</v>
      </c>
      <c r="K122" s="101">
        <f>K121*I122</f>
        <v>62189.6401739742</v>
      </c>
      <c r="L122" s="6"/>
      <c r="M122" s="8"/>
      <c r="N122" s="8"/>
      <c r="T122" s="21"/>
      <c r="U122" s="21"/>
      <c r="V122" s="21"/>
      <c r="W122" s="21"/>
    </row>
    <row r="123" spans="2:23" ht="15.75" customHeight="1" x14ac:dyDescent="0.25">
      <c r="L123" s="6"/>
      <c r="M123" s="8"/>
      <c r="N123" s="8"/>
      <c r="T123" s="21"/>
      <c r="U123" s="21"/>
      <c r="V123" s="21"/>
      <c r="W123" s="21"/>
    </row>
    <row r="124" spans="2:23" ht="15" customHeight="1" x14ac:dyDescent="0.25">
      <c r="B124" s="589" t="s">
        <v>311</v>
      </c>
      <c r="C124" s="537"/>
      <c r="D124" s="537"/>
      <c r="E124" s="537"/>
      <c r="F124" s="537"/>
      <c r="G124" s="537"/>
      <c r="H124" s="537"/>
      <c r="I124" s="537"/>
      <c r="J124" s="538"/>
      <c r="K124" s="135">
        <f>K50+K76+K97+K122</f>
        <v>263494.17328472884</v>
      </c>
      <c r="L124" s="6"/>
      <c r="M124" s="8"/>
      <c r="N124" s="8"/>
      <c r="T124" s="21"/>
      <c r="U124" s="21"/>
      <c r="V124" s="21"/>
      <c r="W124" s="21"/>
    </row>
    <row r="125" spans="2:23" ht="15.75" customHeight="1" x14ac:dyDescent="0.25">
      <c r="L125" s="6"/>
      <c r="M125" s="8"/>
      <c r="N125" s="8"/>
      <c r="T125" s="21"/>
      <c r="U125" s="21"/>
      <c r="V125" s="21"/>
      <c r="W125" s="21"/>
    </row>
    <row r="126" spans="2:23" ht="15.75" customHeight="1" x14ac:dyDescent="0.25">
      <c r="L126" s="6"/>
      <c r="M126" s="8"/>
      <c r="N126" s="8"/>
    </row>
    <row r="127" spans="2:23" ht="15.75" customHeight="1" x14ac:dyDescent="0.25">
      <c r="B127" s="566" t="s">
        <v>314</v>
      </c>
      <c r="C127" s="537"/>
      <c r="D127" s="537"/>
      <c r="E127" s="537"/>
      <c r="F127" s="537"/>
      <c r="G127" s="537"/>
      <c r="H127" s="537"/>
      <c r="I127" s="537"/>
      <c r="J127" s="537"/>
      <c r="K127" s="538"/>
      <c r="L127" s="6"/>
      <c r="M127" s="8"/>
      <c r="N127" s="8"/>
    </row>
    <row r="128" spans="2:23" ht="15.75" customHeight="1" x14ac:dyDescent="0.25">
      <c r="L128" s="6"/>
      <c r="M128" s="8"/>
      <c r="N128" s="8"/>
    </row>
    <row r="129" spans="2:14" ht="15.75" customHeight="1" x14ac:dyDescent="0.25">
      <c r="B129" s="568" t="s">
        <v>316</v>
      </c>
      <c r="C129" s="537"/>
      <c r="D129" s="537"/>
      <c r="E129" s="537"/>
      <c r="F129" s="537"/>
      <c r="G129" s="537"/>
      <c r="H129" s="537"/>
      <c r="I129" s="537"/>
      <c r="J129" s="537"/>
      <c r="K129" s="538"/>
      <c r="L129" s="6"/>
      <c r="M129" s="8"/>
      <c r="N129" s="8"/>
    </row>
    <row r="130" spans="2:14" ht="29.25" customHeight="1" x14ac:dyDescent="0.25">
      <c r="B130" s="552" t="s">
        <v>239</v>
      </c>
      <c r="C130" s="537"/>
      <c r="D130" s="537"/>
      <c r="E130" s="537"/>
      <c r="F130" s="538"/>
      <c r="G130" s="18" t="s">
        <v>318</v>
      </c>
      <c r="H130" s="18" t="s">
        <v>241</v>
      </c>
      <c r="I130" s="553" t="s">
        <v>242</v>
      </c>
      <c r="J130" s="538"/>
      <c r="K130" s="17" t="s">
        <v>243</v>
      </c>
      <c r="L130" s="6"/>
      <c r="M130" s="8"/>
      <c r="N130" s="8"/>
    </row>
    <row r="131" spans="2:14" ht="15.75" customHeight="1" x14ac:dyDescent="0.25">
      <c r="B131" s="545" t="s">
        <v>244</v>
      </c>
      <c r="C131" s="537"/>
      <c r="D131" s="537"/>
      <c r="E131" s="537"/>
      <c r="F131" s="538"/>
      <c r="G131" s="3">
        <v>2</v>
      </c>
      <c r="H131" s="31">
        <f>'10 - CUSTOS UN'!$J$39</f>
        <v>42.74</v>
      </c>
      <c r="I131" s="602">
        <f t="shared" ref="I131:I142" si="15">H131/6</f>
        <v>7.123333333333334</v>
      </c>
      <c r="J131" s="538"/>
      <c r="K131" s="31">
        <f t="shared" ref="K131:K142" si="16">I131*G131</f>
        <v>14.246666666666668</v>
      </c>
      <c r="L131" s="6"/>
      <c r="M131" s="8"/>
      <c r="N131" s="8"/>
    </row>
    <row r="132" spans="2:14" ht="15.75" customHeight="1" x14ac:dyDescent="0.25">
      <c r="B132" s="545" t="s">
        <v>245</v>
      </c>
      <c r="C132" s="537"/>
      <c r="D132" s="537"/>
      <c r="E132" s="537"/>
      <c r="F132" s="538"/>
      <c r="G132" s="3">
        <v>2</v>
      </c>
      <c r="H132" s="31">
        <f>'10 - CUSTOS UN'!J$33</f>
        <v>44.47</v>
      </c>
      <c r="I132" s="602">
        <f t="shared" si="15"/>
        <v>7.4116666666666662</v>
      </c>
      <c r="J132" s="538"/>
      <c r="K132" s="31">
        <f t="shared" si="16"/>
        <v>14.823333333333332</v>
      </c>
      <c r="L132" s="6"/>
      <c r="M132" s="8"/>
      <c r="N132" s="8"/>
    </row>
    <row r="133" spans="2:14" ht="15.75" customHeight="1" x14ac:dyDescent="0.25">
      <c r="B133" s="545" t="s">
        <v>246</v>
      </c>
      <c r="C133" s="537"/>
      <c r="D133" s="537"/>
      <c r="E133" s="537"/>
      <c r="F133" s="538"/>
      <c r="G133" s="3">
        <v>2</v>
      </c>
      <c r="H133" s="31">
        <f>'10 - CUSTOS UN'!J$24</f>
        <v>55.079999999999991</v>
      </c>
      <c r="I133" s="602">
        <f t="shared" si="15"/>
        <v>9.1799999999999979</v>
      </c>
      <c r="J133" s="538"/>
      <c r="K133" s="31">
        <f t="shared" si="16"/>
        <v>18.359999999999996</v>
      </c>
      <c r="L133" s="6"/>
      <c r="M133" s="8"/>
      <c r="N133" s="8"/>
    </row>
    <row r="134" spans="2:14" ht="15.75" customHeight="1" x14ac:dyDescent="0.25">
      <c r="B134" s="545" t="s">
        <v>247</v>
      </c>
      <c r="C134" s="537"/>
      <c r="D134" s="537"/>
      <c r="E134" s="537"/>
      <c r="F134" s="538"/>
      <c r="G134" s="3">
        <v>2</v>
      </c>
      <c r="H134" s="31">
        <f>'10 - CUSTOS UN'!J$15</f>
        <v>44.393333333333338</v>
      </c>
      <c r="I134" s="602">
        <f t="shared" si="15"/>
        <v>7.39888888888889</v>
      </c>
      <c r="J134" s="538"/>
      <c r="K134" s="31">
        <f t="shared" si="16"/>
        <v>14.79777777777778</v>
      </c>
      <c r="L134" s="6"/>
      <c r="M134" s="8"/>
      <c r="N134" s="8"/>
    </row>
    <row r="135" spans="2:14" ht="15.75" customHeight="1" x14ac:dyDescent="0.25">
      <c r="B135" s="545" t="s">
        <v>248</v>
      </c>
      <c r="C135" s="537"/>
      <c r="D135" s="537"/>
      <c r="E135" s="537"/>
      <c r="F135" s="538"/>
      <c r="G135" s="3">
        <v>6</v>
      </c>
      <c r="H135" s="31">
        <f>'10 - CUSTOS UN'!J$84</f>
        <v>17.73</v>
      </c>
      <c r="I135" s="602">
        <f t="shared" si="15"/>
        <v>2.9550000000000001</v>
      </c>
      <c r="J135" s="538"/>
      <c r="K135" s="31">
        <f t="shared" si="16"/>
        <v>17.73</v>
      </c>
      <c r="L135" s="6"/>
      <c r="M135" s="8"/>
      <c r="N135" s="8"/>
    </row>
    <row r="136" spans="2:14" ht="15.75" customHeight="1" x14ac:dyDescent="0.25">
      <c r="B136" s="545" t="s">
        <v>249</v>
      </c>
      <c r="C136" s="537"/>
      <c r="D136" s="537"/>
      <c r="E136" s="537"/>
      <c r="F136" s="538"/>
      <c r="G136" s="3">
        <v>2</v>
      </c>
      <c r="H136" s="31">
        <f>'10 - CUSTOS UN'!J$21</f>
        <v>9.2099999999999991</v>
      </c>
      <c r="I136" s="602">
        <f t="shared" si="15"/>
        <v>1.5349999999999999</v>
      </c>
      <c r="J136" s="538"/>
      <c r="K136" s="31">
        <f t="shared" si="16"/>
        <v>3.07</v>
      </c>
      <c r="L136" s="6"/>
      <c r="M136" s="8"/>
      <c r="N136" s="8"/>
    </row>
    <row r="137" spans="2:14" ht="15.75" customHeight="1" x14ac:dyDescent="0.25">
      <c r="B137" s="545" t="s">
        <v>250</v>
      </c>
      <c r="C137" s="537"/>
      <c r="D137" s="537"/>
      <c r="E137" s="537"/>
      <c r="F137" s="538"/>
      <c r="G137" s="3">
        <v>1</v>
      </c>
      <c r="H137" s="31">
        <f>'10 - CUSTOS UN'!J$66</f>
        <v>156.05666666666664</v>
      </c>
      <c r="I137" s="602">
        <f t="shared" si="15"/>
        <v>26.009444444444441</v>
      </c>
      <c r="J137" s="538"/>
      <c r="K137" s="31">
        <f t="shared" si="16"/>
        <v>26.009444444444441</v>
      </c>
      <c r="L137" s="6"/>
      <c r="M137" s="8"/>
      <c r="N137" s="8"/>
    </row>
    <row r="138" spans="2:14" ht="15.75" customHeight="1" x14ac:dyDescent="0.25">
      <c r="B138" s="545" t="s">
        <v>252</v>
      </c>
      <c r="C138" s="537"/>
      <c r="D138" s="537"/>
      <c r="E138" s="537"/>
      <c r="F138" s="538"/>
      <c r="G138" s="3">
        <v>2</v>
      </c>
      <c r="H138" s="31">
        <f>'10 - CUSTOS UN'!J$111</f>
        <v>116.83</v>
      </c>
      <c r="I138" s="602">
        <f t="shared" si="15"/>
        <v>19.471666666666668</v>
      </c>
      <c r="J138" s="538"/>
      <c r="K138" s="31">
        <f t="shared" si="16"/>
        <v>38.943333333333335</v>
      </c>
      <c r="L138" s="6"/>
      <c r="M138" s="8"/>
      <c r="N138" s="8"/>
    </row>
    <row r="139" spans="2:14" ht="15.75" customHeight="1" x14ac:dyDescent="0.25">
      <c r="B139" s="545" t="s">
        <v>254</v>
      </c>
      <c r="C139" s="537"/>
      <c r="D139" s="537"/>
      <c r="E139" s="537"/>
      <c r="F139" s="538"/>
      <c r="G139" s="140">
        <v>1</v>
      </c>
      <c r="H139" s="141">
        <f>'10 - CUSTOS UN'!J$87</f>
        <v>4.7966666666666669</v>
      </c>
      <c r="I139" s="602">
        <f t="shared" si="15"/>
        <v>0.79944444444444451</v>
      </c>
      <c r="J139" s="538"/>
      <c r="K139" s="31">
        <f t="shared" si="16"/>
        <v>0.79944444444444451</v>
      </c>
      <c r="L139" s="6"/>
      <c r="M139" s="8"/>
      <c r="N139" s="8"/>
    </row>
    <row r="140" spans="2:14" ht="15.75" customHeight="1" x14ac:dyDescent="0.25">
      <c r="B140" s="545" t="s">
        <v>256</v>
      </c>
      <c r="C140" s="537"/>
      <c r="D140" s="537"/>
      <c r="E140" s="537"/>
      <c r="F140" s="538"/>
      <c r="G140" s="140">
        <v>1</v>
      </c>
      <c r="H140" s="141">
        <f>'10 - CUSTOS UN'!J$51</f>
        <v>212.1933333333333</v>
      </c>
      <c r="I140" s="602">
        <f t="shared" si="15"/>
        <v>35.365555555555552</v>
      </c>
      <c r="J140" s="538"/>
      <c r="K140" s="31">
        <f t="shared" si="16"/>
        <v>35.365555555555552</v>
      </c>
      <c r="L140" s="6"/>
      <c r="M140" s="8"/>
      <c r="N140" s="8"/>
    </row>
    <row r="141" spans="2:14" ht="15.75" customHeight="1" x14ac:dyDescent="0.25">
      <c r="B141" s="545" t="s">
        <v>258</v>
      </c>
      <c r="C141" s="537"/>
      <c r="D141" s="537"/>
      <c r="E141" s="537"/>
      <c r="F141" s="538"/>
      <c r="G141" s="140">
        <v>48</v>
      </c>
      <c r="H141" s="141">
        <f>'10 - CUSTOS UN'!J$72</f>
        <v>8.2700000000000014</v>
      </c>
      <c r="I141" s="602">
        <f t="shared" si="15"/>
        <v>1.3783333333333336</v>
      </c>
      <c r="J141" s="538"/>
      <c r="K141" s="31">
        <f t="shared" si="16"/>
        <v>66.160000000000011</v>
      </c>
      <c r="L141" s="6"/>
      <c r="M141" s="8"/>
      <c r="N141" s="8"/>
    </row>
    <row r="142" spans="2:14" ht="15" customHeight="1" x14ac:dyDescent="0.25">
      <c r="B142" s="591" t="s">
        <v>259</v>
      </c>
      <c r="C142" s="564"/>
      <c r="D142" s="564"/>
      <c r="E142" s="564"/>
      <c r="F142" s="565"/>
      <c r="G142" s="142">
        <v>12</v>
      </c>
      <c r="H142" s="143">
        <f>'10 - CUSTOS UN'!J$99</f>
        <v>14.9</v>
      </c>
      <c r="I142" s="641">
        <f t="shared" si="15"/>
        <v>2.4833333333333334</v>
      </c>
      <c r="J142" s="565"/>
      <c r="K142" s="143">
        <f t="shared" si="16"/>
        <v>29.8</v>
      </c>
      <c r="L142" s="6"/>
      <c r="M142" s="8"/>
      <c r="N142" s="8"/>
    </row>
    <row r="143" spans="2:14" ht="15" customHeight="1" x14ac:dyDescent="0.25">
      <c r="B143" s="603" t="s">
        <v>260</v>
      </c>
      <c r="C143" s="544"/>
      <c r="D143" s="544"/>
      <c r="E143" s="544"/>
      <c r="F143" s="579"/>
      <c r="G143" s="145"/>
      <c r="H143" s="145"/>
      <c r="I143" s="594"/>
      <c r="J143" s="575"/>
      <c r="K143" s="146">
        <f>SUM(K131:K142)</f>
        <v>280.10555555555555</v>
      </c>
      <c r="L143" s="6"/>
      <c r="M143" s="8"/>
      <c r="N143" s="8"/>
    </row>
    <row r="144" spans="2:14" ht="15" customHeight="1" x14ac:dyDescent="0.25">
      <c r="B144" s="570" t="s">
        <v>261</v>
      </c>
      <c r="C144" s="537"/>
      <c r="D144" s="537"/>
      <c r="E144" s="537"/>
      <c r="F144" s="538"/>
      <c r="G144" s="47">
        <f>H7+H8</f>
        <v>22</v>
      </c>
      <c r="H144" s="3" t="s">
        <v>173</v>
      </c>
      <c r="I144" s="602">
        <f>K143</f>
        <v>280.10555555555555</v>
      </c>
      <c r="J144" s="538"/>
      <c r="K144" s="45">
        <f>K143*G144</f>
        <v>6162.3222222222221</v>
      </c>
      <c r="L144" s="6"/>
      <c r="M144" s="8"/>
      <c r="N144" s="8"/>
    </row>
    <row r="145" spans="2:23" ht="15.75" customHeight="1" x14ac:dyDescent="0.25">
      <c r="L145" s="6"/>
      <c r="M145" s="8"/>
      <c r="N145" s="8"/>
    </row>
    <row r="146" spans="2:23" ht="15" customHeight="1" x14ac:dyDescent="0.25">
      <c r="B146" s="568" t="s">
        <v>342</v>
      </c>
      <c r="C146" s="537"/>
      <c r="D146" s="537"/>
      <c r="E146" s="537"/>
      <c r="F146" s="537"/>
      <c r="G146" s="537"/>
      <c r="H146" s="537"/>
      <c r="I146" s="537"/>
      <c r="J146" s="537"/>
      <c r="K146" s="538"/>
      <c r="L146" s="6"/>
      <c r="M146" s="8"/>
      <c r="N146" s="8"/>
    </row>
    <row r="147" spans="2:23" ht="27" customHeight="1" x14ac:dyDescent="0.25">
      <c r="B147" s="552" t="s">
        <v>239</v>
      </c>
      <c r="C147" s="537"/>
      <c r="D147" s="537"/>
      <c r="E147" s="537"/>
      <c r="F147" s="538"/>
      <c r="G147" s="18" t="s">
        <v>318</v>
      </c>
      <c r="H147" s="18" t="s">
        <v>241</v>
      </c>
      <c r="I147" s="553" t="s">
        <v>242</v>
      </c>
      <c r="J147" s="538"/>
      <c r="K147" s="17" t="s">
        <v>243</v>
      </c>
      <c r="L147" s="64"/>
      <c r="M147" s="147"/>
      <c r="N147" s="147"/>
      <c r="O147" s="148"/>
      <c r="P147" s="148"/>
      <c r="Q147" s="148"/>
      <c r="R147" s="148"/>
      <c r="S147" s="148"/>
      <c r="T147" s="148"/>
      <c r="U147" s="148"/>
      <c r="V147" s="148"/>
      <c r="W147" s="148"/>
    </row>
    <row r="148" spans="2:23" ht="15.75" customHeight="1" x14ac:dyDescent="0.25">
      <c r="B148" s="545" t="s">
        <v>263</v>
      </c>
      <c r="C148" s="537"/>
      <c r="D148" s="537"/>
      <c r="E148" s="537"/>
      <c r="F148" s="538"/>
      <c r="G148" s="3">
        <v>2</v>
      </c>
      <c r="H148" s="31">
        <f>'10 - CUSTOS UN'!$J$36</f>
        <v>21.349999999999998</v>
      </c>
      <c r="I148" s="602">
        <f t="shared" ref="I148:I155" si="17">H148/6</f>
        <v>3.5583333333333331</v>
      </c>
      <c r="J148" s="538"/>
      <c r="K148" s="31">
        <f t="shared" ref="K148:K155" si="18">I148*G148</f>
        <v>7.1166666666666663</v>
      </c>
      <c r="L148" s="6"/>
      <c r="M148" s="147"/>
      <c r="N148" s="147"/>
      <c r="O148" s="148"/>
      <c r="P148" s="148"/>
      <c r="Q148" s="148"/>
      <c r="R148" s="148"/>
      <c r="S148" s="148"/>
      <c r="T148" s="148"/>
      <c r="U148" s="148"/>
      <c r="V148" s="148"/>
      <c r="W148" s="148"/>
    </row>
    <row r="149" spans="2:23" ht="15.75" customHeight="1" x14ac:dyDescent="0.25">
      <c r="B149" s="545" t="s">
        <v>264</v>
      </c>
      <c r="C149" s="537"/>
      <c r="D149" s="537"/>
      <c r="E149" s="537"/>
      <c r="F149" s="538"/>
      <c r="G149" s="3">
        <v>2</v>
      </c>
      <c r="H149" s="31">
        <f>'10 - CUSTOS UN'!$J$27</f>
        <v>67.736666666666665</v>
      </c>
      <c r="I149" s="602">
        <f t="shared" si="17"/>
        <v>11.289444444444444</v>
      </c>
      <c r="J149" s="538"/>
      <c r="K149" s="31">
        <f t="shared" si="18"/>
        <v>22.578888888888887</v>
      </c>
      <c r="L149" s="6"/>
      <c r="M149" s="150"/>
      <c r="N149" s="8"/>
      <c r="T149" s="149"/>
      <c r="U149" s="149"/>
      <c r="V149" s="21"/>
      <c r="W149" s="21"/>
    </row>
    <row r="150" spans="2:23" ht="15.75" customHeight="1" x14ac:dyDescent="0.25">
      <c r="B150" s="545" t="s">
        <v>250</v>
      </c>
      <c r="C150" s="537"/>
      <c r="D150" s="537"/>
      <c r="E150" s="537"/>
      <c r="F150" s="538"/>
      <c r="G150" s="3">
        <v>1</v>
      </c>
      <c r="H150" s="31">
        <f>'10 - CUSTOS UN'!$J$66</f>
        <v>156.05666666666664</v>
      </c>
      <c r="I150" s="602">
        <f t="shared" si="17"/>
        <v>26.009444444444441</v>
      </c>
      <c r="J150" s="538"/>
      <c r="K150" s="31">
        <f t="shared" si="18"/>
        <v>26.009444444444441</v>
      </c>
      <c r="L150" s="6"/>
      <c r="M150" s="8"/>
      <c r="N150" s="8"/>
      <c r="T150" s="149"/>
      <c r="U150" s="149"/>
      <c r="V150" s="21"/>
      <c r="W150" s="21"/>
    </row>
    <row r="151" spans="2:23" ht="15.75" customHeight="1" x14ac:dyDescent="0.25">
      <c r="B151" s="545" t="s">
        <v>265</v>
      </c>
      <c r="C151" s="537"/>
      <c r="D151" s="537"/>
      <c r="E151" s="537"/>
      <c r="F151" s="538"/>
      <c r="G151" s="3">
        <v>1</v>
      </c>
      <c r="H151" s="31">
        <f>'10 - CUSTOS UN'!$J$30</f>
        <v>84.38</v>
      </c>
      <c r="I151" s="602">
        <f t="shared" si="17"/>
        <v>14.063333333333333</v>
      </c>
      <c r="J151" s="538"/>
      <c r="K151" s="31">
        <f t="shared" si="18"/>
        <v>14.063333333333333</v>
      </c>
      <c r="L151" s="6"/>
      <c r="M151" s="8"/>
      <c r="N151" s="8"/>
    </row>
    <row r="152" spans="2:23" ht="15.75" customHeight="1" x14ac:dyDescent="0.25">
      <c r="B152" s="545" t="s">
        <v>254</v>
      </c>
      <c r="C152" s="537"/>
      <c r="D152" s="537"/>
      <c r="E152" s="537"/>
      <c r="F152" s="538"/>
      <c r="G152" s="3">
        <v>1</v>
      </c>
      <c r="H152" s="141">
        <f>'10 - CUSTOS UN'!$J$87</f>
        <v>4.7966666666666669</v>
      </c>
      <c r="I152" s="602">
        <f t="shared" si="17"/>
        <v>0.79944444444444451</v>
      </c>
      <c r="J152" s="538"/>
      <c r="K152" s="31">
        <f t="shared" si="18"/>
        <v>0.79944444444444451</v>
      </c>
      <c r="L152" s="6"/>
      <c r="M152" s="8"/>
      <c r="N152" s="8"/>
    </row>
    <row r="153" spans="2:23" ht="15.75" customHeight="1" x14ac:dyDescent="0.25">
      <c r="B153" s="545" t="s">
        <v>266</v>
      </c>
      <c r="C153" s="537"/>
      <c r="D153" s="537"/>
      <c r="E153" s="537"/>
      <c r="F153" s="538"/>
      <c r="G153" s="3">
        <v>1</v>
      </c>
      <c r="H153" s="31">
        <f>'10 - CUSTOS UN'!$J$42</f>
        <v>16.393333333333334</v>
      </c>
      <c r="I153" s="602">
        <f t="shared" si="17"/>
        <v>2.7322222222222226</v>
      </c>
      <c r="J153" s="538"/>
      <c r="K153" s="31">
        <f t="shared" si="18"/>
        <v>2.7322222222222226</v>
      </c>
      <c r="L153" s="6"/>
      <c r="M153" s="8"/>
      <c r="N153" s="8"/>
    </row>
    <row r="154" spans="2:23" ht="15.75" customHeight="1" x14ac:dyDescent="0.25">
      <c r="B154" s="545" t="s">
        <v>259</v>
      </c>
      <c r="C154" s="537"/>
      <c r="D154" s="537"/>
      <c r="E154" s="537"/>
      <c r="F154" s="538"/>
      <c r="G154" s="3">
        <v>6</v>
      </c>
      <c r="H154" s="31">
        <f>'10 - CUSTOS UN'!$J$99</f>
        <v>14.9</v>
      </c>
      <c r="I154" s="602">
        <f t="shared" si="17"/>
        <v>2.4833333333333334</v>
      </c>
      <c r="J154" s="538"/>
      <c r="K154" s="31">
        <f t="shared" si="18"/>
        <v>14.9</v>
      </c>
      <c r="L154" s="6"/>
      <c r="M154" s="8"/>
      <c r="N154" s="150"/>
      <c r="O154" s="151"/>
      <c r="P154" s="151"/>
      <c r="Q154" s="151"/>
      <c r="V154" s="21"/>
      <c r="W154" s="21"/>
    </row>
    <row r="155" spans="2:23" ht="15" customHeight="1" x14ac:dyDescent="0.25">
      <c r="B155" s="666" t="s">
        <v>267</v>
      </c>
      <c r="C155" s="667"/>
      <c r="D155" s="667"/>
      <c r="E155" s="667"/>
      <c r="F155" s="668"/>
      <c r="G155" s="142">
        <v>1</v>
      </c>
      <c r="H155" s="143">
        <f>'10 - CUSTOS UN'!$J$48</f>
        <v>18.52</v>
      </c>
      <c r="I155" s="592">
        <f t="shared" si="17"/>
        <v>3.0866666666666664</v>
      </c>
      <c r="J155" s="565"/>
      <c r="K155" s="143">
        <f t="shared" si="18"/>
        <v>3.0866666666666664</v>
      </c>
      <c r="L155" s="64"/>
      <c r="M155" s="8"/>
      <c r="N155" s="8"/>
    </row>
    <row r="156" spans="2:23" ht="15.75" customHeight="1" x14ac:dyDescent="0.25">
      <c r="B156" s="603" t="s">
        <v>260</v>
      </c>
      <c r="C156" s="544"/>
      <c r="D156" s="544"/>
      <c r="E156" s="544"/>
      <c r="F156" s="579"/>
      <c r="G156" s="145"/>
      <c r="H156" s="145"/>
      <c r="I156" s="621"/>
      <c r="J156" s="579"/>
      <c r="K156" s="146">
        <f>SUM(K148:K155)</f>
        <v>91.286666666666676</v>
      </c>
      <c r="L156" s="64"/>
      <c r="M156" s="147"/>
      <c r="N156" s="147"/>
      <c r="O156" s="148"/>
      <c r="P156" s="148"/>
      <c r="Q156" s="148"/>
      <c r="R156" s="148"/>
      <c r="S156" s="148"/>
      <c r="T156" s="148"/>
      <c r="U156" s="148"/>
      <c r="V156" s="148"/>
      <c r="W156" s="148"/>
    </row>
    <row r="157" spans="2:23" ht="15.75" customHeight="1" x14ac:dyDescent="0.25">
      <c r="B157" s="570" t="s">
        <v>261</v>
      </c>
      <c r="C157" s="537"/>
      <c r="D157" s="537"/>
      <c r="E157" s="537"/>
      <c r="F157" s="538"/>
      <c r="G157" s="47">
        <v>14</v>
      </c>
      <c r="H157" s="3" t="s">
        <v>173</v>
      </c>
      <c r="I157" s="602">
        <f>K156</f>
        <v>91.286666666666676</v>
      </c>
      <c r="J157" s="538"/>
      <c r="K157" s="45">
        <f>I157*G157</f>
        <v>1278.0133333333335</v>
      </c>
      <c r="L157" s="6"/>
      <c r="M157" s="147"/>
      <c r="N157" s="147"/>
      <c r="O157" s="148"/>
      <c r="P157" s="148"/>
      <c r="Q157" s="148"/>
      <c r="R157" s="148"/>
      <c r="S157" s="148"/>
      <c r="T157" s="148"/>
      <c r="U157" s="148"/>
      <c r="V157" s="148"/>
      <c r="W157" s="148"/>
    </row>
    <row r="158" spans="2:23" ht="15.75" customHeight="1" x14ac:dyDescent="0.25">
      <c r="B158" s="669"/>
      <c r="C158" s="625"/>
      <c r="D158" s="625"/>
      <c r="E158" s="625"/>
      <c r="F158" s="625"/>
      <c r="I158" s="669"/>
      <c r="J158" s="625"/>
      <c r="L158" s="6"/>
      <c r="M158" s="150"/>
      <c r="N158" s="150"/>
      <c r="O158" s="151"/>
      <c r="P158" s="151"/>
      <c r="Q158" s="151"/>
      <c r="R158" s="151"/>
      <c r="S158" s="151"/>
      <c r="T158" s="152"/>
      <c r="U158" s="152"/>
      <c r="V158" s="152"/>
      <c r="W158" s="152"/>
    </row>
    <row r="159" spans="2:23" ht="15" customHeight="1" x14ac:dyDescent="0.25">
      <c r="B159" s="589" t="s">
        <v>270</v>
      </c>
      <c r="C159" s="537"/>
      <c r="D159" s="537"/>
      <c r="E159" s="537"/>
      <c r="F159" s="537"/>
      <c r="G159" s="537"/>
      <c r="H159" s="537"/>
      <c r="I159" s="537"/>
      <c r="J159" s="538"/>
      <c r="K159" s="135">
        <f>K157+K144</f>
        <v>7440.3355555555554</v>
      </c>
      <c r="L159" s="6"/>
      <c r="M159" s="8"/>
      <c r="N159" s="8"/>
    </row>
    <row r="160" spans="2:23" ht="15.75" customHeight="1" x14ac:dyDescent="0.25">
      <c r="L160" s="6"/>
      <c r="M160" s="8"/>
      <c r="N160" s="8"/>
    </row>
    <row r="161" spans="2:23" ht="15.75" customHeight="1" x14ac:dyDescent="0.25">
      <c r="L161" s="6"/>
      <c r="M161" s="8"/>
      <c r="N161" s="8"/>
      <c r="T161" s="21"/>
      <c r="U161" s="21"/>
      <c r="V161" s="21"/>
      <c r="W161" s="21"/>
    </row>
    <row r="162" spans="2:23" ht="15.75" customHeight="1" x14ac:dyDescent="0.25">
      <c r="B162" s="566" t="s">
        <v>357</v>
      </c>
      <c r="C162" s="537"/>
      <c r="D162" s="537"/>
      <c r="E162" s="537"/>
      <c r="F162" s="537"/>
      <c r="G162" s="537"/>
      <c r="H162" s="537"/>
      <c r="I162" s="537"/>
      <c r="J162" s="537"/>
      <c r="K162" s="538"/>
      <c r="L162" s="6"/>
      <c r="M162" s="8"/>
      <c r="N162" s="8"/>
      <c r="T162" s="21"/>
      <c r="U162" s="21"/>
      <c r="V162" s="152"/>
      <c r="W162" s="152"/>
    </row>
    <row r="163" spans="2:23" ht="15.75" customHeight="1" x14ac:dyDescent="0.25">
      <c r="L163" s="6"/>
      <c r="M163" s="150"/>
      <c r="N163" s="150"/>
      <c r="O163" s="151"/>
      <c r="P163" s="151"/>
      <c r="Q163" s="151"/>
      <c r="R163" s="151"/>
      <c r="S163" s="151"/>
      <c r="T163" s="151"/>
      <c r="U163" s="151"/>
      <c r="V163" s="151"/>
      <c r="W163" s="151"/>
    </row>
    <row r="164" spans="2:23" ht="15.75" customHeight="1" x14ac:dyDescent="0.25">
      <c r="B164" s="604" t="s">
        <v>272</v>
      </c>
      <c r="C164" s="537"/>
      <c r="D164" s="537"/>
      <c r="E164" s="537"/>
      <c r="F164" s="537"/>
      <c r="G164" s="537"/>
      <c r="H164" s="537"/>
      <c r="I164" s="537"/>
      <c r="J164" s="537"/>
      <c r="K164" s="538"/>
      <c r="L164" s="6"/>
      <c r="M164" s="8"/>
      <c r="N164" s="8"/>
    </row>
    <row r="165" spans="2:23" ht="24.75" customHeight="1" x14ac:dyDescent="0.25">
      <c r="B165" s="155" t="s">
        <v>273</v>
      </c>
      <c r="C165" s="637" t="s">
        <v>239</v>
      </c>
      <c r="D165" s="564"/>
      <c r="E165" s="564"/>
      <c r="F165" s="564"/>
      <c r="G165" s="564"/>
      <c r="H165" s="565"/>
      <c r="I165" s="654" t="s">
        <v>274</v>
      </c>
      <c r="J165" s="565"/>
      <c r="K165" s="182" t="s">
        <v>275</v>
      </c>
      <c r="L165" s="6"/>
      <c r="M165" s="8"/>
      <c r="N165" s="8"/>
    </row>
    <row r="166" spans="2:23" ht="15.75" customHeight="1" x14ac:dyDescent="0.25">
      <c r="B166" s="156" t="s">
        <v>204</v>
      </c>
      <c r="C166" s="655" t="s">
        <v>293</v>
      </c>
      <c r="D166" s="535"/>
      <c r="E166" s="535"/>
      <c r="F166" s="535"/>
      <c r="G166" s="535"/>
      <c r="H166" s="575"/>
      <c r="I166" s="656">
        <f>K279</f>
        <v>28018.596522514956</v>
      </c>
      <c r="J166" s="575"/>
      <c r="K166" s="157">
        <f>K280</f>
        <v>84055.789567544882</v>
      </c>
      <c r="L166" s="6"/>
      <c r="M166" s="8"/>
      <c r="N166" s="8"/>
    </row>
    <row r="167" spans="2:23" ht="15.75" customHeight="1" x14ac:dyDescent="0.25">
      <c r="B167" s="26" t="s">
        <v>362</v>
      </c>
      <c r="C167" s="545" t="s">
        <v>278</v>
      </c>
      <c r="D167" s="537"/>
      <c r="E167" s="537"/>
      <c r="F167" s="537"/>
      <c r="G167" s="537"/>
      <c r="H167" s="538"/>
      <c r="I167" s="602">
        <f>I211</f>
        <v>4437.2126666666663</v>
      </c>
      <c r="J167" s="538"/>
      <c r="K167" s="159">
        <f>K211</f>
        <v>13311.637999999999</v>
      </c>
      <c r="L167" s="6"/>
      <c r="M167" s="8"/>
      <c r="N167" s="8"/>
    </row>
    <row r="168" spans="2:23" ht="15.75" customHeight="1" x14ac:dyDescent="0.25">
      <c r="B168" s="26" t="s">
        <v>366</v>
      </c>
      <c r="C168" s="545" t="s">
        <v>281</v>
      </c>
      <c r="D168" s="537"/>
      <c r="E168" s="537"/>
      <c r="F168" s="537"/>
      <c r="G168" s="537"/>
      <c r="H168" s="538"/>
      <c r="I168" s="602">
        <f>I226</f>
        <v>1677.821039583333</v>
      </c>
      <c r="J168" s="538"/>
      <c r="K168" s="159">
        <f>K226</f>
        <v>5033.463118749999</v>
      </c>
      <c r="L168" s="6"/>
      <c r="M168" s="8"/>
      <c r="N168" s="8"/>
    </row>
    <row r="169" spans="2:23" ht="15.75" customHeight="1" x14ac:dyDescent="0.25">
      <c r="B169" s="26" t="s">
        <v>370</v>
      </c>
      <c r="C169" s="545" t="s">
        <v>283</v>
      </c>
      <c r="D169" s="537"/>
      <c r="E169" s="537"/>
      <c r="F169" s="537"/>
      <c r="G169" s="537"/>
      <c r="H169" s="538"/>
      <c r="I169" s="602">
        <f>I236</f>
        <v>564.30555555555554</v>
      </c>
      <c r="J169" s="538"/>
      <c r="K169" s="159">
        <f>K236</f>
        <v>1692.9166666666665</v>
      </c>
      <c r="L169" s="6"/>
      <c r="M169" s="8"/>
      <c r="N169" s="8"/>
    </row>
    <row r="170" spans="2:23" ht="15.75" customHeight="1" x14ac:dyDescent="0.25">
      <c r="B170" s="26" t="s">
        <v>373</v>
      </c>
      <c r="C170" s="545" t="s">
        <v>286</v>
      </c>
      <c r="D170" s="537"/>
      <c r="E170" s="537"/>
      <c r="F170" s="537"/>
      <c r="G170" s="537"/>
      <c r="H170" s="538"/>
      <c r="I170" s="602">
        <f>I244</f>
        <v>14462.58</v>
      </c>
      <c r="J170" s="538"/>
      <c r="K170" s="159">
        <f>K244</f>
        <v>43387.74</v>
      </c>
      <c r="L170" s="6"/>
      <c r="M170" s="8"/>
      <c r="N170" s="8"/>
    </row>
    <row r="171" spans="2:23" ht="15.75" customHeight="1" x14ac:dyDescent="0.25">
      <c r="B171" s="26" t="s">
        <v>375</v>
      </c>
      <c r="C171" s="545" t="s">
        <v>288</v>
      </c>
      <c r="D171" s="537"/>
      <c r="E171" s="537"/>
      <c r="F171" s="537"/>
      <c r="G171" s="537"/>
      <c r="H171" s="538"/>
      <c r="I171" s="602">
        <f>I257</f>
        <v>1422.8550005555555</v>
      </c>
      <c r="J171" s="538"/>
      <c r="K171" s="159">
        <f>K257</f>
        <v>4268.5650016666668</v>
      </c>
      <c r="L171" s="6"/>
      <c r="M171" s="8"/>
      <c r="N171" s="8"/>
    </row>
    <row r="172" spans="2:23" ht="15.75" customHeight="1" x14ac:dyDescent="0.25">
      <c r="B172" s="26" t="s">
        <v>377</v>
      </c>
      <c r="C172" s="545" t="s">
        <v>290</v>
      </c>
      <c r="D172" s="537"/>
      <c r="E172" s="537"/>
      <c r="F172" s="537"/>
      <c r="G172" s="537"/>
      <c r="H172" s="538"/>
      <c r="I172" s="602">
        <f>I268</f>
        <v>890.76226015384611</v>
      </c>
      <c r="J172" s="538"/>
      <c r="K172" s="159">
        <f>K268</f>
        <v>2672.2867804615385</v>
      </c>
      <c r="L172" s="6"/>
      <c r="M172" s="8"/>
      <c r="N172" s="8"/>
    </row>
    <row r="173" spans="2:23" ht="15.75" customHeight="1" x14ac:dyDescent="0.25">
      <c r="B173" s="26" t="s">
        <v>379</v>
      </c>
      <c r="C173" s="545" t="s">
        <v>292</v>
      </c>
      <c r="D173" s="537"/>
      <c r="E173" s="537"/>
      <c r="F173" s="537"/>
      <c r="G173" s="537"/>
      <c r="H173" s="538"/>
      <c r="I173" s="602">
        <f>I273</f>
        <v>4563.0599999999995</v>
      </c>
      <c r="J173" s="538"/>
      <c r="K173" s="159">
        <f>K273</f>
        <v>13689.179999999998</v>
      </c>
      <c r="L173" s="6"/>
      <c r="M173" s="8"/>
      <c r="N173" s="8"/>
    </row>
    <row r="174" spans="2:23" ht="15.75" customHeight="1" x14ac:dyDescent="0.25">
      <c r="B174" s="156" t="s">
        <v>205</v>
      </c>
      <c r="C174" s="671" t="s">
        <v>380</v>
      </c>
      <c r="D174" s="537"/>
      <c r="E174" s="537"/>
      <c r="F174" s="537"/>
      <c r="G174" s="537"/>
      <c r="H174" s="538"/>
      <c r="I174" s="672">
        <f>K358</f>
        <v>21765.172487640833</v>
      </c>
      <c r="J174" s="538"/>
      <c r="K174" s="157">
        <f>K359</f>
        <v>21765.172487640833</v>
      </c>
      <c r="L174" s="6"/>
      <c r="M174" s="8"/>
      <c r="N174" s="8"/>
    </row>
    <row r="175" spans="2:23" ht="15.75" customHeight="1" x14ac:dyDescent="0.25">
      <c r="B175" s="26" t="s">
        <v>383</v>
      </c>
      <c r="C175" s="545" t="s">
        <v>278</v>
      </c>
      <c r="D175" s="537"/>
      <c r="E175" s="537"/>
      <c r="F175" s="537"/>
      <c r="G175" s="537"/>
      <c r="H175" s="538"/>
      <c r="I175" s="602">
        <f>I297</f>
        <v>9013.902467532469</v>
      </c>
      <c r="J175" s="538"/>
      <c r="K175" s="159">
        <f>K297</f>
        <v>9013.902467532469</v>
      </c>
      <c r="L175" s="6"/>
      <c r="M175" s="8"/>
      <c r="N175" s="8"/>
    </row>
    <row r="176" spans="2:23" ht="15.75" customHeight="1" x14ac:dyDescent="0.25">
      <c r="B176" s="26" t="s">
        <v>386</v>
      </c>
      <c r="C176" s="545" t="s">
        <v>281</v>
      </c>
      <c r="D176" s="537"/>
      <c r="E176" s="537"/>
      <c r="F176" s="537"/>
      <c r="G176" s="537"/>
      <c r="H176" s="538"/>
      <c r="I176" s="602">
        <f>I312</f>
        <v>3408.3818705357139</v>
      </c>
      <c r="J176" s="538"/>
      <c r="K176" s="159">
        <f>K312</f>
        <v>3408.3818705357139</v>
      </c>
      <c r="L176" s="6"/>
      <c r="M176" s="8"/>
      <c r="N176" s="8"/>
    </row>
    <row r="177" spans="2:23" ht="15.75" customHeight="1" x14ac:dyDescent="0.25">
      <c r="B177" s="26" t="s">
        <v>388</v>
      </c>
      <c r="C177" s="545" t="s">
        <v>283</v>
      </c>
      <c r="D177" s="537"/>
      <c r="E177" s="537"/>
      <c r="F177" s="537"/>
      <c r="G177" s="537"/>
      <c r="H177" s="538"/>
      <c r="I177" s="602">
        <f>I320</f>
        <v>539.30555555555554</v>
      </c>
      <c r="J177" s="538"/>
      <c r="K177" s="159">
        <f>K320</f>
        <v>539.30555555555554</v>
      </c>
      <c r="L177" s="6"/>
      <c r="M177" s="8"/>
      <c r="N177" s="8"/>
    </row>
    <row r="178" spans="2:23" ht="15.75" customHeight="1" x14ac:dyDescent="0.25">
      <c r="B178" s="26" t="s">
        <v>391</v>
      </c>
      <c r="C178" s="545" t="s">
        <v>286</v>
      </c>
      <c r="D178" s="537"/>
      <c r="E178" s="537"/>
      <c r="F178" s="537"/>
      <c r="G178" s="537"/>
      <c r="H178" s="538"/>
      <c r="I178" s="602">
        <f>I328</f>
        <v>5610</v>
      </c>
      <c r="J178" s="538"/>
      <c r="K178" s="159">
        <f>K328</f>
        <v>5610</v>
      </c>
      <c r="L178" s="6"/>
      <c r="M178" s="150"/>
      <c r="N178" s="150"/>
      <c r="O178" s="151"/>
      <c r="P178" s="151"/>
      <c r="Q178" s="151"/>
      <c r="R178" s="151"/>
      <c r="S178" s="151"/>
      <c r="T178" s="151"/>
      <c r="U178" s="151"/>
      <c r="V178" s="151"/>
      <c r="W178" s="151"/>
    </row>
    <row r="179" spans="2:23" ht="15.75" customHeight="1" x14ac:dyDescent="0.25">
      <c r="B179" s="26" t="s">
        <v>393</v>
      </c>
      <c r="C179" s="545" t="s">
        <v>288</v>
      </c>
      <c r="D179" s="537"/>
      <c r="E179" s="537"/>
      <c r="F179" s="537"/>
      <c r="G179" s="537"/>
      <c r="H179" s="538"/>
      <c r="I179" s="602">
        <f>I340</f>
        <v>1078.0580555555555</v>
      </c>
      <c r="J179" s="538"/>
      <c r="K179" s="159">
        <f>K340</f>
        <v>1078.0580555555555</v>
      </c>
      <c r="L179" s="6"/>
      <c r="M179" s="8"/>
      <c r="N179" s="8"/>
    </row>
    <row r="180" spans="2:23" ht="15.75" customHeight="1" x14ac:dyDescent="0.25">
      <c r="B180" s="26" t="s">
        <v>394</v>
      </c>
      <c r="C180" s="545" t="s">
        <v>290</v>
      </c>
      <c r="D180" s="537"/>
      <c r="E180" s="537"/>
      <c r="F180" s="537"/>
      <c r="G180" s="537"/>
      <c r="H180" s="538"/>
      <c r="I180" s="602">
        <f>I351</f>
        <v>345.52453846153844</v>
      </c>
      <c r="J180" s="538"/>
      <c r="K180" s="159">
        <f>K351</f>
        <v>345.52453846153844</v>
      </c>
      <c r="L180" s="6"/>
      <c r="M180" s="8"/>
      <c r="N180" s="8"/>
    </row>
    <row r="181" spans="2:23" ht="15.75" customHeight="1" x14ac:dyDescent="0.25">
      <c r="B181" s="26" t="s">
        <v>396</v>
      </c>
      <c r="C181" s="545" t="s">
        <v>292</v>
      </c>
      <c r="D181" s="537"/>
      <c r="E181" s="537"/>
      <c r="F181" s="537"/>
      <c r="G181" s="537"/>
      <c r="H181" s="538"/>
      <c r="I181" s="602">
        <f>I356</f>
        <v>1770</v>
      </c>
      <c r="J181" s="538"/>
      <c r="K181" s="159">
        <f>K356</f>
        <v>1770</v>
      </c>
      <c r="L181" s="6"/>
      <c r="M181" s="201"/>
      <c r="N181" s="8"/>
    </row>
    <row r="182" spans="2:23" ht="15.75" customHeight="1" x14ac:dyDescent="0.25">
      <c r="B182" s="156" t="s">
        <v>208</v>
      </c>
      <c r="C182" s="671" t="s">
        <v>301</v>
      </c>
      <c r="D182" s="537"/>
      <c r="E182" s="537"/>
      <c r="F182" s="537"/>
      <c r="G182" s="537"/>
      <c r="H182" s="538"/>
      <c r="I182" s="672">
        <f>K420</f>
        <v>3834.7556993111111</v>
      </c>
      <c r="J182" s="538"/>
      <c r="K182" s="157">
        <f>K421</f>
        <v>11504.267097933331</v>
      </c>
      <c r="L182" s="6"/>
      <c r="M182" s="8"/>
      <c r="N182" s="8"/>
    </row>
    <row r="183" spans="2:23" ht="15.75" customHeight="1" x14ac:dyDescent="0.25">
      <c r="B183" s="26" t="s">
        <v>400</v>
      </c>
      <c r="C183" s="545" t="s">
        <v>278</v>
      </c>
      <c r="D183" s="537"/>
      <c r="E183" s="537"/>
      <c r="F183" s="537"/>
      <c r="G183" s="537"/>
      <c r="H183" s="538"/>
      <c r="I183" s="602">
        <f>I370</f>
        <v>512.96190476190475</v>
      </c>
      <c r="J183" s="538"/>
      <c r="K183" s="159">
        <f>K370</f>
        <v>1538.8857142857141</v>
      </c>
      <c r="L183" s="6"/>
      <c r="M183" s="150"/>
      <c r="N183" s="150"/>
      <c r="O183" s="151"/>
      <c r="P183" s="151"/>
      <c r="Q183" s="151"/>
      <c r="R183" s="151"/>
      <c r="S183" s="151"/>
      <c r="T183" s="151"/>
      <c r="U183" s="151"/>
      <c r="V183" s="151"/>
      <c r="W183" s="151"/>
    </row>
    <row r="184" spans="2:23" ht="15.75" customHeight="1" x14ac:dyDescent="0.25">
      <c r="B184" s="26" t="s">
        <v>402</v>
      </c>
      <c r="C184" s="545" t="s">
        <v>281</v>
      </c>
      <c r="D184" s="537"/>
      <c r="E184" s="537"/>
      <c r="F184" s="537"/>
      <c r="G184" s="537"/>
      <c r="H184" s="538"/>
      <c r="I184" s="602">
        <f>I379</f>
        <v>193.96372023809519</v>
      </c>
      <c r="J184" s="538"/>
      <c r="K184" s="159">
        <f>K379</f>
        <v>581.89116071428555</v>
      </c>
      <c r="L184" s="6"/>
      <c r="M184" s="202"/>
      <c r="N184" s="8"/>
    </row>
    <row r="185" spans="2:23" ht="15.75" customHeight="1" x14ac:dyDescent="0.25">
      <c r="B185" s="26" t="s">
        <v>404</v>
      </c>
      <c r="C185" s="545" t="s">
        <v>283</v>
      </c>
      <c r="D185" s="537"/>
      <c r="E185" s="537"/>
      <c r="F185" s="537"/>
      <c r="G185" s="537"/>
      <c r="H185" s="538"/>
      <c r="I185" s="602">
        <f>I387</f>
        <v>272.42111111111109</v>
      </c>
      <c r="J185" s="538"/>
      <c r="K185" s="159">
        <f>K387</f>
        <v>817.26333333333332</v>
      </c>
      <c r="L185" s="6"/>
      <c r="M185" s="147"/>
      <c r="N185" s="147"/>
      <c r="O185" s="148"/>
      <c r="P185" s="148"/>
      <c r="Q185" s="148"/>
      <c r="R185" s="148"/>
      <c r="S185" s="148"/>
      <c r="T185" s="148"/>
      <c r="U185" s="148"/>
      <c r="V185" s="148"/>
      <c r="W185" s="148"/>
    </row>
    <row r="186" spans="2:23" ht="15.75" customHeight="1" x14ac:dyDescent="0.25">
      <c r="B186" s="26" t="s">
        <v>406</v>
      </c>
      <c r="C186" s="545" t="s">
        <v>286</v>
      </c>
      <c r="D186" s="537"/>
      <c r="E186" s="537"/>
      <c r="F186" s="537"/>
      <c r="G186" s="537"/>
      <c r="H186" s="538"/>
      <c r="I186" s="602">
        <f>I395</f>
        <v>1062.76</v>
      </c>
      <c r="J186" s="538"/>
      <c r="K186" s="159">
        <f>K395</f>
        <v>3188.2799999999997</v>
      </c>
      <c r="L186" s="6"/>
      <c r="M186" s="147"/>
      <c r="N186" s="147"/>
      <c r="O186" s="148"/>
      <c r="P186" s="148"/>
      <c r="Q186" s="148"/>
      <c r="R186" s="148"/>
      <c r="S186" s="148"/>
      <c r="T186" s="148"/>
      <c r="U186" s="148"/>
      <c r="V186" s="148"/>
      <c r="W186" s="148"/>
    </row>
    <row r="187" spans="2:23" ht="15.75" customHeight="1" x14ac:dyDescent="0.25">
      <c r="B187" s="26" t="s">
        <v>410</v>
      </c>
      <c r="C187" s="545" t="s">
        <v>288</v>
      </c>
      <c r="D187" s="537"/>
      <c r="E187" s="537"/>
      <c r="F187" s="537"/>
      <c r="G187" s="537"/>
      <c r="H187" s="538"/>
      <c r="I187" s="602">
        <f>I405</f>
        <v>28.652465999999993</v>
      </c>
      <c r="J187" s="538"/>
      <c r="K187" s="159">
        <f>K405</f>
        <v>85.957397999999984</v>
      </c>
      <c r="L187" s="6"/>
      <c r="M187" s="150"/>
      <c r="N187" s="150"/>
      <c r="O187" s="151"/>
      <c r="P187" s="151"/>
      <c r="Q187" s="151"/>
      <c r="R187" s="151"/>
      <c r="S187" s="151"/>
      <c r="T187" s="152"/>
      <c r="U187" s="151"/>
      <c r="V187" s="152"/>
      <c r="W187" s="151"/>
    </row>
    <row r="188" spans="2:23" ht="15.75" customHeight="1" x14ac:dyDescent="0.25">
      <c r="B188" s="26" t="s">
        <v>412</v>
      </c>
      <c r="C188" s="545" t="s">
        <v>290</v>
      </c>
      <c r="D188" s="537"/>
      <c r="E188" s="537"/>
      <c r="F188" s="537"/>
      <c r="G188" s="537"/>
      <c r="H188" s="538"/>
      <c r="I188" s="602">
        <f>I413</f>
        <v>32.936497200000005</v>
      </c>
      <c r="J188" s="538"/>
      <c r="K188" s="159">
        <f>K413</f>
        <v>98.809491600000015</v>
      </c>
      <c r="L188" s="6"/>
      <c r="M188" s="8"/>
      <c r="N188" s="8"/>
      <c r="T188" s="21"/>
    </row>
    <row r="189" spans="2:23" ht="15.75" customHeight="1" x14ac:dyDescent="0.25">
      <c r="B189" s="26" t="s">
        <v>416</v>
      </c>
      <c r="C189" s="591" t="s">
        <v>292</v>
      </c>
      <c r="D189" s="564"/>
      <c r="E189" s="564"/>
      <c r="F189" s="564"/>
      <c r="G189" s="564"/>
      <c r="H189" s="565"/>
      <c r="I189" s="641">
        <f>I418</f>
        <v>1731.06</v>
      </c>
      <c r="J189" s="565"/>
      <c r="K189" s="166">
        <f>K418</f>
        <v>5193.18</v>
      </c>
      <c r="L189" s="6"/>
      <c r="M189" s="8"/>
      <c r="N189" s="8"/>
      <c r="S189" s="38"/>
    </row>
    <row r="190" spans="2:23" ht="15.75" customHeight="1" x14ac:dyDescent="0.25">
      <c r="B190" s="156" t="s">
        <v>210</v>
      </c>
      <c r="C190" s="655" t="s">
        <v>419</v>
      </c>
      <c r="D190" s="535"/>
      <c r="E190" s="535"/>
      <c r="F190" s="535"/>
      <c r="G190" s="535"/>
      <c r="H190" s="575"/>
      <c r="I190" s="656">
        <f>K448</f>
        <v>7498.7636507812504</v>
      </c>
      <c r="J190" s="575"/>
      <c r="K190" s="157">
        <f>K449</f>
        <v>79068.318164062497</v>
      </c>
      <c r="L190" s="6"/>
      <c r="M190" s="8"/>
      <c r="N190" s="8"/>
      <c r="T190" s="21"/>
    </row>
    <row r="191" spans="2:23" ht="15.75" customHeight="1" x14ac:dyDescent="0.25">
      <c r="B191" s="26" t="s">
        <v>421</v>
      </c>
      <c r="C191" s="545" t="s">
        <v>278</v>
      </c>
      <c r="D191" s="537"/>
      <c r="E191" s="537"/>
      <c r="F191" s="537"/>
      <c r="G191" s="537"/>
      <c r="H191" s="538"/>
      <c r="I191" s="602">
        <f>I432</f>
        <v>69.056291666666667</v>
      </c>
      <c r="J191" s="538"/>
      <c r="K191" s="159">
        <f>K432</f>
        <v>58697.847916666666</v>
      </c>
      <c r="L191" s="6"/>
      <c r="M191" s="8"/>
      <c r="N191" s="8"/>
      <c r="T191" s="21"/>
      <c r="V191" s="21"/>
    </row>
    <row r="192" spans="2:23" ht="15.75" customHeight="1" x14ac:dyDescent="0.25">
      <c r="B192" s="26" t="s">
        <v>423</v>
      </c>
      <c r="C192" s="545" t="s">
        <v>281</v>
      </c>
      <c r="D192" s="537"/>
      <c r="E192" s="537"/>
      <c r="F192" s="537"/>
      <c r="G192" s="537"/>
      <c r="H192" s="538"/>
      <c r="I192" s="602">
        <f>I441</f>
        <v>15.24235911458333</v>
      </c>
      <c r="J192" s="538"/>
      <c r="K192" s="159">
        <f>K441</f>
        <v>12956.005247395831</v>
      </c>
      <c r="L192" s="6"/>
      <c r="M192" s="150"/>
      <c r="N192" s="150"/>
      <c r="O192" s="151"/>
      <c r="P192" s="151"/>
      <c r="Q192" s="151"/>
      <c r="R192" s="151"/>
      <c r="S192" s="151"/>
      <c r="T192" s="151"/>
      <c r="U192" s="151"/>
      <c r="V192" s="151"/>
      <c r="W192" s="151"/>
    </row>
    <row r="193" spans="2:23" ht="15.75" customHeight="1" x14ac:dyDescent="0.25">
      <c r="B193" s="167"/>
      <c r="C193" s="595" t="s">
        <v>312</v>
      </c>
      <c r="D193" s="537"/>
      <c r="E193" s="537"/>
      <c r="F193" s="537"/>
      <c r="G193" s="537"/>
      <c r="H193" s="538"/>
      <c r="I193" s="595"/>
      <c r="J193" s="538"/>
      <c r="K193" s="168">
        <f>SUM(K166,K174,K182,K190)</f>
        <v>196393.54731718154</v>
      </c>
      <c r="L193" s="6"/>
      <c r="M193" s="8"/>
      <c r="N193" s="8"/>
    </row>
    <row r="194" spans="2:23" ht="15.75" customHeight="1" x14ac:dyDescent="0.25">
      <c r="C194" s="169"/>
      <c r="D194" s="169"/>
      <c r="E194" s="169"/>
      <c r="F194" s="169"/>
      <c r="G194" s="169"/>
      <c r="H194" s="169"/>
      <c r="I194" s="169"/>
      <c r="J194" s="169"/>
      <c r="K194" s="169"/>
      <c r="L194" s="6"/>
      <c r="M194" s="8"/>
      <c r="N194" s="8"/>
    </row>
    <row r="195" spans="2:23" ht="15.75" customHeight="1" x14ac:dyDescent="0.25">
      <c r="L195" s="6"/>
      <c r="M195" s="8"/>
      <c r="N195" s="8"/>
    </row>
    <row r="196" spans="2:23" ht="15.75" customHeight="1" x14ac:dyDescent="0.25">
      <c r="B196" s="596" t="s">
        <v>430</v>
      </c>
      <c r="C196" s="537"/>
      <c r="D196" s="537"/>
      <c r="E196" s="537"/>
      <c r="F196" s="537"/>
      <c r="G196" s="537"/>
      <c r="H196" s="537"/>
      <c r="I196" s="537"/>
      <c r="J196" s="537"/>
      <c r="K196" s="538"/>
      <c r="L196" s="6"/>
      <c r="M196" s="8"/>
      <c r="N196" s="8"/>
    </row>
    <row r="197" spans="2:23" ht="15.75" customHeight="1" x14ac:dyDescent="0.25">
      <c r="L197" s="6"/>
      <c r="M197" s="8"/>
      <c r="N197" s="8"/>
    </row>
    <row r="198" spans="2:23" ht="15.75" customHeight="1" x14ac:dyDescent="0.25">
      <c r="B198" s="598" t="s">
        <v>432</v>
      </c>
      <c r="C198" s="537"/>
      <c r="D198" s="537"/>
      <c r="E198" s="537"/>
      <c r="F198" s="537"/>
      <c r="G198" s="537"/>
      <c r="H198" s="537"/>
      <c r="I198" s="537"/>
      <c r="J198" s="537"/>
      <c r="K198" s="538"/>
      <c r="L198" s="6"/>
      <c r="M198" s="8"/>
      <c r="N198" s="8"/>
    </row>
    <row r="199" spans="2:23" ht="15.75" customHeight="1" x14ac:dyDescent="0.25">
      <c r="B199" s="170" t="s">
        <v>239</v>
      </c>
      <c r="C199" s="208"/>
      <c r="D199" s="208"/>
      <c r="E199" s="208"/>
      <c r="F199" s="210"/>
      <c r="G199" s="170" t="s">
        <v>118</v>
      </c>
      <c r="H199" s="155" t="s">
        <v>119</v>
      </c>
      <c r="I199" s="637" t="s">
        <v>319</v>
      </c>
      <c r="J199" s="565"/>
      <c r="K199" s="155" t="s">
        <v>320</v>
      </c>
      <c r="L199" s="6"/>
      <c r="M199" s="8"/>
      <c r="N199" s="8"/>
    </row>
    <row r="200" spans="2:23" ht="15.75" customHeight="1" x14ac:dyDescent="0.25">
      <c r="B200" s="675" t="s">
        <v>434</v>
      </c>
      <c r="C200" s="535"/>
      <c r="D200" s="535"/>
      <c r="E200" s="535"/>
      <c r="F200" s="575"/>
      <c r="G200" s="171">
        <v>3</v>
      </c>
      <c r="H200" s="171" t="s">
        <v>119</v>
      </c>
      <c r="I200" s="770">
        <v>322725</v>
      </c>
      <c r="J200" s="575"/>
      <c r="K200" s="172">
        <f>I200*G200</f>
        <v>968175</v>
      </c>
      <c r="L200" s="6"/>
      <c r="M200" s="8"/>
      <c r="N200" s="8"/>
    </row>
    <row r="201" spans="2:23" ht="15.75" customHeight="1" x14ac:dyDescent="0.25">
      <c r="B201" s="571" t="s">
        <v>322</v>
      </c>
      <c r="C201" s="537"/>
      <c r="D201" s="537"/>
      <c r="E201" s="537"/>
      <c r="F201" s="538"/>
      <c r="G201" s="14">
        <v>7</v>
      </c>
      <c r="H201" s="14" t="s">
        <v>323</v>
      </c>
      <c r="I201" s="617"/>
      <c r="J201" s="538"/>
      <c r="K201" s="173"/>
      <c r="L201" s="6"/>
      <c r="M201" s="8"/>
      <c r="N201" s="8"/>
    </row>
    <row r="202" spans="2:23" ht="15.75" customHeight="1" x14ac:dyDescent="0.25">
      <c r="B202" s="571" t="s">
        <v>324</v>
      </c>
      <c r="C202" s="537"/>
      <c r="D202" s="537"/>
      <c r="E202" s="537"/>
      <c r="F202" s="538"/>
      <c r="G202" s="14">
        <v>6</v>
      </c>
      <c r="H202" s="14" t="s">
        <v>323</v>
      </c>
      <c r="I202" s="617"/>
      <c r="J202" s="538"/>
      <c r="K202" s="173"/>
      <c r="L202" s="6"/>
      <c r="M202" s="8"/>
      <c r="N202" s="8"/>
    </row>
    <row r="203" spans="2:23" ht="15.75" customHeight="1" x14ac:dyDescent="0.25">
      <c r="B203" s="605" t="s">
        <v>325</v>
      </c>
      <c r="C203" s="537"/>
      <c r="D203" s="537"/>
      <c r="E203" s="537"/>
      <c r="F203" s="538"/>
      <c r="G203" s="14">
        <v>80</v>
      </c>
      <c r="H203" s="14" t="s">
        <v>141</v>
      </c>
      <c r="I203" s="556">
        <f>I200</f>
        <v>322725</v>
      </c>
      <c r="J203" s="538"/>
      <c r="K203" s="60">
        <f>I203*G203/100</f>
        <v>258180</v>
      </c>
      <c r="L203" s="6"/>
      <c r="M203" s="8"/>
      <c r="N203" s="8"/>
    </row>
    <row r="204" spans="2:23" ht="15.75" customHeight="1" x14ac:dyDescent="0.25">
      <c r="B204" s="608" t="s">
        <v>326</v>
      </c>
      <c r="C204" s="564"/>
      <c r="D204" s="564"/>
      <c r="E204" s="564"/>
      <c r="F204" s="565"/>
      <c r="G204" s="174">
        <f>G201*12</f>
        <v>84</v>
      </c>
      <c r="H204" s="174" t="s">
        <v>327</v>
      </c>
      <c r="I204" s="657">
        <f>K203</f>
        <v>258180</v>
      </c>
      <c r="J204" s="565"/>
      <c r="K204" s="175">
        <f>I204/G204</f>
        <v>3073.5714285714284</v>
      </c>
      <c r="L204" s="6"/>
      <c r="M204" s="8"/>
      <c r="N204" s="8"/>
    </row>
    <row r="205" spans="2:23" ht="15.75" customHeight="1" x14ac:dyDescent="0.25">
      <c r="B205" s="675" t="s">
        <v>437</v>
      </c>
      <c r="C205" s="535"/>
      <c r="D205" s="535"/>
      <c r="E205" s="535"/>
      <c r="F205" s="575"/>
      <c r="G205" s="171">
        <f>G200</f>
        <v>3</v>
      </c>
      <c r="H205" s="171" t="s">
        <v>119</v>
      </c>
      <c r="I205" s="676">
        <v>143182.32999999999</v>
      </c>
      <c r="J205" s="575"/>
      <c r="K205" s="172">
        <f>I205*G205</f>
        <v>429546.99</v>
      </c>
      <c r="L205" s="6"/>
      <c r="M205" s="8"/>
      <c r="N205" s="8"/>
    </row>
    <row r="206" spans="2:23" ht="15.75" customHeight="1" x14ac:dyDescent="0.25">
      <c r="B206" s="571" t="s">
        <v>329</v>
      </c>
      <c r="C206" s="537"/>
      <c r="D206" s="537"/>
      <c r="E206" s="537"/>
      <c r="F206" s="538"/>
      <c r="G206" s="14">
        <v>7</v>
      </c>
      <c r="H206" s="14" t="s">
        <v>323</v>
      </c>
      <c r="I206" s="617"/>
      <c r="J206" s="538"/>
      <c r="K206" s="173"/>
      <c r="L206" s="6"/>
      <c r="M206" s="8"/>
      <c r="N206" s="8"/>
    </row>
    <row r="207" spans="2:23" ht="15.75" customHeight="1" x14ac:dyDescent="0.25">
      <c r="B207" s="571" t="s">
        <v>330</v>
      </c>
      <c r="C207" s="537"/>
      <c r="D207" s="537"/>
      <c r="E207" s="537"/>
      <c r="F207" s="538"/>
      <c r="G207" s="14">
        <v>6</v>
      </c>
      <c r="H207" s="14" t="s">
        <v>323</v>
      </c>
      <c r="I207" s="617"/>
      <c r="J207" s="538"/>
      <c r="K207" s="173"/>
      <c r="L207" s="6"/>
      <c r="M207" s="150"/>
      <c r="N207" s="150"/>
      <c r="O207" s="151"/>
      <c r="P207" s="151"/>
      <c r="Q207" s="151"/>
      <c r="R207" s="151"/>
      <c r="S207" s="151"/>
      <c r="T207" s="151"/>
      <c r="U207" s="151"/>
      <c r="V207" s="151"/>
      <c r="W207" s="151"/>
    </row>
    <row r="208" spans="2:23" ht="15.75" customHeight="1" x14ac:dyDescent="0.25">
      <c r="B208" s="605" t="s">
        <v>331</v>
      </c>
      <c r="C208" s="537"/>
      <c r="D208" s="537"/>
      <c r="E208" s="537"/>
      <c r="F208" s="538"/>
      <c r="G208" s="14">
        <v>80</v>
      </c>
      <c r="H208" s="14" t="s">
        <v>141</v>
      </c>
      <c r="I208" s="556">
        <f>I205</f>
        <v>143182.32999999999</v>
      </c>
      <c r="J208" s="538"/>
      <c r="K208" s="60">
        <f>I208*G208/100</f>
        <v>114545.86399999999</v>
      </c>
      <c r="L208" s="6"/>
      <c r="M208" s="8"/>
      <c r="N208" s="8"/>
    </row>
    <row r="209" spans="2:23" ht="15.75" customHeight="1" x14ac:dyDescent="0.25">
      <c r="B209" s="608" t="s">
        <v>332</v>
      </c>
      <c r="C209" s="564"/>
      <c r="D209" s="564"/>
      <c r="E209" s="564"/>
      <c r="F209" s="565"/>
      <c r="G209" s="174">
        <f>G206*12</f>
        <v>84</v>
      </c>
      <c r="H209" s="174" t="s">
        <v>327</v>
      </c>
      <c r="I209" s="657">
        <f>K208</f>
        <v>114545.86399999999</v>
      </c>
      <c r="J209" s="565"/>
      <c r="K209" s="175">
        <f>I209/G209</f>
        <v>1363.6412380952379</v>
      </c>
      <c r="L209" s="6"/>
      <c r="M209" s="8"/>
      <c r="N209" s="213"/>
    </row>
    <row r="210" spans="2:23" ht="15.75" customHeight="1" x14ac:dyDescent="0.25">
      <c r="B210" s="677" t="s">
        <v>333</v>
      </c>
      <c r="C210" s="535"/>
      <c r="D210" s="535"/>
      <c r="E210" s="535"/>
      <c r="F210" s="575"/>
      <c r="G210" s="176"/>
      <c r="H210" s="176"/>
      <c r="I210" s="593"/>
      <c r="J210" s="575"/>
      <c r="K210" s="177">
        <f>SUM(K204+K209)</f>
        <v>4437.2126666666663</v>
      </c>
      <c r="L210" s="6"/>
      <c r="M210" s="8"/>
      <c r="N210" s="213"/>
    </row>
    <row r="211" spans="2:23" ht="15.75" customHeight="1" x14ac:dyDescent="0.25">
      <c r="B211" s="658" t="s">
        <v>334</v>
      </c>
      <c r="C211" s="537"/>
      <c r="D211" s="537"/>
      <c r="E211" s="537"/>
      <c r="F211" s="538"/>
      <c r="G211" s="61">
        <f>G200</f>
        <v>3</v>
      </c>
      <c r="H211" s="61" t="s">
        <v>335</v>
      </c>
      <c r="I211" s="659">
        <f>K210</f>
        <v>4437.2126666666663</v>
      </c>
      <c r="J211" s="538"/>
      <c r="K211" s="51">
        <f>I211*G211</f>
        <v>13311.637999999999</v>
      </c>
      <c r="L211" s="6"/>
      <c r="M211" s="8"/>
      <c r="N211" s="213"/>
    </row>
    <row r="212" spans="2:23" ht="15.75" customHeight="1" x14ac:dyDescent="0.25">
      <c r="L212" s="6"/>
      <c r="M212" s="150"/>
      <c r="N212" s="150"/>
      <c r="O212" s="151"/>
      <c r="P212" s="151"/>
      <c r="Q212" s="151"/>
      <c r="R212" s="151"/>
      <c r="S212" s="151"/>
      <c r="T212" s="151"/>
      <c r="U212" s="151"/>
      <c r="V212" s="151"/>
      <c r="W212" s="151"/>
    </row>
    <row r="213" spans="2:23" ht="15.75" customHeight="1" x14ac:dyDescent="0.25">
      <c r="B213" s="598" t="s">
        <v>438</v>
      </c>
      <c r="C213" s="537"/>
      <c r="D213" s="537"/>
      <c r="E213" s="537"/>
      <c r="F213" s="537"/>
      <c r="G213" s="537"/>
      <c r="H213" s="537"/>
      <c r="I213" s="537"/>
      <c r="J213" s="537"/>
      <c r="K213" s="538"/>
      <c r="L213" s="6"/>
      <c r="M213" s="150"/>
      <c r="N213" s="150"/>
      <c r="O213" s="151"/>
      <c r="P213" s="151"/>
      <c r="Q213" s="151"/>
      <c r="R213" s="151"/>
      <c r="S213" s="151"/>
      <c r="T213" s="151"/>
      <c r="U213" s="151"/>
      <c r="V213" s="151"/>
      <c r="W213" s="151"/>
    </row>
    <row r="214" spans="2:23" ht="15" customHeight="1" x14ac:dyDescent="0.25">
      <c r="B214" s="569" t="s">
        <v>239</v>
      </c>
      <c r="C214" s="537"/>
      <c r="D214" s="537"/>
      <c r="E214" s="537"/>
      <c r="F214" s="538"/>
      <c r="G214" s="105" t="s">
        <v>118</v>
      </c>
      <c r="H214" s="61" t="s">
        <v>119</v>
      </c>
      <c r="I214" s="569" t="s">
        <v>319</v>
      </c>
      <c r="J214" s="538"/>
      <c r="K214" s="61" t="s">
        <v>320</v>
      </c>
      <c r="L214" s="6"/>
      <c r="M214" s="8"/>
      <c r="N214" s="8"/>
    </row>
    <row r="215" spans="2:23" ht="15.75" customHeight="1" x14ac:dyDescent="0.25">
      <c r="B215" s="605" t="s">
        <v>440</v>
      </c>
      <c r="C215" s="537"/>
      <c r="D215" s="537"/>
      <c r="E215" s="537"/>
      <c r="F215" s="538"/>
      <c r="G215" s="14">
        <f>G200</f>
        <v>3</v>
      </c>
      <c r="H215" s="14" t="s">
        <v>335</v>
      </c>
      <c r="I215" s="556">
        <f>I200</f>
        <v>322725</v>
      </c>
      <c r="J215" s="538"/>
      <c r="K215" s="60">
        <f>I215*G215</f>
        <v>968175</v>
      </c>
      <c r="L215" s="6"/>
      <c r="M215" s="147"/>
      <c r="N215" s="147"/>
      <c r="O215" s="148"/>
      <c r="P215" s="148"/>
      <c r="Q215" s="148"/>
      <c r="R215" s="148"/>
      <c r="S215" s="148"/>
      <c r="T215" s="148"/>
      <c r="U215" s="148"/>
      <c r="V215" s="148"/>
      <c r="W215" s="148"/>
    </row>
    <row r="216" spans="2:23" ht="15.75" customHeight="1" x14ac:dyDescent="0.25">
      <c r="B216" s="605" t="s">
        <v>338</v>
      </c>
      <c r="C216" s="537"/>
      <c r="D216" s="537"/>
      <c r="E216" s="537"/>
      <c r="F216" s="538"/>
      <c r="G216" s="73">
        <v>13.75</v>
      </c>
      <c r="H216" s="14" t="s">
        <v>141</v>
      </c>
      <c r="I216" s="617"/>
      <c r="J216" s="538"/>
      <c r="K216" s="60"/>
      <c r="L216" s="6"/>
      <c r="M216" s="147"/>
      <c r="N216" s="147"/>
      <c r="O216" s="148"/>
      <c r="P216" s="148"/>
      <c r="Q216" s="148"/>
      <c r="R216" s="148"/>
      <c r="S216" s="148"/>
      <c r="T216" s="148"/>
      <c r="U216" s="148"/>
      <c r="V216" s="148"/>
      <c r="W216" s="148"/>
    </row>
    <row r="217" spans="2:23" ht="15" customHeight="1" x14ac:dyDescent="0.25">
      <c r="B217" s="605" t="s">
        <v>443</v>
      </c>
      <c r="C217" s="537"/>
      <c r="D217" s="537"/>
      <c r="E217" s="537"/>
      <c r="F217" s="538"/>
      <c r="G217" s="14"/>
      <c r="H217" s="14"/>
      <c r="I217" s="556">
        <f>IFERROR(IF(G202&lt;=G201,I200-(G203/(100*G201)*G202)*I200,I200-K203),0)</f>
        <v>101427.85714285713</v>
      </c>
      <c r="J217" s="538"/>
      <c r="K217" s="60"/>
      <c r="L217" s="6"/>
      <c r="M217" s="147"/>
      <c r="N217" s="147"/>
      <c r="O217" s="148"/>
      <c r="P217" s="148"/>
      <c r="Q217" s="148"/>
      <c r="R217" s="148"/>
      <c r="S217" s="148"/>
      <c r="T217" s="148"/>
      <c r="U217" s="148"/>
      <c r="V217" s="148"/>
      <c r="W217" s="148"/>
    </row>
    <row r="218" spans="2:23" ht="15" customHeight="1" x14ac:dyDescent="0.25">
      <c r="B218" s="605" t="s">
        <v>341</v>
      </c>
      <c r="C218" s="537"/>
      <c r="D218" s="537"/>
      <c r="E218" s="537"/>
      <c r="F218" s="538"/>
      <c r="G218" s="14"/>
      <c r="H218" s="14"/>
      <c r="I218" s="556">
        <f>IFERROR(IF(G202&gt;=G201,I217,((((I217)-(I200-K203))*(((G201-G202)+1)/(2*(G201-G202))))+(I200-K203))),0)</f>
        <v>101427.85714285713</v>
      </c>
      <c r="J218" s="538"/>
      <c r="K218" s="60"/>
      <c r="L218" s="6"/>
      <c r="M218" s="147"/>
      <c r="N218" s="147"/>
      <c r="O218" s="148"/>
      <c r="P218" s="148"/>
      <c r="Q218" s="148"/>
      <c r="R218" s="148"/>
      <c r="S218" s="148"/>
      <c r="T218" s="148"/>
      <c r="U218" s="148"/>
      <c r="V218" s="148"/>
      <c r="W218" s="148"/>
    </row>
    <row r="219" spans="2:23" ht="15" customHeight="1" x14ac:dyDescent="0.25">
      <c r="B219" s="608" t="s">
        <v>343</v>
      </c>
      <c r="C219" s="564"/>
      <c r="D219" s="564"/>
      <c r="E219" s="564"/>
      <c r="F219" s="565"/>
      <c r="G219" s="178"/>
      <c r="H219" s="178"/>
      <c r="I219" s="657">
        <f>G216*I218/12/100</f>
        <v>1162.1941964285711</v>
      </c>
      <c r="J219" s="565"/>
      <c r="K219" s="175">
        <f>I219</f>
        <v>1162.1941964285711</v>
      </c>
      <c r="L219" s="6"/>
      <c r="M219" s="147"/>
      <c r="N219" s="147"/>
      <c r="O219" s="148"/>
      <c r="P219" s="148"/>
      <c r="Q219" s="148"/>
      <c r="R219" s="148"/>
      <c r="S219" s="148"/>
      <c r="T219" s="148"/>
      <c r="U219" s="148"/>
      <c r="V219" s="148"/>
      <c r="W219" s="148"/>
    </row>
    <row r="220" spans="2:23" ht="15" customHeight="1" x14ac:dyDescent="0.25">
      <c r="B220" s="678" t="s">
        <v>446</v>
      </c>
      <c r="C220" s="544"/>
      <c r="D220" s="544"/>
      <c r="E220" s="544"/>
      <c r="F220" s="579"/>
      <c r="G220" s="171">
        <f>G205</f>
        <v>3</v>
      </c>
      <c r="H220" s="171" t="s">
        <v>335</v>
      </c>
      <c r="I220" s="676">
        <f>I205</f>
        <v>143182.32999999999</v>
      </c>
      <c r="J220" s="575"/>
      <c r="K220" s="172">
        <f>I220*G220</f>
        <v>429546.99</v>
      </c>
      <c r="L220" s="6"/>
      <c r="M220" s="147"/>
      <c r="N220" s="147"/>
      <c r="O220" s="148"/>
      <c r="P220" s="148"/>
      <c r="Q220" s="148"/>
      <c r="R220" s="148"/>
      <c r="S220" s="148"/>
      <c r="T220" s="148"/>
      <c r="U220" s="148"/>
      <c r="V220" s="148"/>
      <c r="W220" s="148"/>
    </row>
    <row r="221" spans="2:23" ht="15" customHeight="1" x14ac:dyDescent="0.25">
      <c r="B221" s="605" t="s">
        <v>338</v>
      </c>
      <c r="C221" s="537"/>
      <c r="D221" s="537"/>
      <c r="E221" s="537"/>
      <c r="F221" s="538"/>
      <c r="G221" s="73">
        <v>13.75</v>
      </c>
      <c r="H221" s="14" t="s">
        <v>141</v>
      </c>
      <c r="I221" s="617"/>
      <c r="J221" s="538"/>
      <c r="K221" s="60"/>
      <c r="L221" s="6"/>
      <c r="M221" s="147"/>
      <c r="N221" s="147"/>
      <c r="O221" s="148"/>
      <c r="P221" s="148"/>
      <c r="Q221" s="148"/>
      <c r="R221" s="148"/>
      <c r="S221" s="148"/>
      <c r="T221" s="148"/>
      <c r="U221" s="148"/>
      <c r="V221" s="148"/>
      <c r="W221" s="148"/>
    </row>
    <row r="222" spans="2:23" ht="15" customHeight="1" x14ac:dyDescent="0.25">
      <c r="B222" s="605" t="s">
        <v>450</v>
      </c>
      <c r="C222" s="537"/>
      <c r="D222" s="537"/>
      <c r="E222" s="537"/>
      <c r="F222" s="538"/>
      <c r="G222" s="14"/>
      <c r="H222" s="14"/>
      <c r="I222" s="556">
        <f>IFERROR(IF(G207&lt;=G206,I205-(G208/(100*G206)*G207)*I205,I205-K208),0)</f>
        <v>45000.160857142851</v>
      </c>
      <c r="J222" s="538"/>
      <c r="K222" s="60"/>
      <c r="L222" s="6"/>
      <c r="M222" s="147"/>
      <c r="N222" s="147"/>
      <c r="O222" s="148"/>
      <c r="P222" s="148"/>
      <c r="Q222" s="148"/>
      <c r="R222" s="148"/>
      <c r="S222" s="148"/>
      <c r="T222" s="148"/>
      <c r="U222" s="148"/>
      <c r="V222" s="148"/>
      <c r="W222" s="148"/>
    </row>
    <row r="223" spans="2:23" ht="15" customHeight="1" x14ac:dyDescent="0.25">
      <c r="B223" s="605" t="s">
        <v>346</v>
      </c>
      <c r="C223" s="537"/>
      <c r="D223" s="537"/>
      <c r="E223" s="537"/>
      <c r="F223" s="538"/>
      <c r="G223" s="14"/>
      <c r="H223" s="14"/>
      <c r="I223" s="556">
        <f>IFERROR(IF(G207&gt;=G206,I222,((((I222)-(I205-K208))*(((G206-G207)+1)/(2*(G206-G207))))+(I205-K208))),0)</f>
        <v>45000.160857142851</v>
      </c>
      <c r="J223" s="538"/>
      <c r="K223" s="60"/>
      <c r="L223" s="6"/>
      <c r="M223" s="147"/>
      <c r="N223" s="147"/>
      <c r="O223" s="148"/>
      <c r="P223" s="148"/>
      <c r="Q223" s="148"/>
      <c r="R223" s="148"/>
      <c r="S223" s="148"/>
      <c r="T223" s="148"/>
      <c r="U223" s="148"/>
      <c r="V223" s="148"/>
      <c r="W223" s="148"/>
    </row>
    <row r="224" spans="2:23" ht="15" customHeight="1" x14ac:dyDescent="0.25">
      <c r="B224" s="608" t="s">
        <v>347</v>
      </c>
      <c r="C224" s="564"/>
      <c r="D224" s="564"/>
      <c r="E224" s="564"/>
      <c r="F224" s="565"/>
      <c r="G224" s="178"/>
      <c r="H224" s="178"/>
      <c r="I224" s="657">
        <f>G221*I223/12/100</f>
        <v>515.6268431547619</v>
      </c>
      <c r="J224" s="565"/>
      <c r="K224" s="175">
        <f>I224</f>
        <v>515.6268431547619</v>
      </c>
      <c r="L224" s="6"/>
      <c r="M224" s="147"/>
      <c r="N224" s="147"/>
      <c r="O224" s="148"/>
      <c r="P224" s="148"/>
      <c r="Q224" s="148"/>
      <c r="R224" s="148"/>
      <c r="S224" s="148"/>
      <c r="T224" s="148"/>
      <c r="U224" s="148"/>
      <c r="V224" s="148"/>
      <c r="W224" s="148"/>
    </row>
    <row r="225" spans="2:23" ht="15" customHeight="1" x14ac:dyDescent="0.25">
      <c r="B225" s="677" t="s">
        <v>348</v>
      </c>
      <c r="C225" s="535"/>
      <c r="D225" s="535"/>
      <c r="E225" s="535"/>
      <c r="F225" s="575"/>
      <c r="G225" s="176"/>
      <c r="H225" s="176"/>
      <c r="I225" s="593"/>
      <c r="J225" s="575"/>
      <c r="K225" s="177">
        <f>SUM(K219+K224)</f>
        <v>1677.821039583333</v>
      </c>
      <c r="L225" s="6"/>
      <c r="M225" s="147"/>
      <c r="N225" s="147"/>
      <c r="O225" s="148"/>
      <c r="P225" s="148"/>
      <c r="Q225" s="148"/>
      <c r="R225" s="148"/>
      <c r="S225" s="148"/>
      <c r="T225" s="148"/>
      <c r="U225" s="148"/>
      <c r="V225" s="148"/>
      <c r="W225" s="148"/>
    </row>
    <row r="226" spans="2:23" ht="15" customHeight="1" x14ac:dyDescent="0.25">
      <c r="B226" s="658" t="s">
        <v>349</v>
      </c>
      <c r="C226" s="537"/>
      <c r="D226" s="537"/>
      <c r="E226" s="537"/>
      <c r="F226" s="538"/>
      <c r="G226" s="61">
        <f>G215</f>
        <v>3</v>
      </c>
      <c r="H226" s="61" t="s">
        <v>335</v>
      </c>
      <c r="I226" s="659">
        <f>K225</f>
        <v>1677.821039583333</v>
      </c>
      <c r="J226" s="538"/>
      <c r="K226" s="51">
        <f>I226*G226</f>
        <v>5033.463118749999</v>
      </c>
      <c r="L226" s="6"/>
      <c r="M226" s="147"/>
      <c r="N226" s="147"/>
      <c r="O226" s="148"/>
      <c r="P226" s="148"/>
      <c r="Q226" s="148"/>
      <c r="R226" s="148"/>
      <c r="S226" s="148"/>
      <c r="T226" s="148"/>
      <c r="U226" s="148"/>
      <c r="V226" s="148"/>
      <c r="W226" s="148"/>
    </row>
    <row r="227" spans="2:23" ht="15" customHeight="1" x14ac:dyDescent="0.25">
      <c r="B227" s="623" t="s">
        <v>456</v>
      </c>
      <c r="C227" s="542"/>
      <c r="D227" s="542"/>
      <c r="E227" s="542"/>
      <c r="F227" s="542"/>
      <c r="G227" s="542"/>
      <c r="H227" s="542"/>
      <c r="I227" s="542"/>
      <c r="J227" s="542"/>
      <c r="K227" s="577"/>
      <c r="L227" s="6"/>
      <c r="M227" s="147"/>
      <c r="N227" s="147"/>
      <c r="O227" s="148"/>
      <c r="P227" s="148"/>
      <c r="Q227" s="148"/>
      <c r="R227" s="148"/>
      <c r="S227" s="148"/>
      <c r="T227" s="148"/>
      <c r="U227" s="148"/>
      <c r="V227" s="148"/>
      <c r="W227" s="148"/>
    </row>
    <row r="228" spans="2:23" ht="29.25" customHeight="1" x14ac:dyDescent="0.25">
      <c r="B228" s="578"/>
      <c r="C228" s="544"/>
      <c r="D228" s="544"/>
      <c r="E228" s="544"/>
      <c r="F228" s="544"/>
      <c r="G228" s="544"/>
      <c r="H228" s="544"/>
      <c r="I228" s="544"/>
      <c r="J228" s="544"/>
      <c r="K228" s="579"/>
      <c r="L228" s="6"/>
      <c r="M228" s="147"/>
      <c r="N228" s="147"/>
      <c r="O228" s="148"/>
      <c r="P228" s="148"/>
      <c r="Q228" s="148"/>
      <c r="R228" s="148"/>
      <c r="S228" s="148"/>
      <c r="T228" s="148"/>
      <c r="U228" s="148"/>
      <c r="V228" s="148"/>
      <c r="W228" s="148"/>
    </row>
    <row r="229" spans="2:23" ht="15.75" customHeight="1" x14ac:dyDescent="0.25">
      <c r="B229" s="221"/>
      <c r="C229" s="222"/>
      <c r="D229" s="222"/>
      <c r="E229" s="222"/>
      <c r="F229" s="222"/>
      <c r="G229" s="222"/>
      <c r="H229" s="222"/>
      <c r="I229" s="222"/>
      <c r="J229" s="222"/>
      <c r="K229" s="222"/>
      <c r="L229" s="6"/>
      <c r="M229" s="147"/>
      <c r="N229" s="147"/>
      <c r="O229" s="148"/>
      <c r="P229" s="148"/>
      <c r="Q229" s="148"/>
      <c r="R229" s="148"/>
      <c r="S229" s="148"/>
      <c r="T229" s="148"/>
      <c r="U229" s="148"/>
      <c r="V229" s="148"/>
      <c r="W229" s="148"/>
    </row>
    <row r="230" spans="2:23" ht="15" customHeight="1" x14ac:dyDescent="0.25">
      <c r="B230" s="598" t="s">
        <v>458</v>
      </c>
      <c r="C230" s="537"/>
      <c r="D230" s="537"/>
      <c r="E230" s="537"/>
      <c r="F230" s="537"/>
      <c r="G230" s="537"/>
      <c r="H230" s="537"/>
      <c r="I230" s="537"/>
      <c r="J230" s="537"/>
      <c r="K230" s="538"/>
      <c r="L230" s="758"/>
      <c r="M230" s="147"/>
      <c r="N230" s="147"/>
      <c r="O230" s="148"/>
      <c r="P230" s="148"/>
      <c r="Q230" s="148"/>
      <c r="R230" s="148"/>
      <c r="S230" s="148"/>
      <c r="T230" s="148"/>
      <c r="U230" s="148"/>
      <c r="V230" s="148"/>
      <c r="W230" s="148"/>
    </row>
    <row r="231" spans="2:23" ht="15" customHeight="1" x14ac:dyDescent="0.25">
      <c r="B231" s="569" t="s">
        <v>239</v>
      </c>
      <c r="C231" s="537"/>
      <c r="D231" s="537"/>
      <c r="E231" s="537"/>
      <c r="F231" s="538"/>
      <c r="G231" s="105" t="s">
        <v>118</v>
      </c>
      <c r="H231" s="61" t="s">
        <v>119</v>
      </c>
      <c r="I231" s="569" t="s">
        <v>319</v>
      </c>
      <c r="J231" s="538"/>
      <c r="K231" s="61" t="s">
        <v>354</v>
      </c>
      <c r="L231" s="759"/>
      <c r="M231" s="147"/>
      <c r="N231" s="147"/>
      <c r="O231" s="148"/>
      <c r="P231" s="148"/>
      <c r="Q231" s="148"/>
      <c r="R231" s="148"/>
      <c r="S231" s="148"/>
      <c r="T231" s="148"/>
      <c r="U231" s="148"/>
      <c r="V231" s="148"/>
      <c r="W231" s="148"/>
    </row>
    <row r="232" spans="2:23" ht="15" customHeight="1" x14ac:dyDescent="0.25">
      <c r="B232" s="571" t="s">
        <v>355</v>
      </c>
      <c r="C232" s="537"/>
      <c r="D232" s="537"/>
      <c r="E232" s="537"/>
      <c r="F232" s="538"/>
      <c r="G232" s="14">
        <f>G226</f>
        <v>3</v>
      </c>
      <c r="H232" s="14" t="s">
        <v>335</v>
      </c>
      <c r="I232" s="556">
        <f>I200*0.01</f>
        <v>3227.25</v>
      </c>
      <c r="J232" s="538"/>
      <c r="K232" s="60">
        <f t="shared" ref="K232:K233" si="19">(I232*G232)/12</f>
        <v>806.8125</v>
      </c>
      <c r="L232" s="759"/>
      <c r="M232" s="147"/>
      <c r="N232" s="147"/>
      <c r="O232" s="148"/>
      <c r="P232" s="148"/>
      <c r="Q232" s="148"/>
      <c r="R232" s="148"/>
      <c r="S232" s="148"/>
      <c r="T232" s="148"/>
      <c r="U232" s="148"/>
      <c r="V232" s="148"/>
      <c r="W232" s="148"/>
    </row>
    <row r="233" spans="2:23" ht="15" customHeight="1" x14ac:dyDescent="0.25">
      <c r="B233" s="571" t="s">
        <v>356</v>
      </c>
      <c r="C233" s="537"/>
      <c r="D233" s="537"/>
      <c r="E233" s="537"/>
      <c r="F233" s="538"/>
      <c r="G233" s="14">
        <f t="shared" ref="G233:G236" si="20">G232</f>
        <v>3</v>
      </c>
      <c r="H233" s="14" t="s">
        <v>335</v>
      </c>
      <c r="I233" s="556">
        <v>109.27</v>
      </c>
      <c r="J233" s="538"/>
      <c r="K233" s="60">
        <f t="shared" si="19"/>
        <v>27.317499999999999</v>
      </c>
      <c r="L233" s="759"/>
      <c r="M233" s="147"/>
      <c r="N233" s="147"/>
      <c r="O233" s="148"/>
      <c r="P233" s="148"/>
      <c r="Q233" s="148"/>
      <c r="R233" s="148"/>
      <c r="S233" s="148"/>
      <c r="T233" s="148"/>
      <c r="U233" s="148"/>
      <c r="V233" s="148"/>
      <c r="W233" s="148"/>
    </row>
    <row r="234" spans="2:23" ht="15" customHeight="1" x14ac:dyDescent="0.25">
      <c r="B234" s="571" t="s">
        <v>358</v>
      </c>
      <c r="C234" s="537"/>
      <c r="D234" s="537"/>
      <c r="E234" s="537"/>
      <c r="F234" s="538"/>
      <c r="G234" s="14">
        <f t="shared" si="20"/>
        <v>3</v>
      </c>
      <c r="H234" s="14" t="s">
        <v>335</v>
      </c>
      <c r="I234" s="556">
        <f>'10 - CUSTOS UN'!$J$255</f>
        <v>2750.0266666666666</v>
      </c>
      <c r="J234" s="538"/>
      <c r="K234" s="60">
        <f>(I234/12)*G234</f>
        <v>687.50666666666666</v>
      </c>
      <c r="L234" s="759"/>
      <c r="M234" s="147"/>
      <c r="N234" s="147"/>
      <c r="O234" s="148"/>
      <c r="P234" s="148"/>
      <c r="Q234" s="148"/>
      <c r="R234" s="148"/>
      <c r="S234" s="148"/>
      <c r="T234" s="148"/>
      <c r="U234" s="148"/>
      <c r="V234" s="148"/>
      <c r="W234" s="148"/>
    </row>
    <row r="235" spans="2:23" ht="15" customHeight="1" x14ac:dyDescent="0.25">
      <c r="B235" s="571" t="s">
        <v>359</v>
      </c>
      <c r="C235" s="537"/>
      <c r="D235" s="537"/>
      <c r="E235" s="537"/>
      <c r="F235" s="538"/>
      <c r="G235" s="14">
        <f t="shared" si="20"/>
        <v>3</v>
      </c>
      <c r="H235" s="14" t="s">
        <v>335</v>
      </c>
      <c r="I235" s="556">
        <f>'10 - CUSTOS UN'!$J$233</f>
        <v>57.093333333333334</v>
      </c>
      <c r="J235" s="538"/>
      <c r="K235" s="60">
        <f t="shared" ref="K235:K236" si="21">I235*G235</f>
        <v>171.28</v>
      </c>
      <c r="L235" s="760"/>
      <c r="M235" s="147"/>
      <c r="N235" s="147"/>
      <c r="O235" s="148"/>
      <c r="P235" s="148"/>
      <c r="Q235" s="148"/>
      <c r="R235" s="148"/>
      <c r="S235" s="148"/>
      <c r="T235" s="148"/>
      <c r="U235" s="148"/>
      <c r="V235" s="148"/>
      <c r="W235" s="148"/>
    </row>
    <row r="236" spans="2:23" ht="15" customHeight="1" x14ac:dyDescent="0.25">
      <c r="B236" s="628" t="s">
        <v>360</v>
      </c>
      <c r="C236" s="611"/>
      <c r="D236" s="611"/>
      <c r="E236" s="611"/>
      <c r="F236" s="612"/>
      <c r="G236" s="181">
        <f t="shared" si="20"/>
        <v>3</v>
      </c>
      <c r="H236" s="181" t="s">
        <v>119</v>
      </c>
      <c r="I236" s="629">
        <f>SUM(K232:K235)/G236</f>
        <v>564.30555555555554</v>
      </c>
      <c r="J236" s="612"/>
      <c r="K236" s="184">
        <f t="shared" si="21"/>
        <v>1692.9166666666665</v>
      </c>
      <c r="L236" s="6"/>
      <c r="M236" s="147"/>
      <c r="N236" s="147"/>
      <c r="O236" s="148"/>
      <c r="P236" s="148"/>
      <c r="Q236" s="148"/>
      <c r="R236" s="148"/>
      <c r="S236" s="148"/>
      <c r="T236" s="148"/>
      <c r="U236" s="148"/>
      <c r="V236" s="148"/>
      <c r="W236" s="148"/>
    </row>
    <row r="237" spans="2:23" ht="15" customHeight="1" x14ac:dyDescent="0.25">
      <c r="L237" s="6"/>
      <c r="M237" s="147"/>
      <c r="N237" s="147"/>
      <c r="O237" s="148"/>
      <c r="P237" s="148"/>
      <c r="Q237" s="148"/>
      <c r="R237" s="148"/>
      <c r="S237" s="148"/>
      <c r="T237" s="148"/>
      <c r="U237" s="148"/>
      <c r="V237" s="148"/>
      <c r="W237" s="148"/>
    </row>
    <row r="238" spans="2:23" ht="15" customHeight="1" x14ac:dyDescent="0.25">
      <c r="B238" s="598" t="s">
        <v>465</v>
      </c>
      <c r="C238" s="537"/>
      <c r="D238" s="537"/>
      <c r="E238" s="537"/>
      <c r="F238" s="537"/>
      <c r="G238" s="537"/>
      <c r="H238" s="537"/>
      <c r="I238" s="537"/>
      <c r="J238" s="537"/>
      <c r="K238" s="538"/>
      <c r="L238" s="6"/>
      <c r="M238" s="147"/>
      <c r="N238" s="147"/>
      <c r="O238" s="148"/>
      <c r="P238" s="148"/>
      <c r="Q238" s="148"/>
      <c r="R238" s="148"/>
      <c r="S238" s="148"/>
      <c r="T238" s="148"/>
      <c r="U238" s="148"/>
      <c r="V238" s="148"/>
      <c r="W238" s="148"/>
    </row>
    <row r="239" spans="2:23" ht="15" customHeight="1" x14ac:dyDescent="0.25">
      <c r="B239" s="637" t="s">
        <v>239</v>
      </c>
      <c r="C239" s="564"/>
      <c r="D239" s="564"/>
      <c r="E239" s="564"/>
      <c r="F239" s="565"/>
      <c r="G239" s="170" t="s">
        <v>118</v>
      </c>
      <c r="H239" s="155" t="s">
        <v>119</v>
      </c>
      <c r="I239" s="637" t="s">
        <v>319</v>
      </c>
      <c r="J239" s="565"/>
      <c r="K239" s="155" t="s">
        <v>275</v>
      </c>
      <c r="L239" s="6"/>
      <c r="M239" s="147"/>
      <c r="N239" s="147"/>
      <c r="O239" s="148"/>
      <c r="P239" s="148"/>
      <c r="Q239" s="148"/>
      <c r="R239" s="148"/>
      <c r="S239" s="148"/>
      <c r="T239" s="148"/>
      <c r="U239" s="148"/>
      <c r="V239" s="148"/>
      <c r="W239" s="148"/>
    </row>
    <row r="240" spans="2:23" ht="15" customHeight="1" x14ac:dyDescent="0.25">
      <c r="B240" s="675" t="s">
        <v>363</v>
      </c>
      <c r="C240" s="535"/>
      <c r="D240" s="535"/>
      <c r="E240" s="535"/>
      <c r="F240" s="575"/>
      <c r="G240" s="186">
        <v>3867</v>
      </c>
      <c r="H240" s="14" t="s">
        <v>364</v>
      </c>
      <c r="I240" s="681"/>
      <c r="J240" s="575"/>
      <c r="K240" s="16"/>
      <c r="L240" s="6"/>
      <c r="M240" s="147"/>
      <c r="N240" s="147"/>
      <c r="O240" s="148"/>
      <c r="P240" s="148"/>
      <c r="Q240" s="148"/>
      <c r="R240" s="148"/>
      <c r="S240" s="148"/>
      <c r="T240" s="148"/>
      <c r="U240" s="148"/>
      <c r="V240" s="148"/>
      <c r="W240" s="148"/>
    </row>
    <row r="241" spans="2:23" ht="15" customHeight="1" x14ac:dyDescent="0.25">
      <c r="B241" s="571" t="s">
        <v>365</v>
      </c>
      <c r="C241" s="537"/>
      <c r="D241" s="537"/>
      <c r="E241" s="537"/>
      <c r="F241" s="538"/>
      <c r="G241" s="14">
        <v>2</v>
      </c>
      <c r="H241" s="14" t="s">
        <v>367</v>
      </c>
      <c r="I241" s="682"/>
      <c r="J241" s="538"/>
      <c r="K241" s="187"/>
      <c r="L241" s="6"/>
      <c r="M241" s="147"/>
      <c r="N241" s="147"/>
      <c r="O241" s="148"/>
      <c r="P241" s="148"/>
      <c r="Q241" s="148"/>
      <c r="R241" s="148"/>
      <c r="S241" s="148"/>
      <c r="T241" s="148"/>
      <c r="U241" s="148"/>
      <c r="V241" s="148"/>
      <c r="W241" s="148"/>
    </row>
    <row r="242" spans="2:23" ht="15.75" customHeight="1" x14ac:dyDescent="0.25">
      <c r="B242" s="571" t="s">
        <v>468</v>
      </c>
      <c r="C242" s="537"/>
      <c r="D242" s="537"/>
      <c r="E242" s="537"/>
      <c r="F242" s="538"/>
      <c r="G242" s="14">
        <v>1</v>
      </c>
      <c r="H242" s="14" t="s">
        <v>369</v>
      </c>
      <c r="I242" s="683">
        <v>7.48</v>
      </c>
      <c r="J242" s="538"/>
      <c r="K242" s="16"/>
      <c r="L242" s="6"/>
      <c r="M242" s="147"/>
      <c r="N242" s="147"/>
      <c r="O242" s="148"/>
      <c r="P242" s="148"/>
      <c r="Q242" s="148"/>
      <c r="R242" s="148"/>
      <c r="S242" s="148"/>
      <c r="T242" s="148"/>
      <c r="U242" s="148"/>
      <c r="V242" s="148"/>
      <c r="W242" s="148"/>
    </row>
    <row r="243" spans="2:23" ht="15.75" customHeight="1" x14ac:dyDescent="0.25">
      <c r="B243" s="684" t="s">
        <v>371</v>
      </c>
      <c r="C243" s="564"/>
      <c r="D243" s="564"/>
      <c r="E243" s="564"/>
      <c r="F243" s="565"/>
      <c r="G243" s="188">
        <f>G240/G241</f>
        <v>1933.5</v>
      </c>
      <c r="H243" s="174" t="s">
        <v>372</v>
      </c>
      <c r="I243" s="657">
        <f>I242</f>
        <v>7.48</v>
      </c>
      <c r="J243" s="565"/>
      <c r="K243" s="175">
        <f t="shared" ref="K243:K244" si="22">I243*G243</f>
        <v>14462.58</v>
      </c>
      <c r="L243" s="6"/>
      <c r="M243" s="8"/>
      <c r="N243" s="8"/>
    </row>
    <row r="244" spans="2:23" ht="15.75" customHeight="1" x14ac:dyDescent="0.25">
      <c r="B244" s="628" t="s">
        <v>374</v>
      </c>
      <c r="C244" s="611"/>
      <c r="D244" s="611"/>
      <c r="E244" s="611"/>
      <c r="F244" s="612"/>
      <c r="G244" s="181">
        <v>3</v>
      </c>
      <c r="H244" s="181" t="s">
        <v>119</v>
      </c>
      <c r="I244" s="629">
        <f>K243</f>
        <v>14462.58</v>
      </c>
      <c r="J244" s="612"/>
      <c r="K244" s="184">
        <f t="shared" si="22"/>
        <v>43387.74</v>
      </c>
      <c r="L244" s="6"/>
      <c r="M244" s="147"/>
      <c r="N244" s="147"/>
      <c r="O244" s="148"/>
      <c r="P244" s="148"/>
      <c r="Q244" s="148"/>
      <c r="R244" s="148"/>
      <c r="S244" s="148"/>
      <c r="T244" s="148"/>
      <c r="U244" s="148"/>
      <c r="V244" s="148"/>
      <c r="W244" s="148"/>
    </row>
    <row r="245" spans="2:23" ht="15" customHeight="1" x14ac:dyDescent="0.25">
      <c r="B245" s="685" t="s">
        <v>376</v>
      </c>
      <c r="C245" s="537"/>
      <c r="D245" s="537"/>
      <c r="E245" s="537"/>
      <c r="F245" s="537"/>
      <c r="G245" s="537"/>
      <c r="H245" s="537"/>
      <c r="I245" s="537"/>
      <c r="J245" s="537"/>
      <c r="K245" s="538"/>
      <c r="L245" s="6"/>
      <c r="M245" s="147"/>
      <c r="N245" s="64"/>
      <c r="O245" s="65"/>
      <c r="P245" s="65"/>
      <c r="Q245" s="65"/>
      <c r="R245" s="148"/>
      <c r="S245" s="148"/>
      <c r="T245" s="148"/>
      <c r="U245" s="148"/>
      <c r="V245" s="148"/>
      <c r="W245" s="148"/>
    </row>
    <row r="246" spans="2:23" ht="15.75" customHeight="1" x14ac:dyDescent="0.25">
      <c r="B246" s="151"/>
      <c r="C246" s="151"/>
      <c r="D246" s="151"/>
      <c r="E246" s="151"/>
      <c r="F246" s="151"/>
      <c r="G246" s="1"/>
      <c r="H246" s="1"/>
      <c r="I246" s="152"/>
      <c r="J246" s="152"/>
      <c r="K246" s="189"/>
      <c r="L246" s="6"/>
      <c r="M246" s="150"/>
      <c r="N246" s="150"/>
      <c r="O246" s="151"/>
      <c r="P246" s="151"/>
      <c r="Q246" s="151"/>
      <c r="R246" s="151"/>
      <c r="S246" s="151"/>
      <c r="T246" s="151"/>
      <c r="U246" s="151"/>
      <c r="V246" s="151"/>
      <c r="W246" s="151"/>
    </row>
    <row r="247" spans="2:23" ht="15.75" customHeight="1" x14ac:dyDescent="0.25">
      <c r="B247" s="598" t="s">
        <v>471</v>
      </c>
      <c r="C247" s="537"/>
      <c r="D247" s="537"/>
      <c r="E247" s="537"/>
      <c r="F247" s="537"/>
      <c r="G247" s="537"/>
      <c r="H247" s="537"/>
      <c r="I247" s="537"/>
      <c r="J247" s="537"/>
      <c r="K247" s="538"/>
      <c r="L247" s="6"/>
      <c r="M247" s="8"/>
      <c r="N247" s="8"/>
    </row>
    <row r="248" spans="2:23" ht="15.75" customHeight="1" x14ac:dyDescent="0.25">
      <c r="B248" s="637" t="s">
        <v>239</v>
      </c>
      <c r="C248" s="564"/>
      <c r="D248" s="564"/>
      <c r="E248" s="564"/>
      <c r="F248" s="565"/>
      <c r="G248" s="170" t="s">
        <v>118</v>
      </c>
      <c r="H248" s="155" t="s">
        <v>119</v>
      </c>
      <c r="I248" s="637" t="s">
        <v>319</v>
      </c>
      <c r="J248" s="565"/>
      <c r="K248" s="155" t="s">
        <v>320</v>
      </c>
      <c r="L248" s="6"/>
      <c r="M248" s="8"/>
      <c r="N248" s="8"/>
      <c r="T248" s="151"/>
      <c r="U248" s="151"/>
      <c r="V248" s="151"/>
      <c r="W248" s="151"/>
    </row>
    <row r="249" spans="2:23" ht="15.75" customHeight="1" x14ac:dyDescent="0.25">
      <c r="B249" s="675" t="s">
        <v>381</v>
      </c>
      <c r="C249" s="535"/>
      <c r="D249" s="535"/>
      <c r="E249" s="535"/>
      <c r="F249" s="575"/>
      <c r="G249" s="14">
        <v>2</v>
      </c>
      <c r="H249" s="14" t="s">
        <v>382</v>
      </c>
      <c r="I249" s="676">
        <f>'10 - CUSTOS UN'!$J$216</f>
        <v>20.973333333333333</v>
      </c>
      <c r="J249" s="575"/>
      <c r="K249" s="60">
        <f t="shared" ref="K249:K250" si="23">I249*G249</f>
        <v>41.946666666666665</v>
      </c>
      <c r="L249" s="6"/>
      <c r="M249" s="8"/>
      <c r="N249" s="8"/>
    </row>
    <row r="250" spans="2:23" ht="15.75" customHeight="1" x14ac:dyDescent="0.25">
      <c r="B250" s="679" t="s">
        <v>384</v>
      </c>
      <c r="C250" s="537"/>
      <c r="D250" s="537"/>
      <c r="E250" s="537"/>
      <c r="F250" s="538"/>
      <c r="G250" s="192">
        <f>G240</f>
        <v>3867</v>
      </c>
      <c r="H250" s="17" t="s">
        <v>364</v>
      </c>
      <c r="I250" s="680">
        <f>K249/1000</f>
        <v>4.1946666666666667E-2</v>
      </c>
      <c r="J250" s="538"/>
      <c r="K250" s="193">
        <f t="shared" si="23"/>
        <v>162.20776000000001</v>
      </c>
      <c r="L250" s="6"/>
      <c r="M250" s="150"/>
      <c r="N250" s="150"/>
      <c r="O250" s="151"/>
      <c r="P250" s="151"/>
      <c r="Q250" s="151"/>
      <c r="R250" s="151"/>
      <c r="S250" s="151"/>
      <c r="T250" s="151"/>
      <c r="U250" s="151"/>
      <c r="V250" s="151"/>
      <c r="W250" s="151"/>
    </row>
    <row r="251" spans="2:23" ht="15.75" customHeight="1" x14ac:dyDescent="0.25">
      <c r="B251" s="571" t="s">
        <v>387</v>
      </c>
      <c r="C251" s="537"/>
      <c r="D251" s="537"/>
      <c r="E251" s="537"/>
      <c r="F251" s="538"/>
      <c r="G251" s="171">
        <v>0.5</v>
      </c>
      <c r="H251" s="14" t="s">
        <v>382</v>
      </c>
      <c r="I251" s="556">
        <f>'10 - CUSTOS UN'!$J$219</f>
        <v>34.336666666666666</v>
      </c>
      <c r="J251" s="538"/>
      <c r="K251" s="60">
        <f>G251*I251</f>
        <v>17.168333333333333</v>
      </c>
      <c r="L251" s="6"/>
      <c r="M251" s="150"/>
      <c r="N251" s="150"/>
      <c r="O251" s="151"/>
      <c r="P251" s="151"/>
      <c r="Q251" s="151"/>
      <c r="R251" s="151"/>
      <c r="S251" s="151"/>
      <c r="T251" s="151"/>
      <c r="U251" s="151"/>
      <c r="V251" s="151"/>
      <c r="W251" s="151"/>
    </row>
    <row r="252" spans="2:23" ht="15.75" customHeight="1" x14ac:dyDescent="0.25">
      <c r="B252" s="679" t="s">
        <v>390</v>
      </c>
      <c r="C252" s="537"/>
      <c r="D252" s="537"/>
      <c r="E252" s="537"/>
      <c r="F252" s="538"/>
      <c r="G252" s="192">
        <f>G240</f>
        <v>3867</v>
      </c>
      <c r="H252" s="17" t="s">
        <v>364</v>
      </c>
      <c r="I252" s="680">
        <f>K251/1000</f>
        <v>1.7168333333333334E-2</v>
      </c>
      <c r="J252" s="538"/>
      <c r="K252" s="193">
        <f t="shared" ref="K252:K253" si="24">I252*G252</f>
        <v>66.389944999999997</v>
      </c>
      <c r="L252" s="6"/>
      <c r="M252" s="8"/>
      <c r="N252" s="8"/>
    </row>
    <row r="253" spans="2:23" ht="15.75" customHeight="1" x14ac:dyDescent="0.25">
      <c r="B253" s="571" t="s">
        <v>392</v>
      </c>
      <c r="C253" s="537"/>
      <c r="D253" s="537"/>
      <c r="E253" s="537"/>
      <c r="F253" s="538"/>
      <c r="G253" s="200">
        <f>I254/I253*1000</f>
        <v>8.6199465563313531</v>
      </c>
      <c r="H253" s="14" t="s">
        <v>382</v>
      </c>
      <c r="I253" s="556">
        <f>'10 - CUSTOS UN'!$J$225</f>
        <v>25.786666666666665</v>
      </c>
      <c r="J253" s="538"/>
      <c r="K253" s="60">
        <f t="shared" si="24"/>
        <v>222.27968853259782</v>
      </c>
      <c r="L253" s="6"/>
      <c r="M253" s="8"/>
      <c r="N253" s="8"/>
      <c r="T253" s="151"/>
      <c r="U253" s="151"/>
      <c r="V253" s="151"/>
      <c r="W253" s="151"/>
    </row>
    <row r="254" spans="2:23" ht="15.75" customHeight="1" x14ac:dyDescent="0.25">
      <c r="B254" s="679" t="s">
        <v>395</v>
      </c>
      <c r="C254" s="537"/>
      <c r="D254" s="537"/>
      <c r="E254" s="537"/>
      <c r="F254" s="538"/>
      <c r="G254" s="192">
        <f>G240</f>
        <v>3867</v>
      </c>
      <c r="H254" s="17" t="s">
        <v>364</v>
      </c>
      <c r="I254" s="680">
        <f>K254/G254</f>
        <v>0.22227968853259777</v>
      </c>
      <c r="J254" s="538"/>
      <c r="K254" s="193">
        <f>200/6*I253</f>
        <v>859.55555555555554</v>
      </c>
      <c r="L254" s="6"/>
      <c r="M254" s="8"/>
      <c r="N254" s="8"/>
    </row>
    <row r="255" spans="2:23" ht="15.75" customHeight="1" x14ac:dyDescent="0.25">
      <c r="B255" s="571" t="s">
        <v>397</v>
      </c>
      <c r="C255" s="537"/>
      <c r="D255" s="537"/>
      <c r="E255" s="537"/>
      <c r="F255" s="538"/>
      <c r="G255" s="14">
        <v>2</v>
      </c>
      <c r="H255" s="14" t="s">
        <v>398</v>
      </c>
      <c r="I255" s="556">
        <f>'10 - CUSTOS UN'!$J$228</f>
        <v>43.276666666666664</v>
      </c>
      <c r="J255" s="538"/>
      <c r="K255" s="60">
        <f t="shared" ref="K255:K257" si="25">I255*G255</f>
        <v>86.553333333333327</v>
      </c>
      <c r="L255" s="6"/>
      <c r="M255" s="8"/>
      <c r="N255" s="150"/>
      <c r="O255" s="151"/>
      <c r="P255" s="151"/>
      <c r="Q255" s="151"/>
      <c r="R255" s="151"/>
      <c r="S255" s="151"/>
      <c r="T255" s="151"/>
      <c r="U255" s="151"/>
      <c r="V255" s="151"/>
      <c r="W255" s="151"/>
    </row>
    <row r="256" spans="2:23" ht="15.75" customHeight="1" x14ac:dyDescent="0.25">
      <c r="B256" s="684" t="s">
        <v>399</v>
      </c>
      <c r="C256" s="564"/>
      <c r="D256" s="564"/>
      <c r="E256" s="564"/>
      <c r="F256" s="565"/>
      <c r="G256" s="188">
        <f>G240</f>
        <v>3867</v>
      </c>
      <c r="H256" s="174" t="s">
        <v>364</v>
      </c>
      <c r="I256" s="657">
        <f>K255/1000</f>
        <v>8.6553333333333329E-2</v>
      </c>
      <c r="J256" s="565"/>
      <c r="K256" s="175">
        <f t="shared" si="25"/>
        <v>334.70173999999997</v>
      </c>
      <c r="L256" s="6"/>
      <c r="M256" s="8"/>
      <c r="N256" s="150"/>
      <c r="O256" s="151"/>
      <c r="P256" s="151"/>
      <c r="Q256" s="151"/>
      <c r="R256" s="151"/>
      <c r="S256" s="151"/>
      <c r="T256" s="151"/>
      <c r="U256" s="151"/>
      <c r="V256" s="151"/>
      <c r="W256" s="151"/>
    </row>
    <row r="257" spans="2:23" ht="15.75" customHeight="1" x14ac:dyDescent="0.25">
      <c r="B257" s="628" t="s">
        <v>401</v>
      </c>
      <c r="C257" s="611"/>
      <c r="D257" s="611"/>
      <c r="E257" s="611"/>
      <c r="F257" s="612"/>
      <c r="G257" s="181">
        <v>3</v>
      </c>
      <c r="H257" s="181" t="s">
        <v>119</v>
      </c>
      <c r="I257" s="629">
        <f>SUM(K250,K252,K254,K256)</f>
        <v>1422.8550005555555</v>
      </c>
      <c r="J257" s="612"/>
      <c r="K257" s="184">
        <f t="shared" si="25"/>
        <v>4268.5650016666668</v>
      </c>
      <c r="L257" s="6"/>
      <c r="M257" s="8"/>
      <c r="N257" s="150"/>
      <c r="O257" s="151"/>
      <c r="P257" s="151"/>
      <c r="Q257" s="151"/>
      <c r="R257" s="151"/>
      <c r="S257" s="151"/>
      <c r="T257" s="151"/>
      <c r="U257" s="151"/>
      <c r="V257" s="151"/>
      <c r="W257" s="151"/>
    </row>
    <row r="258" spans="2:23" ht="15.75" customHeight="1" x14ac:dyDescent="0.25">
      <c r="B258" s="148"/>
      <c r="C258" s="148"/>
      <c r="D258" s="148"/>
      <c r="E258" s="148"/>
      <c r="F258" s="148"/>
      <c r="G258" s="148"/>
      <c r="H258" s="148"/>
      <c r="I258" s="148"/>
      <c r="J258" s="148"/>
      <c r="K258" s="148"/>
      <c r="L258" s="6"/>
      <c r="M258" s="8"/>
      <c r="N258" s="150"/>
      <c r="O258" s="151"/>
      <c r="P258" s="151"/>
      <c r="Q258" s="151"/>
      <c r="R258" s="151"/>
      <c r="S258" s="151"/>
      <c r="T258" s="151"/>
      <c r="U258" s="151"/>
      <c r="V258" s="151"/>
      <c r="W258" s="151"/>
    </row>
    <row r="259" spans="2:23" ht="15.75" customHeight="1" x14ac:dyDescent="0.25">
      <c r="B259" s="598" t="s">
        <v>480</v>
      </c>
      <c r="C259" s="537"/>
      <c r="D259" s="537"/>
      <c r="E259" s="537"/>
      <c r="F259" s="537"/>
      <c r="G259" s="537"/>
      <c r="H259" s="537"/>
      <c r="I259" s="537"/>
      <c r="J259" s="537"/>
      <c r="K259" s="538"/>
      <c r="L259" s="6"/>
      <c r="M259" s="8"/>
      <c r="N259" s="150"/>
      <c r="O259" s="151"/>
      <c r="P259" s="151"/>
      <c r="Q259" s="151"/>
      <c r="R259" s="151"/>
      <c r="S259" s="151"/>
      <c r="T259" s="151"/>
      <c r="U259" s="151"/>
      <c r="V259" s="151"/>
      <c r="W259" s="151"/>
    </row>
    <row r="260" spans="2:23" ht="15.75" customHeight="1" x14ac:dyDescent="0.25">
      <c r="B260" s="637" t="s">
        <v>239</v>
      </c>
      <c r="C260" s="564"/>
      <c r="D260" s="564"/>
      <c r="E260" s="564"/>
      <c r="F260" s="565"/>
      <c r="G260" s="170" t="s">
        <v>118</v>
      </c>
      <c r="H260" s="155" t="s">
        <v>119</v>
      </c>
      <c r="I260" s="637" t="s">
        <v>319</v>
      </c>
      <c r="J260" s="565"/>
      <c r="K260" s="155" t="s">
        <v>320</v>
      </c>
      <c r="L260" s="6"/>
      <c r="M260" s="8"/>
      <c r="N260" s="150"/>
      <c r="O260" s="151"/>
      <c r="P260" s="151"/>
      <c r="Q260" s="151"/>
      <c r="R260" s="151"/>
      <c r="S260" s="151"/>
      <c r="T260" s="151"/>
      <c r="U260" s="151"/>
      <c r="V260" s="151"/>
      <c r="W260" s="151"/>
    </row>
    <row r="261" spans="2:23" ht="15.75" customHeight="1" x14ac:dyDescent="0.25">
      <c r="B261" s="675" t="s">
        <v>483</v>
      </c>
      <c r="C261" s="535"/>
      <c r="D261" s="535"/>
      <c r="E261" s="535"/>
      <c r="F261" s="575"/>
      <c r="G261" s="14">
        <v>6</v>
      </c>
      <c r="H261" s="14" t="s">
        <v>335</v>
      </c>
      <c r="I261" s="686">
        <f>'10 - CUSTOS UN'!$J$207</f>
        <v>2090.67</v>
      </c>
      <c r="J261" s="575"/>
      <c r="K261" s="86">
        <f>I261*G261</f>
        <v>12544.02</v>
      </c>
      <c r="L261" s="6"/>
      <c r="M261" s="150"/>
      <c r="N261" s="150"/>
      <c r="O261" s="151"/>
      <c r="P261" s="151"/>
      <c r="Q261" s="151"/>
      <c r="R261" s="151"/>
      <c r="S261" s="151"/>
      <c r="T261" s="151"/>
      <c r="U261" s="151"/>
      <c r="V261" s="151"/>
      <c r="W261" s="151"/>
    </row>
    <row r="262" spans="2:23" ht="15.75" customHeight="1" x14ac:dyDescent="0.25">
      <c r="B262" s="571" t="s">
        <v>407</v>
      </c>
      <c r="C262" s="537"/>
      <c r="D262" s="537"/>
      <c r="E262" s="537"/>
      <c r="F262" s="538"/>
      <c r="G262" s="14">
        <v>3</v>
      </c>
      <c r="H262" s="14" t="s">
        <v>335</v>
      </c>
      <c r="I262" s="617"/>
      <c r="J262" s="538"/>
      <c r="K262" s="173"/>
      <c r="L262" s="6"/>
      <c r="M262" s="8"/>
      <c r="N262" s="8"/>
    </row>
    <row r="263" spans="2:23" ht="15.75" customHeight="1" x14ac:dyDescent="0.25">
      <c r="B263" s="571" t="s">
        <v>408</v>
      </c>
      <c r="C263" s="537"/>
      <c r="D263" s="537"/>
      <c r="E263" s="537"/>
      <c r="F263" s="538"/>
      <c r="G263" s="14">
        <f>G262*G261</f>
        <v>18</v>
      </c>
      <c r="H263" s="14" t="s">
        <v>335</v>
      </c>
      <c r="I263" s="556">
        <f>'10 - CUSTOS UN'!$J$258</f>
        <v>550.83750000000009</v>
      </c>
      <c r="J263" s="538"/>
      <c r="K263" s="60">
        <f>I263*G263</f>
        <v>9915.0750000000007</v>
      </c>
      <c r="L263" s="6"/>
      <c r="M263" s="8"/>
      <c r="N263" s="8"/>
      <c r="T263" s="151"/>
      <c r="U263" s="151"/>
      <c r="V263" s="151"/>
      <c r="W263" s="151"/>
    </row>
    <row r="264" spans="2:23" ht="15.75" customHeight="1" x14ac:dyDescent="0.25">
      <c r="B264" s="571" t="s">
        <v>411</v>
      </c>
      <c r="C264" s="537"/>
      <c r="D264" s="537"/>
      <c r="E264" s="537"/>
      <c r="F264" s="538"/>
      <c r="G264" s="15">
        <v>30000</v>
      </c>
      <c r="H264" s="14" t="s">
        <v>413</v>
      </c>
      <c r="I264" s="617"/>
      <c r="J264" s="538"/>
      <c r="K264" s="173"/>
      <c r="L264" s="6"/>
      <c r="M264" s="8"/>
      <c r="N264" s="8"/>
    </row>
    <row r="265" spans="2:23" ht="15.75" customHeight="1" x14ac:dyDescent="0.25">
      <c r="B265" s="571" t="s">
        <v>414</v>
      </c>
      <c r="C265" s="537"/>
      <c r="D265" s="537"/>
      <c r="E265" s="537"/>
      <c r="F265" s="538"/>
      <c r="G265" s="15">
        <f>15/20*G264</f>
        <v>22500</v>
      </c>
      <c r="H265" s="14" t="s">
        <v>413</v>
      </c>
      <c r="I265" s="617"/>
      <c r="J265" s="538"/>
      <c r="K265" s="173"/>
      <c r="L265" s="6"/>
      <c r="M265" s="8"/>
      <c r="N265" s="150"/>
      <c r="O265" s="151"/>
      <c r="P265" s="151"/>
      <c r="Q265" s="151"/>
      <c r="R265" s="151"/>
      <c r="S265" s="151"/>
      <c r="T265" s="151"/>
      <c r="U265" s="151"/>
      <c r="V265" s="151"/>
      <c r="W265" s="151"/>
    </row>
    <row r="266" spans="2:23" ht="15.75" customHeight="1" x14ac:dyDescent="0.25">
      <c r="B266" s="571" t="s">
        <v>415</v>
      </c>
      <c r="C266" s="537"/>
      <c r="D266" s="537"/>
      <c r="E266" s="537"/>
      <c r="F266" s="538"/>
      <c r="G266" s="15">
        <f>G264+G265*G262</f>
        <v>97500</v>
      </c>
      <c r="H266" s="14" t="s">
        <v>417</v>
      </c>
      <c r="I266" s="556">
        <f>K263+K261</f>
        <v>22459.095000000001</v>
      </c>
      <c r="J266" s="538"/>
      <c r="K266" s="60">
        <f>I266/G266</f>
        <v>0.23034969230769231</v>
      </c>
      <c r="L266" s="6"/>
      <c r="M266" s="150"/>
      <c r="N266" s="150"/>
      <c r="O266" s="151"/>
      <c r="P266" s="151"/>
      <c r="Q266" s="151"/>
      <c r="R266" s="151"/>
      <c r="S266" s="151"/>
      <c r="T266" s="151"/>
      <c r="U266" s="151"/>
      <c r="V266" s="151"/>
      <c r="W266" s="151"/>
    </row>
    <row r="267" spans="2:23" ht="15.75" customHeight="1" x14ac:dyDescent="0.25">
      <c r="B267" s="684" t="s">
        <v>418</v>
      </c>
      <c r="C267" s="564"/>
      <c r="D267" s="564"/>
      <c r="E267" s="564"/>
      <c r="F267" s="565"/>
      <c r="G267" s="188">
        <f>G240</f>
        <v>3867</v>
      </c>
      <c r="H267" s="174" t="s">
        <v>413</v>
      </c>
      <c r="I267" s="657">
        <f t="shared" ref="I267:I268" si="26">K266</f>
        <v>0.23034969230769231</v>
      </c>
      <c r="J267" s="565"/>
      <c r="K267" s="175">
        <f t="shared" ref="K267:K268" si="27">I267*G267</f>
        <v>890.76226015384611</v>
      </c>
      <c r="L267" s="6"/>
      <c r="M267" s="150"/>
      <c r="N267" s="150"/>
      <c r="O267" s="151"/>
      <c r="P267" s="151"/>
      <c r="Q267" s="151"/>
      <c r="R267" s="151"/>
      <c r="S267" s="151"/>
      <c r="T267" s="151"/>
      <c r="U267" s="151"/>
      <c r="V267" s="151"/>
      <c r="W267" s="151"/>
    </row>
    <row r="268" spans="2:23" ht="15.75" customHeight="1" x14ac:dyDescent="0.25">
      <c r="B268" s="628" t="s">
        <v>420</v>
      </c>
      <c r="C268" s="611"/>
      <c r="D268" s="611"/>
      <c r="E268" s="611"/>
      <c r="F268" s="612"/>
      <c r="G268" s="181">
        <v>3</v>
      </c>
      <c r="H268" s="181" t="s">
        <v>119</v>
      </c>
      <c r="I268" s="629">
        <f t="shared" si="26"/>
        <v>890.76226015384611</v>
      </c>
      <c r="J268" s="612"/>
      <c r="K268" s="184">
        <f t="shared" si="27"/>
        <v>2672.2867804615385</v>
      </c>
      <c r="L268" s="6"/>
      <c r="M268" s="150"/>
      <c r="N268" s="150"/>
      <c r="O268" s="151"/>
      <c r="P268" s="151"/>
      <c r="Q268" s="151"/>
      <c r="R268" s="151"/>
      <c r="S268" s="151"/>
      <c r="T268" s="151"/>
      <c r="U268" s="151"/>
      <c r="V268" s="151"/>
      <c r="W268" s="151"/>
    </row>
    <row r="269" spans="2:23" ht="15.75" customHeight="1" x14ac:dyDescent="0.25">
      <c r="B269" s="151"/>
      <c r="C269" s="151"/>
      <c r="D269" s="151"/>
      <c r="E269" s="151"/>
      <c r="F269" s="151"/>
      <c r="G269" s="1"/>
      <c r="H269" s="1"/>
      <c r="I269" s="152"/>
      <c r="J269" s="152"/>
      <c r="K269" s="189"/>
      <c r="L269" s="6"/>
      <c r="M269" s="147"/>
      <c r="N269" s="147"/>
      <c r="O269" s="148"/>
      <c r="P269" s="148"/>
      <c r="Q269" s="148"/>
      <c r="R269" s="148"/>
      <c r="S269" s="148"/>
      <c r="T269" s="148"/>
      <c r="U269" s="148"/>
      <c r="V269" s="148"/>
      <c r="W269" s="148"/>
    </row>
    <row r="270" spans="2:23" ht="15.75" customHeight="1" x14ac:dyDescent="0.25">
      <c r="B270" s="598" t="s">
        <v>501</v>
      </c>
      <c r="C270" s="537"/>
      <c r="D270" s="537"/>
      <c r="E270" s="537"/>
      <c r="F270" s="537"/>
      <c r="G270" s="537"/>
      <c r="H270" s="537"/>
      <c r="I270" s="537"/>
      <c r="J270" s="537"/>
      <c r="K270" s="538"/>
      <c r="L270" s="6"/>
      <c r="M270" s="147"/>
      <c r="N270" s="64"/>
      <c r="O270" s="65"/>
      <c r="P270" s="65"/>
      <c r="Q270" s="65"/>
      <c r="R270" s="148"/>
      <c r="S270" s="148"/>
      <c r="T270" s="148"/>
      <c r="U270" s="148"/>
      <c r="V270" s="148"/>
      <c r="W270" s="148"/>
    </row>
    <row r="271" spans="2:23" ht="15.75" customHeight="1" x14ac:dyDescent="0.25">
      <c r="B271" s="637" t="s">
        <v>239</v>
      </c>
      <c r="C271" s="564"/>
      <c r="D271" s="564"/>
      <c r="E271" s="564"/>
      <c r="F271" s="565"/>
      <c r="G271" s="170" t="s">
        <v>118</v>
      </c>
      <c r="H271" s="155" t="s">
        <v>119</v>
      </c>
      <c r="I271" s="637" t="s">
        <v>319</v>
      </c>
      <c r="J271" s="565"/>
      <c r="K271" s="155" t="s">
        <v>275</v>
      </c>
      <c r="L271" s="6"/>
      <c r="M271" s="150"/>
      <c r="N271" s="150"/>
      <c r="O271" s="151"/>
      <c r="P271" s="151"/>
      <c r="Q271" s="151"/>
      <c r="R271" s="151"/>
      <c r="S271" s="151"/>
      <c r="T271" s="151"/>
      <c r="U271" s="151"/>
      <c r="V271" s="151"/>
      <c r="W271" s="151"/>
    </row>
    <row r="272" spans="2:23" ht="15.75" customHeight="1" x14ac:dyDescent="0.25">
      <c r="B272" s="687" t="s">
        <v>425</v>
      </c>
      <c r="C272" s="532"/>
      <c r="D272" s="532"/>
      <c r="E272" s="532"/>
      <c r="F272" s="688"/>
      <c r="G272" s="249">
        <f>G240</f>
        <v>3867</v>
      </c>
      <c r="H272" s="204" t="s">
        <v>364</v>
      </c>
      <c r="I272" s="689">
        <v>1.18</v>
      </c>
      <c r="J272" s="688"/>
      <c r="K272" s="205">
        <f t="shared" ref="K272:K273" si="28">I272*G272</f>
        <v>4563.0599999999995</v>
      </c>
      <c r="L272" s="6"/>
      <c r="M272" s="8"/>
      <c r="N272" s="8"/>
    </row>
    <row r="273" spans="2:23" ht="15.75" customHeight="1" x14ac:dyDescent="0.25">
      <c r="B273" s="628" t="s">
        <v>427</v>
      </c>
      <c r="C273" s="611"/>
      <c r="D273" s="611"/>
      <c r="E273" s="611"/>
      <c r="F273" s="612"/>
      <c r="G273" s="181">
        <v>3</v>
      </c>
      <c r="H273" s="181" t="s">
        <v>335</v>
      </c>
      <c r="I273" s="629">
        <f>K272</f>
        <v>4563.0599999999995</v>
      </c>
      <c r="J273" s="612"/>
      <c r="K273" s="184">
        <f t="shared" si="28"/>
        <v>13689.179999999998</v>
      </c>
      <c r="L273" s="6"/>
      <c r="M273" s="150"/>
      <c r="N273" s="150"/>
      <c r="O273" s="151"/>
      <c r="P273" s="151"/>
      <c r="Q273" s="151"/>
      <c r="R273" s="151"/>
      <c r="S273" s="151"/>
      <c r="T273" s="151"/>
      <c r="U273" s="151"/>
      <c r="V273" s="151"/>
      <c r="W273" s="151"/>
    </row>
    <row r="274" spans="2:23" ht="15" customHeight="1" x14ac:dyDescent="0.25">
      <c r="B274" s="623" t="s">
        <v>429</v>
      </c>
      <c r="C274" s="542"/>
      <c r="D274" s="542"/>
      <c r="E274" s="542"/>
      <c r="F274" s="542"/>
      <c r="G274" s="542"/>
      <c r="H274" s="542"/>
      <c r="I274" s="542"/>
      <c r="J274" s="542"/>
      <c r="K274" s="577"/>
      <c r="L274" s="6"/>
      <c r="M274" s="8"/>
      <c r="N274" s="8"/>
    </row>
    <row r="275" spans="2:23" ht="15.75" customHeight="1" x14ac:dyDescent="0.25">
      <c r="B275" s="624"/>
      <c r="C275" s="625"/>
      <c r="D275" s="625"/>
      <c r="E275" s="625"/>
      <c r="F275" s="625"/>
      <c r="G275" s="625"/>
      <c r="H275" s="625"/>
      <c r="I275" s="625"/>
      <c r="J275" s="625"/>
      <c r="K275" s="626"/>
      <c r="L275" s="6"/>
      <c r="M275" s="150"/>
      <c r="N275" s="150"/>
      <c r="O275" s="151"/>
      <c r="P275" s="151"/>
      <c r="Q275" s="151"/>
      <c r="R275" s="151"/>
      <c r="S275" s="151"/>
      <c r="T275" s="151"/>
      <c r="U275" s="151"/>
      <c r="V275" s="151"/>
      <c r="W275" s="151"/>
    </row>
    <row r="276" spans="2:23" ht="15.75" customHeight="1" x14ac:dyDescent="0.25">
      <c r="B276" s="624"/>
      <c r="C276" s="625"/>
      <c r="D276" s="625"/>
      <c r="E276" s="625"/>
      <c r="F276" s="625"/>
      <c r="G276" s="625"/>
      <c r="H276" s="625"/>
      <c r="I276" s="625"/>
      <c r="J276" s="625"/>
      <c r="K276" s="626"/>
      <c r="L276" s="6"/>
      <c r="M276" s="8"/>
      <c r="N276" s="8"/>
      <c r="R276" s="151"/>
      <c r="T276" s="151"/>
      <c r="U276" s="151"/>
      <c r="V276" s="151"/>
      <c r="W276" s="151"/>
    </row>
    <row r="277" spans="2:23" ht="15.75" customHeight="1" x14ac:dyDescent="0.25">
      <c r="B277" s="578"/>
      <c r="C277" s="544"/>
      <c r="D277" s="544"/>
      <c r="E277" s="544"/>
      <c r="F277" s="544"/>
      <c r="G277" s="544"/>
      <c r="H277" s="544"/>
      <c r="I277" s="544"/>
      <c r="J277" s="544"/>
      <c r="K277" s="579"/>
      <c r="L277" s="6"/>
      <c r="M277" s="150"/>
      <c r="N277" s="150"/>
      <c r="O277" s="151"/>
      <c r="P277" s="151"/>
      <c r="Q277" s="151"/>
      <c r="S277" s="151"/>
    </row>
    <row r="278" spans="2:23" ht="15.75" customHeight="1" x14ac:dyDescent="0.25">
      <c r="B278" s="148"/>
      <c r="C278" s="148"/>
      <c r="D278" s="148"/>
      <c r="E278" s="148"/>
      <c r="F278" s="148"/>
      <c r="G278" s="148"/>
      <c r="H278" s="148"/>
      <c r="I278" s="148"/>
      <c r="J278" s="148"/>
      <c r="K278" s="148"/>
      <c r="L278" s="6"/>
      <c r="M278" s="8"/>
      <c r="N278" s="8"/>
    </row>
    <row r="279" spans="2:23" ht="15.75" customHeight="1" x14ac:dyDescent="0.25">
      <c r="B279" s="552" t="s">
        <v>481</v>
      </c>
      <c r="C279" s="537"/>
      <c r="D279" s="537"/>
      <c r="E279" s="537"/>
      <c r="F279" s="537"/>
      <c r="G279" s="537"/>
      <c r="H279" s="537"/>
      <c r="I279" s="537"/>
      <c r="J279" s="538"/>
      <c r="K279" s="209">
        <f>SUM(K272,K267,I257,I244,I236,K225,K210)</f>
        <v>28018.596522514956</v>
      </c>
      <c r="L279" s="6"/>
      <c r="M279" s="150"/>
      <c r="N279" s="150"/>
      <c r="O279" s="151"/>
      <c r="P279" s="151"/>
      <c r="Q279" s="151"/>
      <c r="S279" s="151"/>
    </row>
    <row r="280" spans="2:23" ht="15.75" customHeight="1" x14ac:dyDescent="0.25">
      <c r="B280" s="552" t="s">
        <v>433</v>
      </c>
      <c r="C280" s="537"/>
      <c r="D280" s="537"/>
      <c r="E280" s="537"/>
      <c r="F280" s="537"/>
      <c r="G280" s="537"/>
      <c r="H280" s="537"/>
      <c r="I280" s="537"/>
      <c r="J280" s="538"/>
      <c r="K280" s="209">
        <f>SUM(K273,K268,K257,K244,K236,K226,K211)</f>
        <v>84055.789567544882</v>
      </c>
      <c r="L280" s="6"/>
      <c r="M280" s="150"/>
      <c r="N280" s="150"/>
      <c r="O280" s="151"/>
      <c r="P280" s="151"/>
      <c r="Q280" s="151"/>
      <c r="R280" s="151"/>
      <c r="S280" s="151"/>
      <c r="T280" s="151"/>
      <c r="U280" s="151"/>
      <c r="V280" s="151"/>
      <c r="W280" s="151"/>
    </row>
    <row r="281" spans="2:23" ht="15.75" customHeight="1" x14ac:dyDescent="0.25">
      <c r="B281" s="148"/>
      <c r="C281" s="148"/>
      <c r="D281" s="148"/>
      <c r="E281" s="148"/>
      <c r="F281" s="148"/>
      <c r="G281" s="148"/>
      <c r="H281" s="148"/>
      <c r="I281" s="148"/>
      <c r="J281" s="148"/>
      <c r="K281" s="148"/>
      <c r="L281" s="6"/>
      <c r="M281" s="8"/>
      <c r="N281" s="8"/>
    </row>
    <row r="282" spans="2:23" ht="15.75" customHeight="1" x14ac:dyDescent="0.25">
      <c r="B282" s="596" t="s">
        <v>517</v>
      </c>
      <c r="C282" s="537"/>
      <c r="D282" s="537"/>
      <c r="E282" s="537"/>
      <c r="F282" s="537"/>
      <c r="G282" s="537"/>
      <c r="H282" s="537"/>
      <c r="I282" s="537"/>
      <c r="J282" s="537"/>
      <c r="K282" s="538"/>
      <c r="L282" s="6"/>
      <c r="M282" s="150"/>
      <c r="N282" s="150"/>
      <c r="O282" s="151"/>
      <c r="P282" s="151"/>
      <c r="Q282" s="151"/>
      <c r="R282" s="151"/>
      <c r="S282" s="151"/>
      <c r="T282" s="151"/>
      <c r="U282" s="151"/>
      <c r="V282" s="151"/>
      <c r="W282" s="151"/>
    </row>
    <row r="283" spans="2:23" ht="15.75" customHeight="1" x14ac:dyDescent="0.25">
      <c r="L283" s="6"/>
      <c r="M283" s="8"/>
      <c r="N283" s="8"/>
    </row>
    <row r="284" spans="2:23" ht="15.75" customHeight="1" x14ac:dyDescent="0.25">
      <c r="B284" s="598" t="s">
        <v>520</v>
      </c>
      <c r="C284" s="537"/>
      <c r="D284" s="537"/>
      <c r="E284" s="537"/>
      <c r="F284" s="537"/>
      <c r="G284" s="537"/>
      <c r="H284" s="537"/>
      <c r="I284" s="537"/>
      <c r="J284" s="537"/>
      <c r="K284" s="538"/>
      <c r="L284" s="6"/>
      <c r="M284" s="150"/>
      <c r="N284" s="150"/>
      <c r="O284" s="151"/>
      <c r="P284" s="151"/>
      <c r="Q284" s="151"/>
      <c r="R284" s="151"/>
      <c r="S284" s="151"/>
      <c r="T284" s="151"/>
      <c r="U284" s="151"/>
      <c r="V284" s="151"/>
      <c r="W284" s="151"/>
    </row>
    <row r="285" spans="2:23" ht="15.75" customHeight="1" x14ac:dyDescent="0.25">
      <c r="B285" s="637" t="s">
        <v>239</v>
      </c>
      <c r="C285" s="564"/>
      <c r="D285" s="564"/>
      <c r="E285" s="564"/>
      <c r="F285" s="565"/>
      <c r="G285" s="170" t="s">
        <v>118</v>
      </c>
      <c r="H285" s="155" t="s">
        <v>119</v>
      </c>
      <c r="I285" s="637" t="s">
        <v>319</v>
      </c>
      <c r="J285" s="565"/>
      <c r="K285" s="155" t="s">
        <v>320</v>
      </c>
      <c r="L285" s="6"/>
      <c r="M285" s="8"/>
      <c r="N285" s="8"/>
      <c r="R285" s="151"/>
      <c r="T285" s="151"/>
      <c r="U285" s="151"/>
      <c r="V285" s="151"/>
      <c r="W285" s="151"/>
    </row>
    <row r="286" spans="2:23" ht="15.75" customHeight="1" x14ac:dyDescent="0.25">
      <c r="B286" s="675" t="s">
        <v>522</v>
      </c>
      <c r="C286" s="535"/>
      <c r="D286" s="535"/>
      <c r="E286" s="535"/>
      <c r="F286" s="575"/>
      <c r="G286" s="253">
        <v>1</v>
      </c>
      <c r="H286" s="171" t="s">
        <v>119</v>
      </c>
      <c r="I286" s="676">
        <f>292725</f>
        <v>292725</v>
      </c>
      <c r="J286" s="575"/>
      <c r="K286" s="172">
        <f>I286*G286</f>
        <v>292725</v>
      </c>
      <c r="L286" s="6"/>
      <c r="M286" s="150"/>
      <c r="N286" s="150"/>
      <c r="O286" s="151"/>
      <c r="P286" s="151"/>
      <c r="Q286" s="151"/>
      <c r="S286" s="151"/>
    </row>
    <row r="287" spans="2:23" ht="15.75" customHeight="1" x14ac:dyDescent="0.25">
      <c r="B287" s="571" t="s">
        <v>322</v>
      </c>
      <c r="C287" s="537"/>
      <c r="D287" s="537"/>
      <c r="E287" s="537"/>
      <c r="F287" s="538"/>
      <c r="G287" s="14">
        <v>7</v>
      </c>
      <c r="H287" s="14" t="s">
        <v>323</v>
      </c>
      <c r="I287" s="617"/>
      <c r="J287" s="538"/>
      <c r="K287" s="173"/>
      <c r="L287" s="6"/>
      <c r="M287" s="8"/>
      <c r="N287" s="8"/>
    </row>
    <row r="288" spans="2:23" ht="15.75" customHeight="1" x14ac:dyDescent="0.25">
      <c r="B288" s="571" t="s">
        <v>324</v>
      </c>
      <c r="C288" s="537"/>
      <c r="D288" s="537"/>
      <c r="E288" s="537"/>
      <c r="F288" s="538"/>
      <c r="G288" s="14">
        <v>6</v>
      </c>
      <c r="H288" s="14" t="s">
        <v>323</v>
      </c>
      <c r="I288" s="617"/>
      <c r="J288" s="538"/>
      <c r="K288" s="173"/>
      <c r="L288" s="6"/>
      <c r="M288" s="150"/>
      <c r="N288" s="150"/>
      <c r="O288" s="151"/>
      <c r="P288" s="151"/>
      <c r="Q288" s="151"/>
      <c r="S288" s="151"/>
    </row>
    <row r="289" spans="2:23" ht="15.75" customHeight="1" x14ac:dyDescent="0.25">
      <c r="B289" s="605" t="s">
        <v>325</v>
      </c>
      <c r="C289" s="537"/>
      <c r="D289" s="537"/>
      <c r="E289" s="537"/>
      <c r="F289" s="538"/>
      <c r="G289" s="14">
        <v>80</v>
      </c>
      <c r="H289" s="14" t="s">
        <v>141</v>
      </c>
      <c r="I289" s="556">
        <f>I286</f>
        <v>292725</v>
      </c>
      <c r="J289" s="538"/>
      <c r="K289" s="60">
        <f>I289*G289/100</f>
        <v>234180</v>
      </c>
      <c r="L289" s="6"/>
      <c r="M289" s="150"/>
      <c r="N289" s="150"/>
      <c r="O289" s="151"/>
      <c r="P289" s="151"/>
      <c r="Q289" s="151"/>
      <c r="S289" s="151"/>
    </row>
    <row r="290" spans="2:23" ht="15.75" customHeight="1" x14ac:dyDescent="0.25">
      <c r="B290" s="608" t="s">
        <v>326</v>
      </c>
      <c r="C290" s="564"/>
      <c r="D290" s="564"/>
      <c r="E290" s="564"/>
      <c r="F290" s="565"/>
      <c r="G290" s="174">
        <f>G287*12</f>
        <v>84</v>
      </c>
      <c r="H290" s="174" t="s">
        <v>327</v>
      </c>
      <c r="I290" s="657">
        <f>K289</f>
        <v>234180</v>
      </c>
      <c r="J290" s="565"/>
      <c r="K290" s="175">
        <f>I290/G290</f>
        <v>2787.8571428571427</v>
      </c>
      <c r="L290" s="6"/>
      <c r="M290" s="150"/>
      <c r="N290" s="150"/>
      <c r="O290" s="151"/>
      <c r="P290" s="151"/>
      <c r="Q290" s="151"/>
      <c r="S290" s="151"/>
    </row>
    <row r="291" spans="2:23" ht="15.75" customHeight="1" x14ac:dyDescent="0.25">
      <c r="B291" s="675" t="s">
        <v>529</v>
      </c>
      <c r="C291" s="535"/>
      <c r="D291" s="535"/>
      <c r="E291" s="535"/>
      <c r="F291" s="575"/>
      <c r="G291" s="171">
        <v>1</v>
      </c>
      <c r="H291" s="171" t="s">
        <v>119</v>
      </c>
      <c r="I291" s="676">
        <f>I286/550000*1228300</f>
        <v>653734.75909090915</v>
      </c>
      <c r="J291" s="575"/>
      <c r="K291" s="172">
        <f>I291*G291</f>
        <v>653734.75909090915</v>
      </c>
      <c r="L291" s="6"/>
      <c r="M291" s="150"/>
      <c r="N291" s="150"/>
      <c r="O291" s="151"/>
      <c r="P291" s="151"/>
      <c r="Q291" s="151"/>
      <c r="S291" s="151"/>
    </row>
    <row r="292" spans="2:23" ht="15.75" customHeight="1" x14ac:dyDescent="0.25">
      <c r="B292" s="571" t="s">
        <v>531</v>
      </c>
      <c r="C292" s="537"/>
      <c r="D292" s="537"/>
      <c r="E292" s="537"/>
      <c r="F292" s="538"/>
      <c r="G292" s="14">
        <v>7</v>
      </c>
      <c r="H292" s="14" t="s">
        <v>323</v>
      </c>
      <c r="I292" s="617"/>
      <c r="J292" s="538"/>
      <c r="K292" s="173"/>
      <c r="L292" s="6"/>
      <c r="M292" s="150"/>
      <c r="N292" s="150"/>
      <c r="O292" s="151"/>
      <c r="P292" s="151"/>
      <c r="Q292" s="151"/>
      <c r="S292" s="151"/>
    </row>
    <row r="293" spans="2:23" ht="15.75" customHeight="1" x14ac:dyDescent="0.25">
      <c r="B293" s="571" t="s">
        <v>533</v>
      </c>
      <c r="C293" s="537"/>
      <c r="D293" s="537"/>
      <c r="E293" s="537"/>
      <c r="F293" s="538"/>
      <c r="G293" s="14">
        <v>6</v>
      </c>
      <c r="H293" s="14" t="s">
        <v>323</v>
      </c>
      <c r="I293" s="617"/>
      <c r="J293" s="538"/>
      <c r="K293" s="173"/>
      <c r="L293" s="6"/>
      <c r="M293" s="150"/>
      <c r="N293" s="150"/>
      <c r="O293" s="151"/>
      <c r="P293" s="151"/>
      <c r="Q293" s="151"/>
      <c r="S293" s="151"/>
    </row>
    <row r="294" spans="2:23" ht="15.75" customHeight="1" x14ac:dyDescent="0.25">
      <c r="B294" s="605" t="s">
        <v>535</v>
      </c>
      <c r="C294" s="537"/>
      <c r="D294" s="537"/>
      <c r="E294" s="537"/>
      <c r="F294" s="538"/>
      <c r="G294" s="14">
        <v>80</v>
      </c>
      <c r="H294" s="14" t="s">
        <v>141</v>
      </c>
      <c r="I294" s="556">
        <f>I291</f>
        <v>653734.75909090915</v>
      </c>
      <c r="J294" s="538"/>
      <c r="K294" s="60">
        <f>I294*G294/100</f>
        <v>522987.80727272737</v>
      </c>
      <c r="L294" s="6"/>
      <c r="M294" s="150"/>
      <c r="N294" s="150"/>
      <c r="O294" s="151"/>
      <c r="P294" s="151"/>
      <c r="Q294" s="151"/>
      <c r="S294" s="151"/>
    </row>
    <row r="295" spans="2:23" ht="15.75" customHeight="1" x14ac:dyDescent="0.25">
      <c r="B295" s="608" t="s">
        <v>538</v>
      </c>
      <c r="C295" s="564"/>
      <c r="D295" s="564"/>
      <c r="E295" s="564"/>
      <c r="F295" s="565"/>
      <c r="G295" s="174">
        <f>G292*12</f>
        <v>84</v>
      </c>
      <c r="H295" s="174" t="s">
        <v>327</v>
      </c>
      <c r="I295" s="657">
        <f>K294</f>
        <v>522987.80727272737</v>
      </c>
      <c r="J295" s="565"/>
      <c r="K295" s="175">
        <f>I295/G295</f>
        <v>6226.0453246753259</v>
      </c>
      <c r="L295" s="6"/>
      <c r="M295" s="150"/>
      <c r="N295" s="150"/>
      <c r="O295" s="151"/>
      <c r="P295" s="151"/>
      <c r="Q295" s="151"/>
      <c r="S295" s="151"/>
    </row>
    <row r="296" spans="2:23" ht="15.75" customHeight="1" x14ac:dyDescent="0.25">
      <c r="B296" s="677" t="s">
        <v>333</v>
      </c>
      <c r="C296" s="535"/>
      <c r="D296" s="535"/>
      <c r="E296" s="535"/>
      <c r="F296" s="575"/>
      <c r="G296" s="176"/>
      <c r="H296" s="176"/>
      <c r="I296" s="593"/>
      <c r="J296" s="575"/>
      <c r="K296" s="177">
        <f>SUM(K290+K295)</f>
        <v>9013.902467532469</v>
      </c>
      <c r="L296" s="6"/>
      <c r="M296" s="150"/>
      <c r="N296" s="150"/>
      <c r="O296" s="151"/>
      <c r="P296" s="151"/>
      <c r="Q296" s="151"/>
      <c r="S296" s="151"/>
    </row>
    <row r="297" spans="2:23" ht="15.75" customHeight="1" x14ac:dyDescent="0.25">
      <c r="B297" s="658" t="s">
        <v>334</v>
      </c>
      <c r="C297" s="537"/>
      <c r="D297" s="537"/>
      <c r="E297" s="537"/>
      <c r="F297" s="538"/>
      <c r="G297" s="61">
        <v>1</v>
      </c>
      <c r="H297" s="61" t="s">
        <v>335</v>
      </c>
      <c r="I297" s="659">
        <f>K296</f>
        <v>9013.902467532469</v>
      </c>
      <c r="J297" s="538"/>
      <c r="K297" s="51">
        <f>I297*G297</f>
        <v>9013.902467532469</v>
      </c>
      <c r="L297" s="6"/>
      <c r="M297" s="150"/>
      <c r="N297" s="150"/>
      <c r="O297" s="151"/>
      <c r="P297" s="151"/>
      <c r="Q297" s="151"/>
      <c r="S297" s="151"/>
    </row>
    <row r="298" spans="2:23" ht="15.75" customHeight="1" x14ac:dyDescent="0.25">
      <c r="L298" s="6"/>
      <c r="M298" s="150"/>
      <c r="N298" s="150"/>
      <c r="O298" s="151"/>
      <c r="P298" s="151"/>
      <c r="Q298" s="151"/>
      <c r="R298" s="151"/>
      <c r="S298" s="151"/>
      <c r="T298" s="151"/>
      <c r="U298" s="151"/>
      <c r="V298" s="151"/>
      <c r="W298" s="151"/>
    </row>
    <row r="299" spans="2:23" ht="15.75" customHeight="1" x14ac:dyDescent="0.25">
      <c r="B299" s="598" t="s">
        <v>547</v>
      </c>
      <c r="C299" s="537"/>
      <c r="D299" s="537"/>
      <c r="E299" s="537"/>
      <c r="F299" s="537"/>
      <c r="G299" s="537"/>
      <c r="H299" s="537"/>
      <c r="I299" s="537"/>
      <c r="J299" s="537"/>
      <c r="K299" s="538"/>
      <c r="L299" s="6"/>
      <c r="M299" s="8"/>
      <c r="N299" s="8"/>
    </row>
    <row r="300" spans="2:23" ht="15.75" customHeight="1" x14ac:dyDescent="0.25">
      <c r="B300" s="637" t="s">
        <v>239</v>
      </c>
      <c r="C300" s="564"/>
      <c r="D300" s="564"/>
      <c r="E300" s="564"/>
      <c r="F300" s="565"/>
      <c r="G300" s="182" t="s">
        <v>118</v>
      </c>
      <c r="H300" s="155" t="s">
        <v>119</v>
      </c>
      <c r="I300" s="637" t="s">
        <v>319</v>
      </c>
      <c r="J300" s="565"/>
      <c r="K300" s="155" t="s">
        <v>320</v>
      </c>
      <c r="L300" s="6"/>
      <c r="M300" s="150"/>
      <c r="N300" s="150"/>
      <c r="O300" s="151"/>
      <c r="P300" s="151"/>
      <c r="Q300" s="151"/>
      <c r="R300" s="151"/>
      <c r="S300" s="151"/>
      <c r="T300" s="151"/>
      <c r="U300" s="151"/>
      <c r="V300" s="151"/>
      <c r="W300" s="151"/>
    </row>
    <row r="301" spans="2:23" ht="15.75" customHeight="1" x14ac:dyDescent="0.25">
      <c r="B301" s="678" t="s">
        <v>549</v>
      </c>
      <c r="C301" s="544"/>
      <c r="D301" s="544"/>
      <c r="E301" s="544"/>
      <c r="F301" s="579"/>
      <c r="G301" s="171">
        <v>1</v>
      </c>
      <c r="H301" s="171" t="s">
        <v>335</v>
      </c>
      <c r="I301" s="771">
        <f>I286</f>
        <v>292725</v>
      </c>
      <c r="J301" s="579"/>
      <c r="K301" s="172">
        <f>I301*G301</f>
        <v>292725</v>
      </c>
      <c r="L301" s="6"/>
      <c r="M301" s="8"/>
      <c r="N301" s="8"/>
    </row>
    <row r="302" spans="2:23" ht="15.75" customHeight="1" x14ac:dyDescent="0.25">
      <c r="B302" s="605" t="s">
        <v>338</v>
      </c>
      <c r="C302" s="537"/>
      <c r="D302" s="537"/>
      <c r="E302" s="537"/>
      <c r="F302" s="538"/>
      <c r="G302" s="73">
        <v>13.75</v>
      </c>
      <c r="H302" s="14" t="s">
        <v>141</v>
      </c>
      <c r="I302" s="617"/>
      <c r="J302" s="538"/>
      <c r="K302" s="60"/>
      <c r="L302" s="6"/>
      <c r="M302" s="150"/>
      <c r="N302" s="150"/>
      <c r="O302" s="151"/>
      <c r="P302" s="151"/>
      <c r="Q302" s="151"/>
      <c r="R302" s="151"/>
      <c r="S302" s="151"/>
      <c r="T302" s="151"/>
      <c r="U302" s="151"/>
      <c r="V302" s="151"/>
      <c r="W302" s="151"/>
    </row>
    <row r="303" spans="2:23" ht="15.75" customHeight="1" x14ac:dyDescent="0.25">
      <c r="B303" s="605" t="s">
        <v>555</v>
      </c>
      <c r="C303" s="537"/>
      <c r="D303" s="537"/>
      <c r="E303" s="537"/>
      <c r="F303" s="538"/>
      <c r="G303" s="73"/>
      <c r="H303" s="14"/>
      <c r="I303" s="556">
        <f>IFERROR(IF(G288&lt;=G287,I286-(G289/(100*G287)*G288)*I286,I286-K289),0)</f>
        <v>91999.28571428571</v>
      </c>
      <c r="J303" s="538"/>
      <c r="K303" s="60"/>
      <c r="L303" s="6"/>
      <c r="M303" s="8"/>
      <c r="N303" s="8"/>
    </row>
    <row r="304" spans="2:23" ht="15.75" customHeight="1" x14ac:dyDescent="0.25">
      <c r="B304" s="605" t="s">
        <v>341</v>
      </c>
      <c r="C304" s="537"/>
      <c r="D304" s="537"/>
      <c r="E304" s="537"/>
      <c r="F304" s="538"/>
      <c r="G304" s="14"/>
      <c r="H304" s="14"/>
      <c r="I304" s="556">
        <f>IFERROR(IF(G288&gt;=G287,I303,((((I303)-(I286-K289))*(((G287-G288)+1)/(2*(G287-G288))))+(I286-K289))),0)</f>
        <v>91999.28571428571</v>
      </c>
      <c r="J304" s="538"/>
      <c r="K304" s="60"/>
      <c r="L304" s="6"/>
      <c r="M304" s="150"/>
      <c r="N304" s="150"/>
      <c r="O304" s="151"/>
      <c r="P304" s="151"/>
      <c r="Q304" s="151"/>
      <c r="S304" s="151"/>
    </row>
    <row r="305" spans="2:30" ht="15.75" customHeight="1" x14ac:dyDescent="0.25">
      <c r="B305" s="608" t="s">
        <v>343</v>
      </c>
      <c r="C305" s="564"/>
      <c r="D305" s="564"/>
      <c r="E305" s="564"/>
      <c r="F305" s="565"/>
      <c r="G305" s="178"/>
      <c r="H305" s="178"/>
      <c r="I305" s="657">
        <f>G302*I304/12/100</f>
        <v>1054.1584821428569</v>
      </c>
      <c r="J305" s="565"/>
      <c r="K305" s="175">
        <f>I305</f>
        <v>1054.1584821428569</v>
      </c>
      <c r="L305" s="6"/>
      <c r="M305" s="150"/>
      <c r="N305" s="150"/>
      <c r="O305" s="151"/>
      <c r="P305" s="151"/>
      <c r="Q305" s="151"/>
      <c r="R305" s="151"/>
      <c r="S305" s="151"/>
      <c r="T305" s="151"/>
      <c r="U305" s="151"/>
      <c r="V305" s="151"/>
      <c r="W305" s="151"/>
    </row>
    <row r="306" spans="2:30" ht="15.75" customHeight="1" x14ac:dyDescent="0.25">
      <c r="B306" s="678" t="s">
        <v>562</v>
      </c>
      <c r="C306" s="544"/>
      <c r="D306" s="544"/>
      <c r="E306" s="544"/>
      <c r="F306" s="579"/>
      <c r="G306" s="171">
        <v>1</v>
      </c>
      <c r="H306" s="171" t="s">
        <v>335</v>
      </c>
      <c r="I306" s="676">
        <f>I291</f>
        <v>653734.75909090915</v>
      </c>
      <c r="J306" s="575"/>
      <c r="K306" s="172">
        <f>I306*G306</f>
        <v>653734.75909090915</v>
      </c>
      <c r="L306" s="6"/>
      <c r="M306" s="150"/>
      <c r="N306" s="150"/>
      <c r="O306" s="151"/>
      <c r="P306" s="151"/>
      <c r="Q306" s="151"/>
      <c r="R306" s="151"/>
      <c r="S306" s="151"/>
      <c r="T306" s="151"/>
      <c r="U306" s="151"/>
      <c r="V306" s="151"/>
      <c r="W306" s="151"/>
    </row>
    <row r="307" spans="2:30" ht="15.75" customHeight="1" x14ac:dyDescent="0.25">
      <c r="B307" s="605" t="s">
        <v>338</v>
      </c>
      <c r="C307" s="537"/>
      <c r="D307" s="537"/>
      <c r="E307" s="537"/>
      <c r="F307" s="538"/>
      <c r="G307" s="73">
        <v>13.75</v>
      </c>
      <c r="H307" s="14" t="s">
        <v>141</v>
      </c>
      <c r="I307" s="617"/>
      <c r="J307" s="538"/>
      <c r="K307" s="60"/>
      <c r="L307" s="6"/>
      <c r="M307" s="147"/>
      <c r="N307" s="147"/>
      <c r="O307" s="148"/>
      <c r="P307" s="148"/>
      <c r="Q307" s="148"/>
      <c r="R307" s="148"/>
      <c r="S307" s="148"/>
      <c r="T307" s="148"/>
      <c r="U307" s="148"/>
      <c r="V307" s="148"/>
      <c r="W307" s="148"/>
    </row>
    <row r="308" spans="2:30" ht="15.75" customHeight="1" x14ac:dyDescent="0.25">
      <c r="B308" s="605" t="s">
        <v>567</v>
      </c>
      <c r="C308" s="537"/>
      <c r="D308" s="537"/>
      <c r="E308" s="537"/>
      <c r="F308" s="538"/>
      <c r="G308" s="14"/>
      <c r="H308" s="14"/>
      <c r="I308" s="556">
        <f>IFERROR(IF(G293&lt;=G292,I291-(G294/(100*G292)*G293)*I291,I291-K294),0)</f>
        <v>205459.4957142857</v>
      </c>
      <c r="J308" s="538"/>
      <c r="K308" s="60"/>
      <c r="L308" s="6"/>
      <c r="M308" s="147"/>
      <c r="N308" s="147"/>
      <c r="O308" s="148"/>
      <c r="P308" s="148"/>
      <c r="Q308" s="148"/>
      <c r="R308" s="148"/>
      <c r="S308" s="148"/>
      <c r="T308" s="148"/>
      <c r="U308" s="148"/>
      <c r="V308" s="148"/>
      <c r="W308" s="148"/>
    </row>
    <row r="309" spans="2:30" ht="15.75" customHeight="1" x14ac:dyDescent="0.25">
      <c r="B309" s="605" t="s">
        <v>569</v>
      </c>
      <c r="C309" s="537"/>
      <c r="D309" s="537"/>
      <c r="E309" s="537"/>
      <c r="F309" s="538"/>
      <c r="G309" s="14"/>
      <c r="H309" s="14"/>
      <c r="I309" s="556">
        <f>IFERROR(IF(G293&gt;=G292,I308,((((I308)-(I291-K294))*(((G292-G293)+1)/(2*(G292-G293))))+(I291-K294))),0)</f>
        <v>205459.4957142857</v>
      </c>
      <c r="J309" s="538"/>
      <c r="K309" s="60"/>
      <c r="L309" s="6"/>
      <c r="M309" s="150"/>
      <c r="N309" s="150"/>
      <c r="O309" s="151"/>
      <c r="P309" s="151"/>
      <c r="Q309" s="151"/>
      <c r="R309" s="151"/>
      <c r="S309" s="151"/>
      <c r="T309" s="151"/>
      <c r="U309" s="151"/>
      <c r="V309" s="151"/>
      <c r="W309" s="151"/>
    </row>
    <row r="310" spans="2:30" ht="15.75" customHeight="1" x14ac:dyDescent="0.25">
      <c r="B310" s="608" t="s">
        <v>571</v>
      </c>
      <c r="C310" s="564"/>
      <c r="D310" s="564"/>
      <c r="E310" s="564"/>
      <c r="F310" s="565"/>
      <c r="G310" s="178"/>
      <c r="H310" s="178"/>
      <c r="I310" s="657">
        <f>G307*I309/12/100</f>
        <v>2354.223388392857</v>
      </c>
      <c r="J310" s="565"/>
      <c r="K310" s="175">
        <f>I310</f>
        <v>2354.223388392857</v>
      </c>
      <c r="L310" s="6"/>
      <c r="M310" s="8"/>
      <c r="N310" s="8"/>
    </row>
    <row r="311" spans="2:30" ht="15.75" customHeight="1" x14ac:dyDescent="0.25">
      <c r="B311" s="677" t="s">
        <v>348</v>
      </c>
      <c r="C311" s="535"/>
      <c r="D311" s="535"/>
      <c r="E311" s="535"/>
      <c r="F311" s="575"/>
      <c r="G311" s="176"/>
      <c r="H311" s="176"/>
      <c r="I311" s="593"/>
      <c r="J311" s="575"/>
      <c r="K311" s="177">
        <f>SUM(K305+K310)</f>
        <v>3408.3818705357139</v>
      </c>
      <c r="L311" s="6"/>
      <c r="M311" s="150"/>
      <c r="N311" s="150"/>
      <c r="O311" s="151"/>
      <c r="P311" s="151"/>
      <c r="Q311" s="151"/>
      <c r="R311" s="151"/>
      <c r="S311" s="151"/>
      <c r="T311" s="151"/>
      <c r="U311" s="151"/>
      <c r="V311" s="151"/>
      <c r="W311" s="151"/>
      <c r="AD311" s="29"/>
    </row>
    <row r="312" spans="2:30" ht="15.75" customHeight="1" x14ac:dyDescent="0.25">
      <c r="B312" s="658" t="s">
        <v>349</v>
      </c>
      <c r="C312" s="537"/>
      <c r="D312" s="537"/>
      <c r="E312" s="537"/>
      <c r="F312" s="538"/>
      <c r="G312" s="61">
        <v>1</v>
      </c>
      <c r="H312" s="61" t="s">
        <v>335</v>
      </c>
      <c r="I312" s="659">
        <f>K311</f>
        <v>3408.3818705357139</v>
      </c>
      <c r="J312" s="538"/>
      <c r="K312" s="51">
        <f>I312*G312</f>
        <v>3408.3818705357139</v>
      </c>
      <c r="L312" s="6"/>
      <c r="M312" s="8"/>
      <c r="N312" s="8"/>
      <c r="AD312" s="29"/>
    </row>
    <row r="313" spans="2:30" ht="15.75" customHeight="1" x14ac:dyDescent="0.25">
      <c r="B313" s="179"/>
      <c r="C313" s="179"/>
      <c r="D313" s="179"/>
      <c r="E313" s="179"/>
      <c r="F313" s="179"/>
      <c r="G313" s="38"/>
      <c r="H313" s="38"/>
      <c r="I313" s="38"/>
      <c r="J313" s="38"/>
      <c r="K313" s="169"/>
      <c r="L313" s="6"/>
      <c r="M313" s="150"/>
      <c r="N313" s="150"/>
      <c r="O313" s="151"/>
      <c r="P313" s="151"/>
      <c r="Q313" s="151"/>
      <c r="R313" s="151"/>
      <c r="S313" s="151"/>
      <c r="T313" s="151"/>
      <c r="U313" s="151"/>
      <c r="V313" s="151"/>
      <c r="W313" s="151"/>
      <c r="AD313" s="29"/>
    </row>
    <row r="314" spans="2:30" ht="15.75" customHeight="1" x14ac:dyDescent="0.25">
      <c r="B314" s="598" t="s">
        <v>580</v>
      </c>
      <c r="C314" s="537"/>
      <c r="D314" s="537"/>
      <c r="E314" s="537"/>
      <c r="F314" s="537"/>
      <c r="G314" s="537"/>
      <c r="H314" s="537"/>
      <c r="I314" s="537"/>
      <c r="J314" s="537"/>
      <c r="K314" s="538"/>
      <c r="L314" s="758"/>
      <c r="M314" s="8"/>
      <c r="N314" s="8"/>
      <c r="AD314" s="29"/>
    </row>
    <row r="315" spans="2:30" ht="15.75" customHeight="1" x14ac:dyDescent="0.25">
      <c r="B315" s="569" t="s">
        <v>239</v>
      </c>
      <c r="C315" s="537"/>
      <c r="D315" s="537"/>
      <c r="E315" s="537"/>
      <c r="F315" s="538"/>
      <c r="G315" s="105" t="s">
        <v>118</v>
      </c>
      <c r="H315" s="61" t="s">
        <v>119</v>
      </c>
      <c r="I315" s="569" t="s">
        <v>319</v>
      </c>
      <c r="J315" s="538"/>
      <c r="K315" s="61" t="s">
        <v>354</v>
      </c>
      <c r="L315" s="759"/>
      <c r="M315" s="150"/>
      <c r="N315" s="150"/>
      <c r="O315" s="151"/>
      <c r="P315" s="151"/>
      <c r="Q315" s="151"/>
      <c r="R315" s="151"/>
      <c r="S315" s="151"/>
      <c r="T315" s="151"/>
      <c r="U315" s="151"/>
      <c r="V315" s="151"/>
      <c r="W315" s="151"/>
      <c r="AD315" s="29"/>
    </row>
    <row r="316" spans="2:30" ht="15.75" customHeight="1" x14ac:dyDescent="0.25">
      <c r="B316" s="571" t="s">
        <v>355</v>
      </c>
      <c r="C316" s="537"/>
      <c r="D316" s="537"/>
      <c r="E316" s="537"/>
      <c r="F316" s="538"/>
      <c r="G316" s="14">
        <v>1</v>
      </c>
      <c r="H316" s="14" t="s">
        <v>335</v>
      </c>
      <c r="I316" s="556">
        <f>I286*0.01</f>
        <v>2927.25</v>
      </c>
      <c r="J316" s="538"/>
      <c r="K316" s="60">
        <f t="shared" ref="K316:K317" si="29">(I316*G316)/12</f>
        <v>243.9375</v>
      </c>
      <c r="L316" s="759"/>
      <c r="M316" s="8"/>
      <c r="N316" s="8"/>
      <c r="R316" s="151"/>
      <c r="T316" s="151"/>
      <c r="U316" s="151"/>
      <c r="V316" s="151"/>
      <c r="W316" s="151"/>
      <c r="AD316" s="29"/>
    </row>
    <row r="317" spans="2:30" ht="15.75" customHeight="1" x14ac:dyDescent="0.25">
      <c r="B317" s="571" t="s">
        <v>356</v>
      </c>
      <c r="C317" s="537"/>
      <c r="D317" s="537"/>
      <c r="E317" s="537"/>
      <c r="F317" s="538"/>
      <c r="G317" s="14">
        <v>1</v>
      </c>
      <c r="H317" s="14" t="s">
        <v>335</v>
      </c>
      <c r="I317" s="556">
        <v>109.27</v>
      </c>
      <c r="J317" s="538"/>
      <c r="K317" s="60">
        <f t="shared" si="29"/>
        <v>9.105833333333333</v>
      </c>
      <c r="L317" s="759"/>
      <c r="M317" s="150"/>
      <c r="N317" s="150"/>
      <c r="O317" s="151"/>
      <c r="P317" s="151"/>
      <c r="Q317" s="151"/>
      <c r="R317" s="151"/>
      <c r="S317" s="151"/>
      <c r="T317" s="151"/>
      <c r="U317" s="151"/>
      <c r="V317" s="151"/>
      <c r="W317" s="151"/>
      <c r="AD317" s="29"/>
    </row>
    <row r="318" spans="2:30" ht="15.75" customHeight="1" x14ac:dyDescent="0.25">
      <c r="B318" s="571" t="s">
        <v>358</v>
      </c>
      <c r="C318" s="537"/>
      <c r="D318" s="537"/>
      <c r="E318" s="537"/>
      <c r="F318" s="538"/>
      <c r="G318" s="14">
        <v>1</v>
      </c>
      <c r="H318" s="14" t="s">
        <v>335</v>
      </c>
      <c r="I318" s="556">
        <f>'10 - CUSTOS UN'!$J$255</f>
        <v>2750.0266666666666</v>
      </c>
      <c r="J318" s="538"/>
      <c r="K318" s="60">
        <f>(I318/12)*G318</f>
        <v>229.16888888888889</v>
      </c>
      <c r="L318" s="759"/>
      <c r="M318" s="8"/>
      <c r="N318" s="8"/>
      <c r="AD318" s="29"/>
    </row>
    <row r="319" spans="2:30" ht="15.75" customHeight="1" x14ac:dyDescent="0.25">
      <c r="B319" s="571" t="s">
        <v>359</v>
      </c>
      <c r="C319" s="537"/>
      <c r="D319" s="537"/>
      <c r="E319" s="537"/>
      <c r="F319" s="538"/>
      <c r="G319" s="14">
        <v>1</v>
      </c>
      <c r="H319" s="14" t="s">
        <v>335</v>
      </c>
      <c r="I319" s="556">
        <f>'10 - CUSTOS UN'!$J$233</f>
        <v>57.093333333333334</v>
      </c>
      <c r="J319" s="538"/>
      <c r="K319" s="60">
        <f t="shared" ref="K319:K320" si="30">I319*G319</f>
        <v>57.093333333333334</v>
      </c>
      <c r="L319" s="759"/>
      <c r="M319" s="150"/>
      <c r="N319" s="150"/>
      <c r="O319" s="151"/>
      <c r="P319" s="151"/>
      <c r="Q319" s="151"/>
      <c r="R319" s="151"/>
      <c r="S319" s="151"/>
      <c r="T319" s="151"/>
      <c r="U319" s="151"/>
      <c r="V319" s="151"/>
      <c r="W319" s="151"/>
      <c r="AD319" s="29"/>
    </row>
    <row r="320" spans="2:30" ht="15.75" customHeight="1" x14ac:dyDescent="0.25">
      <c r="B320" s="628" t="s">
        <v>360</v>
      </c>
      <c r="C320" s="611"/>
      <c r="D320" s="611"/>
      <c r="E320" s="611"/>
      <c r="F320" s="612"/>
      <c r="G320" s="181">
        <v>1</v>
      </c>
      <c r="H320" s="181" t="s">
        <v>119</v>
      </c>
      <c r="I320" s="629">
        <f>SUM(K316:K319)/G320</f>
        <v>539.30555555555554</v>
      </c>
      <c r="J320" s="612"/>
      <c r="K320" s="184">
        <f t="shared" si="30"/>
        <v>539.30555555555554</v>
      </c>
      <c r="L320" s="760"/>
      <c r="M320" s="8"/>
      <c r="N320" s="8"/>
      <c r="AD320" s="29"/>
    </row>
    <row r="321" spans="2:30" ht="15.75" customHeight="1" x14ac:dyDescent="0.25">
      <c r="L321" s="6"/>
      <c r="M321" s="150"/>
      <c r="N321" s="150"/>
      <c r="O321" s="151"/>
      <c r="P321" s="151"/>
      <c r="Q321" s="151"/>
      <c r="R321" s="151"/>
      <c r="S321" s="151"/>
      <c r="T321" s="151"/>
      <c r="U321" s="151"/>
      <c r="V321" s="151"/>
      <c r="W321" s="151"/>
      <c r="AD321" s="29"/>
    </row>
    <row r="322" spans="2:30" ht="15.75" customHeight="1" x14ac:dyDescent="0.25">
      <c r="B322" s="598" t="s">
        <v>607</v>
      </c>
      <c r="C322" s="537"/>
      <c r="D322" s="537"/>
      <c r="E322" s="537"/>
      <c r="F322" s="537"/>
      <c r="G322" s="537"/>
      <c r="H322" s="537"/>
      <c r="I322" s="537"/>
      <c r="J322" s="537"/>
      <c r="K322" s="538"/>
      <c r="L322" s="6"/>
      <c r="M322" s="8"/>
      <c r="N322" s="8"/>
      <c r="AD322" s="29"/>
    </row>
    <row r="323" spans="2:30" ht="15.75" customHeight="1" x14ac:dyDescent="0.25">
      <c r="B323" s="637" t="s">
        <v>239</v>
      </c>
      <c r="C323" s="564"/>
      <c r="D323" s="564"/>
      <c r="E323" s="564"/>
      <c r="F323" s="565"/>
      <c r="G323" s="170" t="s">
        <v>118</v>
      </c>
      <c r="H323" s="155" t="s">
        <v>119</v>
      </c>
      <c r="I323" s="637" t="s">
        <v>319</v>
      </c>
      <c r="J323" s="565"/>
      <c r="K323" s="155" t="s">
        <v>275</v>
      </c>
      <c r="L323" s="6"/>
      <c r="M323" s="150"/>
      <c r="N323" s="150"/>
      <c r="O323" s="151"/>
      <c r="P323" s="151"/>
      <c r="Q323" s="151"/>
      <c r="R323" s="151"/>
      <c r="S323" s="151"/>
      <c r="T323" s="151"/>
      <c r="U323" s="151"/>
      <c r="V323" s="151"/>
      <c r="W323" s="151"/>
      <c r="AD323" s="29"/>
    </row>
    <row r="324" spans="2:30" ht="15.75" customHeight="1" x14ac:dyDescent="0.25">
      <c r="B324" s="675" t="s">
        <v>363</v>
      </c>
      <c r="C324" s="535"/>
      <c r="D324" s="535"/>
      <c r="E324" s="535"/>
      <c r="F324" s="575"/>
      <c r="G324" s="186">
        <v>1500</v>
      </c>
      <c r="H324" s="14" t="s">
        <v>364</v>
      </c>
      <c r="I324" s="676"/>
      <c r="J324" s="575"/>
      <c r="K324" s="16"/>
      <c r="L324" s="6"/>
      <c r="M324" s="8"/>
      <c r="N324" s="8"/>
      <c r="R324" s="151"/>
      <c r="T324" s="151"/>
      <c r="U324" s="151"/>
      <c r="V324" s="151"/>
      <c r="W324" s="151"/>
    </row>
    <row r="325" spans="2:30" ht="15.75" customHeight="1" x14ac:dyDescent="0.25">
      <c r="B325" s="571" t="s">
        <v>365</v>
      </c>
      <c r="C325" s="537"/>
      <c r="D325" s="537"/>
      <c r="E325" s="537"/>
      <c r="F325" s="538"/>
      <c r="G325" s="14">
        <v>2</v>
      </c>
      <c r="H325" s="14" t="s">
        <v>367</v>
      </c>
      <c r="I325" s="680"/>
      <c r="J325" s="538"/>
      <c r="K325" s="187"/>
      <c r="L325" s="6"/>
      <c r="M325" s="150"/>
      <c r="N325" s="150"/>
      <c r="O325" s="151"/>
      <c r="P325" s="151"/>
      <c r="Q325" s="151"/>
      <c r="S325" s="151"/>
    </row>
    <row r="326" spans="2:30" ht="15.75" customHeight="1" x14ac:dyDescent="0.25">
      <c r="B326" s="571" t="s">
        <v>368</v>
      </c>
      <c r="C326" s="537"/>
      <c r="D326" s="537"/>
      <c r="E326" s="537"/>
      <c r="F326" s="538"/>
      <c r="G326" s="14">
        <v>1</v>
      </c>
      <c r="H326" s="14" t="s">
        <v>369</v>
      </c>
      <c r="I326" s="683">
        <v>7.48</v>
      </c>
      <c r="J326" s="538"/>
      <c r="K326" s="16"/>
      <c r="L326" s="6"/>
      <c r="M326" s="150"/>
      <c r="N326" s="150"/>
      <c r="O326" s="151"/>
      <c r="P326" s="151"/>
      <c r="Q326" s="151"/>
      <c r="S326" s="151"/>
    </row>
    <row r="327" spans="2:30" ht="15.75" customHeight="1" x14ac:dyDescent="0.25">
      <c r="B327" s="684" t="s">
        <v>371</v>
      </c>
      <c r="C327" s="564"/>
      <c r="D327" s="564"/>
      <c r="E327" s="564"/>
      <c r="F327" s="565"/>
      <c r="G327" s="188">
        <f>G324/G325</f>
        <v>750</v>
      </c>
      <c r="H327" s="174" t="s">
        <v>372</v>
      </c>
      <c r="I327" s="657">
        <f>I326</f>
        <v>7.48</v>
      </c>
      <c r="J327" s="565"/>
      <c r="K327" s="175">
        <f t="shared" ref="K327:K328" si="31">I327*G327</f>
        <v>5610</v>
      </c>
      <c r="L327" s="6"/>
      <c r="M327" s="150"/>
      <c r="N327" s="150"/>
      <c r="O327" s="151"/>
      <c r="P327" s="151"/>
      <c r="Q327" s="151"/>
      <c r="S327" s="151"/>
    </row>
    <row r="328" spans="2:30" ht="15.75" customHeight="1" x14ac:dyDescent="0.25">
      <c r="B328" s="628" t="s">
        <v>374</v>
      </c>
      <c r="C328" s="611"/>
      <c r="D328" s="611"/>
      <c r="E328" s="611"/>
      <c r="F328" s="612"/>
      <c r="G328" s="181">
        <v>1</v>
      </c>
      <c r="H328" s="181" t="s">
        <v>119</v>
      </c>
      <c r="I328" s="629">
        <f>K327</f>
        <v>5610</v>
      </c>
      <c r="J328" s="612"/>
      <c r="K328" s="184">
        <f t="shared" si="31"/>
        <v>5610</v>
      </c>
      <c r="L328" s="6"/>
      <c r="M328" s="150"/>
      <c r="N328" s="150"/>
      <c r="O328" s="151"/>
      <c r="P328" s="151"/>
      <c r="Q328" s="151"/>
      <c r="S328" s="151"/>
    </row>
    <row r="329" spans="2:30" ht="15.75" customHeight="1" x14ac:dyDescent="0.25">
      <c r="B329" s="151"/>
      <c r="C329" s="151"/>
      <c r="D329" s="151"/>
      <c r="E329" s="151"/>
      <c r="F329" s="151"/>
      <c r="G329" s="1"/>
      <c r="H329" s="1"/>
      <c r="I329" s="152"/>
      <c r="J329" s="152"/>
      <c r="K329" s="189"/>
      <c r="L329" s="6"/>
      <c r="M329" s="150"/>
      <c r="N329" s="150"/>
      <c r="O329" s="151"/>
      <c r="P329" s="151"/>
      <c r="Q329" s="151"/>
      <c r="S329" s="151"/>
    </row>
    <row r="330" spans="2:30" ht="15.75" customHeight="1" x14ac:dyDescent="0.25">
      <c r="B330" s="598" t="s">
        <v>624</v>
      </c>
      <c r="C330" s="537"/>
      <c r="D330" s="537"/>
      <c r="E330" s="537"/>
      <c r="F330" s="537"/>
      <c r="G330" s="537"/>
      <c r="H330" s="537"/>
      <c r="I330" s="537"/>
      <c r="J330" s="537"/>
      <c r="K330" s="538"/>
      <c r="L330" s="6"/>
      <c r="M330" s="150"/>
      <c r="N330" s="150"/>
      <c r="O330" s="151"/>
      <c r="P330" s="151"/>
      <c r="Q330" s="151"/>
      <c r="S330" s="151"/>
    </row>
    <row r="331" spans="2:30" ht="15.75" customHeight="1" x14ac:dyDescent="0.25">
      <c r="B331" s="637" t="s">
        <v>239</v>
      </c>
      <c r="C331" s="564"/>
      <c r="D331" s="564"/>
      <c r="E331" s="564"/>
      <c r="F331" s="565"/>
      <c r="G331" s="170" t="s">
        <v>118</v>
      </c>
      <c r="H331" s="155" t="s">
        <v>119</v>
      </c>
      <c r="I331" s="637" t="s">
        <v>319</v>
      </c>
      <c r="J331" s="565"/>
      <c r="K331" s="155" t="s">
        <v>320</v>
      </c>
      <c r="L331" s="6"/>
      <c r="M331" s="150"/>
      <c r="N331" s="150"/>
      <c r="O331" s="151"/>
      <c r="P331" s="151"/>
      <c r="Q331" s="151"/>
      <c r="S331" s="151"/>
    </row>
    <row r="332" spans="2:30" ht="15.75" customHeight="1" x14ac:dyDescent="0.25">
      <c r="B332" s="675" t="s">
        <v>381</v>
      </c>
      <c r="C332" s="535"/>
      <c r="D332" s="535"/>
      <c r="E332" s="535"/>
      <c r="F332" s="575"/>
      <c r="G332" s="14">
        <v>2</v>
      </c>
      <c r="H332" s="14" t="s">
        <v>382</v>
      </c>
      <c r="I332" s="676">
        <f>'10 - CUSTOS UN'!$J$216</f>
        <v>20.973333333333333</v>
      </c>
      <c r="J332" s="575"/>
      <c r="K332" s="60">
        <f t="shared" ref="K332:K333" si="32">I332*G332</f>
        <v>41.946666666666665</v>
      </c>
      <c r="L332" s="6"/>
      <c r="M332" s="150"/>
      <c r="N332" s="150"/>
      <c r="O332" s="151"/>
      <c r="P332" s="151"/>
      <c r="Q332" s="151"/>
      <c r="S332" s="151"/>
    </row>
    <row r="333" spans="2:30" ht="15.75" customHeight="1" x14ac:dyDescent="0.25">
      <c r="B333" s="679" t="s">
        <v>384</v>
      </c>
      <c r="C333" s="537"/>
      <c r="D333" s="537"/>
      <c r="E333" s="537"/>
      <c r="F333" s="538"/>
      <c r="G333" s="192">
        <f>G324</f>
        <v>1500</v>
      </c>
      <c r="H333" s="17" t="s">
        <v>364</v>
      </c>
      <c r="I333" s="680">
        <f>K332/1000</f>
        <v>4.1946666666666667E-2</v>
      </c>
      <c r="J333" s="538"/>
      <c r="K333" s="193">
        <f t="shared" si="32"/>
        <v>62.92</v>
      </c>
      <c r="L333" s="6"/>
      <c r="M333" s="150"/>
      <c r="N333" s="150"/>
      <c r="O333" s="151"/>
      <c r="P333" s="151"/>
      <c r="Q333" s="151"/>
      <c r="R333" s="151"/>
      <c r="S333" s="151"/>
      <c r="T333" s="151"/>
      <c r="U333" s="151"/>
      <c r="V333" s="151"/>
      <c r="W333" s="151"/>
    </row>
    <row r="334" spans="2:30" ht="15.75" customHeight="1" x14ac:dyDescent="0.25">
      <c r="B334" s="571" t="s">
        <v>387</v>
      </c>
      <c r="C334" s="537"/>
      <c r="D334" s="537"/>
      <c r="E334" s="537"/>
      <c r="F334" s="538"/>
      <c r="G334" s="171">
        <v>0.5</v>
      </c>
      <c r="H334" s="14" t="s">
        <v>382</v>
      </c>
      <c r="I334" s="556">
        <f>'10 - CUSTOS UN'!$J$219</f>
        <v>34.336666666666666</v>
      </c>
      <c r="J334" s="538"/>
      <c r="K334" s="60">
        <f>G334*I334</f>
        <v>17.168333333333333</v>
      </c>
      <c r="L334" s="6"/>
      <c r="M334" s="8"/>
      <c r="N334" s="8"/>
    </row>
    <row r="335" spans="2:30" ht="15.75" customHeight="1" x14ac:dyDescent="0.25">
      <c r="B335" s="679" t="s">
        <v>390</v>
      </c>
      <c r="C335" s="537"/>
      <c r="D335" s="537"/>
      <c r="E335" s="537"/>
      <c r="F335" s="538"/>
      <c r="G335" s="192">
        <f>G324</f>
        <v>1500</v>
      </c>
      <c r="H335" s="17" t="s">
        <v>364</v>
      </c>
      <c r="I335" s="680">
        <f>K334/1000</f>
        <v>1.7168333333333334E-2</v>
      </c>
      <c r="J335" s="538"/>
      <c r="K335" s="193">
        <f t="shared" ref="K335:K336" si="33">I335*G335</f>
        <v>25.752500000000001</v>
      </c>
      <c r="L335" s="6"/>
      <c r="M335" s="150"/>
      <c r="N335" s="150"/>
      <c r="O335" s="151"/>
      <c r="P335" s="151"/>
      <c r="Q335" s="151"/>
      <c r="R335" s="151"/>
      <c r="S335" s="151"/>
      <c r="T335" s="151"/>
      <c r="U335" s="151"/>
      <c r="V335" s="151"/>
      <c r="W335" s="151"/>
    </row>
    <row r="336" spans="2:30" ht="15.75" customHeight="1" x14ac:dyDescent="0.25">
      <c r="B336" s="571" t="s">
        <v>392</v>
      </c>
      <c r="C336" s="537"/>
      <c r="D336" s="537"/>
      <c r="E336" s="537"/>
      <c r="F336" s="538"/>
      <c r="G336" s="200">
        <f>I337/I336*1000</f>
        <v>22.222222222222221</v>
      </c>
      <c r="H336" s="14" t="s">
        <v>382</v>
      </c>
      <c r="I336" s="556">
        <f>'10 - CUSTOS UN'!$J$225</f>
        <v>25.786666666666665</v>
      </c>
      <c r="J336" s="538"/>
      <c r="K336" s="60">
        <f t="shared" si="33"/>
        <v>573.03703703703695</v>
      </c>
      <c r="L336" s="6"/>
      <c r="M336" s="150"/>
      <c r="N336" s="150"/>
      <c r="O336" s="151"/>
      <c r="P336" s="151"/>
      <c r="Q336" s="151"/>
      <c r="R336" s="151"/>
      <c r="S336" s="151"/>
      <c r="T336" s="151"/>
      <c r="U336" s="151"/>
      <c r="V336" s="151"/>
      <c r="W336" s="151"/>
    </row>
    <row r="337" spans="2:23" ht="15.75" customHeight="1" x14ac:dyDescent="0.25">
      <c r="B337" s="679" t="s">
        <v>395</v>
      </c>
      <c r="C337" s="537"/>
      <c r="D337" s="537"/>
      <c r="E337" s="537"/>
      <c r="F337" s="538"/>
      <c r="G337" s="192">
        <f>G324</f>
        <v>1500</v>
      </c>
      <c r="H337" s="17" t="s">
        <v>364</v>
      </c>
      <c r="I337" s="680">
        <f>K337/G337</f>
        <v>0.57303703703703701</v>
      </c>
      <c r="J337" s="538"/>
      <c r="K337" s="193">
        <f>200/6*I336</f>
        <v>859.55555555555554</v>
      </c>
      <c r="L337" s="6"/>
      <c r="M337" s="8"/>
      <c r="N337" s="8"/>
      <c r="R337" s="151"/>
      <c r="T337" s="151"/>
      <c r="U337" s="151"/>
      <c r="V337" s="151"/>
      <c r="W337" s="151"/>
    </row>
    <row r="338" spans="2:23" ht="15.75" customHeight="1" x14ac:dyDescent="0.25">
      <c r="B338" s="571" t="s">
        <v>397</v>
      </c>
      <c r="C338" s="537"/>
      <c r="D338" s="537"/>
      <c r="E338" s="537"/>
      <c r="F338" s="538"/>
      <c r="G338" s="14">
        <v>2</v>
      </c>
      <c r="H338" s="14" t="s">
        <v>398</v>
      </c>
      <c r="I338" s="556">
        <f>'10 - CUSTOS UN'!$J$228</f>
        <v>43.276666666666664</v>
      </c>
      <c r="J338" s="538"/>
      <c r="K338" s="60">
        <f t="shared" ref="K338:K340" si="34">I338*G338</f>
        <v>86.553333333333327</v>
      </c>
      <c r="L338" s="6"/>
      <c r="M338" s="150"/>
      <c r="N338" s="150"/>
      <c r="O338" s="151"/>
      <c r="P338" s="151"/>
      <c r="Q338" s="151"/>
      <c r="R338" s="151"/>
      <c r="S338" s="151"/>
      <c r="T338" s="151"/>
      <c r="U338" s="151"/>
      <c r="V338" s="151"/>
      <c r="W338" s="151"/>
    </row>
    <row r="339" spans="2:23" ht="15" customHeight="1" x14ac:dyDescent="0.25">
      <c r="B339" s="684" t="s">
        <v>399</v>
      </c>
      <c r="C339" s="564"/>
      <c r="D339" s="564"/>
      <c r="E339" s="564"/>
      <c r="F339" s="565"/>
      <c r="G339" s="188">
        <f>G324</f>
        <v>1500</v>
      </c>
      <c r="H339" s="174" t="s">
        <v>364</v>
      </c>
      <c r="I339" s="657">
        <f>K338/1000</f>
        <v>8.6553333333333329E-2</v>
      </c>
      <c r="J339" s="565"/>
      <c r="K339" s="175">
        <f t="shared" si="34"/>
        <v>129.82999999999998</v>
      </c>
      <c r="L339" s="6"/>
      <c r="M339" s="8"/>
      <c r="N339" s="8"/>
    </row>
    <row r="340" spans="2:23" ht="15.75" customHeight="1" x14ac:dyDescent="0.25">
      <c r="B340" s="628" t="s">
        <v>401</v>
      </c>
      <c r="C340" s="611"/>
      <c r="D340" s="611"/>
      <c r="E340" s="611"/>
      <c r="F340" s="612"/>
      <c r="G340" s="181">
        <v>1</v>
      </c>
      <c r="H340" s="181" t="s">
        <v>119</v>
      </c>
      <c r="I340" s="629">
        <f>SUM(K333,K335,K337,K339)</f>
        <v>1078.0580555555555</v>
      </c>
      <c r="J340" s="612"/>
      <c r="K340" s="184">
        <f t="shared" si="34"/>
        <v>1078.0580555555555</v>
      </c>
      <c r="L340" s="6"/>
      <c r="M340" s="147"/>
      <c r="N340" s="147"/>
      <c r="O340" s="148"/>
      <c r="P340" s="148"/>
      <c r="Q340" s="148"/>
      <c r="R340" s="148"/>
      <c r="S340" s="148"/>
      <c r="T340" s="148"/>
      <c r="U340" s="148"/>
      <c r="V340" s="148"/>
      <c r="W340" s="148"/>
    </row>
    <row r="341" spans="2:23" ht="15.75" customHeight="1" x14ac:dyDescent="0.25">
      <c r="B341" s="148"/>
      <c r="C341" s="148"/>
      <c r="D341" s="148"/>
      <c r="E341" s="148"/>
      <c r="F341" s="148"/>
      <c r="G341" s="148"/>
      <c r="H341" s="148"/>
      <c r="I341" s="148"/>
      <c r="J341" s="148"/>
      <c r="K341" s="148"/>
      <c r="L341" s="6"/>
      <c r="M341" s="147"/>
      <c r="N341" s="147"/>
      <c r="O341" s="148"/>
      <c r="P341" s="148"/>
      <c r="Q341" s="148"/>
      <c r="R341" s="148"/>
      <c r="S341" s="148"/>
      <c r="T341" s="148"/>
      <c r="U341" s="148"/>
      <c r="V341" s="148"/>
      <c r="W341" s="148"/>
    </row>
    <row r="342" spans="2:23" ht="15.75" customHeight="1" x14ac:dyDescent="0.25">
      <c r="B342" s="598" t="s">
        <v>631</v>
      </c>
      <c r="C342" s="537"/>
      <c r="D342" s="537"/>
      <c r="E342" s="537"/>
      <c r="F342" s="537"/>
      <c r="G342" s="537"/>
      <c r="H342" s="537"/>
      <c r="I342" s="537"/>
      <c r="J342" s="537"/>
      <c r="K342" s="538"/>
      <c r="L342" s="6"/>
      <c r="M342" s="8"/>
      <c r="N342" s="8"/>
      <c r="T342" s="227"/>
      <c r="U342" s="227"/>
    </row>
    <row r="343" spans="2:23" ht="15.75" customHeight="1" x14ac:dyDescent="0.25">
      <c r="B343" s="637" t="s">
        <v>239</v>
      </c>
      <c r="C343" s="564"/>
      <c r="D343" s="564"/>
      <c r="E343" s="564"/>
      <c r="F343" s="565"/>
      <c r="G343" s="170" t="s">
        <v>118</v>
      </c>
      <c r="H343" s="155" t="s">
        <v>119</v>
      </c>
      <c r="I343" s="637" t="s">
        <v>319</v>
      </c>
      <c r="J343" s="565"/>
      <c r="K343" s="155" t="s">
        <v>320</v>
      </c>
      <c r="L343" s="6"/>
      <c r="M343" s="8"/>
      <c r="N343" s="8"/>
      <c r="T343" s="227"/>
      <c r="U343" s="227"/>
    </row>
    <row r="344" spans="2:23" ht="15.75" customHeight="1" x14ac:dyDescent="0.25">
      <c r="B344" s="675" t="s">
        <v>632</v>
      </c>
      <c r="C344" s="535"/>
      <c r="D344" s="535"/>
      <c r="E344" s="535"/>
      <c r="F344" s="575"/>
      <c r="G344" s="14">
        <v>6</v>
      </c>
      <c r="H344" s="14" t="s">
        <v>335</v>
      </c>
      <c r="I344" s="686">
        <f>'10 - CUSTOS UN'!$J$207</f>
        <v>2090.67</v>
      </c>
      <c r="J344" s="575"/>
      <c r="K344" s="86">
        <f>I344*G344</f>
        <v>12544.02</v>
      </c>
      <c r="L344" s="6"/>
      <c r="M344" s="8"/>
      <c r="N344" s="8"/>
      <c r="T344" s="227"/>
      <c r="U344" s="227"/>
    </row>
    <row r="345" spans="2:23" ht="15.75" customHeight="1" x14ac:dyDescent="0.25">
      <c r="B345" s="571" t="s">
        <v>407</v>
      </c>
      <c r="C345" s="537"/>
      <c r="D345" s="537"/>
      <c r="E345" s="537"/>
      <c r="F345" s="538"/>
      <c r="G345" s="14">
        <v>3</v>
      </c>
      <c r="H345" s="14" t="s">
        <v>335</v>
      </c>
      <c r="I345" s="617"/>
      <c r="J345" s="538"/>
      <c r="K345" s="173"/>
      <c r="L345" s="6"/>
      <c r="M345" s="8"/>
      <c r="N345" s="8"/>
      <c r="T345" s="227"/>
      <c r="U345" s="227"/>
    </row>
    <row r="346" spans="2:23" ht="15.75" customHeight="1" x14ac:dyDescent="0.25">
      <c r="B346" s="571" t="s">
        <v>408</v>
      </c>
      <c r="C346" s="537"/>
      <c r="D346" s="537"/>
      <c r="E346" s="537"/>
      <c r="F346" s="538"/>
      <c r="G346" s="14">
        <f>G345*G344</f>
        <v>18</v>
      </c>
      <c r="H346" s="14" t="s">
        <v>335</v>
      </c>
      <c r="I346" s="556">
        <f>'10 - CUSTOS UN'!$J$258</f>
        <v>550.83750000000009</v>
      </c>
      <c r="J346" s="538"/>
      <c r="K346" s="60">
        <f>I346*G346</f>
        <v>9915.0750000000007</v>
      </c>
      <c r="L346" s="6"/>
      <c r="M346" s="150"/>
      <c r="N346" s="150"/>
      <c r="O346" s="151"/>
      <c r="P346" s="151"/>
      <c r="Q346" s="151"/>
      <c r="R346" s="151"/>
      <c r="S346" s="151"/>
      <c r="T346" s="151"/>
      <c r="U346" s="151"/>
      <c r="V346" s="151"/>
      <c r="W346" s="151"/>
    </row>
    <row r="347" spans="2:23" ht="15.75" customHeight="1" x14ac:dyDescent="0.25">
      <c r="B347" s="571" t="s">
        <v>411</v>
      </c>
      <c r="C347" s="537"/>
      <c r="D347" s="537"/>
      <c r="E347" s="537"/>
      <c r="F347" s="538"/>
      <c r="G347" s="15">
        <v>30000</v>
      </c>
      <c r="H347" s="14" t="s">
        <v>413</v>
      </c>
      <c r="I347" s="617"/>
      <c r="J347" s="538"/>
      <c r="K347" s="173"/>
      <c r="L347" s="6"/>
      <c r="M347" s="150"/>
      <c r="N347" s="150"/>
      <c r="O347" s="151"/>
      <c r="P347" s="151"/>
      <c r="Q347" s="151"/>
      <c r="R347" s="151"/>
      <c r="S347" s="151"/>
      <c r="T347" s="151"/>
      <c r="U347" s="151"/>
      <c r="V347" s="151"/>
      <c r="W347" s="151"/>
    </row>
    <row r="348" spans="2:23" ht="15.75" customHeight="1" x14ac:dyDescent="0.25">
      <c r="B348" s="571" t="s">
        <v>414</v>
      </c>
      <c r="C348" s="537"/>
      <c r="D348" s="537"/>
      <c r="E348" s="537"/>
      <c r="F348" s="538"/>
      <c r="G348" s="15">
        <f>15/20*G347</f>
        <v>22500</v>
      </c>
      <c r="H348" s="14" t="s">
        <v>413</v>
      </c>
      <c r="I348" s="617"/>
      <c r="J348" s="538"/>
      <c r="K348" s="173"/>
      <c r="L348" s="6"/>
      <c r="M348" s="8"/>
      <c r="N348" s="8"/>
    </row>
    <row r="349" spans="2:23" ht="15.75" customHeight="1" x14ac:dyDescent="0.25">
      <c r="B349" s="571" t="s">
        <v>415</v>
      </c>
      <c r="C349" s="537"/>
      <c r="D349" s="537"/>
      <c r="E349" s="537"/>
      <c r="F349" s="538"/>
      <c r="G349" s="15">
        <f>G347+G348*G345</f>
        <v>97500</v>
      </c>
      <c r="H349" s="14" t="s">
        <v>417</v>
      </c>
      <c r="I349" s="556">
        <f>K346+K344</f>
        <v>22459.095000000001</v>
      </c>
      <c r="J349" s="538"/>
      <c r="K349" s="60">
        <f>I349/G349</f>
        <v>0.23034969230769231</v>
      </c>
      <c r="L349" s="6"/>
      <c r="M349" s="8"/>
      <c r="N349" s="8"/>
    </row>
    <row r="350" spans="2:23" ht="15.75" customHeight="1" x14ac:dyDescent="0.25">
      <c r="B350" s="684" t="s">
        <v>418</v>
      </c>
      <c r="C350" s="564"/>
      <c r="D350" s="564"/>
      <c r="E350" s="564"/>
      <c r="F350" s="565"/>
      <c r="G350" s="188">
        <f>G324</f>
        <v>1500</v>
      </c>
      <c r="H350" s="174" t="s">
        <v>413</v>
      </c>
      <c r="I350" s="657">
        <f t="shared" ref="I350:I351" si="35">K349</f>
        <v>0.23034969230769231</v>
      </c>
      <c r="J350" s="565"/>
      <c r="K350" s="175">
        <f t="shared" ref="K350:K351" si="36">I350*G350</f>
        <v>345.52453846153844</v>
      </c>
      <c r="L350" s="6"/>
      <c r="M350" s="150"/>
      <c r="N350" s="150"/>
      <c r="O350" s="151"/>
      <c r="P350" s="151"/>
      <c r="Q350" s="151"/>
      <c r="R350" s="151"/>
      <c r="S350" s="151"/>
      <c r="T350" s="151"/>
      <c r="U350" s="151"/>
      <c r="V350" s="151"/>
      <c r="W350" s="151"/>
    </row>
    <row r="351" spans="2:23" ht="15.75" customHeight="1" x14ac:dyDescent="0.25">
      <c r="B351" s="628" t="s">
        <v>420</v>
      </c>
      <c r="C351" s="611"/>
      <c r="D351" s="611"/>
      <c r="E351" s="611"/>
      <c r="F351" s="612"/>
      <c r="G351" s="181">
        <v>1</v>
      </c>
      <c r="H351" s="181" t="s">
        <v>119</v>
      </c>
      <c r="I351" s="629">
        <f t="shared" si="35"/>
        <v>345.52453846153844</v>
      </c>
      <c r="J351" s="612"/>
      <c r="K351" s="184">
        <f t="shared" si="36"/>
        <v>345.52453846153844</v>
      </c>
      <c r="L351" s="6"/>
      <c r="M351" s="150"/>
      <c r="N351" s="150"/>
      <c r="O351" s="151"/>
      <c r="P351" s="151"/>
      <c r="Q351" s="151"/>
      <c r="R351" s="151"/>
      <c r="S351" s="151"/>
      <c r="T351" s="151"/>
      <c r="U351" s="151"/>
      <c r="V351" s="151"/>
      <c r="W351" s="151"/>
    </row>
    <row r="352" spans="2:23" ht="15.75" customHeight="1" x14ac:dyDescent="0.25">
      <c r="B352" s="151"/>
      <c r="C352" s="151"/>
      <c r="D352" s="151"/>
      <c r="E352" s="151"/>
      <c r="F352" s="151"/>
      <c r="G352" s="1"/>
      <c r="H352" s="1"/>
      <c r="I352" s="152"/>
      <c r="J352" s="152"/>
      <c r="K352" s="189"/>
      <c r="L352" s="232"/>
      <c r="M352" s="234"/>
      <c r="N352" s="234"/>
      <c r="O352" s="327"/>
      <c r="P352" s="151"/>
      <c r="Q352" s="151"/>
      <c r="R352" s="151"/>
      <c r="S352" s="151"/>
      <c r="T352" s="151"/>
      <c r="U352" s="151"/>
      <c r="V352" s="151"/>
      <c r="W352" s="151"/>
    </row>
    <row r="353" spans="2:23" ht="15.75" customHeight="1" x14ac:dyDescent="0.25">
      <c r="B353" s="598" t="s">
        <v>634</v>
      </c>
      <c r="C353" s="537"/>
      <c r="D353" s="537"/>
      <c r="E353" s="537"/>
      <c r="F353" s="537"/>
      <c r="G353" s="537"/>
      <c r="H353" s="537"/>
      <c r="I353" s="537"/>
      <c r="J353" s="537"/>
      <c r="K353" s="538"/>
      <c r="L353" s="6"/>
      <c r="M353" s="150"/>
      <c r="N353" s="150"/>
      <c r="O353" s="151"/>
      <c r="P353" s="151"/>
      <c r="Q353" s="151"/>
      <c r="R353" s="151"/>
      <c r="S353" s="151"/>
      <c r="T353" s="151"/>
      <c r="U353" s="151"/>
      <c r="V353" s="151"/>
      <c r="W353" s="151"/>
    </row>
    <row r="354" spans="2:23" ht="15.75" customHeight="1" x14ac:dyDescent="0.25">
      <c r="B354" s="637" t="s">
        <v>239</v>
      </c>
      <c r="C354" s="564"/>
      <c r="D354" s="564"/>
      <c r="E354" s="564"/>
      <c r="F354" s="565"/>
      <c r="G354" s="170" t="s">
        <v>118</v>
      </c>
      <c r="H354" s="155" t="s">
        <v>119</v>
      </c>
      <c r="I354" s="637" t="s">
        <v>319</v>
      </c>
      <c r="J354" s="565"/>
      <c r="K354" s="155" t="s">
        <v>275</v>
      </c>
      <c r="L354" s="6"/>
      <c r="M354" s="150"/>
      <c r="N354" s="150"/>
      <c r="O354" s="151"/>
      <c r="P354" s="151"/>
      <c r="Q354" s="151"/>
      <c r="R354" s="151"/>
      <c r="S354" s="151"/>
      <c r="T354" s="151"/>
      <c r="U354" s="151"/>
      <c r="V354" s="151"/>
      <c r="W354" s="151"/>
    </row>
    <row r="355" spans="2:23" ht="15.75" customHeight="1" x14ac:dyDescent="0.25">
      <c r="B355" s="687" t="s">
        <v>425</v>
      </c>
      <c r="C355" s="532"/>
      <c r="D355" s="532"/>
      <c r="E355" s="532"/>
      <c r="F355" s="688"/>
      <c r="G355" s="203">
        <f>G324</f>
        <v>1500</v>
      </c>
      <c r="H355" s="204" t="s">
        <v>364</v>
      </c>
      <c r="I355" s="689">
        <v>1.18</v>
      </c>
      <c r="J355" s="688"/>
      <c r="K355" s="205">
        <f t="shared" ref="K355:K356" si="37">I355*G355</f>
        <v>1770</v>
      </c>
      <c r="L355" s="6"/>
      <c r="M355" s="150"/>
      <c r="N355" s="150"/>
      <c r="O355" s="151"/>
      <c r="P355" s="151"/>
      <c r="Q355" s="151"/>
      <c r="R355" s="151"/>
      <c r="S355" s="151"/>
      <c r="T355" s="151"/>
      <c r="U355" s="151"/>
      <c r="V355" s="151"/>
      <c r="W355" s="151"/>
    </row>
    <row r="356" spans="2:23" ht="15.75" customHeight="1" x14ac:dyDescent="0.25">
      <c r="B356" s="628" t="s">
        <v>427</v>
      </c>
      <c r="C356" s="611"/>
      <c r="D356" s="611"/>
      <c r="E356" s="611"/>
      <c r="F356" s="612"/>
      <c r="G356" s="181">
        <v>1</v>
      </c>
      <c r="H356" s="181" t="s">
        <v>335</v>
      </c>
      <c r="I356" s="629">
        <f>K355</f>
        <v>1770</v>
      </c>
      <c r="J356" s="612"/>
      <c r="K356" s="184">
        <f t="shared" si="37"/>
        <v>1770</v>
      </c>
      <c r="L356" s="6"/>
      <c r="M356" s="150"/>
      <c r="N356" s="150"/>
      <c r="O356" s="151"/>
      <c r="P356" s="151"/>
      <c r="Q356" s="151"/>
      <c r="R356" s="151"/>
      <c r="S356" s="151"/>
      <c r="T356" s="151"/>
      <c r="U356" s="151"/>
      <c r="V356" s="151"/>
      <c r="W356" s="151"/>
    </row>
    <row r="357" spans="2:23" ht="15.75" customHeight="1" x14ac:dyDescent="0.25">
      <c r="B357" s="148"/>
      <c r="C357" s="148"/>
      <c r="D357" s="148"/>
      <c r="E357" s="148"/>
      <c r="F357" s="148"/>
      <c r="G357" s="148"/>
      <c r="H357" s="148"/>
      <c r="I357" s="148"/>
      <c r="J357" s="148"/>
      <c r="K357" s="148"/>
      <c r="L357" s="6"/>
      <c r="M357" s="8"/>
      <c r="N357" s="8"/>
      <c r="R357" s="151"/>
      <c r="T357" s="151"/>
      <c r="U357" s="151"/>
      <c r="V357" s="151"/>
      <c r="W357" s="151"/>
    </row>
    <row r="358" spans="2:23" ht="15.75" customHeight="1" x14ac:dyDescent="0.25">
      <c r="B358" s="552" t="s">
        <v>635</v>
      </c>
      <c r="C358" s="537"/>
      <c r="D358" s="537"/>
      <c r="E358" s="537"/>
      <c r="F358" s="537"/>
      <c r="G358" s="537"/>
      <c r="H358" s="537"/>
      <c r="I358" s="537"/>
      <c r="J358" s="538"/>
      <c r="K358" s="209">
        <f>SUM(I356,I351,I340,I328,I320,K311,K296)</f>
        <v>21765.172487640833</v>
      </c>
      <c r="L358" s="6"/>
      <c r="M358" s="150"/>
      <c r="N358" s="150"/>
      <c r="O358" s="151"/>
      <c r="P358" s="151"/>
      <c r="Q358" s="151"/>
      <c r="S358" s="151"/>
    </row>
    <row r="359" spans="2:23" ht="15.75" customHeight="1" x14ac:dyDescent="0.25">
      <c r="B359" s="552" t="s">
        <v>433</v>
      </c>
      <c r="C359" s="537"/>
      <c r="D359" s="537"/>
      <c r="E359" s="537"/>
      <c r="F359" s="537"/>
      <c r="G359" s="537"/>
      <c r="H359" s="537"/>
      <c r="I359" s="537"/>
      <c r="J359" s="538"/>
      <c r="K359" s="209">
        <f>SUM(K356,K351,K340,K328,K320,K312,K297)</f>
        <v>21765.172487640833</v>
      </c>
      <c r="L359" s="6"/>
      <c r="M359" s="150"/>
      <c r="N359" s="150"/>
      <c r="O359" s="151"/>
      <c r="P359" s="151"/>
      <c r="Q359" s="151"/>
      <c r="R359" s="151"/>
      <c r="S359" s="151"/>
      <c r="T359" s="151"/>
      <c r="U359" s="151"/>
      <c r="V359" s="151"/>
      <c r="W359" s="151"/>
    </row>
    <row r="360" spans="2:23" ht="15.75" customHeight="1" x14ac:dyDescent="0.25">
      <c r="L360" s="6"/>
      <c r="M360" s="8"/>
      <c r="N360" s="8"/>
    </row>
    <row r="361" spans="2:23" ht="15" customHeight="1" x14ac:dyDescent="0.25">
      <c r="B361" s="596" t="s">
        <v>637</v>
      </c>
      <c r="C361" s="537"/>
      <c r="D361" s="537"/>
      <c r="E361" s="537"/>
      <c r="F361" s="537"/>
      <c r="G361" s="537"/>
      <c r="H361" s="537"/>
      <c r="I361" s="537"/>
      <c r="J361" s="537"/>
      <c r="K361" s="538"/>
      <c r="L361" s="6"/>
      <c r="M361" s="8"/>
      <c r="N361" s="8"/>
    </row>
    <row r="362" spans="2:23" ht="15.75" customHeight="1" x14ac:dyDescent="0.25">
      <c r="L362" s="6"/>
      <c r="M362" s="8"/>
      <c r="N362" s="8"/>
    </row>
    <row r="363" spans="2:23" ht="15.75" customHeight="1" x14ac:dyDescent="0.25">
      <c r="B363" s="598" t="s">
        <v>639</v>
      </c>
      <c r="C363" s="537"/>
      <c r="D363" s="537"/>
      <c r="E363" s="537"/>
      <c r="F363" s="537"/>
      <c r="G363" s="537"/>
      <c r="H363" s="537"/>
      <c r="I363" s="537"/>
      <c r="J363" s="537"/>
      <c r="K363" s="538"/>
      <c r="L363" s="6"/>
      <c r="M363" s="8"/>
      <c r="N363" s="8"/>
    </row>
    <row r="364" spans="2:23" ht="15.75" customHeight="1" x14ac:dyDescent="0.25">
      <c r="B364" s="170" t="s">
        <v>239</v>
      </c>
      <c r="C364" s="208"/>
      <c r="D364" s="208"/>
      <c r="E364" s="208"/>
      <c r="F364" s="210"/>
      <c r="G364" s="170" t="s">
        <v>118</v>
      </c>
      <c r="H364" s="155" t="s">
        <v>119</v>
      </c>
      <c r="I364" s="637" t="s">
        <v>319</v>
      </c>
      <c r="J364" s="565"/>
      <c r="K364" s="155" t="s">
        <v>320</v>
      </c>
      <c r="L364" s="6"/>
      <c r="M364" s="8"/>
      <c r="N364" s="8"/>
    </row>
    <row r="365" spans="2:23" ht="15.75" customHeight="1" x14ac:dyDescent="0.25">
      <c r="B365" s="675" t="s">
        <v>488</v>
      </c>
      <c r="C365" s="535"/>
      <c r="D365" s="535"/>
      <c r="E365" s="535"/>
      <c r="F365" s="575"/>
      <c r="G365" s="253">
        <v>3</v>
      </c>
      <c r="H365" s="171" t="s">
        <v>119</v>
      </c>
      <c r="I365" s="676">
        <v>53861</v>
      </c>
      <c r="J365" s="575"/>
      <c r="K365" s="172">
        <f>I365*G365</f>
        <v>161583</v>
      </c>
      <c r="L365" s="6"/>
      <c r="M365" s="8"/>
      <c r="N365" s="8"/>
    </row>
    <row r="366" spans="2:23" ht="15.75" customHeight="1" x14ac:dyDescent="0.25">
      <c r="B366" s="571" t="s">
        <v>490</v>
      </c>
      <c r="C366" s="537"/>
      <c r="D366" s="537"/>
      <c r="E366" s="537"/>
      <c r="F366" s="538"/>
      <c r="G366" s="14">
        <v>7</v>
      </c>
      <c r="H366" s="14" t="s">
        <v>323</v>
      </c>
      <c r="I366" s="617"/>
      <c r="J366" s="538"/>
      <c r="K366" s="173"/>
      <c r="L366" s="6"/>
      <c r="M366" s="8"/>
      <c r="N366" s="8"/>
    </row>
    <row r="367" spans="2:23" ht="15.75" customHeight="1" x14ac:dyDescent="0.25">
      <c r="B367" s="571" t="s">
        <v>324</v>
      </c>
      <c r="C367" s="537"/>
      <c r="D367" s="537"/>
      <c r="E367" s="537"/>
      <c r="F367" s="538"/>
      <c r="G367" s="14">
        <v>6</v>
      </c>
      <c r="H367" s="14" t="s">
        <v>323</v>
      </c>
      <c r="I367" s="617"/>
      <c r="J367" s="538"/>
      <c r="K367" s="173"/>
      <c r="L367" s="6"/>
      <c r="M367" s="8"/>
      <c r="N367" s="8"/>
    </row>
    <row r="368" spans="2:23" ht="15.75" customHeight="1" x14ac:dyDescent="0.25">
      <c r="B368" s="605" t="s">
        <v>491</v>
      </c>
      <c r="C368" s="537"/>
      <c r="D368" s="537"/>
      <c r="E368" s="537"/>
      <c r="F368" s="538"/>
      <c r="G368" s="14">
        <v>80</v>
      </c>
      <c r="H368" s="14" t="s">
        <v>141</v>
      </c>
      <c r="I368" s="556">
        <f>I365</f>
        <v>53861</v>
      </c>
      <c r="J368" s="538"/>
      <c r="K368" s="60">
        <f>I368*G368/100</f>
        <v>43088.800000000003</v>
      </c>
      <c r="L368" s="6"/>
      <c r="M368" s="8"/>
      <c r="N368" s="8"/>
    </row>
    <row r="369" spans="2:14" ht="15.75" customHeight="1" x14ac:dyDescent="0.25">
      <c r="B369" s="608" t="s">
        <v>492</v>
      </c>
      <c r="C369" s="564"/>
      <c r="D369" s="564"/>
      <c r="E369" s="564"/>
      <c r="F369" s="565"/>
      <c r="G369" s="174">
        <f>G366*12</f>
        <v>84</v>
      </c>
      <c r="H369" s="174" t="s">
        <v>327</v>
      </c>
      <c r="I369" s="657">
        <f t="shared" ref="I369:I370" si="38">K368</f>
        <v>43088.800000000003</v>
      </c>
      <c r="J369" s="565"/>
      <c r="K369" s="175">
        <f>I369/G369</f>
        <v>512.96190476190475</v>
      </c>
      <c r="L369" s="6"/>
      <c r="M369" s="8"/>
      <c r="N369" s="8"/>
    </row>
    <row r="370" spans="2:14" ht="15.75" customHeight="1" x14ac:dyDescent="0.25">
      <c r="B370" s="658" t="s">
        <v>334</v>
      </c>
      <c r="C370" s="537"/>
      <c r="D370" s="537"/>
      <c r="E370" s="537"/>
      <c r="F370" s="538"/>
      <c r="G370" s="61">
        <v>3</v>
      </c>
      <c r="H370" s="61" t="s">
        <v>335</v>
      </c>
      <c r="I370" s="659">
        <f t="shared" si="38"/>
        <v>512.96190476190475</v>
      </c>
      <c r="J370" s="538"/>
      <c r="K370" s="51">
        <f>I370*G370</f>
        <v>1538.8857142857141</v>
      </c>
      <c r="L370" s="6"/>
      <c r="M370" s="8"/>
      <c r="N370" s="8"/>
    </row>
    <row r="371" spans="2:14" ht="15.75" customHeight="1" x14ac:dyDescent="0.25">
      <c r="L371" s="6"/>
      <c r="M371" s="8"/>
      <c r="N371" s="8"/>
    </row>
    <row r="372" spans="2:14" ht="15.75" customHeight="1" x14ac:dyDescent="0.25">
      <c r="B372" s="598" t="s">
        <v>643</v>
      </c>
      <c r="C372" s="537"/>
      <c r="D372" s="537"/>
      <c r="E372" s="537"/>
      <c r="F372" s="537"/>
      <c r="G372" s="537"/>
      <c r="H372" s="537"/>
      <c r="I372" s="537"/>
      <c r="J372" s="537"/>
      <c r="K372" s="538"/>
      <c r="L372" s="6"/>
      <c r="M372" s="8"/>
      <c r="N372" s="8"/>
    </row>
    <row r="373" spans="2:14" ht="15.75" customHeight="1" x14ac:dyDescent="0.25">
      <c r="B373" s="569" t="s">
        <v>239</v>
      </c>
      <c r="C373" s="537"/>
      <c r="D373" s="537"/>
      <c r="E373" s="537"/>
      <c r="F373" s="538"/>
      <c r="G373" s="105" t="s">
        <v>118</v>
      </c>
      <c r="H373" s="61" t="s">
        <v>119</v>
      </c>
      <c r="I373" s="569" t="s">
        <v>319</v>
      </c>
      <c r="J373" s="538"/>
      <c r="K373" s="61" t="s">
        <v>320</v>
      </c>
      <c r="L373" s="6"/>
      <c r="M373" s="8"/>
      <c r="N373" s="8"/>
    </row>
    <row r="374" spans="2:14" ht="15.75" customHeight="1" x14ac:dyDescent="0.25">
      <c r="B374" s="605" t="s">
        <v>498</v>
      </c>
      <c r="C374" s="537"/>
      <c r="D374" s="537"/>
      <c r="E374" s="537"/>
      <c r="F374" s="538"/>
      <c r="G374" s="14">
        <v>3</v>
      </c>
      <c r="H374" s="14" t="s">
        <v>335</v>
      </c>
      <c r="I374" s="556">
        <f>I365</f>
        <v>53861</v>
      </c>
      <c r="J374" s="538"/>
      <c r="K374" s="60">
        <f>I374*G374</f>
        <v>161583</v>
      </c>
      <c r="L374" s="6"/>
      <c r="M374" s="8"/>
      <c r="N374" s="8"/>
    </row>
    <row r="375" spans="2:14" ht="15.75" customHeight="1" x14ac:dyDescent="0.25">
      <c r="B375" s="605" t="s">
        <v>338</v>
      </c>
      <c r="C375" s="537"/>
      <c r="D375" s="537"/>
      <c r="E375" s="537"/>
      <c r="F375" s="538"/>
      <c r="G375" s="73">
        <v>13.75</v>
      </c>
      <c r="H375" s="14" t="s">
        <v>141</v>
      </c>
      <c r="I375" s="617"/>
      <c r="J375" s="538"/>
      <c r="K375" s="60"/>
      <c r="L375" s="6"/>
      <c r="M375" s="8"/>
      <c r="N375" s="8"/>
    </row>
    <row r="376" spans="2:14" ht="15.75" customHeight="1" x14ac:dyDescent="0.25">
      <c r="B376" s="605" t="s">
        <v>644</v>
      </c>
      <c r="C376" s="537"/>
      <c r="D376" s="537"/>
      <c r="E376" s="537"/>
      <c r="F376" s="538"/>
      <c r="G376" s="14"/>
      <c r="H376" s="14"/>
      <c r="I376" s="556">
        <f>IFERROR(IF(G367&lt;=G366,I365-(G368/(100*G366)*G367)*I365,I365-K368),0)</f>
        <v>16927.742857142854</v>
      </c>
      <c r="J376" s="538"/>
      <c r="K376" s="60"/>
      <c r="L376" s="6"/>
      <c r="M376" s="8"/>
      <c r="N376" s="8"/>
    </row>
    <row r="377" spans="2:14" ht="15.75" customHeight="1" x14ac:dyDescent="0.25">
      <c r="B377" s="605" t="s">
        <v>504</v>
      </c>
      <c r="C377" s="537"/>
      <c r="D377" s="537"/>
      <c r="E377" s="537"/>
      <c r="F377" s="538"/>
      <c r="G377" s="14"/>
      <c r="H377" s="14"/>
      <c r="I377" s="556">
        <f>IFERROR(IF(G367&gt;=G366,I376,((((I376)-(I365-K368))*(((G366-G367)+1)/(2*(G366-G367))))+(I365-K368))),0)</f>
        <v>16927.742857142854</v>
      </c>
      <c r="J377" s="538"/>
      <c r="K377" s="60"/>
      <c r="L377" s="6"/>
      <c r="M377" s="8"/>
      <c r="N377" s="8"/>
    </row>
    <row r="378" spans="2:14" ht="15.75" customHeight="1" x14ac:dyDescent="0.25">
      <c r="B378" s="608" t="s">
        <v>506</v>
      </c>
      <c r="C378" s="564"/>
      <c r="D378" s="564"/>
      <c r="E378" s="564"/>
      <c r="F378" s="565"/>
      <c r="G378" s="178"/>
      <c r="H378" s="178"/>
      <c r="I378" s="657">
        <f>G375*I377/12/100</f>
        <v>193.96372023809519</v>
      </c>
      <c r="J378" s="565"/>
      <c r="K378" s="175">
        <f>I378</f>
        <v>193.96372023809519</v>
      </c>
      <c r="L378" s="6"/>
      <c r="M378" s="8"/>
      <c r="N378" s="8"/>
    </row>
    <row r="379" spans="2:14" ht="15" customHeight="1" x14ac:dyDescent="0.25">
      <c r="B379" s="658" t="s">
        <v>349</v>
      </c>
      <c r="C379" s="537"/>
      <c r="D379" s="537"/>
      <c r="E379" s="537"/>
      <c r="F379" s="538"/>
      <c r="G379" s="61">
        <v>3</v>
      </c>
      <c r="H379" s="61" t="s">
        <v>335</v>
      </c>
      <c r="I379" s="659">
        <f>K378</f>
        <v>193.96372023809519</v>
      </c>
      <c r="J379" s="538"/>
      <c r="K379" s="51">
        <f>I379*G379</f>
        <v>581.89116071428555</v>
      </c>
      <c r="L379" s="6"/>
      <c r="M379" s="8"/>
      <c r="N379" s="8"/>
    </row>
    <row r="380" spans="2:14" ht="15.75" customHeight="1" x14ac:dyDescent="0.25">
      <c r="B380" s="179"/>
      <c r="C380" s="179"/>
      <c r="D380" s="179"/>
      <c r="E380" s="179"/>
      <c r="F380" s="179"/>
      <c r="G380" s="38"/>
      <c r="H380" s="38"/>
      <c r="I380" s="38"/>
      <c r="J380" s="38"/>
      <c r="K380" s="169"/>
      <c r="L380" s="6"/>
      <c r="M380" s="8"/>
      <c r="N380" s="8"/>
    </row>
    <row r="381" spans="2:14" ht="15.75" customHeight="1" x14ac:dyDescent="0.25">
      <c r="B381" s="598" t="s">
        <v>645</v>
      </c>
      <c r="C381" s="537"/>
      <c r="D381" s="537"/>
      <c r="E381" s="537"/>
      <c r="F381" s="537"/>
      <c r="G381" s="537"/>
      <c r="H381" s="537"/>
      <c r="I381" s="537"/>
      <c r="J381" s="537"/>
      <c r="K381" s="538"/>
      <c r="L381" s="6"/>
      <c r="M381" s="8"/>
      <c r="N381" s="8"/>
    </row>
    <row r="382" spans="2:14" ht="15.75" customHeight="1" x14ac:dyDescent="0.25">
      <c r="B382" s="569" t="s">
        <v>239</v>
      </c>
      <c r="C382" s="537"/>
      <c r="D382" s="537"/>
      <c r="E382" s="537"/>
      <c r="F382" s="538"/>
      <c r="G382" s="105" t="s">
        <v>118</v>
      </c>
      <c r="H382" s="61" t="s">
        <v>119</v>
      </c>
      <c r="I382" s="569" t="s">
        <v>319</v>
      </c>
      <c r="J382" s="538"/>
      <c r="K382" s="61" t="s">
        <v>354</v>
      </c>
      <c r="L382" s="6"/>
      <c r="M382" s="8"/>
      <c r="N382" s="8"/>
    </row>
    <row r="383" spans="2:14" ht="15.75" customHeight="1" x14ac:dyDescent="0.25">
      <c r="B383" s="571" t="s">
        <v>355</v>
      </c>
      <c r="C383" s="537"/>
      <c r="D383" s="537"/>
      <c r="E383" s="537"/>
      <c r="F383" s="538"/>
      <c r="G383" s="14">
        <v>3</v>
      </c>
      <c r="H383" s="14" t="s">
        <v>335</v>
      </c>
      <c r="I383" s="556">
        <f>I365*0.03</f>
        <v>1615.83</v>
      </c>
      <c r="J383" s="538"/>
      <c r="K383" s="60">
        <f t="shared" ref="K383:K384" si="39">(I383*G383)/12</f>
        <v>403.95749999999998</v>
      </c>
      <c r="L383" s="6"/>
      <c r="M383" s="8"/>
      <c r="N383" s="8"/>
    </row>
    <row r="384" spans="2:14" ht="15.75" customHeight="1" x14ac:dyDescent="0.25">
      <c r="B384" s="571" t="s">
        <v>356</v>
      </c>
      <c r="C384" s="537"/>
      <c r="D384" s="537"/>
      <c r="E384" s="537"/>
      <c r="F384" s="538"/>
      <c r="G384" s="14">
        <v>3</v>
      </c>
      <c r="H384" s="14" t="s">
        <v>335</v>
      </c>
      <c r="I384" s="556">
        <v>109.27</v>
      </c>
      <c r="J384" s="538"/>
      <c r="K384" s="60">
        <f t="shared" si="39"/>
        <v>27.317499999999999</v>
      </c>
      <c r="L384" s="6"/>
      <c r="M384" s="8"/>
      <c r="N384" s="8"/>
    </row>
    <row r="385" spans="2:14" ht="15.75" customHeight="1" x14ac:dyDescent="0.25">
      <c r="B385" s="571" t="s">
        <v>358</v>
      </c>
      <c r="C385" s="537"/>
      <c r="D385" s="537"/>
      <c r="E385" s="537"/>
      <c r="F385" s="538"/>
      <c r="G385" s="14">
        <v>3</v>
      </c>
      <c r="H385" s="14" t="s">
        <v>335</v>
      </c>
      <c r="I385" s="556">
        <f>'10 - CUSTOS UN'!$J$252</f>
        <v>858.83333333333337</v>
      </c>
      <c r="J385" s="538"/>
      <c r="K385" s="60">
        <f>(I385/12)*G385</f>
        <v>214.70833333333331</v>
      </c>
      <c r="L385" s="6"/>
      <c r="M385" s="8"/>
      <c r="N385" s="8"/>
    </row>
    <row r="386" spans="2:14" ht="15.75" customHeight="1" x14ac:dyDescent="0.25">
      <c r="B386" s="571" t="s">
        <v>359</v>
      </c>
      <c r="C386" s="537"/>
      <c r="D386" s="537"/>
      <c r="E386" s="537"/>
      <c r="F386" s="538"/>
      <c r="G386" s="14">
        <v>3</v>
      </c>
      <c r="H386" s="14" t="s">
        <v>335</v>
      </c>
      <c r="I386" s="556">
        <f>'10 - CUSTOS UN'!$J$233</f>
        <v>57.093333333333334</v>
      </c>
      <c r="J386" s="538"/>
      <c r="K386" s="60">
        <f t="shared" ref="K386:K387" si="40">I386*G386</f>
        <v>171.28</v>
      </c>
      <c r="L386" s="6"/>
      <c r="M386" s="8"/>
      <c r="N386" s="8"/>
    </row>
    <row r="387" spans="2:14" ht="15.75" customHeight="1" x14ac:dyDescent="0.25">
      <c r="B387" s="628" t="s">
        <v>360</v>
      </c>
      <c r="C387" s="611"/>
      <c r="D387" s="611"/>
      <c r="E387" s="611"/>
      <c r="F387" s="612"/>
      <c r="G387" s="181">
        <v>3</v>
      </c>
      <c r="H387" s="181" t="s">
        <v>119</v>
      </c>
      <c r="I387" s="629">
        <f>SUM(K383:K386)/G387</f>
        <v>272.42111111111109</v>
      </c>
      <c r="J387" s="612"/>
      <c r="K387" s="184">
        <f t="shared" si="40"/>
        <v>817.26333333333332</v>
      </c>
      <c r="L387" s="6"/>
      <c r="M387" s="8"/>
      <c r="N387" s="8"/>
    </row>
    <row r="388" spans="2:14" ht="15.75" customHeight="1" x14ac:dyDescent="0.25">
      <c r="L388" s="6"/>
      <c r="M388" s="8"/>
      <c r="N388" s="8"/>
    </row>
    <row r="389" spans="2:14" ht="15.75" customHeight="1" x14ac:dyDescent="0.25">
      <c r="B389" s="598" t="s">
        <v>647</v>
      </c>
      <c r="C389" s="537"/>
      <c r="D389" s="537"/>
      <c r="E389" s="537"/>
      <c r="F389" s="537"/>
      <c r="G389" s="537"/>
      <c r="H389" s="537"/>
      <c r="I389" s="537"/>
      <c r="J389" s="537"/>
      <c r="K389" s="538"/>
      <c r="L389" s="6"/>
      <c r="M389" s="8"/>
      <c r="N389" s="8"/>
    </row>
    <row r="390" spans="2:14" ht="15" customHeight="1" x14ac:dyDescent="0.25">
      <c r="B390" s="637" t="s">
        <v>239</v>
      </c>
      <c r="C390" s="564"/>
      <c r="D390" s="564"/>
      <c r="E390" s="564"/>
      <c r="F390" s="565"/>
      <c r="G390" s="170" t="s">
        <v>118</v>
      </c>
      <c r="H390" s="155" t="s">
        <v>119</v>
      </c>
      <c r="I390" s="637" t="s">
        <v>319</v>
      </c>
      <c r="J390" s="565"/>
      <c r="K390" s="155" t="s">
        <v>275</v>
      </c>
      <c r="L390" s="6"/>
      <c r="M390" s="8"/>
      <c r="N390" s="8"/>
    </row>
    <row r="391" spans="2:14" ht="15.75" customHeight="1" x14ac:dyDescent="0.25">
      <c r="B391" s="675" t="s">
        <v>363</v>
      </c>
      <c r="C391" s="535"/>
      <c r="D391" s="535"/>
      <c r="E391" s="535"/>
      <c r="F391" s="575"/>
      <c r="G391" s="186">
        <v>1467</v>
      </c>
      <c r="H391" s="14" t="s">
        <v>364</v>
      </c>
      <c r="I391" s="676"/>
      <c r="J391" s="575"/>
      <c r="K391" s="16"/>
      <c r="L391" s="6"/>
      <c r="M391" s="8"/>
      <c r="N391" s="8"/>
    </row>
    <row r="392" spans="2:14" ht="15.75" customHeight="1" x14ac:dyDescent="0.25">
      <c r="B392" s="571" t="s">
        <v>365</v>
      </c>
      <c r="C392" s="537"/>
      <c r="D392" s="537"/>
      <c r="E392" s="537"/>
      <c r="F392" s="538"/>
      <c r="G392" s="14">
        <v>9</v>
      </c>
      <c r="H392" s="14" t="s">
        <v>367</v>
      </c>
      <c r="I392" s="680"/>
      <c r="J392" s="538"/>
      <c r="K392" s="187"/>
      <c r="L392" s="6"/>
      <c r="M392" s="8"/>
      <c r="N392" s="8"/>
    </row>
    <row r="393" spans="2:14" ht="15.75" customHeight="1" x14ac:dyDescent="0.25">
      <c r="B393" s="571" t="s">
        <v>648</v>
      </c>
      <c r="C393" s="537"/>
      <c r="D393" s="537"/>
      <c r="E393" s="537"/>
      <c r="F393" s="538"/>
      <c r="G393" s="14">
        <v>1</v>
      </c>
      <c r="H393" s="14" t="s">
        <v>369</v>
      </c>
      <c r="I393" s="683">
        <v>6.52</v>
      </c>
      <c r="J393" s="538"/>
      <c r="K393" s="16"/>
      <c r="L393" s="6"/>
      <c r="M393" s="8"/>
      <c r="N393" s="8"/>
    </row>
    <row r="394" spans="2:14" ht="15.75" customHeight="1" x14ac:dyDescent="0.25">
      <c r="B394" s="684" t="s">
        <v>371</v>
      </c>
      <c r="C394" s="564"/>
      <c r="D394" s="564"/>
      <c r="E394" s="564"/>
      <c r="F394" s="565"/>
      <c r="G394" s="188">
        <f>G391/G392</f>
        <v>163</v>
      </c>
      <c r="H394" s="174" t="s">
        <v>372</v>
      </c>
      <c r="I394" s="657">
        <f>I393</f>
        <v>6.52</v>
      </c>
      <c r="J394" s="565"/>
      <c r="K394" s="175">
        <f t="shared" ref="K394:K395" si="41">I394*G394</f>
        <v>1062.76</v>
      </c>
      <c r="L394" s="6"/>
      <c r="M394" s="8"/>
      <c r="N394" s="8"/>
    </row>
    <row r="395" spans="2:14" ht="15.75" customHeight="1" x14ac:dyDescent="0.25">
      <c r="B395" s="628" t="s">
        <v>374</v>
      </c>
      <c r="C395" s="611"/>
      <c r="D395" s="611"/>
      <c r="E395" s="611"/>
      <c r="F395" s="612"/>
      <c r="G395" s="181">
        <v>3</v>
      </c>
      <c r="H395" s="181" t="s">
        <v>119</v>
      </c>
      <c r="I395" s="629">
        <f>K394</f>
        <v>1062.76</v>
      </c>
      <c r="J395" s="612"/>
      <c r="K395" s="184">
        <f t="shared" si="41"/>
        <v>3188.2799999999997</v>
      </c>
      <c r="L395" s="6"/>
      <c r="M395" s="8"/>
      <c r="N395" s="8"/>
    </row>
    <row r="396" spans="2:14" ht="15.75" customHeight="1" x14ac:dyDescent="0.25">
      <c r="B396" s="151"/>
      <c r="C396" s="151"/>
      <c r="D396" s="151"/>
      <c r="E396" s="151"/>
      <c r="F396" s="151"/>
      <c r="G396" s="1"/>
      <c r="H396" s="1"/>
      <c r="I396" s="152"/>
      <c r="J396" s="152"/>
      <c r="K396" s="189"/>
      <c r="L396" s="6"/>
      <c r="M396" s="8"/>
      <c r="N396" s="8"/>
    </row>
    <row r="397" spans="2:14" ht="15" customHeight="1" x14ac:dyDescent="0.25">
      <c r="B397" s="598" t="s">
        <v>649</v>
      </c>
      <c r="C397" s="537"/>
      <c r="D397" s="537"/>
      <c r="E397" s="537"/>
      <c r="F397" s="537"/>
      <c r="G397" s="537"/>
      <c r="H397" s="537"/>
      <c r="I397" s="537"/>
      <c r="J397" s="537"/>
      <c r="K397" s="538"/>
      <c r="L397" s="6"/>
      <c r="M397" s="8"/>
      <c r="N397" s="8"/>
    </row>
    <row r="398" spans="2:14" ht="15" customHeight="1" x14ac:dyDescent="0.25">
      <c r="B398" s="637" t="s">
        <v>239</v>
      </c>
      <c r="C398" s="564"/>
      <c r="D398" s="564"/>
      <c r="E398" s="564"/>
      <c r="F398" s="565"/>
      <c r="G398" s="170" t="s">
        <v>118</v>
      </c>
      <c r="H398" s="155" t="s">
        <v>119</v>
      </c>
      <c r="I398" s="637" t="s">
        <v>319</v>
      </c>
      <c r="J398" s="565"/>
      <c r="K398" s="155" t="s">
        <v>320</v>
      </c>
      <c r="L398" s="6"/>
      <c r="M398" s="8"/>
      <c r="N398" s="8"/>
    </row>
    <row r="399" spans="2:14" ht="15" customHeight="1" x14ac:dyDescent="0.25">
      <c r="B399" s="675" t="s">
        <v>381</v>
      </c>
      <c r="C399" s="535"/>
      <c r="D399" s="535"/>
      <c r="E399" s="535"/>
      <c r="F399" s="575"/>
      <c r="G399" s="14">
        <v>0.35</v>
      </c>
      <c r="H399" s="14" t="s">
        <v>382</v>
      </c>
      <c r="I399" s="676">
        <f>'10 - CUSTOS UN'!J213</f>
        <v>43.476666666666659</v>
      </c>
      <c r="J399" s="575"/>
      <c r="K399" s="60">
        <f t="shared" ref="K399:K400" si="42">I399*G399</f>
        <v>15.21683333333333</v>
      </c>
      <c r="L399" s="6"/>
      <c r="M399" s="8"/>
      <c r="N399" s="8"/>
    </row>
    <row r="400" spans="2:14" ht="15" customHeight="1" x14ac:dyDescent="0.25">
      <c r="B400" s="679" t="s">
        <v>384</v>
      </c>
      <c r="C400" s="537"/>
      <c r="D400" s="537"/>
      <c r="E400" s="537"/>
      <c r="F400" s="538"/>
      <c r="G400" s="192">
        <f>G391</f>
        <v>1467</v>
      </c>
      <c r="H400" s="17" t="s">
        <v>364</v>
      </c>
      <c r="I400" s="680">
        <f>K399/1000</f>
        <v>1.521683333333333E-2</v>
      </c>
      <c r="J400" s="538"/>
      <c r="K400" s="193">
        <f t="shared" si="42"/>
        <v>22.323094499999996</v>
      </c>
      <c r="L400" s="6"/>
      <c r="M400" s="8"/>
      <c r="N400" s="8"/>
    </row>
    <row r="401" spans="2:14" ht="15" customHeight="1" x14ac:dyDescent="0.25">
      <c r="B401" s="571" t="s">
        <v>387</v>
      </c>
      <c r="C401" s="537"/>
      <c r="D401" s="537"/>
      <c r="E401" s="537"/>
      <c r="F401" s="538"/>
      <c r="G401" s="171">
        <v>3.3000000000000002E-2</v>
      </c>
      <c r="H401" s="14" t="s">
        <v>382</v>
      </c>
      <c r="I401" s="556">
        <f>'10 - CUSTOS UN'!J222</f>
        <v>91.399999999999991</v>
      </c>
      <c r="J401" s="538"/>
      <c r="K401" s="60">
        <f>G401*I401</f>
        <v>3.0162</v>
      </c>
      <c r="L401" s="6"/>
      <c r="M401" s="8"/>
      <c r="N401" s="8"/>
    </row>
    <row r="402" spans="2:14" ht="15" customHeight="1" x14ac:dyDescent="0.25">
      <c r="B402" s="679" t="s">
        <v>390</v>
      </c>
      <c r="C402" s="537"/>
      <c r="D402" s="537"/>
      <c r="E402" s="537"/>
      <c r="F402" s="538"/>
      <c r="G402" s="192">
        <f>G391</f>
        <v>1467</v>
      </c>
      <c r="H402" s="17" t="s">
        <v>364</v>
      </c>
      <c r="I402" s="692">
        <f>K401/1000</f>
        <v>3.0162000000000001E-3</v>
      </c>
      <c r="J402" s="538"/>
      <c r="K402" s="193">
        <f t="shared" ref="K402:K405" si="43">I402*G402</f>
        <v>4.4247654000000001</v>
      </c>
      <c r="L402" s="6"/>
      <c r="M402" s="8"/>
      <c r="N402" s="8"/>
    </row>
    <row r="403" spans="2:14" ht="15" customHeight="1" x14ac:dyDescent="0.25">
      <c r="B403" s="571" t="s">
        <v>397</v>
      </c>
      <c r="C403" s="537"/>
      <c r="D403" s="537"/>
      <c r="E403" s="537"/>
      <c r="F403" s="538"/>
      <c r="G403" s="14">
        <v>0.03</v>
      </c>
      <c r="H403" s="14" t="s">
        <v>398</v>
      </c>
      <c r="I403" s="556">
        <f>'10 - CUSTOS UN'!J228</f>
        <v>43.276666666666664</v>
      </c>
      <c r="J403" s="538"/>
      <c r="K403" s="60">
        <f t="shared" si="43"/>
        <v>1.2982999999999998</v>
      </c>
      <c r="L403" s="6"/>
      <c r="M403" s="8"/>
      <c r="N403" s="8"/>
    </row>
    <row r="404" spans="2:14" ht="15" customHeight="1" x14ac:dyDescent="0.25">
      <c r="B404" s="684" t="s">
        <v>399</v>
      </c>
      <c r="C404" s="564"/>
      <c r="D404" s="564"/>
      <c r="E404" s="564"/>
      <c r="F404" s="565"/>
      <c r="G404" s="188">
        <f>G391</f>
        <v>1467</v>
      </c>
      <c r="H404" s="174" t="s">
        <v>364</v>
      </c>
      <c r="I404" s="693">
        <f>K403/1000</f>
        <v>1.2982999999999998E-3</v>
      </c>
      <c r="J404" s="565"/>
      <c r="K404" s="175">
        <f t="shared" si="43"/>
        <v>1.9046060999999999</v>
      </c>
      <c r="L404" s="6"/>
      <c r="M404" s="8"/>
      <c r="N404" s="8"/>
    </row>
    <row r="405" spans="2:14" ht="15" customHeight="1" x14ac:dyDescent="0.25">
      <c r="B405" s="628" t="s">
        <v>401</v>
      </c>
      <c r="C405" s="611"/>
      <c r="D405" s="611"/>
      <c r="E405" s="611"/>
      <c r="F405" s="612"/>
      <c r="G405" s="181">
        <v>3</v>
      </c>
      <c r="H405" s="181" t="s">
        <v>119</v>
      </c>
      <c r="I405" s="629">
        <f>SUM(K400,K402,K404)</f>
        <v>28.652465999999993</v>
      </c>
      <c r="J405" s="612"/>
      <c r="K405" s="184">
        <f t="shared" si="43"/>
        <v>85.957397999999984</v>
      </c>
      <c r="L405" s="6"/>
      <c r="M405" s="8"/>
      <c r="N405" s="8"/>
    </row>
    <row r="406" spans="2:14" ht="15" customHeight="1" x14ac:dyDescent="0.25">
      <c r="B406" s="148"/>
      <c r="C406" s="148"/>
      <c r="D406" s="148"/>
      <c r="E406" s="148"/>
      <c r="F406" s="148"/>
      <c r="G406" s="148"/>
      <c r="H406" s="148"/>
      <c r="I406" s="148"/>
      <c r="J406" s="148"/>
      <c r="K406" s="148"/>
      <c r="L406" s="6"/>
      <c r="M406" s="8"/>
      <c r="N406" s="8"/>
    </row>
    <row r="407" spans="2:14" ht="15" customHeight="1" x14ac:dyDescent="0.25">
      <c r="B407" s="598" t="s">
        <v>654</v>
      </c>
      <c r="C407" s="537"/>
      <c r="D407" s="537"/>
      <c r="E407" s="537"/>
      <c r="F407" s="537"/>
      <c r="G407" s="537"/>
      <c r="H407" s="537"/>
      <c r="I407" s="537"/>
      <c r="J407" s="537"/>
      <c r="K407" s="538"/>
      <c r="L407" s="6"/>
      <c r="M407" s="8"/>
      <c r="N407" s="8"/>
    </row>
    <row r="408" spans="2:14" ht="15" customHeight="1" x14ac:dyDescent="0.25">
      <c r="B408" s="637" t="s">
        <v>239</v>
      </c>
      <c r="C408" s="564"/>
      <c r="D408" s="564"/>
      <c r="E408" s="564"/>
      <c r="F408" s="565"/>
      <c r="G408" s="170" t="s">
        <v>118</v>
      </c>
      <c r="H408" s="155" t="s">
        <v>119</v>
      </c>
      <c r="I408" s="637" t="s">
        <v>319</v>
      </c>
      <c r="J408" s="565"/>
      <c r="K408" s="155" t="s">
        <v>320</v>
      </c>
      <c r="L408" s="6"/>
      <c r="M408" s="8"/>
      <c r="N408" s="8"/>
    </row>
    <row r="409" spans="2:14" ht="15" customHeight="1" x14ac:dyDescent="0.25">
      <c r="B409" s="675" t="s">
        <v>656</v>
      </c>
      <c r="C409" s="535"/>
      <c r="D409" s="535"/>
      <c r="E409" s="535"/>
      <c r="F409" s="575"/>
      <c r="G409" s="14">
        <v>3</v>
      </c>
      <c r="H409" s="14" t="s">
        <v>335</v>
      </c>
      <c r="I409" s="686">
        <f>'10 - CUSTOS UN'!J198</f>
        <v>374.19333333333338</v>
      </c>
      <c r="J409" s="575"/>
      <c r="K409" s="86">
        <f>I409*G409</f>
        <v>1122.5800000000002</v>
      </c>
      <c r="L409" s="6"/>
      <c r="M409" s="8"/>
      <c r="N409" s="8"/>
    </row>
    <row r="410" spans="2:14" ht="15" customHeight="1" x14ac:dyDescent="0.25">
      <c r="B410" s="571" t="s">
        <v>411</v>
      </c>
      <c r="C410" s="537"/>
      <c r="D410" s="537"/>
      <c r="E410" s="537"/>
      <c r="F410" s="538"/>
      <c r="G410" s="15">
        <v>50000</v>
      </c>
      <c r="H410" s="14" t="s">
        <v>413</v>
      </c>
      <c r="I410" s="617"/>
      <c r="J410" s="538"/>
      <c r="K410" s="173"/>
      <c r="L410" s="6"/>
      <c r="M410" s="8"/>
      <c r="N410" s="8"/>
    </row>
    <row r="411" spans="2:14" ht="15" customHeight="1" x14ac:dyDescent="0.25">
      <c r="B411" s="571" t="s">
        <v>559</v>
      </c>
      <c r="C411" s="537"/>
      <c r="D411" s="537"/>
      <c r="E411" s="537"/>
      <c r="F411" s="538"/>
      <c r="G411" s="15">
        <f>G410</f>
        <v>50000</v>
      </c>
      <c r="H411" s="14" t="s">
        <v>417</v>
      </c>
      <c r="I411" s="556">
        <f>K409</f>
        <v>1122.5800000000002</v>
      </c>
      <c r="J411" s="538"/>
      <c r="K411" s="60">
        <f>I411/G411</f>
        <v>2.2451600000000002E-2</v>
      </c>
      <c r="L411" s="6"/>
      <c r="M411" s="8"/>
      <c r="N411" s="8"/>
    </row>
    <row r="412" spans="2:14" ht="15" customHeight="1" x14ac:dyDescent="0.25">
      <c r="B412" s="684" t="s">
        <v>418</v>
      </c>
      <c r="C412" s="564"/>
      <c r="D412" s="564"/>
      <c r="E412" s="564"/>
      <c r="F412" s="565"/>
      <c r="G412" s="188">
        <f>G391</f>
        <v>1467</v>
      </c>
      <c r="H412" s="174" t="s">
        <v>413</v>
      </c>
      <c r="I412" s="657">
        <f t="shared" ref="I412:I413" si="44">K411</f>
        <v>2.2451600000000002E-2</v>
      </c>
      <c r="J412" s="565"/>
      <c r="K412" s="175">
        <f t="shared" ref="K412:K413" si="45">I412*G412</f>
        <v>32.936497200000005</v>
      </c>
      <c r="L412" s="6"/>
      <c r="M412" s="8"/>
      <c r="N412" s="8"/>
    </row>
    <row r="413" spans="2:14" ht="15" customHeight="1" x14ac:dyDescent="0.25">
      <c r="B413" s="628" t="s">
        <v>420</v>
      </c>
      <c r="C413" s="611"/>
      <c r="D413" s="611"/>
      <c r="E413" s="611"/>
      <c r="F413" s="612"/>
      <c r="G413" s="181">
        <v>3</v>
      </c>
      <c r="H413" s="181" t="s">
        <v>119</v>
      </c>
      <c r="I413" s="629">
        <f t="shared" si="44"/>
        <v>32.936497200000005</v>
      </c>
      <c r="J413" s="612"/>
      <c r="K413" s="184">
        <f t="shared" si="45"/>
        <v>98.809491600000015</v>
      </c>
      <c r="L413" s="6"/>
      <c r="M413" s="8"/>
      <c r="N413" s="8"/>
    </row>
    <row r="414" spans="2:14" ht="15" customHeight="1" x14ac:dyDescent="0.25">
      <c r="B414" s="151"/>
      <c r="C414" s="151"/>
      <c r="D414" s="151"/>
      <c r="E414" s="151"/>
      <c r="F414" s="151"/>
      <c r="G414" s="1"/>
      <c r="H414" s="1"/>
      <c r="I414" s="152"/>
      <c r="J414" s="152"/>
      <c r="K414" s="189"/>
      <c r="L414" s="6"/>
      <c r="M414" s="8"/>
      <c r="N414" s="8"/>
    </row>
    <row r="415" spans="2:14" ht="15" customHeight="1" x14ac:dyDescent="0.25">
      <c r="B415" s="598" t="s">
        <v>664</v>
      </c>
      <c r="C415" s="537"/>
      <c r="D415" s="537"/>
      <c r="E415" s="537"/>
      <c r="F415" s="537"/>
      <c r="G415" s="537"/>
      <c r="H415" s="537"/>
      <c r="I415" s="537"/>
      <c r="J415" s="537"/>
      <c r="K415" s="538"/>
      <c r="L415" s="6"/>
      <c r="M415" s="8"/>
      <c r="N415" s="8"/>
    </row>
    <row r="416" spans="2:14" ht="15" customHeight="1" x14ac:dyDescent="0.25">
      <c r="B416" s="637" t="s">
        <v>239</v>
      </c>
      <c r="C416" s="564"/>
      <c r="D416" s="564"/>
      <c r="E416" s="564"/>
      <c r="F416" s="565"/>
      <c r="G416" s="170" t="s">
        <v>118</v>
      </c>
      <c r="H416" s="155" t="s">
        <v>119</v>
      </c>
      <c r="I416" s="637" t="s">
        <v>319</v>
      </c>
      <c r="J416" s="565"/>
      <c r="K416" s="155" t="s">
        <v>275</v>
      </c>
      <c r="L416" s="6"/>
      <c r="M416" s="8"/>
      <c r="N416" s="8"/>
    </row>
    <row r="417" spans="2:14" ht="15" customHeight="1" x14ac:dyDescent="0.25">
      <c r="B417" s="687" t="s">
        <v>425</v>
      </c>
      <c r="C417" s="532"/>
      <c r="D417" s="532"/>
      <c r="E417" s="532"/>
      <c r="F417" s="688"/>
      <c r="G417" s="203">
        <f>G391</f>
        <v>1467</v>
      </c>
      <c r="H417" s="204" t="s">
        <v>364</v>
      </c>
      <c r="I417" s="689">
        <v>1.18</v>
      </c>
      <c r="J417" s="688"/>
      <c r="K417" s="205">
        <f t="shared" ref="K417:K418" si="46">I417*G417</f>
        <v>1731.06</v>
      </c>
      <c r="L417" s="6"/>
      <c r="M417" s="8"/>
      <c r="N417" s="8"/>
    </row>
    <row r="418" spans="2:14" ht="15" customHeight="1" x14ac:dyDescent="0.25">
      <c r="B418" s="628" t="s">
        <v>427</v>
      </c>
      <c r="C418" s="611"/>
      <c r="D418" s="611"/>
      <c r="E418" s="611"/>
      <c r="F418" s="612"/>
      <c r="G418" s="181">
        <v>3</v>
      </c>
      <c r="H418" s="181" t="s">
        <v>335</v>
      </c>
      <c r="I418" s="629">
        <f>K417</f>
        <v>1731.06</v>
      </c>
      <c r="J418" s="612"/>
      <c r="K418" s="184">
        <f t="shared" si="46"/>
        <v>5193.18</v>
      </c>
      <c r="L418" s="6"/>
      <c r="M418" s="8"/>
      <c r="N418" s="8"/>
    </row>
    <row r="419" spans="2:14" ht="15" customHeight="1" x14ac:dyDescent="0.25">
      <c r="B419" s="148"/>
      <c r="C419" s="148"/>
      <c r="D419" s="148"/>
      <c r="E419" s="148"/>
      <c r="F419" s="148"/>
      <c r="G419" s="148"/>
      <c r="H419" s="148"/>
      <c r="I419" s="148"/>
      <c r="J419" s="148"/>
      <c r="K419" s="148"/>
      <c r="L419" s="6"/>
      <c r="M419" s="8"/>
      <c r="N419" s="8"/>
    </row>
    <row r="420" spans="2:14" ht="15" customHeight="1" x14ac:dyDescent="0.25">
      <c r="B420" s="552" t="s">
        <v>570</v>
      </c>
      <c r="C420" s="537"/>
      <c r="D420" s="537"/>
      <c r="E420" s="537"/>
      <c r="F420" s="537"/>
      <c r="G420" s="537"/>
      <c r="H420" s="537"/>
      <c r="I420" s="537"/>
      <c r="J420" s="538"/>
      <c r="K420" s="209">
        <f>SUM(I418,I413,I405,I395,I387,I379,I370)</f>
        <v>3834.7556993111111</v>
      </c>
      <c r="L420" s="6"/>
      <c r="M420" s="8"/>
      <c r="N420" s="8"/>
    </row>
    <row r="421" spans="2:14" ht="15" customHeight="1" x14ac:dyDescent="0.25">
      <c r="B421" s="552" t="s">
        <v>433</v>
      </c>
      <c r="C421" s="537"/>
      <c r="D421" s="537"/>
      <c r="E421" s="537"/>
      <c r="F421" s="537"/>
      <c r="G421" s="537"/>
      <c r="H421" s="537"/>
      <c r="I421" s="537"/>
      <c r="J421" s="538"/>
      <c r="K421" s="209">
        <f>SUM(K418,K413,K405,K395,K387,K379,K370)</f>
        <v>11504.267097933331</v>
      </c>
      <c r="L421" s="6"/>
      <c r="M421" s="8"/>
      <c r="N421" s="8"/>
    </row>
    <row r="422" spans="2:14" ht="15" customHeight="1" x14ac:dyDescent="0.25">
      <c r="B422" s="65"/>
      <c r="C422" s="65"/>
      <c r="D422" s="65"/>
      <c r="E422" s="65"/>
      <c r="F422" s="65"/>
      <c r="G422" s="65"/>
      <c r="H422" s="65"/>
      <c r="I422" s="65"/>
      <c r="J422" s="65"/>
      <c r="K422" s="235"/>
      <c r="L422" s="6"/>
      <c r="M422" s="8"/>
      <c r="N422" s="8"/>
    </row>
    <row r="423" spans="2:14" ht="15" customHeight="1" x14ac:dyDescent="0.25">
      <c r="B423" s="596" t="s">
        <v>673</v>
      </c>
      <c r="C423" s="537"/>
      <c r="D423" s="537"/>
      <c r="E423" s="537"/>
      <c r="F423" s="537"/>
      <c r="G423" s="537"/>
      <c r="H423" s="537"/>
      <c r="I423" s="537"/>
      <c r="J423" s="537"/>
      <c r="K423" s="538"/>
      <c r="L423" s="6"/>
      <c r="M423" s="8"/>
      <c r="N423" s="8"/>
    </row>
    <row r="424" spans="2:14" ht="15.75" customHeight="1" x14ac:dyDescent="0.25">
      <c r="L424" s="6"/>
      <c r="M424" s="8"/>
      <c r="N424" s="8"/>
    </row>
    <row r="425" spans="2:14" ht="15" customHeight="1" x14ac:dyDescent="0.25">
      <c r="B425" s="598" t="s">
        <v>674</v>
      </c>
      <c r="C425" s="537"/>
      <c r="D425" s="537"/>
      <c r="E425" s="537"/>
      <c r="F425" s="537"/>
      <c r="G425" s="537"/>
      <c r="H425" s="537"/>
      <c r="I425" s="537"/>
      <c r="J425" s="537"/>
      <c r="K425" s="538"/>
      <c r="L425" s="6"/>
      <c r="M425" s="8"/>
      <c r="N425" s="8"/>
    </row>
    <row r="426" spans="2:14" ht="15" customHeight="1" x14ac:dyDescent="0.25">
      <c r="B426" s="170" t="s">
        <v>239</v>
      </c>
      <c r="C426" s="208"/>
      <c r="D426" s="208"/>
      <c r="E426" s="208"/>
      <c r="F426" s="210"/>
      <c r="G426" s="170" t="s">
        <v>118</v>
      </c>
      <c r="H426" s="155" t="s">
        <v>119</v>
      </c>
      <c r="I426" s="637" t="s">
        <v>319</v>
      </c>
      <c r="J426" s="565"/>
      <c r="K426" s="155" t="s">
        <v>320</v>
      </c>
      <c r="L426" s="6"/>
      <c r="M426" s="8"/>
      <c r="N426" s="8"/>
    </row>
    <row r="427" spans="2:14" ht="15" customHeight="1" x14ac:dyDescent="0.25">
      <c r="B427" s="675" t="s">
        <v>676</v>
      </c>
      <c r="C427" s="535"/>
      <c r="D427" s="535"/>
      <c r="E427" s="535"/>
      <c r="F427" s="575"/>
      <c r="G427" s="253">
        <v>850</v>
      </c>
      <c r="H427" s="171" t="s">
        <v>119</v>
      </c>
      <c r="I427" s="676">
        <v>1744.58</v>
      </c>
      <c r="J427" s="575"/>
      <c r="K427" s="172">
        <f>I427*G427</f>
        <v>1482893</v>
      </c>
      <c r="L427" s="6"/>
      <c r="M427" s="8"/>
      <c r="N427" s="8"/>
    </row>
    <row r="428" spans="2:14" ht="15" customHeight="1" x14ac:dyDescent="0.25">
      <c r="B428" s="571" t="s">
        <v>677</v>
      </c>
      <c r="C428" s="537"/>
      <c r="D428" s="537"/>
      <c r="E428" s="537"/>
      <c r="F428" s="538"/>
      <c r="G428" s="14">
        <v>2</v>
      </c>
      <c r="H428" s="14" t="s">
        <v>323</v>
      </c>
      <c r="I428" s="617"/>
      <c r="J428" s="538"/>
      <c r="K428" s="173"/>
      <c r="L428" s="6"/>
      <c r="M428" s="8"/>
      <c r="N428" s="8"/>
    </row>
    <row r="429" spans="2:14" ht="15" customHeight="1" x14ac:dyDescent="0.25">
      <c r="B429" s="571" t="s">
        <v>678</v>
      </c>
      <c r="C429" s="537"/>
      <c r="D429" s="537"/>
      <c r="E429" s="537"/>
      <c r="F429" s="538"/>
      <c r="G429" s="14">
        <v>0</v>
      </c>
      <c r="H429" s="14" t="s">
        <v>323</v>
      </c>
      <c r="I429" s="617"/>
      <c r="J429" s="538"/>
      <c r="K429" s="173"/>
      <c r="L429" s="6"/>
      <c r="M429" s="8"/>
      <c r="N429" s="8"/>
    </row>
    <row r="430" spans="2:14" ht="15" customHeight="1" x14ac:dyDescent="0.25">
      <c r="B430" s="605" t="s">
        <v>679</v>
      </c>
      <c r="C430" s="537"/>
      <c r="D430" s="537"/>
      <c r="E430" s="537"/>
      <c r="F430" s="538"/>
      <c r="G430" s="14">
        <v>95</v>
      </c>
      <c r="H430" s="14" t="s">
        <v>141</v>
      </c>
      <c r="I430" s="556">
        <f>I427</f>
        <v>1744.58</v>
      </c>
      <c r="J430" s="538"/>
      <c r="K430" s="60">
        <f>I430*G430/100</f>
        <v>1657.3510000000001</v>
      </c>
      <c r="L430" s="6"/>
      <c r="M430" s="8"/>
      <c r="N430" s="8"/>
    </row>
    <row r="431" spans="2:14" ht="15" customHeight="1" x14ac:dyDescent="0.25">
      <c r="B431" s="608" t="s">
        <v>680</v>
      </c>
      <c r="C431" s="564"/>
      <c r="D431" s="564"/>
      <c r="E431" s="564"/>
      <c r="F431" s="565"/>
      <c r="G431" s="174">
        <f>G428*12</f>
        <v>24</v>
      </c>
      <c r="H431" s="174" t="s">
        <v>327</v>
      </c>
      <c r="I431" s="657">
        <f t="shared" ref="I431:I432" si="47">K430</f>
        <v>1657.3510000000001</v>
      </c>
      <c r="J431" s="565"/>
      <c r="K431" s="175">
        <f>I431/G431</f>
        <v>69.056291666666667</v>
      </c>
      <c r="L431" s="6"/>
      <c r="M431" s="8"/>
      <c r="N431" s="8"/>
    </row>
    <row r="432" spans="2:14" ht="15" customHeight="1" x14ac:dyDescent="0.25">
      <c r="B432" s="658" t="s">
        <v>681</v>
      </c>
      <c r="C432" s="537"/>
      <c r="D432" s="537"/>
      <c r="E432" s="537"/>
      <c r="F432" s="538"/>
      <c r="G432" s="61">
        <f>G427</f>
        <v>850</v>
      </c>
      <c r="H432" s="61" t="s">
        <v>335</v>
      </c>
      <c r="I432" s="659">
        <f t="shared" si="47"/>
        <v>69.056291666666667</v>
      </c>
      <c r="J432" s="538"/>
      <c r="K432" s="51">
        <f>I432*G432</f>
        <v>58697.847916666666</v>
      </c>
      <c r="L432" s="6"/>
      <c r="M432" s="8"/>
      <c r="N432" s="8"/>
    </row>
    <row r="433" spans="2:14" ht="15.75" customHeight="1" x14ac:dyDescent="0.25">
      <c r="L433" s="6"/>
      <c r="M433" s="8"/>
      <c r="N433" s="8"/>
    </row>
    <row r="434" spans="2:14" ht="15" customHeight="1" x14ac:dyDescent="0.25">
      <c r="B434" s="598" t="s">
        <v>682</v>
      </c>
      <c r="C434" s="537"/>
      <c r="D434" s="537"/>
      <c r="E434" s="537"/>
      <c r="F434" s="537"/>
      <c r="G434" s="537"/>
      <c r="H434" s="537"/>
      <c r="I434" s="537"/>
      <c r="J434" s="537"/>
      <c r="K434" s="538"/>
      <c r="L434" s="6"/>
      <c r="M434" s="8"/>
      <c r="N434" s="8"/>
    </row>
    <row r="435" spans="2:14" ht="15" customHeight="1" x14ac:dyDescent="0.25">
      <c r="B435" s="569" t="s">
        <v>239</v>
      </c>
      <c r="C435" s="537"/>
      <c r="D435" s="537"/>
      <c r="E435" s="537"/>
      <c r="F435" s="538"/>
      <c r="G435" s="105" t="s">
        <v>118</v>
      </c>
      <c r="H435" s="61" t="s">
        <v>119</v>
      </c>
      <c r="I435" s="569" t="s">
        <v>319</v>
      </c>
      <c r="J435" s="538"/>
      <c r="K435" s="61" t="s">
        <v>320</v>
      </c>
      <c r="L435" s="6"/>
      <c r="M435" s="8"/>
      <c r="N435" s="8"/>
    </row>
    <row r="436" spans="2:14" ht="15" customHeight="1" x14ac:dyDescent="0.25">
      <c r="B436" s="605" t="s">
        <v>683</v>
      </c>
      <c r="C436" s="537"/>
      <c r="D436" s="537"/>
      <c r="E436" s="537"/>
      <c r="F436" s="538"/>
      <c r="G436" s="14">
        <f>G427</f>
        <v>850</v>
      </c>
      <c r="H436" s="14" t="s">
        <v>335</v>
      </c>
      <c r="I436" s="556">
        <f>I427</f>
        <v>1744.58</v>
      </c>
      <c r="J436" s="538"/>
      <c r="K436" s="60">
        <f>I436*G436</f>
        <v>1482893</v>
      </c>
      <c r="L436" s="6"/>
      <c r="M436" s="8"/>
      <c r="N436" s="8"/>
    </row>
    <row r="437" spans="2:14" ht="15" customHeight="1" x14ac:dyDescent="0.25">
      <c r="B437" s="605" t="s">
        <v>338</v>
      </c>
      <c r="C437" s="537"/>
      <c r="D437" s="537"/>
      <c r="E437" s="537"/>
      <c r="F437" s="538"/>
      <c r="G437" s="73">
        <v>13.75</v>
      </c>
      <c r="H437" s="14" t="s">
        <v>141</v>
      </c>
      <c r="I437" s="617"/>
      <c r="J437" s="538"/>
      <c r="K437" s="60"/>
      <c r="L437" s="6"/>
      <c r="M437" s="8"/>
      <c r="N437" s="8"/>
    </row>
    <row r="438" spans="2:14" ht="15" customHeight="1" x14ac:dyDescent="0.25">
      <c r="B438" s="605" t="s">
        <v>684</v>
      </c>
      <c r="C438" s="537"/>
      <c r="D438" s="537"/>
      <c r="E438" s="537"/>
      <c r="F438" s="538"/>
      <c r="G438" s="14"/>
      <c r="H438" s="14"/>
      <c r="I438" s="556">
        <f>IFERROR(IF(G429&lt;=G428,I427-(G430/(100*G428)*G429)*I427,I427-K430),0)</f>
        <v>1744.58</v>
      </c>
      <c r="J438" s="538"/>
      <c r="K438" s="60"/>
      <c r="L438" s="6"/>
      <c r="M438" s="8"/>
      <c r="N438" s="8"/>
    </row>
    <row r="439" spans="2:14" ht="15" customHeight="1" x14ac:dyDescent="0.25">
      <c r="B439" s="605" t="s">
        <v>685</v>
      </c>
      <c r="C439" s="537"/>
      <c r="D439" s="537"/>
      <c r="E439" s="537"/>
      <c r="F439" s="538"/>
      <c r="G439" s="14"/>
      <c r="H439" s="14"/>
      <c r="I439" s="556">
        <f>IFERROR(IF(G429&gt;=G428,I438,((((I438)-(I427-K430))*(((G428-G429)+1)/(2*(G428-G429))))+(I427-K430))),0)</f>
        <v>1330.2422499999998</v>
      </c>
      <c r="J439" s="538"/>
      <c r="K439" s="60"/>
      <c r="L439" s="6"/>
      <c r="M439" s="8"/>
      <c r="N439" s="8"/>
    </row>
    <row r="440" spans="2:14" ht="15" customHeight="1" x14ac:dyDescent="0.25">
      <c r="B440" s="608" t="s">
        <v>686</v>
      </c>
      <c r="C440" s="564"/>
      <c r="D440" s="564"/>
      <c r="E440" s="564"/>
      <c r="F440" s="565"/>
      <c r="G440" s="178"/>
      <c r="H440" s="178"/>
      <c r="I440" s="657">
        <f>G437*I439/12/100</f>
        <v>15.24235911458333</v>
      </c>
      <c r="J440" s="565"/>
      <c r="K440" s="175">
        <f>I440</f>
        <v>15.24235911458333</v>
      </c>
      <c r="L440" s="6"/>
      <c r="M440" s="8"/>
      <c r="N440" s="8"/>
    </row>
    <row r="441" spans="2:14" ht="15" customHeight="1" x14ac:dyDescent="0.25">
      <c r="B441" s="658" t="s">
        <v>687</v>
      </c>
      <c r="C441" s="537"/>
      <c r="D441" s="537"/>
      <c r="E441" s="537"/>
      <c r="F441" s="538"/>
      <c r="G441" s="61">
        <f>G436</f>
        <v>850</v>
      </c>
      <c r="H441" s="61" t="s">
        <v>335</v>
      </c>
      <c r="I441" s="659">
        <f>K440</f>
        <v>15.24235911458333</v>
      </c>
      <c r="J441" s="538"/>
      <c r="K441" s="51">
        <f>I441*G441</f>
        <v>12956.005247395831</v>
      </c>
      <c r="L441" s="6"/>
      <c r="M441" s="8"/>
      <c r="N441" s="8"/>
    </row>
    <row r="442" spans="2:14" ht="15" customHeight="1" x14ac:dyDescent="0.25">
      <c r="B442" s="65"/>
      <c r="C442" s="65"/>
      <c r="D442" s="65"/>
      <c r="E442" s="65"/>
      <c r="F442" s="65"/>
      <c r="G442" s="65"/>
      <c r="H442" s="65"/>
      <c r="I442" s="65"/>
      <c r="J442" s="65"/>
      <c r="K442" s="235"/>
      <c r="L442" s="6"/>
      <c r="M442" s="8"/>
      <c r="N442" s="8"/>
    </row>
    <row r="443" spans="2:14" ht="15" customHeight="1" x14ac:dyDescent="0.25">
      <c r="B443" s="598" t="s">
        <v>688</v>
      </c>
      <c r="C443" s="537"/>
      <c r="D443" s="537"/>
      <c r="E443" s="537"/>
      <c r="F443" s="537"/>
      <c r="G443" s="537"/>
      <c r="H443" s="537"/>
      <c r="I443" s="537"/>
      <c r="J443" s="537"/>
      <c r="K443" s="538"/>
      <c r="L443" s="6"/>
      <c r="M443" s="8"/>
      <c r="N443" s="8"/>
    </row>
    <row r="444" spans="2:14" ht="15" customHeight="1" x14ac:dyDescent="0.25">
      <c r="B444" s="569" t="s">
        <v>239</v>
      </c>
      <c r="C444" s="537"/>
      <c r="D444" s="537"/>
      <c r="E444" s="537"/>
      <c r="F444" s="538"/>
      <c r="G444" s="105" t="s">
        <v>118</v>
      </c>
      <c r="H444" s="61" t="s">
        <v>119</v>
      </c>
      <c r="I444" s="569" t="s">
        <v>319</v>
      </c>
      <c r="J444" s="538"/>
      <c r="K444" s="61" t="s">
        <v>275</v>
      </c>
      <c r="L444" s="6"/>
      <c r="M444" s="8"/>
      <c r="N444" s="8"/>
    </row>
    <row r="445" spans="2:14" ht="15" customHeight="1" x14ac:dyDescent="0.25">
      <c r="B445" s="687" t="s">
        <v>425</v>
      </c>
      <c r="C445" s="532"/>
      <c r="D445" s="532"/>
      <c r="E445" s="532"/>
      <c r="F445" s="688"/>
      <c r="G445" s="339">
        <v>0.5</v>
      </c>
      <c r="H445" s="204" t="s">
        <v>141</v>
      </c>
      <c r="I445" s="774">
        <f>K427</f>
        <v>1482893</v>
      </c>
      <c r="J445" s="688"/>
      <c r="K445" s="205">
        <f>I445*G445%</f>
        <v>7414.4650000000001</v>
      </c>
      <c r="L445" s="6"/>
      <c r="M445" s="8"/>
      <c r="N445" s="8"/>
    </row>
    <row r="446" spans="2:14" ht="15" customHeight="1" x14ac:dyDescent="0.25">
      <c r="B446" s="658" t="s">
        <v>427</v>
      </c>
      <c r="C446" s="537"/>
      <c r="D446" s="537"/>
      <c r="E446" s="537"/>
      <c r="F446" s="538"/>
      <c r="G446" s="61">
        <v>1</v>
      </c>
      <c r="H446" s="61" t="s">
        <v>335</v>
      </c>
      <c r="I446" s="659">
        <f>K445</f>
        <v>7414.4650000000001</v>
      </c>
      <c r="J446" s="538"/>
      <c r="K446" s="51">
        <f>I446*G446</f>
        <v>7414.4650000000001</v>
      </c>
      <c r="L446" s="6"/>
      <c r="M446" s="8"/>
      <c r="N446" s="8"/>
    </row>
    <row r="447" spans="2:14" ht="15" customHeight="1" x14ac:dyDescent="0.25">
      <c r="B447" s="148"/>
      <c r="C447" s="148"/>
      <c r="D447" s="148"/>
      <c r="E447" s="148"/>
      <c r="F447" s="148"/>
      <c r="G447" s="148"/>
      <c r="H447" s="148"/>
      <c r="I447" s="148"/>
      <c r="J447" s="148"/>
      <c r="K447" s="148"/>
      <c r="L447" s="6"/>
      <c r="M447" s="8"/>
      <c r="N447" s="8"/>
    </row>
    <row r="448" spans="2:14" ht="15" customHeight="1" x14ac:dyDescent="0.25">
      <c r="B448" s="552" t="s">
        <v>691</v>
      </c>
      <c r="C448" s="537"/>
      <c r="D448" s="537"/>
      <c r="E448" s="537"/>
      <c r="F448" s="537"/>
      <c r="G448" s="537"/>
      <c r="H448" s="537"/>
      <c r="I448" s="537"/>
      <c r="J448" s="538"/>
      <c r="K448" s="193">
        <f>SUM(I432,I441,I446)</f>
        <v>7498.7636507812504</v>
      </c>
      <c r="L448" s="6"/>
      <c r="M448" s="8"/>
      <c r="N448" s="8"/>
    </row>
    <row r="449" spans="2:14" ht="15" customHeight="1" x14ac:dyDescent="0.25">
      <c r="B449" s="552" t="s">
        <v>692</v>
      </c>
      <c r="C449" s="537"/>
      <c r="D449" s="537"/>
      <c r="E449" s="537"/>
      <c r="F449" s="537"/>
      <c r="G449" s="537"/>
      <c r="H449" s="537"/>
      <c r="I449" s="537"/>
      <c r="J449" s="538"/>
      <c r="K449" s="193">
        <f>SUM(K432,K441,K446)</f>
        <v>79068.318164062497</v>
      </c>
      <c r="L449" s="6"/>
      <c r="M449" s="8"/>
      <c r="N449" s="8"/>
    </row>
    <row r="450" spans="2:14" ht="15" customHeight="1" x14ac:dyDescent="0.25">
      <c r="B450" s="65"/>
      <c r="C450" s="65"/>
      <c r="D450" s="65"/>
      <c r="E450" s="65"/>
      <c r="F450" s="65"/>
      <c r="G450" s="65"/>
      <c r="H450" s="65"/>
      <c r="I450" s="65"/>
      <c r="J450" s="65"/>
      <c r="K450" s="235"/>
      <c r="L450" s="6"/>
      <c r="M450" s="8"/>
      <c r="N450" s="8"/>
    </row>
    <row r="451" spans="2:14" ht="15.75" customHeight="1" x14ac:dyDescent="0.25">
      <c r="L451" s="6"/>
      <c r="M451" s="8"/>
      <c r="N451" s="8"/>
    </row>
    <row r="452" spans="2:14" ht="15" customHeight="1" x14ac:dyDescent="0.25">
      <c r="B452" s="589" t="s">
        <v>573</v>
      </c>
      <c r="C452" s="537"/>
      <c r="D452" s="537"/>
      <c r="E452" s="537"/>
      <c r="F452" s="537"/>
      <c r="G452" s="537"/>
      <c r="H452" s="537"/>
      <c r="I452" s="537"/>
      <c r="J452" s="538"/>
      <c r="K452" s="283">
        <f>SUM(K280,K359,K421,K449)</f>
        <v>196393.54731718154</v>
      </c>
      <c r="L452" s="6"/>
      <c r="M452" s="8"/>
      <c r="N452" s="8"/>
    </row>
    <row r="453" spans="2:14" ht="15.75" customHeight="1" x14ac:dyDescent="0.25">
      <c r="L453" s="6"/>
      <c r="M453" s="8"/>
      <c r="N453" s="8"/>
    </row>
    <row r="454" spans="2:14" ht="15.75" customHeight="1" x14ac:dyDescent="0.25">
      <c r="L454" s="6"/>
      <c r="M454" s="8"/>
      <c r="N454" s="8"/>
    </row>
    <row r="455" spans="2:14" ht="15" customHeight="1" x14ac:dyDescent="0.25">
      <c r="B455" s="566" t="s">
        <v>694</v>
      </c>
      <c r="C455" s="537"/>
      <c r="D455" s="537"/>
      <c r="E455" s="537"/>
      <c r="F455" s="537"/>
      <c r="G455" s="537"/>
      <c r="H455" s="537"/>
      <c r="I455" s="537"/>
      <c r="J455" s="537"/>
      <c r="K455" s="538"/>
      <c r="L455" s="6"/>
      <c r="M455" s="8"/>
      <c r="N455" s="8"/>
    </row>
    <row r="456" spans="2:14" ht="15" customHeight="1" x14ac:dyDescent="0.25">
      <c r="B456" s="286"/>
      <c r="C456" s="286"/>
      <c r="D456" s="286"/>
      <c r="E456" s="286"/>
      <c r="F456" s="286"/>
      <c r="G456" s="286"/>
      <c r="H456" s="286"/>
      <c r="I456" s="286"/>
      <c r="J456" s="286"/>
      <c r="K456" s="287"/>
      <c r="L456" s="6"/>
      <c r="M456" s="8"/>
      <c r="N456" s="8"/>
    </row>
    <row r="457" spans="2:14" ht="15.75" customHeight="1" x14ac:dyDescent="0.25">
      <c r="B457" s="155" t="s">
        <v>273</v>
      </c>
      <c r="C457" s="637" t="s">
        <v>239</v>
      </c>
      <c r="D457" s="564"/>
      <c r="E457" s="564"/>
      <c r="F457" s="565"/>
      <c r="G457" s="170" t="s">
        <v>118</v>
      </c>
      <c r="H457" s="288" t="s">
        <v>578</v>
      </c>
      <c r="I457" s="637" t="s">
        <v>319</v>
      </c>
      <c r="J457" s="565"/>
      <c r="K457" s="155" t="s">
        <v>354</v>
      </c>
      <c r="L457" s="6"/>
      <c r="M457" s="8"/>
      <c r="N457" s="8"/>
    </row>
    <row r="458" spans="2:14" ht="15" customHeight="1" x14ac:dyDescent="0.25">
      <c r="B458" s="145" t="s">
        <v>696</v>
      </c>
      <c r="C458" s="621" t="s">
        <v>582</v>
      </c>
      <c r="D458" s="544"/>
      <c r="E458" s="544"/>
      <c r="F458" s="579"/>
      <c r="G458" s="290">
        <v>47</v>
      </c>
      <c r="H458" s="291">
        <v>24</v>
      </c>
      <c r="I458" s="694">
        <f>'10 - CUSTOS UN'!$J$117</f>
        <v>53.346666666666664</v>
      </c>
      <c r="J458" s="579"/>
      <c r="K458" s="177">
        <f t="shared" ref="K458:K460" si="48">(I458*G458)/H458</f>
        <v>104.47055555555555</v>
      </c>
      <c r="L458" s="6"/>
      <c r="M458" s="8"/>
      <c r="N458" s="8"/>
    </row>
    <row r="459" spans="2:14" ht="15" customHeight="1" x14ac:dyDescent="0.25">
      <c r="B459" s="26" t="s">
        <v>697</v>
      </c>
      <c r="C459" s="670" t="s">
        <v>586</v>
      </c>
      <c r="D459" s="537"/>
      <c r="E459" s="537"/>
      <c r="F459" s="538"/>
      <c r="G459" s="296">
        <v>3</v>
      </c>
      <c r="H459" s="291">
        <v>60</v>
      </c>
      <c r="I459" s="590">
        <f>'10 - CUSTOS UN'!$J$243</f>
        <v>1727.96</v>
      </c>
      <c r="J459" s="538"/>
      <c r="K459" s="44">
        <f t="shared" si="48"/>
        <v>86.397999999999996</v>
      </c>
      <c r="L459" s="6"/>
      <c r="M459" s="8"/>
      <c r="N459" s="8"/>
    </row>
    <row r="460" spans="2:14" ht="15" customHeight="1" x14ac:dyDescent="0.25">
      <c r="B460" s="26" t="s">
        <v>698</v>
      </c>
      <c r="C460" s="670" t="s">
        <v>590</v>
      </c>
      <c r="D460" s="537"/>
      <c r="E460" s="537"/>
      <c r="F460" s="538"/>
      <c r="G460" s="296">
        <v>3</v>
      </c>
      <c r="H460" s="291">
        <v>60</v>
      </c>
      <c r="I460" s="590">
        <f>'10 - CUSTOS UN'!$J$246</f>
        <v>147.41999999999999</v>
      </c>
      <c r="J460" s="538"/>
      <c r="K460" s="44">
        <f t="shared" si="48"/>
        <v>7.3709999999999996</v>
      </c>
      <c r="L460" s="6"/>
      <c r="M460" s="8"/>
      <c r="N460" s="8"/>
    </row>
    <row r="461" spans="2:14" ht="15" customHeight="1" x14ac:dyDescent="0.25">
      <c r="B461" s="145" t="s">
        <v>699</v>
      </c>
      <c r="C461" s="772" t="s">
        <v>700</v>
      </c>
      <c r="D461" s="537"/>
      <c r="E461" s="537"/>
      <c r="F461" s="538"/>
      <c r="G461" s="296">
        <v>1</v>
      </c>
      <c r="H461" s="291">
        <v>60</v>
      </c>
      <c r="I461" s="590">
        <f>'10 - CUSTOS UN'!$J$246</f>
        <v>147.41999999999999</v>
      </c>
      <c r="J461" s="538"/>
      <c r="K461" s="44">
        <f>I461/G461</f>
        <v>147.41999999999999</v>
      </c>
      <c r="L461" s="6"/>
      <c r="M461" s="8"/>
      <c r="N461" s="8"/>
    </row>
    <row r="462" spans="2:14" ht="15" customHeight="1" x14ac:dyDescent="0.25">
      <c r="B462" s="26" t="s">
        <v>701</v>
      </c>
      <c r="C462" s="545" t="s">
        <v>702</v>
      </c>
      <c r="D462" s="537"/>
      <c r="E462" s="537"/>
      <c r="F462" s="538"/>
      <c r="G462" s="293">
        <v>850</v>
      </c>
      <c r="H462" s="291">
        <v>60</v>
      </c>
      <c r="I462" s="590">
        <f>'10 - CUSTOS UN'!$J$249</f>
        <v>115.5</v>
      </c>
      <c r="J462" s="538"/>
      <c r="K462" s="44">
        <f>(I462*G462)/H462</f>
        <v>1636.25</v>
      </c>
      <c r="L462" s="6"/>
      <c r="M462" s="8"/>
      <c r="N462" s="8"/>
    </row>
    <row r="463" spans="2:14" ht="15" customHeight="1" x14ac:dyDescent="0.25">
      <c r="B463" s="145" t="s">
        <v>703</v>
      </c>
      <c r="C463" s="545" t="s">
        <v>592</v>
      </c>
      <c r="D463" s="537"/>
      <c r="E463" s="537"/>
      <c r="F463" s="538"/>
      <c r="G463" s="294">
        <v>7</v>
      </c>
      <c r="H463" s="3">
        <v>12</v>
      </c>
      <c r="I463" s="590">
        <f>'10 - CUSTOS UN'!$J$18</f>
        <v>83.660000000000011</v>
      </c>
      <c r="J463" s="538"/>
      <c r="K463" s="295">
        <f>(G463*I463)/H463</f>
        <v>48.801666666666677</v>
      </c>
      <c r="L463" s="6"/>
      <c r="M463" s="8"/>
      <c r="N463" s="8"/>
    </row>
    <row r="464" spans="2:14" ht="15" customHeight="1" x14ac:dyDescent="0.25">
      <c r="B464" s="26" t="s">
        <v>704</v>
      </c>
      <c r="C464" s="559" t="s">
        <v>596</v>
      </c>
      <c r="D464" s="537"/>
      <c r="E464" s="537"/>
      <c r="F464" s="538"/>
      <c r="G464" s="294">
        <v>14</v>
      </c>
      <c r="H464" s="3">
        <v>12</v>
      </c>
      <c r="I464" s="590">
        <f>'10 - CUSTOS UN'!$J$60</f>
        <v>4.1399999999999997</v>
      </c>
      <c r="J464" s="538"/>
      <c r="K464" s="295">
        <f t="shared" ref="K464:K465" si="49">(I464*G464)/H464</f>
        <v>4.8299999999999992</v>
      </c>
      <c r="L464" s="6"/>
      <c r="M464" s="8"/>
      <c r="N464" s="8"/>
    </row>
    <row r="465" spans="2:14" ht="15" customHeight="1" x14ac:dyDescent="0.25">
      <c r="B465" s="145" t="s">
        <v>705</v>
      </c>
      <c r="C465" s="545" t="s">
        <v>599</v>
      </c>
      <c r="D465" s="537"/>
      <c r="E465" s="537"/>
      <c r="F465" s="538"/>
      <c r="G465" s="294">
        <v>2</v>
      </c>
      <c r="H465" s="3">
        <v>1</v>
      </c>
      <c r="I465" s="590">
        <f>'10 - CUSTOS UN'!$J$105</f>
        <v>22.343333333333334</v>
      </c>
      <c r="J465" s="538"/>
      <c r="K465" s="295">
        <f t="shared" si="49"/>
        <v>44.686666666666667</v>
      </c>
      <c r="L465" s="6"/>
      <c r="M465" s="8"/>
      <c r="N465" s="8"/>
    </row>
    <row r="466" spans="2:14" ht="15" customHeight="1" x14ac:dyDescent="0.25">
      <c r="B466" s="26" t="s">
        <v>706</v>
      </c>
      <c r="C466" s="545" t="s">
        <v>603</v>
      </c>
      <c r="D466" s="537"/>
      <c r="E466" s="537"/>
      <c r="F466" s="538"/>
      <c r="G466" s="294">
        <v>9</v>
      </c>
      <c r="H466" s="3">
        <v>1</v>
      </c>
      <c r="I466" s="590">
        <f>'10 - CUSTOS UN'!$J$96</f>
        <v>13.38</v>
      </c>
      <c r="J466" s="538"/>
      <c r="K466" s="295">
        <f t="shared" ref="K466:K467" si="50">G466*I466/H466</f>
        <v>120.42</v>
      </c>
      <c r="L466" s="6"/>
      <c r="M466" s="8"/>
      <c r="N466" s="8"/>
    </row>
    <row r="467" spans="2:14" ht="15" customHeight="1" x14ac:dyDescent="0.25">
      <c r="B467" s="343" t="s">
        <v>708</v>
      </c>
      <c r="C467" s="545" t="s">
        <v>605</v>
      </c>
      <c r="D467" s="537"/>
      <c r="E467" s="537"/>
      <c r="F467" s="538"/>
      <c r="G467" s="293">
        <v>2</v>
      </c>
      <c r="H467" s="3">
        <v>1</v>
      </c>
      <c r="I467" s="590">
        <f>'10 - CUSTOS UN'!$J$6</f>
        <v>34.836666666666666</v>
      </c>
      <c r="J467" s="538"/>
      <c r="K467" s="44">
        <f t="shared" si="50"/>
        <v>69.673333333333332</v>
      </c>
      <c r="L467" s="6"/>
      <c r="M467" s="8"/>
      <c r="N467" s="8"/>
    </row>
    <row r="468" spans="2:14" ht="15" customHeight="1" x14ac:dyDescent="0.25">
      <c r="B468" s="642" t="s">
        <v>608</v>
      </c>
      <c r="C468" s="611"/>
      <c r="D468" s="611"/>
      <c r="E468" s="611"/>
      <c r="F468" s="611"/>
      <c r="G468" s="611"/>
      <c r="H468" s="611"/>
      <c r="I468" s="611"/>
      <c r="J468" s="612"/>
      <c r="K468" s="184">
        <f>SUM(K458:K467)</f>
        <v>2270.3212222222219</v>
      </c>
      <c r="L468" s="6"/>
      <c r="M468" s="8"/>
      <c r="N468" s="8"/>
    </row>
    <row r="469" spans="2:14" ht="15" customHeight="1" x14ac:dyDescent="0.25">
      <c r="B469" s="286"/>
      <c r="C469" s="286"/>
      <c r="D469" s="286"/>
      <c r="E469" s="286"/>
      <c r="F469" s="286"/>
      <c r="G469" s="286"/>
      <c r="H469" s="286"/>
      <c r="I469" s="286"/>
      <c r="J469" s="286"/>
      <c r="K469" s="287"/>
      <c r="L469" s="6"/>
      <c r="M469" s="8"/>
      <c r="N469" s="8"/>
    </row>
    <row r="470" spans="2:14" ht="15" customHeight="1" x14ac:dyDescent="0.25">
      <c r="B470" s="286"/>
      <c r="C470" s="286"/>
      <c r="D470" s="286"/>
      <c r="E470" s="286"/>
      <c r="F470" s="286"/>
      <c r="G470" s="286"/>
      <c r="H470" s="286"/>
      <c r="I470" s="286"/>
      <c r="J470" s="286"/>
      <c r="K470" s="287"/>
      <c r="L470" s="6"/>
      <c r="M470" s="8"/>
      <c r="N470" s="8"/>
    </row>
    <row r="471" spans="2:14" ht="15" customHeight="1" x14ac:dyDescent="0.25">
      <c r="B471" s="589" t="s">
        <v>711</v>
      </c>
      <c r="C471" s="537"/>
      <c r="D471" s="537"/>
      <c r="E471" s="537"/>
      <c r="F471" s="537"/>
      <c r="G471" s="537"/>
      <c r="H471" s="537"/>
      <c r="I471" s="537"/>
      <c r="J471" s="538"/>
      <c r="K471" s="283">
        <f>K468+K452+K159+K124</f>
        <v>469598.3773796882</v>
      </c>
      <c r="L471" s="6"/>
      <c r="M471" s="8"/>
      <c r="N471" s="8"/>
    </row>
    <row r="472" spans="2:14" ht="15" customHeight="1" x14ac:dyDescent="0.25">
      <c r="B472" s="286"/>
      <c r="C472" s="286"/>
      <c r="D472" s="286"/>
      <c r="E472" s="286"/>
      <c r="F472" s="286"/>
      <c r="G472" s="286"/>
      <c r="H472" s="286"/>
      <c r="I472" s="286"/>
      <c r="J472" s="286"/>
      <c r="K472" s="287"/>
      <c r="L472" s="6"/>
      <c r="M472" s="8"/>
      <c r="N472" s="8"/>
    </row>
    <row r="473" spans="2:14" ht="15" customHeight="1" x14ac:dyDescent="0.25">
      <c r="B473" s="286"/>
      <c r="C473" s="286"/>
      <c r="D473" s="286"/>
      <c r="E473" s="286"/>
      <c r="F473" s="286"/>
      <c r="G473" s="286"/>
      <c r="H473" s="286"/>
      <c r="I473" s="286"/>
      <c r="J473" s="286"/>
      <c r="K473" s="287"/>
      <c r="L473" s="6"/>
      <c r="M473" s="8"/>
      <c r="N473" s="8"/>
    </row>
    <row r="474" spans="2:14" ht="15" customHeight="1" x14ac:dyDescent="0.25">
      <c r="B474" s="566" t="s">
        <v>712</v>
      </c>
      <c r="C474" s="537"/>
      <c r="D474" s="537"/>
      <c r="E474" s="537"/>
      <c r="F474" s="537"/>
      <c r="G474" s="537"/>
      <c r="H474" s="537"/>
      <c r="I474" s="537"/>
      <c r="J474" s="537"/>
      <c r="K474" s="538"/>
      <c r="L474" s="6"/>
      <c r="M474" s="8"/>
      <c r="N474" s="8"/>
    </row>
    <row r="475" spans="2:14" ht="15" customHeight="1" x14ac:dyDescent="0.25">
      <c r="K475" s="21"/>
      <c r="L475" s="6"/>
      <c r="M475" s="8"/>
      <c r="N475" s="8"/>
    </row>
    <row r="476" spans="2:14" ht="15" customHeight="1" x14ac:dyDescent="0.25">
      <c r="B476" s="344" t="s">
        <v>273</v>
      </c>
      <c r="C476" s="569" t="s">
        <v>239</v>
      </c>
      <c r="D476" s="537"/>
      <c r="E476" s="537"/>
      <c r="F476" s="537"/>
      <c r="G476" s="538"/>
      <c r="H476" s="345" t="s">
        <v>141</v>
      </c>
      <c r="I476" s="773" t="s">
        <v>615</v>
      </c>
      <c r="J476" s="738"/>
      <c r="K476" s="345" t="s">
        <v>616</v>
      </c>
      <c r="L476" s="6"/>
      <c r="M476" s="8"/>
      <c r="N476" s="8"/>
    </row>
    <row r="477" spans="2:14" ht="15" customHeight="1" x14ac:dyDescent="0.25">
      <c r="B477" s="26" t="s">
        <v>216</v>
      </c>
      <c r="C477" s="545" t="s">
        <v>619</v>
      </c>
      <c r="D477" s="537"/>
      <c r="E477" s="537"/>
      <c r="F477" s="537"/>
      <c r="G477" s="538"/>
      <c r="H477" s="26"/>
      <c r="I477" s="602">
        <f>'OK 3 - ADM LOCAL - CONTEIN.'!K455</f>
        <v>155828.63656098727</v>
      </c>
      <c r="J477" s="538"/>
      <c r="K477" s="31">
        <f>I477</f>
        <v>155828.63656098727</v>
      </c>
      <c r="L477" s="6"/>
      <c r="M477" s="8"/>
      <c r="N477" s="8"/>
    </row>
    <row r="478" spans="2:14" ht="15" customHeight="1" x14ac:dyDescent="0.25">
      <c r="B478" s="26" t="s">
        <v>219</v>
      </c>
      <c r="C478" s="545" t="s">
        <v>102</v>
      </c>
      <c r="D478" s="537"/>
      <c r="E478" s="537"/>
      <c r="F478" s="537"/>
      <c r="G478" s="538"/>
      <c r="H478" s="133">
        <f>'9 - BDI'!D15</f>
        <v>0.27689893995634196</v>
      </c>
      <c r="I478" s="602">
        <f>K471</f>
        <v>469598.3773796882</v>
      </c>
      <c r="J478" s="538"/>
      <c r="K478" s="31">
        <f>I478*H478</f>
        <v>130031.2929016539</v>
      </c>
      <c r="L478" s="6"/>
      <c r="M478" s="8"/>
      <c r="N478" s="8"/>
    </row>
    <row r="479" spans="2:14" ht="15" customHeight="1" x14ac:dyDescent="0.25">
      <c r="B479" s="690" t="s">
        <v>618</v>
      </c>
      <c r="C479" s="537"/>
      <c r="D479" s="537"/>
      <c r="E479" s="537"/>
      <c r="F479" s="537"/>
      <c r="G479" s="537"/>
      <c r="H479" s="537"/>
      <c r="I479" s="537"/>
      <c r="J479" s="538"/>
      <c r="K479" s="309">
        <f>SUM(K477:K478)</f>
        <v>285859.92946264119</v>
      </c>
      <c r="L479" s="6"/>
      <c r="M479" s="8"/>
      <c r="N479" s="8"/>
    </row>
    <row r="480" spans="2:14" ht="15" customHeight="1" x14ac:dyDescent="0.25">
      <c r="B480" s="311"/>
      <c r="C480" s="311"/>
      <c r="D480" s="311"/>
      <c r="E480" s="311"/>
      <c r="F480" s="311"/>
      <c r="I480" s="1"/>
      <c r="J480" s="1"/>
      <c r="K480" s="211"/>
      <c r="L480" s="6"/>
      <c r="M480" s="8"/>
      <c r="N480" s="8"/>
    </row>
    <row r="481" spans="1:14" ht="15" customHeight="1" x14ac:dyDescent="0.25">
      <c r="B481" s="311"/>
      <c r="C481" s="311"/>
      <c r="D481" s="311"/>
      <c r="E481" s="311"/>
      <c r="F481" s="311"/>
      <c r="I481" s="1"/>
      <c r="J481" s="1"/>
      <c r="K481" s="211"/>
      <c r="L481" s="6"/>
      <c r="M481" s="8"/>
      <c r="N481" s="8"/>
    </row>
    <row r="482" spans="1:14" ht="15" customHeight="1" x14ac:dyDescent="0.25">
      <c r="B482" s="589" t="s">
        <v>713</v>
      </c>
      <c r="C482" s="537"/>
      <c r="D482" s="537"/>
      <c r="E482" s="537"/>
      <c r="F482" s="537"/>
      <c r="G482" s="537"/>
      <c r="H482" s="537"/>
      <c r="I482" s="537"/>
      <c r="J482" s="538"/>
      <c r="K482" s="283">
        <f>K479+K471</f>
        <v>755458.30684232945</v>
      </c>
      <c r="L482" s="6"/>
      <c r="M482" s="8"/>
      <c r="N482" s="8"/>
    </row>
    <row r="483" spans="1:14" ht="15.75" customHeight="1" x14ac:dyDescent="0.25">
      <c r="L483" s="6"/>
      <c r="M483" s="8"/>
      <c r="N483" s="8"/>
    </row>
    <row r="484" spans="1:14" ht="15" customHeight="1" x14ac:dyDescent="0.25">
      <c r="B484" s="314"/>
      <c r="K484" s="316"/>
      <c r="L484" s="6"/>
      <c r="M484" s="8"/>
      <c r="N484" s="8"/>
    </row>
    <row r="485" spans="1:14" ht="15" customHeight="1" x14ac:dyDescent="0.25">
      <c r="B485" s="314"/>
      <c r="K485" s="1"/>
      <c r="L485" s="6"/>
      <c r="M485" s="8"/>
      <c r="N485" s="8"/>
    </row>
    <row r="486" spans="1:14" ht="33" customHeight="1" x14ac:dyDescent="0.25">
      <c r="B486" s="643"/>
      <c r="C486" s="625"/>
      <c r="D486" s="625"/>
      <c r="E486" s="625"/>
      <c r="F486" s="625"/>
      <c r="G486" s="625"/>
      <c r="H486" s="625"/>
      <c r="I486" s="625"/>
      <c r="J486" s="625"/>
      <c r="K486" s="317"/>
      <c r="L486" s="6"/>
      <c r="M486" s="8"/>
      <c r="N486" s="8"/>
    </row>
    <row r="487" spans="1:14" ht="15.75" customHeight="1" x14ac:dyDescent="0.25">
      <c r="L487" s="6"/>
      <c r="M487" s="8"/>
      <c r="N487" s="8"/>
    </row>
    <row r="488" spans="1:14" ht="29.25" customHeight="1" x14ac:dyDescent="0.25">
      <c r="A488" s="179"/>
      <c r="B488" s="643"/>
      <c r="C488" s="625"/>
      <c r="D488" s="625"/>
      <c r="E488" s="625"/>
      <c r="F488" s="625"/>
      <c r="G488" s="625"/>
      <c r="H488" s="625"/>
      <c r="I488" s="625"/>
      <c r="J488" s="625"/>
      <c r="K488" s="317"/>
      <c r="L488" s="6"/>
      <c r="M488" s="8"/>
      <c r="N488" s="8"/>
    </row>
    <row r="489" spans="1:14" ht="15.75" customHeight="1" x14ac:dyDescent="0.25">
      <c r="L489" s="6"/>
      <c r="M489" s="8"/>
      <c r="N489" s="8"/>
    </row>
    <row r="490" spans="1:14" ht="15.75" customHeight="1" x14ac:dyDescent="0.25">
      <c r="L490" s="6"/>
      <c r="M490" s="8"/>
      <c r="N490" s="8"/>
    </row>
    <row r="491" spans="1:14" ht="15.75" customHeight="1" x14ac:dyDescent="0.25">
      <c r="L491" s="6"/>
      <c r="M491" s="8"/>
      <c r="N491" s="8"/>
    </row>
    <row r="492" spans="1:14" ht="15.75" customHeight="1" x14ac:dyDescent="0.25">
      <c r="L492" s="6"/>
      <c r="M492" s="8"/>
      <c r="N492" s="8"/>
    </row>
    <row r="493" spans="1:14" ht="15.75" customHeight="1" x14ac:dyDescent="0.25">
      <c r="L493" s="6"/>
      <c r="M493" s="8"/>
      <c r="N493" s="8"/>
    </row>
    <row r="494" spans="1:14" ht="15.75" customHeight="1" x14ac:dyDescent="0.25">
      <c r="L494" s="6"/>
      <c r="M494" s="8"/>
      <c r="N494" s="8"/>
    </row>
    <row r="495" spans="1:14" ht="15.75" customHeight="1" x14ac:dyDescent="0.25">
      <c r="L495" s="6"/>
      <c r="M495" s="8"/>
      <c r="N495" s="8"/>
    </row>
    <row r="496" spans="1:14" ht="15.75" customHeight="1" x14ac:dyDescent="0.25">
      <c r="L496" s="6"/>
      <c r="M496" s="8"/>
      <c r="N496" s="8"/>
    </row>
    <row r="497" spans="12:14" ht="15.75" customHeight="1" x14ac:dyDescent="0.25">
      <c r="L497" s="6"/>
      <c r="M497" s="8"/>
      <c r="N497" s="8"/>
    </row>
    <row r="498" spans="12:14" ht="15.75" customHeight="1" x14ac:dyDescent="0.25">
      <c r="L498" s="6"/>
      <c r="M498" s="8"/>
      <c r="N498" s="8"/>
    </row>
    <row r="499" spans="12:14" ht="15.75" customHeight="1" x14ac:dyDescent="0.25">
      <c r="L499" s="6"/>
      <c r="M499" s="8"/>
      <c r="N499" s="8"/>
    </row>
    <row r="500" spans="12:14" ht="15.75" customHeight="1" x14ac:dyDescent="0.25">
      <c r="L500" s="6"/>
      <c r="M500" s="8"/>
      <c r="N500" s="8"/>
    </row>
    <row r="501" spans="12:14" ht="15.75" customHeight="1" x14ac:dyDescent="0.25">
      <c r="L501" s="6"/>
      <c r="M501" s="8"/>
      <c r="N501" s="8"/>
    </row>
    <row r="502" spans="12:14" ht="15.75" customHeight="1" x14ac:dyDescent="0.25">
      <c r="L502" s="6"/>
      <c r="M502" s="8"/>
      <c r="N502" s="8"/>
    </row>
    <row r="503" spans="12:14" ht="15.75" customHeight="1" x14ac:dyDescent="0.25">
      <c r="L503" s="6"/>
      <c r="M503" s="8"/>
      <c r="N503" s="8"/>
    </row>
    <row r="504" spans="12:14" ht="15.75" customHeight="1" x14ac:dyDescent="0.25">
      <c r="L504" s="6"/>
      <c r="M504" s="8"/>
      <c r="N504" s="8"/>
    </row>
    <row r="505" spans="12:14" ht="15.75" customHeight="1" x14ac:dyDescent="0.25">
      <c r="L505" s="6"/>
      <c r="M505" s="8"/>
      <c r="N505" s="8"/>
    </row>
    <row r="506" spans="12:14" ht="15.75" customHeight="1" x14ac:dyDescent="0.25">
      <c r="L506" s="6"/>
      <c r="M506" s="8"/>
      <c r="N506" s="8"/>
    </row>
    <row r="507" spans="12:14" ht="15.75" customHeight="1" x14ac:dyDescent="0.25">
      <c r="L507" s="6"/>
      <c r="M507" s="8"/>
      <c r="N507" s="8"/>
    </row>
    <row r="508" spans="12:14" ht="15.75" customHeight="1" x14ac:dyDescent="0.25">
      <c r="L508" s="6"/>
      <c r="M508" s="8"/>
      <c r="N508" s="8"/>
    </row>
    <row r="509" spans="12:14" ht="15.75" customHeight="1" x14ac:dyDescent="0.25">
      <c r="L509" s="6"/>
      <c r="M509" s="8"/>
      <c r="N509" s="8"/>
    </row>
    <row r="510" spans="12:14" ht="15.75" customHeight="1" x14ac:dyDescent="0.25">
      <c r="L510" s="6"/>
      <c r="M510" s="8"/>
      <c r="N510" s="8"/>
    </row>
    <row r="511" spans="12:14" ht="15.75" customHeight="1" x14ac:dyDescent="0.25">
      <c r="L511" s="6"/>
      <c r="M511" s="8"/>
      <c r="N511" s="8"/>
    </row>
    <row r="512" spans="12:14" ht="15.75" customHeight="1" x14ac:dyDescent="0.25">
      <c r="L512" s="6"/>
      <c r="M512" s="8"/>
      <c r="N512" s="8"/>
    </row>
    <row r="513" spans="12:14" ht="15.75" customHeight="1" x14ac:dyDescent="0.25">
      <c r="L513" s="6"/>
      <c r="M513" s="8"/>
      <c r="N513" s="8"/>
    </row>
    <row r="514" spans="12:14" ht="15.75" customHeight="1" x14ac:dyDescent="0.25">
      <c r="L514" s="6"/>
      <c r="M514" s="8"/>
      <c r="N514" s="8"/>
    </row>
    <row r="515" spans="12:14" ht="15.75" customHeight="1" x14ac:dyDescent="0.25">
      <c r="L515" s="6"/>
      <c r="M515" s="8"/>
      <c r="N515" s="8"/>
    </row>
    <row r="516" spans="12:14" ht="15.75" customHeight="1" x14ac:dyDescent="0.25">
      <c r="L516" s="6"/>
      <c r="M516" s="8"/>
      <c r="N516" s="8"/>
    </row>
    <row r="517" spans="12:14" ht="15.75" customHeight="1" x14ac:dyDescent="0.25">
      <c r="L517" s="6"/>
      <c r="M517" s="8"/>
      <c r="N517" s="8"/>
    </row>
    <row r="518" spans="12:14" ht="15.75" customHeight="1" x14ac:dyDescent="0.25">
      <c r="L518" s="6"/>
      <c r="M518" s="8"/>
      <c r="N518" s="8"/>
    </row>
    <row r="519" spans="12:14" ht="15.75" customHeight="1" x14ac:dyDescent="0.25">
      <c r="L519" s="6"/>
      <c r="M519" s="8"/>
      <c r="N519" s="8"/>
    </row>
    <row r="520" spans="12:14" ht="15.75" customHeight="1" x14ac:dyDescent="0.25">
      <c r="L520" s="6"/>
      <c r="M520" s="8"/>
      <c r="N520" s="8"/>
    </row>
    <row r="521" spans="12:14" ht="15.75" customHeight="1" x14ac:dyDescent="0.25">
      <c r="L521" s="6"/>
      <c r="M521" s="8"/>
      <c r="N521" s="8"/>
    </row>
    <row r="522" spans="12:14" ht="15.75" customHeight="1" x14ac:dyDescent="0.25">
      <c r="L522" s="6"/>
      <c r="M522" s="8"/>
      <c r="N522" s="8"/>
    </row>
    <row r="523" spans="12:14" ht="15.75" customHeight="1" x14ac:dyDescent="0.25">
      <c r="L523" s="6"/>
      <c r="M523" s="8"/>
      <c r="N523" s="8"/>
    </row>
    <row r="524" spans="12:14" ht="15.75" customHeight="1" x14ac:dyDescent="0.25">
      <c r="L524" s="6"/>
      <c r="M524" s="8"/>
      <c r="N524" s="8"/>
    </row>
    <row r="525" spans="12:14" ht="15.75" customHeight="1" x14ac:dyDescent="0.25">
      <c r="L525" s="6"/>
      <c r="M525" s="8"/>
      <c r="N525" s="8"/>
    </row>
    <row r="526" spans="12:14" ht="15.75" customHeight="1" x14ac:dyDescent="0.25">
      <c r="L526" s="6"/>
      <c r="M526" s="8"/>
      <c r="N526" s="8"/>
    </row>
    <row r="527" spans="12:14" ht="15.75" customHeight="1" x14ac:dyDescent="0.25">
      <c r="L527" s="6"/>
      <c r="M527" s="8"/>
      <c r="N527" s="8"/>
    </row>
    <row r="528" spans="12:14" ht="15.75" customHeight="1" x14ac:dyDescent="0.25">
      <c r="L528" s="6"/>
      <c r="M528" s="8"/>
      <c r="N528" s="8"/>
    </row>
    <row r="529" spans="12:14" ht="15.75" customHeight="1" x14ac:dyDescent="0.25">
      <c r="L529" s="6"/>
      <c r="M529" s="8"/>
      <c r="N529" s="8"/>
    </row>
    <row r="530" spans="12:14" ht="15.75" customHeight="1" x14ac:dyDescent="0.25">
      <c r="L530" s="6"/>
      <c r="M530" s="8"/>
      <c r="N530" s="8"/>
    </row>
    <row r="531" spans="12:14" ht="15.75" customHeight="1" x14ac:dyDescent="0.25">
      <c r="L531" s="6"/>
      <c r="M531" s="8"/>
      <c r="N531" s="8"/>
    </row>
    <row r="532" spans="12:14" ht="15.75" customHeight="1" x14ac:dyDescent="0.25">
      <c r="L532" s="6"/>
      <c r="M532" s="8"/>
      <c r="N532" s="8"/>
    </row>
    <row r="533" spans="12:14" ht="15.75" customHeight="1" x14ac:dyDescent="0.25">
      <c r="L533" s="6"/>
      <c r="M533" s="8"/>
      <c r="N533" s="8"/>
    </row>
    <row r="534" spans="12:14" ht="15.75" customHeight="1" x14ac:dyDescent="0.25">
      <c r="L534" s="6"/>
      <c r="M534" s="8"/>
      <c r="N534" s="8"/>
    </row>
    <row r="535" spans="12:14" ht="15.75" customHeight="1" x14ac:dyDescent="0.25">
      <c r="L535" s="6"/>
      <c r="M535" s="8"/>
      <c r="N535" s="8"/>
    </row>
    <row r="536" spans="12:14" ht="15.75" customHeight="1" x14ac:dyDescent="0.25">
      <c r="L536" s="6"/>
      <c r="M536" s="8"/>
      <c r="N536" s="8"/>
    </row>
    <row r="537" spans="12:14" ht="15.75" customHeight="1" x14ac:dyDescent="0.25">
      <c r="L537" s="6"/>
      <c r="M537" s="8"/>
      <c r="N537" s="8"/>
    </row>
    <row r="538" spans="12:14" ht="15.75" customHeight="1" x14ac:dyDescent="0.25">
      <c r="L538" s="6"/>
      <c r="M538" s="8"/>
      <c r="N538" s="8"/>
    </row>
    <row r="539" spans="12:14" ht="15.75" customHeight="1" x14ac:dyDescent="0.25">
      <c r="L539" s="6"/>
      <c r="M539" s="8"/>
      <c r="N539" s="8"/>
    </row>
    <row r="540" spans="12:14" ht="15.75" customHeight="1" x14ac:dyDescent="0.25">
      <c r="L540" s="6"/>
      <c r="M540" s="8"/>
      <c r="N540" s="8"/>
    </row>
    <row r="541" spans="12:14" ht="15.75" customHeight="1" x14ac:dyDescent="0.25">
      <c r="L541" s="6"/>
      <c r="M541" s="8"/>
      <c r="N541" s="8"/>
    </row>
    <row r="542" spans="12:14" ht="15.75" customHeight="1" x14ac:dyDescent="0.25">
      <c r="L542" s="6"/>
      <c r="M542" s="8"/>
      <c r="N542" s="8"/>
    </row>
    <row r="543" spans="12:14" ht="15.75" customHeight="1" x14ac:dyDescent="0.25">
      <c r="L543" s="6"/>
      <c r="M543" s="8"/>
      <c r="N543" s="8"/>
    </row>
    <row r="544" spans="12:14" ht="15.75" customHeight="1" x14ac:dyDescent="0.25">
      <c r="L544" s="6"/>
      <c r="M544" s="8"/>
      <c r="N544" s="8"/>
    </row>
    <row r="545" spans="12:14" ht="15.75" customHeight="1" x14ac:dyDescent="0.25">
      <c r="L545" s="6"/>
      <c r="M545" s="8"/>
      <c r="N545" s="8"/>
    </row>
    <row r="546" spans="12:14" ht="15.75" customHeight="1" x14ac:dyDescent="0.25">
      <c r="L546" s="6"/>
      <c r="M546" s="8"/>
      <c r="N546" s="8"/>
    </row>
    <row r="547" spans="12:14" ht="15.75" customHeight="1" x14ac:dyDescent="0.25">
      <c r="L547" s="6"/>
      <c r="M547" s="8"/>
      <c r="N547" s="8"/>
    </row>
    <row r="548" spans="12:14" ht="15.75" customHeight="1" x14ac:dyDescent="0.25">
      <c r="L548" s="6"/>
      <c r="M548" s="8"/>
      <c r="N548" s="8"/>
    </row>
    <row r="549" spans="12:14" ht="15.75" customHeight="1" x14ac:dyDescent="0.25">
      <c r="L549" s="6"/>
      <c r="M549" s="8"/>
      <c r="N549" s="8"/>
    </row>
    <row r="550" spans="12:14" ht="15.75" customHeight="1" x14ac:dyDescent="0.25">
      <c r="L550" s="6"/>
      <c r="M550" s="8"/>
      <c r="N550" s="8"/>
    </row>
    <row r="551" spans="12:14" ht="15.75" customHeight="1" x14ac:dyDescent="0.25">
      <c r="L551" s="6"/>
      <c r="M551" s="8"/>
      <c r="N551" s="8"/>
    </row>
    <row r="552" spans="12:14" ht="15.75" customHeight="1" x14ac:dyDescent="0.25">
      <c r="L552" s="6"/>
      <c r="M552" s="8"/>
      <c r="N552" s="8"/>
    </row>
    <row r="553" spans="12:14" ht="15.75" customHeight="1" x14ac:dyDescent="0.25">
      <c r="L553" s="6"/>
      <c r="M553" s="8"/>
      <c r="N553" s="8"/>
    </row>
    <row r="554" spans="12:14" ht="15.75" customHeight="1" x14ac:dyDescent="0.25">
      <c r="L554" s="6"/>
      <c r="M554" s="8"/>
      <c r="N554" s="8"/>
    </row>
    <row r="555" spans="12:14" ht="15.75" customHeight="1" x14ac:dyDescent="0.25">
      <c r="L555" s="6"/>
      <c r="M555" s="8"/>
      <c r="N555" s="8"/>
    </row>
    <row r="556" spans="12:14" ht="15.75" customHeight="1" x14ac:dyDescent="0.25">
      <c r="L556" s="6"/>
      <c r="M556" s="8"/>
      <c r="N556" s="8"/>
    </row>
    <row r="557" spans="12:14" ht="15.75" customHeight="1" x14ac:dyDescent="0.25">
      <c r="L557" s="6"/>
      <c r="M557" s="8"/>
      <c r="N557" s="8"/>
    </row>
    <row r="558" spans="12:14" ht="15.75" customHeight="1" x14ac:dyDescent="0.25">
      <c r="L558" s="6"/>
      <c r="M558" s="8"/>
      <c r="N558" s="8"/>
    </row>
    <row r="559" spans="12:14" ht="15.75" customHeight="1" x14ac:dyDescent="0.25">
      <c r="L559" s="6"/>
      <c r="M559" s="8"/>
      <c r="N559" s="8"/>
    </row>
    <row r="560" spans="12:14" ht="15.75" customHeight="1" x14ac:dyDescent="0.25">
      <c r="L560" s="6"/>
      <c r="M560" s="8"/>
      <c r="N560" s="8"/>
    </row>
    <row r="561" spans="12:14" ht="15.75" customHeight="1" x14ac:dyDescent="0.25">
      <c r="L561" s="6"/>
      <c r="M561" s="8"/>
      <c r="N561" s="8"/>
    </row>
    <row r="562" spans="12:14" ht="15.75" customHeight="1" x14ac:dyDescent="0.25">
      <c r="L562" s="6"/>
      <c r="M562" s="8"/>
      <c r="N562" s="8"/>
    </row>
    <row r="563" spans="12:14" ht="15.75" customHeight="1" x14ac:dyDescent="0.25">
      <c r="L563" s="6"/>
      <c r="M563" s="8"/>
      <c r="N563" s="8"/>
    </row>
    <row r="564" spans="12:14" ht="15.75" customHeight="1" x14ac:dyDescent="0.25">
      <c r="L564" s="6"/>
      <c r="M564" s="8"/>
      <c r="N564" s="8"/>
    </row>
    <row r="565" spans="12:14" ht="15.75" customHeight="1" x14ac:dyDescent="0.25">
      <c r="L565" s="6"/>
      <c r="M565" s="8"/>
      <c r="N565" s="8"/>
    </row>
    <row r="566" spans="12:14" ht="15.75" customHeight="1" x14ac:dyDescent="0.25">
      <c r="L566" s="6"/>
      <c r="M566" s="8"/>
      <c r="N566" s="8"/>
    </row>
    <row r="567" spans="12:14" ht="15.75" customHeight="1" x14ac:dyDescent="0.25">
      <c r="L567" s="6"/>
      <c r="M567" s="8"/>
      <c r="N567" s="8"/>
    </row>
    <row r="568" spans="12:14" ht="15.75" customHeight="1" x14ac:dyDescent="0.25">
      <c r="L568" s="6"/>
      <c r="M568" s="8"/>
      <c r="N568" s="8"/>
    </row>
    <row r="569" spans="12:14" ht="15.75" customHeight="1" x14ac:dyDescent="0.25">
      <c r="L569" s="6"/>
      <c r="M569" s="8"/>
      <c r="N569" s="8"/>
    </row>
    <row r="570" spans="12:14" ht="15.75" customHeight="1" x14ac:dyDescent="0.25">
      <c r="L570" s="6"/>
      <c r="M570" s="8"/>
      <c r="N570" s="8"/>
    </row>
    <row r="571" spans="12:14" ht="15.75" customHeight="1" x14ac:dyDescent="0.25">
      <c r="L571" s="6"/>
      <c r="M571" s="8"/>
      <c r="N571" s="8"/>
    </row>
    <row r="572" spans="12:14" ht="15.75" customHeight="1" x14ac:dyDescent="0.25">
      <c r="L572" s="6"/>
      <c r="M572" s="8"/>
      <c r="N572" s="8"/>
    </row>
    <row r="573" spans="12:14" ht="15.75" customHeight="1" x14ac:dyDescent="0.25">
      <c r="L573" s="6"/>
      <c r="M573" s="8"/>
      <c r="N573" s="8"/>
    </row>
    <row r="574" spans="12:14" ht="15.75" customHeight="1" x14ac:dyDescent="0.25">
      <c r="L574" s="6"/>
      <c r="M574" s="8"/>
      <c r="N574" s="8"/>
    </row>
    <row r="575" spans="12:14" ht="15.75" customHeight="1" x14ac:dyDescent="0.25">
      <c r="L575" s="6"/>
      <c r="M575" s="8"/>
      <c r="N575" s="8"/>
    </row>
    <row r="576" spans="12:14" ht="15.75" customHeight="1" x14ac:dyDescent="0.25">
      <c r="L576" s="6"/>
      <c r="M576" s="8"/>
      <c r="N576" s="8"/>
    </row>
    <row r="577" spans="12:14" ht="15.75" customHeight="1" x14ac:dyDescent="0.25">
      <c r="L577" s="6"/>
      <c r="M577" s="8"/>
      <c r="N577" s="8"/>
    </row>
    <row r="578" spans="12:14" ht="15.75" customHeight="1" x14ac:dyDescent="0.25">
      <c r="L578" s="6"/>
      <c r="M578" s="8"/>
      <c r="N578" s="8"/>
    </row>
    <row r="579" spans="12:14" ht="15.75" customHeight="1" x14ac:dyDescent="0.25">
      <c r="L579" s="6"/>
      <c r="M579" s="8"/>
      <c r="N579" s="8"/>
    </row>
    <row r="580" spans="12:14" ht="15.75" customHeight="1" x14ac:dyDescent="0.25">
      <c r="L580" s="6"/>
      <c r="M580" s="8"/>
      <c r="N580" s="8"/>
    </row>
    <row r="581" spans="12:14" ht="15.75" customHeight="1" x14ac:dyDescent="0.25">
      <c r="L581" s="6"/>
      <c r="M581" s="8"/>
      <c r="N581" s="8"/>
    </row>
    <row r="582" spans="12:14" ht="15.75" customHeight="1" x14ac:dyDescent="0.25">
      <c r="L582" s="6"/>
      <c r="M582" s="8"/>
      <c r="N582" s="8"/>
    </row>
    <row r="583" spans="12:14" ht="15.75" customHeight="1" x14ac:dyDescent="0.25">
      <c r="L583" s="6"/>
      <c r="M583" s="8"/>
      <c r="N583" s="8"/>
    </row>
    <row r="584" spans="12:14" ht="15.75" customHeight="1" x14ac:dyDescent="0.25">
      <c r="L584" s="6"/>
      <c r="M584" s="8"/>
      <c r="N584" s="8"/>
    </row>
    <row r="585" spans="12:14" ht="15.75" customHeight="1" x14ac:dyDescent="0.25">
      <c r="L585" s="6"/>
      <c r="M585" s="8"/>
      <c r="N585" s="8"/>
    </row>
    <row r="586" spans="12:14" ht="15.75" customHeight="1" x14ac:dyDescent="0.25">
      <c r="L586" s="6"/>
      <c r="M586" s="8"/>
      <c r="N586" s="8"/>
    </row>
    <row r="587" spans="12:14" ht="15.75" customHeight="1" x14ac:dyDescent="0.25">
      <c r="L587" s="6"/>
      <c r="M587" s="8"/>
      <c r="N587" s="8"/>
    </row>
    <row r="588" spans="12:14" ht="15.75" customHeight="1" x14ac:dyDescent="0.25">
      <c r="L588" s="6"/>
      <c r="M588" s="8"/>
      <c r="N588" s="8"/>
    </row>
    <row r="589" spans="12:14" ht="15.75" customHeight="1" x14ac:dyDescent="0.25">
      <c r="L589" s="6"/>
      <c r="M589" s="8"/>
      <c r="N589" s="8"/>
    </row>
    <row r="590" spans="12:14" ht="15.75" customHeight="1" x14ac:dyDescent="0.25">
      <c r="L590" s="6"/>
      <c r="M590" s="8"/>
      <c r="N590" s="8"/>
    </row>
    <row r="591" spans="12:14" ht="15.75" customHeight="1" x14ac:dyDescent="0.25">
      <c r="L591" s="6"/>
      <c r="M591" s="8"/>
      <c r="N591" s="8"/>
    </row>
    <row r="592" spans="12:14" ht="15.75" customHeight="1" x14ac:dyDescent="0.25">
      <c r="L592" s="6"/>
      <c r="M592" s="8"/>
      <c r="N592" s="8"/>
    </row>
    <row r="593" spans="12:14" ht="15.75" customHeight="1" x14ac:dyDescent="0.25">
      <c r="L593" s="6"/>
      <c r="M593" s="8"/>
      <c r="N593" s="8"/>
    </row>
    <row r="594" spans="12:14" ht="15.75" customHeight="1" x14ac:dyDescent="0.25">
      <c r="L594" s="6"/>
      <c r="M594" s="8"/>
      <c r="N594" s="8"/>
    </row>
    <row r="595" spans="12:14" ht="15.75" customHeight="1" x14ac:dyDescent="0.25">
      <c r="L595" s="6"/>
      <c r="M595" s="8"/>
      <c r="N595" s="8"/>
    </row>
    <row r="596" spans="12:14" ht="15.75" customHeight="1" x14ac:dyDescent="0.25">
      <c r="L596" s="6"/>
      <c r="M596" s="8"/>
      <c r="N596" s="8"/>
    </row>
    <row r="597" spans="12:14" ht="15.75" customHeight="1" x14ac:dyDescent="0.25">
      <c r="L597" s="6"/>
      <c r="M597" s="8"/>
      <c r="N597" s="8"/>
    </row>
    <row r="598" spans="12:14" ht="15.75" customHeight="1" x14ac:dyDescent="0.25">
      <c r="L598" s="6"/>
      <c r="M598" s="8"/>
      <c r="N598" s="8"/>
    </row>
    <row r="599" spans="12:14" ht="15.75" customHeight="1" x14ac:dyDescent="0.25">
      <c r="L599" s="6"/>
      <c r="M599" s="8"/>
      <c r="N599" s="8"/>
    </row>
    <row r="600" spans="12:14" ht="15.75" customHeight="1" x14ac:dyDescent="0.25">
      <c r="L600" s="6"/>
      <c r="M600" s="8"/>
      <c r="N600" s="8"/>
    </row>
    <row r="601" spans="12:14" ht="15.75" customHeight="1" x14ac:dyDescent="0.25">
      <c r="L601" s="6"/>
      <c r="M601" s="8"/>
      <c r="N601" s="8"/>
    </row>
    <row r="602" spans="12:14" ht="15.75" customHeight="1" x14ac:dyDescent="0.25">
      <c r="L602" s="6"/>
      <c r="M602" s="8"/>
      <c r="N602" s="8"/>
    </row>
    <row r="603" spans="12:14" ht="15.75" customHeight="1" x14ac:dyDescent="0.25">
      <c r="L603" s="6"/>
      <c r="M603" s="8"/>
      <c r="N603" s="8"/>
    </row>
    <row r="604" spans="12:14" ht="15.75" customHeight="1" x14ac:dyDescent="0.25">
      <c r="L604" s="6"/>
      <c r="M604" s="8"/>
      <c r="N604" s="8"/>
    </row>
    <row r="605" spans="12:14" ht="15.75" customHeight="1" x14ac:dyDescent="0.25">
      <c r="L605" s="6"/>
      <c r="M605" s="8"/>
      <c r="N605" s="8"/>
    </row>
    <row r="606" spans="12:14" ht="15.75" customHeight="1" x14ac:dyDescent="0.25">
      <c r="L606" s="6"/>
      <c r="M606" s="8"/>
      <c r="N606" s="8"/>
    </row>
    <row r="607" spans="12:14" ht="15.75" customHeight="1" x14ac:dyDescent="0.25">
      <c r="L607" s="6"/>
      <c r="M607" s="8"/>
      <c r="N607" s="8"/>
    </row>
    <row r="608" spans="12:14" ht="15.75" customHeight="1" x14ac:dyDescent="0.25">
      <c r="L608" s="6"/>
      <c r="M608" s="8"/>
      <c r="N608" s="8"/>
    </row>
    <row r="609" spans="12:14" ht="15.75" customHeight="1" x14ac:dyDescent="0.25">
      <c r="L609" s="6"/>
      <c r="M609" s="8"/>
      <c r="N609" s="8"/>
    </row>
    <row r="610" spans="12:14" ht="15.75" customHeight="1" x14ac:dyDescent="0.25">
      <c r="L610" s="6"/>
      <c r="M610" s="8"/>
      <c r="N610" s="8"/>
    </row>
    <row r="611" spans="12:14" ht="15.75" customHeight="1" x14ac:dyDescent="0.25">
      <c r="L611" s="6"/>
      <c r="M611" s="8"/>
      <c r="N611" s="8"/>
    </row>
    <row r="612" spans="12:14" ht="15.75" customHeight="1" x14ac:dyDescent="0.25">
      <c r="L612" s="6"/>
      <c r="M612" s="8"/>
      <c r="N612" s="8"/>
    </row>
    <row r="613" spans="12:14" ht="15.75" customHeight="1" x14ac:dyDescent="0.25">
      <c r="L613" s="6"/>
      <c r="M613" s="8"/>
      <c r="N613" s="8"/>
    </row>
    <row r="614" spans="12:14" ht="15.75" customHeight="1" x14ac:dyDescent="0.25">
      <c r="L614" s="6"/>
      <c r="M614" s="8"/>
      <c r="N614" s="8"/>
    </row>
    <row r="615" spans="12:14" ht="15.75" customHeight="1" x14ac:dyDescent="0.25">
      <c r="L615" s="6"/>
      <c r="M615" s="8"/>
      <c r="N615" s="8"/>
    </row>
    <row r="616" spans="12:14" ht="15.75" customHeight="1" x14ac:dyDescent="0.25">
      <c r="L616" s="6"/>
      <c r="M616" s="8"/>
      <c r="N616" s="8"/>
    </row>
    <row r="617" spans="12:14" ht="15.75" customHeight="1" x14ac:dyDescent="0.25">
      <c r="L617" s="6"/>
      <c r="M617" s="8"/>
      <c r="N617" s="8"/>
    </row>
    <row r="618" spans="12:14" ht="15.75" customHeight="1" x14ac:dyDescent="0.25">
      <c r="L618" s="6"/>
      <c r="M618" s="8"/>
      <c r="N618" s="8"/>
    </row>
    <row r="619" spans="12:14" ht="15.75" customHeight="1" x14ac:dyDescent="0.25">
      <c r="L619" s="6"/>
      <c r="M619" s="8"/>
      <c r="N619" s="8"/>
    </row>
    <row r="620" spans="12:14" ht="15.75" customHeight="1" x14ac:dyDescent="0.25">
      <c r="L620" s="6"/>
      <c r="M620" s="8"/>
      <c r="N620" s="8"/>
    </row>
    <row r="621" spans="12:14" ht="15.75" customHeight="1" x14ac:dyDescent="0.25">
      <c r="L621" s="6"/>
      <c r="M621" s="8"/>
      <c r="N621" s="8"/>
    </row>
    <row r="622" spans="12:14" ht="15.75" customHeight="1" x14ac:dyDescent="0.25">
      <c r="L622" s="6"/>
      <c r="M622" s="8"/>
      <c r="N622" s="8"/>
    </row>
    <row r="623" spans="12:14" ht="15.75" customHeight="1" x14ac:dyDescent="0.25">
      <c r="L623" s="6"/>
      <c r="M623" s="8"/>
      <c r="N623" s="8"/>
    </row>
    <row r="624" spans="12:14" ht="15.75" customHeight="1" x14ac:dyDescent="0.25">
      <c r="L624" s="6"/>
      <c r="M624" s="8"/>
      <c r="N624" s="8"/>
    </row>
    <row r="625" spans="12:14" ht="15.75" customHeight="1" x14ac:dyDescent="0.25">
      <c r="L625" s="6"/>
      <c r="M625" s="8"/>
      <c r="N625" s="8"/>
    </row>
    <row r="626" spans="12:14" ht="15.75" customHeight="1" x14ac:dyDescent="0.25">
      <c r="L626" s="6"/>
      <c r="M626" s="8"/>
      <c r="N626" s="8"/>
    </row>
    <row r="627" spans="12:14" ht="15.75" customHeight="1" x14ac:dyDescent="0.25">
      <c r="L627" s="6"/>
      <c r="M627" s="8"/>
      <c r="N627" s="8"/>
    </row>
    <row r="628" spans="12:14" ht="15.75" customHeight="1" x14ac:dyDescent="0.25">
      <c r="L628" s="6"/>
      <c r="M628" s="8"/>
      <c r="N628" s="8"/>
    </row>
    <row r="629" spans="12:14" ht="15.75" customHeight="1" x14ac:dyDescent="0.25">
      <c r="L629" s="6"/>
      <c r="M629" s="8"/>
      <c r="N629" s="8"/>
    </row>
    <row r="630" spans="12:14" ht="15.75" customHeight="1" x14ac:dyDescent="0.25">
      <c r="L630" s="6"/>
      <c r="M630" s="8"/>
      <c r="N630" s="8"/>
    </row>
    <row r="631" spans="12:14" ht="15.75" customHeight="1" x14ac:dyDescent="0.25">
      <c r="L631" s="6"/>
      <c r="M631" s="8"/>
      <c r="N631" s="8"/>
    </row>
    <row r="632" spans="12:14" ht="15.75" customHeight="1" x14ac:dyDescent="0.25">
      <c r="L632" s="6"/>
      <c r="M632" s="8"/>
      <c r="N632" s="8"/>
    </row>
    <row r="633" spans="12:14" ht="15.75" customHeight="1" x14ac:dyDescent="0.25">
      <c r="L633" s="6"/>
      <c r="M633" s="8"/>
      <c r="N633" s="8"/>
    </row>
    <row r="634" spans="12:14" ht="15.75" customHeight="1" x14ac:dyDescent="0.25">
      <c r="L634" s="6"/>
      <c r="M634" s="8"/>
      <c r="N634" s="8"/>
    </row>
    <row r="635" spans="12:14" ht="15.75" customHeight="1" x14ac:dyDescent="0.25">
      <c r="L635" s="6"/>
      <c r="M635" s="8"/>
      <c r="N635" s="8"/>
    </row>
    <row r="636" spans="12:14" ht="15.75" customHeight="1" x14ac:dyDescent="0.25">
      <c r="L636" s="6"/>
      <c r="M636" s="8"/>
      <c r="N636" s="8"/>
    </row>
    <row r="637" spans="12:14" ht="15.75" customHeight="1" x14ac:dyDescent="0.25">
      <c r="L637" s="6"/>
      <c r="M637" s="8"/>
      <c r="N637" s="8"/>
    </row>
    <row r="638" spans="12:14" ht="15.75" customHeight="1" x14ac:dyDescent="0.25">
      <c r="L638" s="6"/>
      <c r="M638" s="8"/>
      <c r="N638" s="8"/>
    </row>
    <row r="639" spans="12:14" ht="15.75" customHeight="1" x14ac:dyDescent="0.25">
      <c r="L639" s="6"/>
      <c r="M639" s="8"/>
      <c r="N639" s="8"/>
    </row>
    <row r="640" spans="12:14" ht="15.75" customHeight="1" x14ac:dyDescent="0.25">
      <c r="L640" s="6"/>
      <c r="M640" s="8"/>
      <c r="N640" s="8"/>
    </row>
    <row r="641" spans="12:14" ht="15.75" customHeight="1" x14ac:dyDescent="0.25">
      <c r="L641" s="6"/>
      <c r="M641" s="8"/>
      <c r="N641" s="8"/>
    </row>
    <row r="642" spans="12:14" ht="15.75" customHeight="1" x14ac:dyDescent="0.25">
      <c r="L642" s="6"/>
      <c r="M642" s="8"/>
      <c r="N642" s="8"/>
    </row>
    <row r="643" spans="12:14" ht="15.75" customHeight="1" x14ac:dyDescent="0.25">
      <c r="L643" s="6"/>
      <c r="M643" s="8"/>
      <c r="N643" s="8"/>
    </row>
    <row r="644" spans="12:14" ht="15.75" customHeight="1" x14ac:dyDescent="0.25">
      <c r="L644" s="6"/>
      <c r="M644" s="8"/>
      <c r="N644" s="8"/>
    </row>
    <row r="645" spans="12:14" ht="15.75" customHeight="1" x14ac:dyDescent="0.25">
      <c r="L645" s="6"/>
      <c r="M645" s="8"/>
      <c r="N645" s="8"/>
    </row>
    <row r="646" spans="12:14" ht="15.75" customHeight="1" x14ac:dyDescent="0.25">
      <c r="L646" s="6"/>
      <c r="M646" s="8"/>
      <c r="N646" s="8"/>
    </row>
    <row r="647" spans="12:14" ht="15.75" customHeight="1" x14ac:dyDescent="0.25">
      <c r="L647" s="6"/>
      <c r="M647" s="8"/>
      <c r="N647" s="8"/>
    </row>
    <row r="648" spans="12:14" ht="15.75" customHeight="1" x14ac:dyDescent="0.25">
      <c r="L648" s="6"/>
      <c r="M648" s="8"/>
      <c r="N648" s="8"/>
    </row>
    <row r="649" spans="12:14" ht="15.75" customHeight="1" x14ac:dyDescent="0.25">
      <c r="L649" s="6"/>
      <c r="M649" s="8"/>
      <c r="N649" s="8"/>
    </row>
    <row r="650" spans="12:14" ht="15.75" customHeight="1" x14ac:dyDescent="0.25">
      <c r="L650" s="6"/>
      <c r="M650" s="8"/>
      <c r="N650" s="8"/>
    </row>
    <row r="651" spans="12:14" ht="15.75" customHeight="1" x14ac:dyDescent="0.25">
      <c r="L651" s="6"/>
      <c r="M651" s="8"/>
      <c r="N651" s="8"/>
    </row>
    <row r="652" spans="12:14" ht="15.75" customHeight="1" x14ac:dyDescent="0.25">
      <c r="L652" s="6"/>
      <c r="M652" s="8"/>
      <c r="N652" s="8"/>
    </row>
    <row r="653" spans="12:14" ht="15.75" customHeight="1" x14ac:dyDescent="0.25">
      <c r="L653" s="6"/>
      <c r="M653" s="8"/>
      <c r="N653" s="8"/>
    </row>
    <row r="654" spans="12:14" ht="15.75" customHeight="1" x14ac:dyDescent="0.25">
      <c r="L654" s="6"/>
      <c r="M654" s="8"/>
      <c r="N654" s="8"/>
    </row>
    <row r="655" spans="12:14" ht="15.75" customHeight="1" x14ac:dyDescent="0.25">
      <c r="L655" s="6"/>
      <c r="M655" s="8"/>
      <c r="N655" s="8"/>
    </row>
    <row r="656" spans="12:14" ht="15.75" customHeight="1" x14ac:dyDescent="0.25">
      <c r="L656" s="6"/>
      <c r="M656" s="8"/>
      <c r="N656" s="8"/>
    </row>
    <row r="657" spans="12:14" ht="15.75" customHeight="1" x14ac:dyDescent="0.25">
      <c r="L657" s="6"/>
      <c r="M657" s="8"/>
      <c r="N657" s="8"/>
    </row>
    <row r="658" spans="12:14" ht="15.75" customHeight="1" x14ac:dyDescent="0.25">
      <c r="L658" s="6"/>
      <c r="M658" s="8"/>
      <c r="N658" s="8"/>
    </row>
    <row r="659" spans="12:14" ht="15.75" customHeight="1" x14ac:dyDescent="0.25">
      <c r="L659" s="6"/>
      <c r="M659" s="8"/>
      <c r="N659" s="8"/>
    </row>
    <row r="660" spans="12:14" ht="15.75" customHeight="1" x14ac:dyDescent="0.25">
      <c r="L660" s="6"/>
      <c r="M660" s="8"/>
      <c r="N660" s="8"/>
    </row>
    <row r="661" spans="12:14" ht="15.75" customHeight="1" x14ac:dyDescent="0.25">
      <c r="L661" s="6"/>
      <c r="M661" s="8"/>
      <c r="N661" s="8"/>
    </row>
    <row r="662" spans="12:14" ht="15.75" customHeight="1" x14ac:dyDescent="0.25">
      <c r="L662" s="6"/>
      <c r="M662" s="8"/>
      <c r="N662" s="8"/>
    </row>
    <row r="663" spans="12:14" ht="15.75" customHeight="1" x14ac:dyDescent="0.25">
      <c r="L663" s="6"/>
      <c r="M663" s="8"/>
      <c r="N663" s="8"/>
    </row>
    <row r="664" spans="12:14" ht="15.75" customHeight="1" x14ac:dyDescent="0.25">
      <c r="L664" s="6"/>
      <c r="M664" s="8"/>
      <c r="N664" s="8"/>
    </row>
    <row r="665" spans="12:14" ht="15.75" customHeight="1" x14ac:dyDescent="0.25">
      <c r="L665" s="6"/>
      <c r="M665" s="8"/>
      <c r="N665" s="8"/>
    </row>
    <row r="666" spans="12:14" ht="15.75" customHeight="1" x14ac:dyDescent="0.25">
      <c r="L666" s="6"/>
      <c r="M666" s="8"/>
      <c r="N666" s="8"/>
    </row>
    <row r="667" spans="12:14" ht="15.75" customHeight="1" x14ac:dyDescent="0.25">
      <c r="L667" s="6"/>
      <c r="M667" s="8"/>
      <c r="N667" s="8"/>
    </row>
    <row r="668" spans="12:14" ht="15.75" customHeight="1" x14ac:dyDescent="0.25">
      <c r="L668" s="6"/>
      <c r="M668" s="8"/>
      <c r="N668" s="8"/>
    </row>
    <row r="669" spans="12:14" ht="15.75" customHeight="1" x14ac:dyDescent="0.25">
      <c r="L669" s="6"/>
      <c r="M669" s="8"/>
      <c r="N669" s="8"/>
    </row>
    <row r="670" spans="12:14" ht="15.75" customHeight="1" x14ac:dyDescent="0.25">
      <c r="L670" s="6"/>
      <c r="M670" s="8"/>
      <c r="N670" s="8"/>
    </row>
    <row r="671" spans="12:14" ht="15.75" customHeight="1" x14ac:dyDescent="0.25">
      <c r="L671" s="6"/>
      <c r="M671" s="8"/>
      <c r="N671" s="8"/>
    </row>
    <row r="672" spans="12:14" ht="15.75" customHeight="1" x14ac:dyDescent="0.25">
      <c r="L672" s="6"/>
      <c r="M672" s="8"/>
      <c r="N672" s="8"/>
    </row>
    <row r="673" spans="12:14" ht="15.75" customHeight="1" x14ac:dyDescent="0.25">
      <c r="L673" s="6"/>
      <c r="M673" s="8"/>
      <c r="N673" s="8"/>
    </row>
    <row r="674" spans="12:14" ht="15.75" customHeight="1" x14ac:dyDescent="0.25">
      <c r="L674" s="6"/>
      <c r="M674" s="8"/>
      <c r="N674" s="8"/>
    </row>
    <row r="675" spans="12:14" ht="15.75" customHeight="1" x14ac:dyDescent="0.25">
      <c r="L675" s="6"/>
      <c r="M675" s="8"/>
      <c r="N675" s="8"/>
    </row>
    <row r="676" spans="12:14" ht="15.75" customHeight="1" x14ac:dyDescent="0.25">
      <c r="L676" s="6"/>
      <c r="M676" s="8"/>
      <c r="N676" s="8"/>
    </row>
    <row r="677" spans="12:14" ht="15.75" customHeight="1" x14ac:dyDescent="0.25">
      <c r="L677" s="6"/>
      <c r="M677" s="8"/>
      <c r="N677" s="8"/>
    </row>
    <row r="678" spans="12:14" ht="15.75" customHeight="1" x14ac:dyDescent="0.25">
      <c r="L678" s="6"/>
      <c r="M678" s="8"/>
      <c r="N678" s="8"/>
    </row>
    <row r="679" spans="12:14" ht="15.75" customHeight="1" x14ac:dyDescent="0.25">
      <c r="L679" s="6"/>
      <c r="M679" s="8"/>
      <c r="N679" s="8"/>
    </row>
    <row r="680" spans="12:14" ht="15.75" customHeight="1" x14ac:dyDescent="0.25">
      <c r="L680" s="6"/>
      <c r="M680" s="8"/>
      <c r="N680" s="8"/>
    </row>
    <row r="681" spans="12:14" ht="15.75" customHeight="1" x14ac:dyDescent="0.25">
      <c r="L681" s="6"/>
      <c r="M681" s="8"/>
      <c r="N681" s="8"/>
    </row>
    <row r="682" spans="12:14" ht="15.75" customHeight="1" x14ac:dyDescent="0.25">
      <c r="L682" s="6"/>
      <c r="M682" s="8"/>
      <c r="N682" s="8"/>
    </row>
    <row r="683" spans="12:14" ht="15.75" customHeight="1" x14ac:dyDescent="0.25">
      <c r="L683" s="6"/>
      <c r="M683" s="8"/>
      <c r="N683" s="8"/>
    </row>
    <row r="684" spans="12:14" ht="15.75" customHeight="1" x14ac:dyDescent="0.25">
      <c r="L684" s="6"/>
      <c r="M684" s="8"/>
      <c r="N684" s="8"/>
    </row>
    <row r="685" spans="12:14" ht="15.75" customHeight="1" x14ac:dyDescent="0.25">
      <c r="L685" s="6"/>
      <c r="M685" s="8"/>
      <c r="N685" s="8"/>
    </row>
    <row r="686" spans="12:14" ht="15.75" customHeight="1" x14ac:dyDescent="0.25">
      <c r="L686" s="6"/>
      <c r="M686" s="8"/>
      <c r="N686" s="8"/>
    </row>
    <row r="687" spans="12:14" ht="15.75" customHeight="1" x14ac:dyDescent="0.25">
      <c r="L687" s="6"/>
      <c r="M687" s="8"/>
      <c r="N687" s="8"/>
    </row>
    <row r="688" spans="12:14" ht="15.75" customHeight="1" x14ac:dyDescent="0.25">
      <c r="L688" s="6"/>
      <c r="M688" s="8"/>
      <c r="N688" s="8"/>
    </row>
    <row r="689" spans="12:14" ht="15.75" customHeight="1" x14ac:dyDescent="0.25">
      <c r="L689" s="6"/>
      <c r="M689" s="8"/>
      <c r="N689" s="8"/>
    </row>
    <row r="690" spans="12:14" ht="15.75" customHeight="1" x14ac:dyDescent="0.25">
      <c r="L690" s="6"/>
      <c r="M690" s="8"/>
      <c r="N690" s="8"/>
    </row>
    <row r="691" spans="12:14" ht="15.75" customHeight="1" x14ac:dyDescent="0.25">
      <c r="L691" s="6"/>
      <c r="M691" s="8"/>
      <c r="N691" s="8"/>
    </row>
    <row r="692" spans="12:14" ht="15.75" customHeight="1" x14ac:dyDescent="0.25">
      <c r="L692" s="6"/>
      <c r="M692" s="8"/>
      <c r="N692" s="8"/>
    </row>
    <row r="693" spans="12:14" ht="15.75" customHeight="1" x14ac:dyDescent="0.25">
      <c r="L693" s="6"/>
      <c r="M693" s="8"/>
      <c r="N693" s="8"/>
    </row>
    <row r="694" spans="12:14" ht="15.75" customHeight="1" x14ac:dyDescent="0.25">
      <c r="L694" s="6"/>
      <c r="M694" s="8"/>
      <c r="N694" s="8"/>
    </row>
    <row r="695" spans="12:14" ht="15.75" customHeight="1" x14ac:dyDescent="0.25">
      <c r="L695" s="6"/>
      <c r="M695" s="8"/>
      <c r="N695" s="8"/>
    </row>
    <row r="696" spans="12:14" ht="15.75" customHeight="1" x14ac:dyDescent="0.25">
      <c r="L696" s="6"/>
      <c r="M696" s="8"/>
      <c r="N696" s="8"/>
    </row>
    <row r="697" spans="12:14" ht="15.75" customHeight="1" x14ac:dyDescent="0.25">
      <c r="L697" s="6"/>
      <c r="M697" s="8"/>
      <c r="N697" s="8"/>
    </row>
    <row r="698" spans="12:14" ht="15.75" customHeight="1" x14ac:dyDescent="0.25">
      <c r="L698" s="6"/>
      <c r="M698" s="8"/>
      <c r="N698" s="8"/>
    </row>
    <row r="699" spans="12:14" ht="15.75" customHeight="1" x14ac:dyDescent="0.25">
      <c r="L699" s="6"/>
      <c r="M699" s="8"/>
      <c r="N699" s="8"/>
    </row>
    <row r="700" spans="12:14" ht="15.75" customHeight="1" x14ac:dyDescent="0.25">
      <c r="L700" s="6"/>
      <c r="M700" s="8"/>
      <c r="N700" s="8"/>
    </row>
    <row r="701" spans="12:14" ht="15.75" customHeight="1" x14ac:dyDescent="0.25">
      <c r="L701" s="6"/>
      <c r="M701" s="8"/>
      <c r="N701" s="8"/>
    </row>
    <row r="702" spans="12:14" ht="15.75" customHeight="1" x14ac:dyDescent="0.25">
      <c r="L702" s="6"/>
      <c r="M702" s="8"/>
      <c r="N702" s="8"/>
    </row>
    <row r="703" spans="12:14" ht="15.75" customHeight="1" x14ac:dyDescent="0.25">
      <c r="L703" s="6"/>
      <c r="M703" s="8"/>
      <c r="N703" s="8"/>
    </row>
    <row r="704" spans="12:14" ht="15.75" customHeight="1" x14ac:dyDescent="0.25">
      <c r="L704" s="6"/>
      <c r="M704" s="8"/>
      <c r="N704" s="8"/>
    </row>
    <row r="705" spans="12:14" ht="15.75" customHeight="1" x14ac:dyDescent="0.25">
      <c r="L705" s="6"/>
      <c r="M705" s="8"/>
      <c r="N705" s="8"/>
    </row>
    <row r="706" spans="12:14" ht="15.75" customHeight="1" x14ac:dyDescent="0.25">
      <c r="L706" s="6"/>
      <c r="M706" s="8"/>
      <c r="N706" s="8"/>
    </row>
    <row r="707" spans="12:14" ht="15.75" customHeight="1" x14ac:dyDescent="0.25">
      <c r="L707" s="6"/>
      <c r="M707" s="8"/>
      <c r="N707" s="8"/>
    </row>
    <row r="708" spans="12:14" ht="15.75" customHeight="1" x14ac:dyDescent="0.25">
      <c r="L708" s="6"/>
      <c r="M708" s="8"/>
      <c r="N708" s="8"/>
    </row>
    <row r="709" spans="12:14" ht="15.75" customHeight="1" x14ac:dyDescent="0.25">
      <c r="L709" s="6"/>
      <c r="M709" s="8"/>
      <c r="N709" s="8"/>
    </row>
    <row r="710" spans="12:14" ht="15.75" customHeight="1" x14ac:dyDescent="0.25">
      <c r="L710" s="6"/>
      <c r="M710" s="8"/>
      <c r="N710" s="8"/>
    </row>
    <row r="711" spans="12:14" ht="15.75" customHeight="1" x14ac:dyDescent="0.25">
      <c r="L711" s="6"/>
      <c r="M711" s="8"/>
      <c r="N711" s="8"/>
    </row>
    <row r="712" spans="12:14" ht="15.75" customHeight="1" x14ac:dyDescent="0.25">
      <c r="L712" s="6"/>
      <c r="M712" s="8"/>
      <c r="N712" s="8"/>
    </row>
    <row r="713" spans="12:14" ht="15.75" customHeight="1" x14ac:dyDescent="0.25">
      <c r="L713" s="6"/>
      <c r="M713" s="8"/>
      <c r="N713" s="8"/>
    </row>
    <row r="714" spans="12:14" ht="15.75" customHeight="1" x14ac:dyDescent="0.25">
      <c r="L714" s="6"/>
      <c r="M714" s="8"/>
      <c r="N714" s="8"/>
    </row>
    <row r="715" spans="12:14" ht="15.75" customHeight="1" x14ac:dyDescent="0.25">
      <c r="L715" s="6"/>
      <c r="M715" s="8"/>
      <c r="N715" s="8"/>
    </row>
    <row r="716" spans="12:14" ht="15.75" customHeight="1" x14ac:dyDescent="0.25">
      <c r="L716" s="6"/>
      <c r="M716" s="8"/>
      <c r="N716" s="8"/>
    </row>
    <row r="717" spans="12:14" ht="15.75" customHeight="1" x14ac:dyDescent="0.25">
      <c r="L717" s="6"/>
      <c r="M717" s="8"/>
      <c r="N717" s="8"/>
    </row>
    <row r="718" spans="12:14" ht="15.75" customHeight="1" x14ac:dyDescent="0.25">
      <c r="L718" s="6"/>
      <c r="M718" s="8"/>
      <c r="N718" s="8"/>
    </row>
    <row r="719" spans="12:14" ht="15.75" customHeight="1" x14ac:dyDescent="0.25">
      <c r="L719" s="6"/>
      <c r="M719" s="8"/>
      <c r="N719" s="8"/>
    </row>
    <row r="720" spans="12:14" ht="15.75" customHeight="1" x14ac:dyDescent="0.25">
      <c r="L720" s="6"/>
      <c r="M720" s="8"/>
      <c r="N720" s="8"/>
    </row>
    <row r="721" spans="12:14" ht="15.75" customHeight="1" x14ac:dyDescent="0.25">
      <c r="L721" s="6"/>
      <c r="M721" s="8"/>
      <c r="N721" s="8"/>
    </row>
    <row r="722" spans="12:14" ht="15.75" customHeight="1" x14ac:dyDescent="0.25">
      <c r="L722" s="6"/>
      <c r="M722" s="8"/>
      <c r="N722" s="8"/>
    </row>
    <row r="723" spans="12:14" ht="15.75" customHeight="1" x14ac:dyDescent="0.25">
      <c r="L723" s="6"/>
      <c r="M723" s="8"/>
      <c r="N723" s="8"/>
    </row>
    <row r="724" spans="12:14" ht="15.75" customHeight="1" x14ac:dyDescent="0.25">
      <c r="L724" s="6"/>
      <c r="M724" s="8"/>
      <c r="N724" s="8"/>
    </row>
    <row r="725" spans="12:14" ht="15.75" customHeight="1" x14ac:dyDescent="0.25">
      <c r="L725" s="6"/>
      <c r="M725" s="8"/>
      <c r="N725" s="8"/>
    </row>
    <row r="726" spans="12:14" ht="15.75" customHeight="1" x14ac:dyDescent="0.25">
      <c r="L726" s="6"/>
      <c r="M726" s="8"/>
      <c r="N726" s="8"/>
    </row>
    <row r="727" spans="12:14" ht="15.75" customHeight="1" x14ac:dyDescent="0.25">
      <c r="L727" s="6"/>
      <c r="M727" s="8"/>
      <c r="N727" s="8"/>
    </row>
    <row r="728" spans="12:14" ht="15.75" customHeight="1" x14ac:dyDescent="0.25">
      <c r="L728" s="6"/>
      <c r="M728" s="8"/>
      <c r="N728" s="8"/>
    </row>
    <row r="729" spans="12:14" ht="15.75" customHeight="1" x14ac:dyDescent="0.25">
      <c r="L729" s="6"/>
      <c r="M729" s="8"/>
      <c r="N729" s="8"/>
    </row>
    <row r="730" spans="12:14" ht="15.75" customHeight="1" x14ac:dyDescent="0.25">
      <c r="L730" s="6"/>
      <c r="M730" s="8"/>
      <c r="N730" s="8"/>
    </row>
    <row r="731" spans="12:14" ht="15.75" customHeight="1" x14ac:dyDescent="0.25">
      <c r="L731" s="6"/>
      <c r="M731" s="8"/>
      <c r="N731" s="8"/>
    </row>
    <row r="732" spans="12:14" ht="15.75" customHeight="1" x14ac:dyDescent="0.25">
      <c r="L732" s="6"/>
      <c r="M732" s="8"/>
      <c r="N732" s="8"/>
    </row>
    <row r="733" spans="12:14" ht="15.75" customHeight="1" x14ac:dyDescent="0.25">
      <c r="L733" s="6"/>
      <c r="M733" s="8"/>
      <c r="N733" s="8"/>
    </row>
    <row r="734" spans="12:14" ht="15.75" customHeight="1" x14ac:dyDescent="0.25">
      <c r="L734" s="6"/>
      <c r="M734" s="8"/>
      <c r="N734" s="8"/>
    </row>
    <row r="735" spans="12:14" ht="15.75" customHeight="1" x14ac:dyDescent="0.25">
      <c r="L735" s="6"/>
      <c r="M735" s="8"/>
      <c r="N735" s="8"/>
    </row>
    <row r="736" spans="12:14" ht="15.75" customHeight="1" x14ac:dyDescent="0.25">
      <c r="L736" s="6"/>
      <c r="M736" s="8"/>
      <c r="N736" s="8"/>
    </row>
    <row r="737" spans="12:14" ht="15.75" customHeight="1" x14ac:dyDescent="0.25">
      <c r="L737" s="6"/>
      <c r="M737" s="8"/>
      <c r="N737" s="8"/>
    </row>
    <row r="738" spans="12:14" ht="15.75" customHeight="1" x14ac:dyDescent="0.25">
      <c r="L738" s="6"/>
      <c r="M738" s="8"/>
      <c r="N738" s="8"/>
    </row>
    <row r="739" spans="12:14" ht="15.75" customHeight="1" x14ac:dyDescent="0.25">
      <c r="L739" s="6"/>
      <c r="M739" s="8"/>
      <c r="N739" s="8"/>
    </row>
    <row r="740" spans="12:14" ht="15.75" customHeight="1" x14ac:dyDescent="0.25">
      <c r="L740" s="6"/>
      <c r="M740" s="8"/>
      <c r="N740" s="8"/>
    </row>
    <row r="741" spans="12:14" ht="15.75" customHeight="1" x14ac:dyDescent="0.25">
      <c r="L741" s="6"/>
      <c r="M741" s="8"/>
      <c r="N741" s="8"/>
    </row>
    <row r="742" spans="12:14" ht="15.75" customHeight="1" x14ac:dyDescent="0.25">
      <c r="L742" s="6"/>
      <c r="M742" s="8"/>
      <c r="N742" s="8"/>
    </row>
    <row r="743" spans="12:14" ht="15.75" customHeight="1" x14ac:dyDescent="0.25">
      <c r="L743" s="6"/>
      <c r="M743" s="8"/>
      <c r="N743" s="8"/>
    </row>
    <row r="744" spans="12:14" ht="15.75" customHeight="1" x14ac:dyDescent="0.25">
      <c r="L744" s="6"/>
      <c r="M744" s="8"/>
      <c r="N744" s="8"/>
    </row>
    <row r="745" spans="12:14" ht="15.75" customHeight="1" x14ac:dyDescent="0.25">
      <c r="L745" s="6"/>
      <c r="M745" s="8"/>
      <c r="N745" s="8"/>
    </row>
    <row r="746" spans="12:14" ht="15.75" customHeight="1" x14ac:dyDescent="0.25">
      <c r="L746" s="6"/>
      <c r="M746" s="8"/>
      <c r="N746" s="8"/>
    </row>
    <row r="747" spans="12:14" ht="15.75" customHeight="1" x14ac:dyDescent="0.25">
      <c r="L747" s="6"/>
      <c r="M747" s="8"/>
      <c r="N747" s="8"/>
    </row>
    <row r="748" spans="12:14" ht="15.75" customHeight="1" x14ac:dyDescent="0.25">
      <c r="L748" s="6"/>
      <c r="M748" s="8"/>
      <c r="N748" s="8"/>
    </row>
    <row r="749" spans="12:14" ht="15.75" customHeight="1" x14ac:dyDescent="0.25">
      <c r="L749" s="6"/>
      <c r="M749" s="8"/>
      <c r="N749" s="8"/>
    </row>
    <row r="750" spans="12:14" ht="15.75" customHeight="1" x14ac:dyDescent="0.25">
      <c r="L750" s="6"/>
      <c r="M750" s="8"/>
      <c r="N750" s="8"/>
    </row>
    <row r="751" spans="12:14" ht="15.75" customHeight="1" x14ac:dyDescent="0.25">
      <c r="L751" s="6"/>
      <c r="M751" s="8"/>
      <c r="N751" s="8"/>
    </row>
    <row r="752" spans="12:14" ht="15.75" customHeight="1" x14ac:dyDescent="0.25">
      <c r="L752" s="6"/>
      <c r="M752" s="8"/>
      <c r="N752" s="8"/>
    </row>
    <row r="753" spans="12:14" ht="15.75" customHeight="1" x14ac:dyDescent="0.25">
      <c r="L753" s="6"/>
      <c r="M753" s="8"/>
      <c r="N753" s="8"/>
    </row>
    <row r="754" spans="12:14" ht="15.75" customHeight="1" x14ac:dyDescent="0.25">
      <c r="L754" s="6"/>
      <c r="M754" s="8"/>
      <c r="N754" s="8"/>
    </row>
    <row r="755" spans="12:14" ht="15.75" customHeight="1" x14ac:dyDescent="0.25">
      <c r="L755" s="6"/>
      <c r="M755" s="8"/>
      <c r="N755" s="8"/>
    </row>
    <row r="756" spans="12:14" ht="15.75" customHeight="1" x14ac:dyDescent="0.25">
      <c r="L756" s="6"/>
      <c r="M756" s="8"/>
      <c r="N756" s="8"/>
    </row>
    <row r="757" spans="12:14" ht="15.75" customHeight="1" x14ac:dyDescent="0.25">
      <c r="L757" s="6"/>
      <c r="M757" s="8"/>
      <c r="N757" s="8"/>
    </row>
    <row r="758" spans="12:14" ht="15.75" customHeight="1" x14ac:dyDescent="0.25">
      <c r="L758" s="6"/>
      <c r="M758" s="8"/>
      <c r="N758" s="8"/>
    </row>
    <row r="759" spans="12:14" ht="15.75" customHeight="1" x14ac:dyDescent="0.25">
      <c r="L759" s="6"/>
      <c r="M759" s="8"/>
      <c r="N759" s="8"/>
    </row>
    <row r="760" spans="12:14" ht="15.75" customHeight="1" x14ac:dyDescent="0.25">
      <c r="L760" s="6"/>
      <c r="M760" s="8"/>
      <c r="N760" s="8"/>
    </row>
    <row r="761" spans="12:14" ht="15.75" customHeight="1" x14ac:dyDescent="0.25">
      <c r="L761" s="6"/>
      <c r="M761" s="8"/>
      <c r="N761" s="8"/>
    </row>
    <row r="762" spans="12:14" ht="15.75" customHeight="1" x14ac:dyDescent="0.25">
      <c r="L762" s="6"/>
      <c r="M762" s="8"/>
      <c r="N762" s="8"/>
    </row>
    <row r="763" spans="12:14" ht="15.75" customHeight="1" x14ac:dyDescent="0.25">
      <c r="L763" s="6"/>
      <c r="M763" s="8"/>
      <c r="N763" s="8"/>
    </row>
    <row r="764" spans="12:14" ht="15.75" customHeight="1" x14ac:dyDescent="0.25">
      <c r="L764" s="6"/>
      <c r="M764" s="8"/>
      <c r="N764" s="8"/>
    </row>
    <row r="765" spans="12:14" ht="15.75" customHeight="1" x14ac:dyDescent="0.25">
      <c r="L765" s="6"/>
      <c r="M765" s="8"/>
      <c r="N765" s="8"/>
    </row>
    <row r="766" spans="12:14" ht="15.75" customHeight="1" x14ac:dyDescent="0.25">
      <c r="L766" s="6"/>
      <c r="M766" s="8"/>
      <c r="N766" s="8"/>
    </row>
    <row r="767" spans="12:14" ht="15.75" customHeight="1" x14ac:dyDescent="0.25">
      <c r="L767" s="6"/>
      <c r="M767" s="8"/>
      <c r="N767" s="8"/>
    </row>
    <row r="768" spans="12:14" ht="15.75" customHeight="1" x14ac:dyDescent="0.25">
      <c r="L768" s="6"/>
      <c r="M768" s="8"/>
      <c r="N768" s="8"/>
    </row>
    <row r="769" spans="12:14" ht="15.75" customHeight="1" x14ac:dyDescent="0.25">
      <c r="L769" s="6"/>
      <c r="M769" s="8"/>
      <c r="N769" s="8"/>
    </row>
    <row r="770" spans="12:14" ht="15.75" customHeight="1" x14ac:dyDescent="0.25">
      <c r="L770" s="6"/>
      <c r="M770" s="8"/>
      <c r="N770" s="8"/>
    </row>
    <row r="771" spans="12:14" ht="15.75" customHeight="1" x14ac:dyDescent="0.25">
      <c r="L771" s="6"/>
      <c r="M771" s="8"/>
      <c r="N771" s="8"/>
    </row>
    <row r="772" spans="12:14" ht="15.75" customHeight="1" x14ac:dyDescent="0.25">
      <c r="L772" s="6"/>
      <c r="M772" s="8"/>
      <c r="N772" s="8"/>
    </row>
    <row r="773" spans="12:14" ht="15.75" customHeight="1" x14ac:dyDescent="0.25">
      <c r="L773" s="6"/>
      <c r="M773" s="8"/>
      <c r="N773" s="8"/>
    </row>
    <row r="774" spans="12:14" ht="15.75" customHeight="1" x14ac:dyDescent="0.25">
      <c r="L774" s="6"/>
      <c r="M774" s="8"/>
      <c r="N774" s="8"/>
    </row>
    <row r="775" spans="12:14" ht="15.75" customHeight="1" x14ac:dyDescent="0.25">
      <c r="L775" s="6"/>
      <c r="M775" s="8"/>
      <c r="N775" s="8"/>
    </row>
    <row r="776" spans="12:14" ht="15.75" customHeight="1" x14ac:dyDescent="0.25">
      <c r="L776" s="6"/>
      <c r="M776" s="8"/>
      <c r="N776" s="8"/>
    </row>
    <row r="777" spans="12:14" ht="15.75" customHeight="1" x14ac:dyDescent="0.25">
      <c r="L777" s="6"/>
      <c r="M777" s="8"/>
      <c r="N777" s="8"/>
    </row>
    <row r="778" spans="12:14" ht="15.75" customHeight="1" x14ac:dyDescent="0.25">
      <c r="L778" s="6"/>
      <c r="M778" s="8"/>
      <c r="N778" s="8"/>
    </row>
    <row r="779" spans="12:14" ht="15.75" customHeight="1" x14ac:dyDescent="0.25">
      <c r="L779" s="6"/>
      <c r="M779" s="8"/>
      <c r="N779" s="8"/>
    </row>
    <row r="780" spans="12:14" ht="15.75" customHeight="1" x14ac:dyDescent="0.25">
      <c r="L780" s="6"/>
      <c r="M780" s="8"/>
      <c r="N780" s="8"/>
    </row>
    <row r="781" spans="12:14" ht="15.75" customHeight="1" x14ac:dyDescent="0.25">
      <c r="L781" s="6"/>
      <c r="M781" s="8"/>
      <c r="N781" s="8"/>
    </row>
    <row r="782" spans="12:14" ht="15.75" customHeight="1" x14ac:dyDescent="0.25">
      <c r="L782" s="6"/>
      <c r="M782" s="8"/>
      <c r="N782" s="8"/>
    </row>
    <row r="783" spans="12:14" ht="15.75" customHeight="1" x14ac:dyDescent="0.25">
      <c r="L783" s="6"/>
      <c r="M783" s="8"/>
      <c r="N783" s="8"/>
    </row>
    <row r="784" spans="12:14" ht="15.75" customHeight="1" x14ac:dyDescent="0.25">
      <c r="L784" s="6"/>
      <c r="M784" s="8"/>
      <c r="N784" s="8"/>
    </row>
    <row r="785" spans="12:14" ht="15.75" customHeight="1" x14ac:dyDescent="0.25">
      <c r="L785" s="6"/>
      <c r="M785" s="8"/>
      <c r="N785" s="8"/>
    </row>
    <row r="786" spans="12:14" ht="15.75" customHeight="1" x14ac:dyDescent="0.25">
      <c r="L786" s="6"/>
      <c r="M786" s="8"/>
      <c r="N786" s="8"/>
    </row>
    <row r="787" spans="12:14" ht="15.75" customHeight="1" x14ac:dyDescent="0.25">
      <c r="L787" s="6"/>
      <c r="M787" s="8"/>
      <c r="N787" s="8"/>
    </row>
    <row r="788" spans="12:14" ht="15.75" customHeight="1" x14ac:dyDescent="0.25">
      <c r="L788" s="6"/>
      <c r="M788" s="8"/>
      <c r="N788" s="8"/>
    </row>
    <row r="789" spans="12:14" ht="15.75" customHeight="1" x14ac:dyDescent="0.25">
      <c r="L789" s="6"/>
      <c r="M789" s="8"/>
      <c r="N789" s="8"/>
    </row>
    <row r="790" spans="12:14" ht="15.75" customHeight="1" x14ac:dyDescent="0.25">
      <c r="L790" s="6"/>
      <c r="M790" s="8"/>
      <c r="N790" s="8"/>
    </row>
    <row r="791" spans="12:14" ht="15.75" customHeight="1" x14ac:dyDescent="0.25">
      <c r="L791" s="6"/>
      <c r="M791" s="8"/>
      <c r="N791" s="8"/>
    </row>
    <row r="792" spans="12:14" ht="15.75" customHeight="1" x14ac:dyDescent="0.25">
      <c r="L792" s="6"/>
      <c r="M792" s="8"/>
      <c r="N792" s="8"/>
    </row>
    <row r="793" spans="12:14" ht="15.75" customHeight="1" x14ac:dyDescent="0.25">
      <c r="L793" s="6"/>
      <c r="M793" s="8"/>
      <c r="N793" s="8"/>
    </row>
    <row r="794" spans="12:14" ht="15.75" customHeight="1" x14ac:dyDescent="0.25">
      <c r="L794" s="6"/>
      <c r="M794" s="8"/>
      <c r="N794" s="8"/>
    </row>
    <row r="795" spans="12:14" ht="15.75" customHeight="1" x14ac:dyDescent="0.25">
      <c r="L795" s="6"/>
      <c r="M795" s="8"/>
      <c r="N795" s="8"/>
    </row>
    <row r="796" spans="12:14" ht="15.75" customHeight="1" x14ac:dyDescent="0.25">
      <c r="L796" s="6"/>
      <c r="M796" s="8"/>
      <c r="N796" s="8"/>
    </row>
    <row r="797" spans="12:14" ht="15.75" customHeight="1" x14ac:dyDescent="0.25">
      <c r="L797" s="6"/>
      <c r="M797" s="8"/>
      <c r="N797" s="8"/>
    </row>
    <row r="798" spans="12:14" ht="15.75" customHeight="1" x14ac:dyDescent="0.25">
      <c r="L798" s="6"/>
      <c r="M798" s="8"/>
      <c r="N798" s="8"/>
    </row>
    <row r="799" spans="12:14" ht="15.75" customHeight="1" x14ac:dyDescent="0.25">
      <c r="L799" s="6"/>
      <c r="M799" s="8"/>
      <c r="N799" s="8"/>
    </row>
    <row r="800" spans="12:14" ht="15.75" customHeight="1" x14ac:dyDescent="0.25">
      <c r="L800" s="6"/>
      <c r="M800" s="8"/>
      <c r="N800" s="8"/>
    </row>
    <row r="801" spans="12:14" ht="15.75" customHeight="1" x14ac:dyDescent="0.25">
      <c r="L801" s="6"/>
      <c r="M801" s="8"/>
      <c r="N801" s="8"/>
    </row>
    <row r="802" spans="12:14" ht="15.75" customHeight="1" x14ac:dyDescent="0.25">
      <c r="L802" s="6"/>
      <c r="M802" s="8"/>
      <c r="N802" s="8"/>
    </row>
    <row r="803" spans="12:14" ht="15.75" customHeight="1" x14ac:dyDescent="0.25">
      <c r="L803" s="6"/>
      <c r="M803" s="8"/>
      <c r="N803" s="8"/>
    </row>
    <row r="804" spans="12:14" ht="15.75" customHeight="1" x14ac:dyDescent="0.25">
      <c r="L804" s="6"/>
      <c r="M804" s="8"/>
      <c r="N804" s="8"/>
    </row>
    <row r="805" spans="12:14" ht="15.75" customHeight="1" x14ac:dyDescent="0.25">
      <c r="L805" s="6"/>
      <c r="M805" s="8"/>
      <c r="N805" s="8"/>
    </row>
    <row r="806" spans="12:14" ht="15.75" customHeight="1" x14ac:dyDescent="0.25">
      <c r="L806" s="6"/>
      <c r="M806" s="8"/>
      <c r="N806" s="8"/>
    </row>
    <row r="807" spans="12:14" ht="15.75" customHeight="1" x14ac:dyDescent="0.25">
      <c r="L807" s="6"/>
      <c r="M807" s="8"/>
      <c r="N807" s="8"/>
    </row>
    <row r="808" spans="12:14" ht="15.75" customHeight="1" x14ac:dyDescent="0.25">
      <c r="L808" s="6"/>
      <c r="M808" s="8"/>
      <c r="N808" s="8"/>
    </row>
    <row r="809" spans="12:14" ht="15.75" customHeight="1" x14ac:dyDescent="0.25">
      <c r="L809" s="6"/>
      <c r="M809" s="8"/>
      <c r="N809" s="8"/>
    </row>
    <row r="810" spans="12:14" ht="15.75" customHeight="1" x14ac:dyDescent="0.25">
      <c r="L810" s="6"/>
      <c r="M810" s="8"/>
      <c r="N810" s="8"/>
    </row>
    <row r="811" spans="12:14" ht="15.75" customHeight="1" x14ac:dyDescent="0.25">
      <c r="L811" s="6"/>
      <c r="M811" s="8"/>
      <c r="N811" s="8"/>
    </row>
    <row r="812" spans="12:14" ht="15.75" customHeight="1" x14ac:dyDescent="0.25">
      <c r="L812" s="6"/>
      <c r="M812" s="8"/>
      <c r="N812" s="8"/>
    </row>
    <row r="813" spans="12:14" ht="15.75" customHeight="1" x14ac:dyDescent="0.25">
      <c r="L813" s="6"/>
      <c r="M813" s="8"/>
      <c r="N813" s="8"/>
    </row>
    <row r="814" spans="12:14" ht="15.75" customHeight="1" x14ac:dyDescent="0.25">
      <c r="L814" s="6"/>
      <c r="M814" s="8"/>
      <c r="N814" s="8"/>
    </row>
    <row r="815" spans="12:14" ht="15.75" customHeight="1" x14ac:dyDescent="0.25">
      <c r="L815" s="6"/>
      <c r="M815" s="8"/>
      <c r="N815" s="8"/>
    </row>
    <row r="816" spans="12:14" ht="15.75" customHeight="1" x14ac:dyDescent="0.25">
      <c r="L816" s="6"/>
      <c r="M816" s="8"/>
      <c r="N816" s="8"/>
    </row>
    <row r="817" spans="12:14" ht="15.75" customHeight="1" x14ac:dyDescent="0.25">
      <c r="L817" s="6"/>
      <c r="M817" s="8"/>
      <c r="N817" s="8"/>
    </row>
    <row r="818" spans="12:14" ht="15.75" customHeight="1" x14ac:dyDescent="0.25">
      <c r="L818" s="6"/>
      <c r="M818" s="8"/>
      <c r="N818" s="8"/>
    </row>
    <row r="819" spans="12:14" ht="15.75" customHeight="1" x14ac:dyDescent="0.25">
      <c r="L819" s="6"/>
      <c r="M819" s="8"/>
      <c r="N819" s="8"/>
    </row>
    <row r="820" spans="12:14" ht="15.75" customHeight="1" x14ac:dyDescent="0.25">
      <c r="L820" s="6"/>
      <c r="M820" s="8"/>
      <c r="N820" s="8"/>
    </row>
    <row r="821" spans="12:14" ht="15.75" customHeight="1" x14ac:dyDescent="0.25">
      <c r="L821" s="6"/>
      <c r="M821" s="8"/>
      <c r="N821" s="8"/>
    </row>
    <row r="822" spans="12:14" ht="15.75" customHeight="1" x14ac:dyDescent="0.25">
      <c r="L822" s="6"/>
      <c r="M822" s="8"/>
      <c r="N822" s="8"/>
    </row>
    <row r="823" spans="12:14" ht="15.75" customHeight="1" x14ac:dyDescent="0.25">
      <c r="L823" s="6"/>
      <c r="M823" s="8"/>
      <c r="N823" s="8"/>
    </row>
    <row r="824" spans="12:14" ht="15.75" customHeight="1" x14ac:dyDescent="0.25">
      <c r="L824" s="6"/>
      <c r="M824" s="8"/>
      <c r="N824" s="8"/>
    </row>
    <row r="825" spans="12:14" ht="15.75" customHeight="1" x14ac:dyDescent="0.25">
      <c r="L825" s="6"/>
      <c r="M825" s="8"/>
      <c r="N825" s="8"/>
    </row>
    <row r="826" spans="12:14" ht="15.75" customHeight="1" x14ac:dyDescent="0.25">
      <c r="L826" s="6"/>
      <c r="M826" s="8"/>
      <c r="N826" s="8"/>
    </row>
    <row r="827" spans="12:14" ht="15.75" customHeight="1" x14ac:dyDescent="0.25">
      <c r="L827" s="6"/>
      <c r="M827" s="8"/>
      <c r="N827" s="8"/>
    </row>
    <row r="828" spans="12:14" ht="15.75" customHeight="1" x14ac:dyDescent="0.25">
      <c r="L828" s="6"/>
      <c r="M828" s="8"/>
      <c r="N828" s="8"/>
    </row>
    <row r="829" spans="12:14" ht="15.75" customHeight="1" x14ac:dyDescent="0.25">
      <c r="L829" s="6"/>
      <c r="M829" s="8"/>
      <c r="N829" s="8"/>
    </row>
    <row r="830" spans="12:14" ht="15.75" customHeight="1" x14ac:dyDescent="0.25">
      <c r="L830" s="6"/>
      <c r="M830" s="8"/>
      <c r="N830" s="8"/>
    </row>
    <row r="831" spans="12:14" ht="15.75" customHeight="1" x14ac:dyDescent="0.25">
      <c r="L831" s="6"/>
      <c r="M831" s="8"/>
      <c r="N831" s="8"/>
    </row>
    <row r="832" spans="12:14" ht="15.75" customHeight="1" x14ac:dyDescent="0.25">
      <c r="L832" s="6"/>
      <c r="M832" s="8"/>
      <c r="N832" s="8"/>
    </row>
    <row r="833" spans="12:14" ht="15.75" customHeight="1" x14ac:dyDescent="0.25">
      <c r="L833" s="6"/>
      <c r="M833" s="8"/>
      <c r="N833" s="8"/>
    </row>
    <row r="834" spans="12:14" ht="15.75" customHeight="1" x14ac:dyDescent="0.25">
      <c r="L834" s="6"/>
      <c r="M834" s="8"/>
      <c r="N834" s="8"/>
    </row>
    <row r="835" spans="12:14" ht="15.75" customHeight="1" x14ac:dyDescent="0.25">
      <c r="L835" s="6"/>
      <c r="M835" s="8"/>
      <c r="N835" s="8"/>
    </row>
    <row r="836" spans="12:14" ht="15.75" customHeight="1" x14ac:dyDescent="0.25">
      <c r="L836" s="6"/>
      <c r="M836" s="8"/>
      <c r="N836" s="8"/>
    </row>
    <row r="837" spans="12:14" ht="15.75" customHeight="1" x14ac:dyDescent="0.25">
      <c r="L837" s="6"/>
      <c r="M837" s="8"/>
      <c r="N837" s="8"/>
    </row>
    <row r="838" spans="12:14" ht="15.75" customHeight="1" x14ac:dyDescent="0.25">
      <c r="L838" s="6"/>
      <c r="M838" s="8"/>
      <c r="N838" s="8"/>
    </row>
    <row r="839" spans="12:14" ht="15.75" customHeight="1" x14ac:dyDescent="0.25">
      <c r="L839" s="6"/>
      <c r="M839" s="8"/>
      <c r="N839" s="8"/>
    </row>
    <row r="840" spans="12:14" ht="15.75" customHeight="1" x14ac:dyDescent="0.25">
      <c r="L840" s="6"/>
      <c r="M840" s="8"/>
      <c r="N840" s="8"/>
    </row>
    <row r="841" spans="12:14" ht="15.75" customHeight="1" x14ac:dyDescent="0.25">
      <c r="L841" s="6"/>
      <c r="M841" s="8"/>
      <c r="N841" s="8"/>
    </row>
    <row r="842" spans="12:14" ht="15.75" customHeight="1" x14ac:dyDescent="0.25">
      <c r="L842" s="6"/>
      <c r="M842" s="8"/>
      <c r="N842" s="8"/>
    </row>
    <row r="843" spans="12:14" ht="15.75" customHeight="1" x14ac:dyDescent="0.25">
      <c r="L843" s="6"/>
      <c r="M843" s="8"/>
      <c r="N843" s="8"/>
    </row>
    <row r="844" spans="12:14" ht="15.75" customHeight="1" x14ac:dyDescent="0.25">
      <c r="L844" s="6"/>
      <c r="M844" s="8"/>
      <c r="N844" s="8"/>
    </row>
    <row r="845" spans="12:14" ht="15.75" customHeight="1" x14ac:dyDescent="0.25">
      <c r="L845" s="6"/>
      <c r="M845" s="8"/>
      <c r="N845" s="8"/>
    </row>
    <row r="846" spans="12:14" ht="15.75" customHeight="1" x14ac:dyDescent="0.25">
      <c r="L846" s="6"/>
      <c r="M846" s="8"/>
      <c r="N846" s="8"/>
    </row>
    <row r="847" spans="12:14" ht="15.75" customHeight="1" x14ac:dyDescent="0.25">
      <c r="L847" s="6"/>
      <c r="M847" s="8"/>
      <c r="N847" s="8"/>
    </row>
    <row r="848" spans="12:14" ht="15.75" customHeight="1" x14ac:dyDescent="0.25">
      <c r="L848" s="6"/>
      <c r="M848" s="8"/>
      <c r="N848" s="8"/>
    </row>
    <row r="849" spans="12:14" ht="15.75" customHeight="1" x14ac:dyDescent="0.25">
      <c r="L849" s="6"/>
      <c r="M849" s="8"/>
      <c r="N849" s="8"/>
    </row>
    <row r="850" spans="12:14" ht="15.75" customHeight="1" x14ac:dyDescent="0.25">
      <c r="L850" s="6"/>
      <c r="M850" s="8"/>
      <c r="N850" s="8"/>
    </row>
    <row r="851" spans="12:14" ht="15.75" customHeight="1" x14ac:dyDescent="0.25">
      <c r="L851" s="6"/>
      <c r="M851" s="8"/>
      <c r="N851" s="8"/>
    </row>
    <row r="852" spans="12:14" ht="15.75" customHeight="1" x14ac:dyDescent="0.25">
      <c r="L852" s="6"/>
      <c r="M852" s="8"/>
      <c r="N852" s="8"/>
    </row>
    <row r="853" spans="12:14" ht="15.75" customHeight="1" x14ac:dyDescent="0.25">
      <c r="L853" s="6"/>
      <c r="M853" s="8"/>
      <c r="N853" s="8"/>
    </row>
    <row r="854" spans="12:14" ht="15.75" customHeight="1" x14ac:dyDescent="0.25">
      <c r="L854" s="6"/>
      <c r="M854" s="8"/>
      <c r="N854" s="8"/>
    </row>
    <row r="855" spans="12:14" ht="15.75" customHeight="1" x14ac:dyDescent="0.25">
      <c r="L855" s="6"/>
      <c r="M855" s="8"/>
      <c r="N855" s="8"/>
    </row>
    <row r="856" spans="12:14" ht="15.75" customHeight="1" x14ac:dyDescent="0.25">
      <c r="L856" s="6"/>
      <c r="M856" s="8"/>
      <c r="N856" s="8"/>
    </row>
    <row r="857" spans="12:14" ht="15.75" customHeight="1" x14ac:dyDescent="0.25">
      <c r="L857" s="6"/>
      <c r="M857" s="8"/>
      <c r="N857" s="8"/>
    </row>
    <row r="858" spans="12:14" ht="15.75" customHeight="1" x14ac:dyDescent="0.25">
      <c r="L858" s="6"/>
      <c r="M858" s="8"/>
      <c r="N858" s="8"/>
    </row>
    <row r="859" spans="12:14" ht="15.75" customHeight="1" x14ac:dyDescent="0.25">
      <c r="L859" s="6"/>
      <c r="M859" s="8"/>
      <c r="N859" s="8"/>
    </row>
    <row r="860" spans="12:14" ht="15.75" customHeight="1" x14ac:dyDescent="0.25">
      <c r="L860" s="6"/>
      <c r="M860" s="8"/>
      <c r="N860" s="8"/>
    </row>
    <row r="861" spans="12:14" ht="15.75" customHeight="1" x14ac:dyDescent="0.25">
      <c r="L861" s="6"/>
      <c r="M861" s="8"/>
      <c r="N861" s="8"/>
    </row>
    <row r="862" spans="12:14" ht="15.75" customHeight="1" x14ac:dyDescent="0.25">
      <c r="L862" s="6"/>
      <c r="M862" s="8"/>
      <c r="N862" s="8"/>
    </row>
    <row r="863" spans="12:14" ht="15.75" customHeight="1" x14ac:dyDescent="0.25">
      <c r="L863" s="6"/>
      <c r="M863" s="8"/>
      <c r="N863" s="8"/>
    </row>
    <row r="864" spans="12:14" ht="15.75" customHeight="1" x14ac:dyDescent="0.25">
      <c r="L864" s="6"/>
      <c r="M864" s="8"/>
      <c r="N864" s="8"/>
    </row>
    <row r="865" spans="12:14" ht="15.75" customHeight="1" x14ac:dyDescent="0.25">
      <c r="L865" s="6"/>
      <c r="M865" s="8"/>
      <c r="N865" s="8"/>
    </row>
    <row r="866" spans="12:14" ht="15.75" customHeight="1" x14ac:dyDescent="0.25">
      <c r="L866" s="6"/>
      <c r="M866" s="8"/>
      <c r="N866" s="8"/>
    </row>
    <row r="867" spans="12:14" ht="15.75" customHeight="1" x14ac:dyDescent="0.25">
      <c r="L867" s="6"/>
      <c r="M867" s="8"/>
      <c r="N867" s="8"/>
    </row>
    <row r="868" spans="12:14" ht="15.75" customHeight="1" x14ac:dyDescent="0.25">
      <c r="L868" s="6"/>
      <c r="M868" s="8"/>
      <c r="N868" s="8"/>
    </row>
    <row r="869" spans="12:14" ht="15.75" customHeight="1" x14ac:dyDescent="0.25">
      <c r="L869" s="6"/>
      <c r="M869" s="8"/>
      <c r="N869" s="8"/>
    </row>
    <row r="870" spans="12:14" ht="15.75" customHeight="1" x14ac:dyDescent="0.25">
      <c r="L870" s="6"/>
      <c r="M870" s="8"/>
      <c r="N870" s="8"/>
    </row>
    <row r="871" spans="12:14" ht="15.75" customHeight="1" x14ac:dyDescent="0.25">
      <c r="L871" s="6"/>
      <c r="M871" s="8"/>
      <c r="N871" s="8"/>
    </row>
    <row r="872" spans="12:14" ht="15.75" customHeight="1" x14ac:dyDescent="0.25">
      <c r="L872" s="6"/>
      <c r="M872" s="8"/>
      <c r="N872" s="8"/>
    </row>
    <row r="873" spans="12:14" ht="15.75" customHeight="1" x14ac:dyDescent="0.25">
      <c r="L873" s="6"/>
      <c r="M873" s="8"/>
      <c r="N873" s="8"/>
    </row>
    <row r="874" spans="12:14" ht="15.75" customHeight="1" x14ac:dyDescent="0.25">
      <c r="L874" s="6"/>
      <c r="M874" s="8"/>
      <c r="N874" s="8"/>
    </row>
    <row r="875" spans="12:14" ht="15.75" customHeight="1" x14ac:dyDescent="0.25">
      <c r="L875" s="6"/>
      <c r="M875" s="8"/>
      <c r="N875" s="8"/>
    </row>
    <row r="876" spans="12:14" ht="15.75" customHeight="1" x14ac:dyDescent="0.25">
      <c r="L876" s="6"/>
      <c r="M876" s="8"/>
      <c r="N876" s="8"/>
    </row>
    <row r="877" spans="12:14" ht="15.75" customHeight="1" x14ac:dyDescent="0.25">
      <c r="L877" s="6"/>
      <c r="M877" s="8"/>
      <c r="N877" s="8"/>
    </row>
    <row r="878" spans="12:14" ht="15.75" customHeight="1" x14ac:dyDescent="0.25">
      <c r="L878" s="6"/>
      <c r="M878" s="8"/>
      <c r="N878" s="8"/>
    </row>
    <row r="879" spans="12:14" ht="15.75" customHeight="1" x14ac:dyDescent="0.25">
      <c r="L879" s="6"/>
      <c r="M879" s="8"/>
      <c r="N879" s="8"/>
    </row>
    <row r="880" spans="12:14" ht="15.75" customHeight="1" x14ac:dyDescent="0.25">
      <c r="L880" s="6"/>
      <c r="M880" s="8"/>
      <c r="N880" s="8"/>
    </row>
    <row r="881" spans="12:14" ht="15.75" customHeight="1" x14ac:dyDescent="0.25">
      <c r="L881" s="6"/>
      <c r="M881" s="8"/>
      <c r="N881" s="8"/>
    </row>
    <row r="882" spans="12:14" ht="15.75" customHeight="1" x14ac:dyDescent="0.25">
      <c r="L882" s="6"/>
      <c r="M882" s="8"/>
      <c r="N882" s="8"/>
    </row>
    <row r="883" spans="12:14" ht="15.75" customHeight="1" x14ac:dyDescent="0.25">
      <c r="L883" s="6"/>
      <c r="M883" s="8"/>
      <c r="N883" s="8"/>
    </row>
    <row r="884" spans="12:14" ht="15.75" customHeight="1" x14ac:dyDescent="0.25">
      <c r="L884" s="6"/>
      <c r="M884" s="8"/>
      <c r="N884" s="8"/>
    </row>
    <row r="885" spans="12:14" ht="15.75" customHeight="1" x14ac:dyDescent="0.25">
      <c r="L885" s="6"/>
      <c r="M885" s="8"/>
      <c r="N885" s="8"/>
    </row>
    <row r="886" spans="12:14" ht="15.75" customHeight="1" x14ac:dyDescent="0.25">
      <c r="L886" s="6"/>
      <c r="M886" s="8"/>
      <c r="N886" s="8"/>
    </row>
    <row r="887" spans="12:14" ht="15.75" customHeight="1" x14ac:dyDescent="0.25">
      <c r="L887" s="6"/>
      <c r="M887" s="8"/>
      <c r="N887" s="8"/>
    </row>
    <row r="888" spans="12:14" ht="15.75" customHeight="1" x14ac:dyDescent="0.25">
      <c r="L888" s="6"/>
      <c r="M888" s="8"/>
      <c r="N888" s="8"/>
    </row>
    <row r="889" spans="12:14" ht="15.75" customHeight="1" x14ac:dyDescent="0.25">
      <c r="L889" s="6"/>
      <c r="M889" s="8"/>
      <c r="N889" s="8"/>
    </row>
    <row r="890" spans="12:14" ht="15.75" customHeight="1" x14ac:dyDescent="0.25">
      <c r="L890" s="6"/>
      <c r="M890" s="8"/>
      <c r="N890" s="8"/>
    </row>
    <row r="891" spans="12:14" ht="15.75" customHeight="1" x14ac:dyDescent="0.25">
      <c r="L891" s="6"/>
      <c r="M891" s="8"/>
      <c r="N891" s="8"/>
    </row>
    <row r="892" spans="12:14" ht="15.75" customHeight="1" x14ac:dyDescent="0.25">
      <c r="L892" s="6"/>
      <c r="M892" s="8"/>
      <c r="N892" s="8"/>
    </row>
    <row r="893" spans="12:14" ht="15.75" customHeight="1" x14ac:dyDescent="0.25">
      <c r="L893" s="6"/>
      <c r="M893" s="8"/>
      <c r="N893" s="8"/>
    </row>
    <row r="894" spans="12:14" ht="15.75" customHeight="1" x14ac:dyDescent="0.25">
      <c r="L894" s="6"/>
      <c r="M894" s="8"/>
      <c r="N894" s="8"/>
    </row>
    <row r="895" spans="12:14" ht="15.75" customHeight="1" x14ac:dyDescent="0.25">
      <c r="L895" s="6"/>
      <c r="M895" s="8"/>
      <c r="N895" s="8"/>
    </row>
    <row r="896" spans="12:14" ht="15.75" customHeight="1" x14ac:dyDescent="0.25">
      <c r="L896" s="6"/>
      <c r="M896" s="8"/>
      <c r="N896" s="8"/>
    </row>
    <row r="897" spans="12:14" ht="15.75" customHeight="1" x14ac:dyDescent="0.25">
      <c r="L897" s="6"/>
      <c r="M897" s="8"/>
      <c r="N897" s="8"/>
    </row>
    <row r="898" spans="12:14" ht="15.75" customHeight="1" x14ac:dyDescent="0.25">
      <c r="L898" s="6"/>
      <c r="M898" s="8"/>
      <c r="N898" s="8"/>
    </row>
    <row r="899" spans="12:14" ht="15.75" customHeight="1" x14ac:dyDescent="0.25">
      <c r="L899" s="6"/>
      <c r="M899" s="8"/>
      <c r="N899" s="8"/>
    </row>
    <row r="900" spans="12:14" ht="15.75" customHeight="1" x14ac:dyDescent="0.25">
      <c r="L900" s="6"/>
      <c r="M900" s="8"/>
      <c r="N900" s="8"/>
    </row>
    <row r="901" spans="12:14" ht="15.75" customHeight="1" x14ac:dyDescent="0.25">
      <c r="L901" s="6"/>
      <c r="M901" s="8"/>
      <c r="N901" s="8"/>
    </row>
    <row r="902" spans="12:14" ht="15.75" customHeight="1" x14ac:dyDescent="0.25">
      <c r="L902" s="6"/>
      <c r="M902" s="8"/>
      <c r="N902" s="8"/>
    </row>
    <row r="903" spans="12:14" ht="15.75" customHeight="1" x14ac:dyDescent="0.25">
      <c r="L903" s="6"/>
      <c r="M903" s="8"/>
      <c r="N903" s="8"/>
    </row>
    <row r="904" spans="12:14" ht="15.75" customHeight="1" x14ac:dyDescent="0.25">
      <c r="L904" s="6"/>
      <c r="M904" s="8"/>
      <c r="N904" s="8"/>
    </row>
    <row r="905" spans="12:14" ht="15.75" customHeight="1" x14ac:dyDescent="0.25">
      <c r="L905" s="6"/>
      <c r="M905" s="8"/>
      <c r="N905" s="8"/>
    </row>
    <row r="906" spans="12:14" ht="15.75" customHeight="1" x14ac:dyDescent="0.25">
      <c r="L906" s="6"/>
      <c r="M906" s="8"/>
      <c r="N906" s="8"/>
    </row>
    <row r="907" spans="12:14" ht="15.75" customHeight="1" x14ac:dyDescent="0.25">
      <c r="L907" s="6"/>
      <c r="M907" s="8"/>
      <c r="N907" s="8"/>
    </row>
    <row r="908" spans="12:14" ht="15.75" customHeight="1" x14ac:dyDescent="0.25">
      <c r="L908" s="6"/>
      <c r="M908" s="8"/>
      <c r="N908" s="8"/>
    </row>
    <row r="909" spans="12:14" ht="15.75" customHeight="1" x14ac:dyDescent="0.25">
      <c r="L909" s="6"/>
      <c r="M909" s="8"/>
      <c r="N909" s="8"/>
    </row>
    <row r="910" spans="12:14" ht="15.75" customHeight="1" x14ac:dyDescent="0.25">
      <c r="L910" s="6"/>
      <c r="M910" s="8"/>
      <c r="N910" s="8"/>
    </row>
    <row r="911" spans="12:14" ht="15.75" customHeight="1" x14ac:dyDescent="0.25">
      <c r="L911" s="6"/>
      <c r="M911" s="8"/>
      <c r="N911" s="8"/>
    </row>
    <row r="912" spans="12:14" ht="15.75" customHeight="1" x14ac:dyDescent="0.25">
      <c r="L912" s="6"/>
      <c r="M912" s="8"/>
      <c r="N912" s="8"/>
    </row>
    <row r="913" spans="12:14" ht="15.75" customHeight="1" x14ac:dyDescent="0.25">
      <c r="L913" s="6"/>
      <c r="M913" s="8"/>
      <c r="N913" s="8"/>
    </row>
    <row r="914" spans="12:14" ht="15.75" customHeight="1" x14ac:dyDescent="0.25">
      <c r="L914" s="6"/>
      <c r="M914" s="8"/>
      <c r="N914" s="8"/>
    </row>
    <row r="915" spans="12:14" ht="15.75" customHeight="1" x14ac:dyDescent="0.25">
      <c r="L915" s="6"/>
      <c r="M915" s="8"/>
      <c r="N915" s="8"/>
    </row>
    <row r="916" spans="12:14" ht="15.75" customHeight="1" x14ac:dyDescent="0.25">
      <c r="L916" s="6"/>
      <c r="M916" s="8"/>
      <c r="N916" s="8"/>
    </row>
    <row r="917" spans="12:14" ht="15.75" customHeight="1" x14ac:dyDescent="0.25">
      <c r="L917" s="6"/>
      <c r="M917" s="8"/>
      <c r="N917" s="8"/>
    </row>
    <row r="918" spans="12:14" ht="15.75" customHeight="1" x14ac:dyDescent="0.25">
      <c r="L918" s="6"/>
      <c r="M918" s="8"/>
      <c r="N918" s="8"/>
    </row>
    <row r="919" spans="12:14" ht="15.75" customHeight="1" x14ac:dyDescent="0.25">
      <c r="L919" s="6"/>
      <c r="M919" s="8"/>
      <c r="N919" s="8"/>
    </row>
    <row r="920" spans="12:14" ht="15.75" customHeight="1" x14ac:dyDescent="0.25">
      <c r="L920" s="6"/>
      <c r="M920" s="8"/>
      <c r="N920" s="8"/>
    </row>
    <row r="921" spans="12:14" ht="15.75" customHeight="1" x14ac:dyDescent="0.25">
      <c r="L921" s="6"/>
      <c r="M921" s="8"/>
      <c r="N921" s="8"/>
    </row>
    <row r="922" spans="12:14" ht="15.75" customHeight="1" x14ac:dyDescent="0.25">
      <c r="L922" s="6"/>
      <c r="M922" s="8"/>
      <c r="N922" s="8"/>
    </row>
    <row r="923" spans="12:14" ht="15.75" customHeight="1" x14ac:dyDescent="0.25">
      <c r="L923" s="6"/>
      <c r="M923" s="8"/>
      <c r="N923" s="8"/>
    </row>
    <row r="924" spans="12:14" ht="15.75" customHeight="1" x14ac:dyDescent="0.25">
      <c r="L924" s="6"/>
      <c r="M924" s="8"/>
      <c r="N924" s="8"/>
    </row>
    <row r="925" spans="12:14" ht="15.75" customHeight="1" x14ac:dyDescent="0.25">
      <c r="L925" s="6"/>
      <c r="M925" s="8"/>
      <c r="N925" s="8"/>
    </row>
    <row r="926" spans="12:14" ht="15.75" customHeight="1" x14ac:dyDescent="0.25">
      <c r="L926" s="6"/>
      <c r="M926" s="8"/>
      <c r="N926" s="8"/>
    </row>
    <row r="927" spans="12:14" ht="15.75" customHeight="1" x14ac:dyDescent="0.25">
      <c r="L927" s="6"/>
      <c r="M927" s="8"/>
      <c r="N927" s="8"/>
    </row>
    <row r="928" spans="12:14" ht="15.75" customHeight="1" x14ac:dyDescent="0.25">
      <c r="L928" s="6"/>
      <c r="M928" s="8"/>
      <c r="N928" s="8"/>
    </row>
    <row r="929" spans="12:14" ht="15.75" customHeight="1" x14ac:dyDescent="0.25">
      <c r="L929" s="6"/>
      <c r="M929" s="8"/>
      <c r="N929" s="8"/>
    </row>
    <row r="930" spans="12:14" ht="15.75" customHeight="1" x14ac:dyDescent="0.25">
      <c r="L930" s="6"/>
      <c r="M930" s="8"/>
      <c r="N930" s="8"/>
    </row>
    <row r="931" spans="12:14" ht="15.75" customHeight="1" x14ac:dyDescent="0.25">
      <c r="L931" s="6"/>
      <c r="M931" s="8"/>
      <c r="N931" s="8"/>
    </row>
    <row r="932" spans="12:14" ht="15.75" customHeight="1" x14ac:dyDescent="0.25">
      <c r="L932" s="6"/>
      <c r="M932" s="8"/>
      <c r="N932" s="8"/>
    </row>
    <row r="933" spans="12:14" ht="15.75" customHeight="1" x14ac:dyDescent="0.25">
      <c r="L933" s="6"/>
      <c r="M933" s="8"/>
      <c r="N933" s="8"/>
    </row>
    <row r="934" spans="12:14" ht="15.75" customHeight="1" x14ac:dyDescent="0.25">
      <c r="L934" s="6"/>
      <c r="M934" s="8"/>
      <c r="N934" s="8"/>
    </row>
    <row r="935" spans="12:14" ht="15.75" customHeight="1" x14ac:dyDescent="0.25">
      <c r="L935" s="6"/>
      <c r="M935" s="8"/>
      <c r="N935" s="8"/>
    </row>
    <row r="936" spans="12:14" ht="15.75" customHeight="1" x14ac:dyDescent="0.25">
      <c r="L936" s="6"/>
      <c r="M936" s="8"/>
      <c r="N936" s="8"/>
    </row>
    <row r="937" spans="12:14" ht="15.75" customHeight="1" x14ac:dyDescent="0.25">
      <c r="L937" s="6"/>
      <c r="M937" s="8"/>
      <c r="N937" s="8"/>
    </row>
    <row r="938" spans="12:14" ht="15.75" customHeight="1" x14ac:dyDescent="0.25">
      <c r="L938" s="6"/>
      <c r="M938" s="8"/>
      <c r="N938" s="8"/>
    </row>
    <row r="939" spans="12:14" ht="15.75" customHeight="1" x14ac:dyDescent="0.25">
      <c r="L939" s="6"/>
      <c r="M939" s="8"/>
      <c r="N939" s="8"/>
    </row>
    <row r="940" spans="12:14" ht="15.75" customHeight="1" x14ac:dyDescent="0.25">
      <c r="L940" s="6"/>
      <c r="M940" s="8"/>
      <c r="N940" s="8"/>
    </row>
    <row r="941" spans="12:14" ht="15.75" customHeight="1" x14ac:dyDescent="0.25">
      <c r="L941" s="6"/>
      <c r="M941" s="8"/>
      <c r="N941" s="8"/>
    </row>
    <row r="942" spans="12:14" ht="15.75" customHeight="1" x14ac:dyDescent="0.25">
      <c r="L942" s="6"/>
      <c r="M942" s="8"/>
      <c r="N942" s="8"/>
    </row>
    <row r="943" spans="12:14" ht="15.75" customHeight="1" x14ac:dyDescent="0.25">
      <c r="L943" s="6"/>
      <c r="M943" s="8"/>
      <c r="N943" s="8"/>
    </row>
    <row r="944" spans="12:14" ht="15.75" customHeight="1" x14ac:dyDescent="0.25">
      <c r="L944" s="6"/>
      <c r="M944" s="8"/>
      <c r="N944" s="8"/>
    </row>
    <row r="945" spans="12:14" ht="15.75" customHeight="1" x14ac:dyDescent="0.25">
      <c r="L945" s="6"/>
      <c r="M945" s="8"/>
      <c r="N945" s="8"/>
    </row>
    <row r="946" spans="12:14" ht="15.75" customHeight="1" x14ac:dyDescent="0.25">
      <c r="L946" s="6"/>
      <c r="M946" s="8"/>
      <c r="N946" s="8"/>
    </row>
    <row r="947" spans="12:14" ht="15.75" customHeight="1" x14ac:dyDescent="0.25">
      <c r="L947" s="6"/>
      <c r="M947" s="8"/>
      <c r="N947" s="8"/>
    </row>
    <row r="948" spans="12:14" ht="15.75" customHeight="1" x14ac:dyDescent="0.25">
      <c r="L948" s="6"/>
      <c r="M948" s="8"/>
      <c r="N948" s="8"/>
    </row>
    <row r="949" spans="12:14" ht="15.75" customHeight="1" x14ac:dyDescent="0.25">
      <c r="L949" s="6"/>
      <c r="M949" s="8"/>
      <c r="N949" s="8"/>
    </row>
    <row r="950" spans="12:14" ht="15.75" customHeight="1" x14ac:dyDescent="0.25">
      <c r="L950" s="6"/>
      <c r="M950" s="8"/>
      <c r="N950" s="8"/>
    </row>
    <row r="951" spans="12:14" ht="15.75" customHeight="1" x14ac:dyDescent="0.25">
      <c r="L951" s="6"/>
      <c r="M951" s="8"/>
      <c r="N951" s="8"/>
    </row>
    <row r="952" spans="12:14" ht="15.75" customHeight="1" x14ac:dyDescent="0.25">
      <c r="L952" s="6"/>
      <c r="M952" s="8"/>
      <c r="N952" s="8"/>
    </row>
    <row r="953" spans="12:14" ht="15.75" customHeight="1" x14ac:dyDescent="0.25">
      <c r="L953" s="6"/>
      <c r="M953" s="8"/>
      <c r="N953" s="8"/>
    </row>
    <row r="954" spans="12:14" ht="15.75" customHeight="1" x14ac:dyDescent="0.25">
      <c r="L954" s="6"/>
      <c r="M954" s="8"/>
      <c r="N954" s="8"/>
    </row>
    <row r="955" spans="12:14" ht="15.75" customHeight="1" x14ac:dyDescent="0.25">
      <c r="L955" s="6"/>
      <c r="M955" s="8"/>
      <c r="N955" s="8"/>
    </row>
    <row r="956" spans="12:14" ht="15.75" customHeight="1" x14ac:dyDescent="0.25">
      <c r="L956" s="6"/>
      <c r="M956" s="8"/>
      <c r="N956" s="8"/>
    </row>
    <row r="957" spans="12:14" ht="15.75" customHeight="1" x14ac:dyDescent="0.25">
      <c r="L957" s="6"/>
      <c r="M957" s="8"/>
      <c r="N957" s="8"/>
    </row>
    <row r="958" spans="12:14" ht="15.75" customHeight="1" x14ac:dyDescent="0.25">
      <c r="L958" s="6"/>
      <c r="M958" s="8"/>
      <c r="N958" s="8"/>
    </row>
    <row r="959" spans="12:14" ht="15.75" customHeight="1" x14ac:dyDescent="0.25">
      <c r="L959" s="6"/>
      <c r="M959" s="8"/>
      <c r="N959" s="8"/>
    </row>
    <row r="960" spans="12:14" ht="15.75" customHeight="1" x14ac:dyDescent="0.25">
      <c r="L960" s="6"/>
      <c r="M960" s="8"/>
      <c r="N960" s="8"/>
    </row>
    <row r="961" spans="12:14" ht="15.75" customHeight="1" x14ac:dyDescent="0.25">
      <c r="L961" s="6"/>
      <c r="M961" s="8"/>
      <c r="N961" s="8"/>
    </row>
    <row r="962" spans="12:14" ht="15.75" customHeight="1" x14ac:dyDescent="0.25">
      <c r="L962" s="6"/>
      <c r="M962" s="8"/>
      <c r="N962" s="8"/>
    </row>
    <row r="963" spans="12:14" ht="15.75" customHeight="1" x14ac:dyDescent="0.25">
      <c r="L963" s="6"/>
      <c r="M963" s="8"/>
      <c r="N963" s="8"/>
    </row>
    <row r="964" spans="12:14" ht="15.75" customHeight="1" x14ac:dyDescent="0.25">
      <c r="L964" s="6"/>
      <c r="M964" s="8"/>
      <c r="N964" s="8"/>
    </row>
    <row r="965" spans="12:14" ht="15.75" customHeight="1" x14ac:dyDescent="0.25">
      <c r="L965" s="6"/>
      <c r="M965" s="8"/>
      <c r="N965" s="8"/>
    </row>
    <row r="966" spans="12:14" ht="15.75" customHeight="1" x14ac:dyDescent="0.25">
      <c r="L966" s="6"/>
      <c r="M966" s="8"/>
      <c r="N966" s="8"/>
    </row>
    <row r="967" spans="12:14" ht="15.75" customHeight="1" x14ac:dyDescent="0.25">
      <c r="L967" s="6"/>
      <c r="M967" s="8"/>
      <c r="N967" s="8"/>
    </row>
    <row r="968" spans="12:14" ht="15.75" customHeight="1" x14ac:dyDescent="0.25">
      <c r="L968" s="6"/>
      <c r="M968" s="8"/>
      <c r="N968" s="8"/>
    </row>
    <row r="969" spans="12:14" ht="15.75" customHeight="1" x14ac:dyDescent="0.25">
      <c r="L969" s="6"/>
      <c r="M969" s="8"/>
      <c r="N969" s="8"/>
    </row>
    <row r="970" spans="12:14" ht="15.75" customHeight="1" x14ac:dyDescent="0.25">
      <c r="L970" s="6"/>
      <c r="M970" s="8"/>
      <c r="N970" s="8"/>
    </row>
    <row r="971" spans="12:14" ht="15.75" customHeight="1" x14ac:dyDescent="0.25">
      <c r="L971" s="6"/>
      <c r="M971" s="8"/>
      <c r="N971" s="8"/>
    </row>
    <row r="972" spans="12:14" ht="15.75" customHeight="1" x14ac:dyDescent="0.25">
      <c r="L972" s="6"/>
      <c r="M972" s="8"/>
      <c r="N972" s="8"/>
    </row>
    <row r="973" spans="12:14" ht="15.75" customHeight="1" x14ac:dyDescent="0.25">
      <c r="L973" s="6"/>
      <c r="M973" s="8"/>
      <c r="N973" s="8"/>
    </row>
    <row r="974" spans="12:14" ht="15.75" customHeight="1" x14ac:dyDescent="0.25">
      <c r="L974" s="6"/>
      <c r="M974" s="8"/>
      <c r="N974" s="8"/>
    </row>
    <row r="975" spans="12:14" ht="15.75" customHeight="1" x14ac:dyDescent="0.25">
      <c r="L975" s="6"/>
      <c r="M975" s="8"/>
      <c r="N975" s="8"/>
    </row>
    <row r="976" spans="12:14" ht="15.75" customHeight="1" x14ac:dyDescent="0.25">
      <c r="L976" s="6"/>
      <c r="M976" s="8"/>
      <c r="N976" s="8"/>
    </row>
    <row r="977" spans="12:14" ht="15.75" customHeight="1" x14ac:dyDescent="0.25">
      <c r="L977" s="6"/>
      <c r="M977" s="8"/>
      <c r="N977" s="8"/>
    </row>
    <row r="978" spans="12:14" ht="15.75" customHeight="1" x14ac:dyDescent="0.25">
      <c r="L978" s="6"/>
      <c r="M978" s="8"/>
      <c r="N978" s="8"/>
    </row>
    <row r="979" spans="12:14" ht="15.75" customHeight="1" x14ac:dyDescent="0.25">
      <c r="L979" s="6"/>
      <c r="M979" s="8"/>
      <c r="N979" s="8"/>
    </row>
    <row r="980" spans="12:14" ht="15.75" customHeight="1" x14ac:dyDescent="0.25">
      <c r="L980" s="6"/>
      <c r="M980" s="8"/>
      <c r="N980" s="8"/>
    </row>
    <row r="981" spans="12:14" ht="15.75" customHeight="1" x14ac:dyDescent="0.25">
      <c r="L981" s="6"/>
      <c r="M981" s="8"/>
      <c r="N981" s="8"/>
    </row>
    <row r="982" spans="12:14" ht="15.75" customHeight="1" x14ac:dyDescent="0.25">
      <c r="L982" s="6"/>
      <c r="M982" s="8"/>
      <c r="N982" s="8"/>
    </row>
    <row r="983" spans="12:14" ht="15.75" customHeight="1" x14ac:dyDescent="0.25">
      <c r="L983" s="6"/>
      <c r="M983" s="8"/>
      <c r="N983" s="8"/>
    </row>
    <row r="984" spans="12:14" ht="15.75" customHeight="1" x14ac:dyDescent="0.25">
      <c r="L984" s="6"/>
      <c r="M984" s="8"/>
      <c r="N984" s="8"/>
    </row>
    <row r="985" spans="12:14" ht="15.75" customHeight="1" x14ac:dyDescent="0.25">
      <c r="L985" s="6"/>
      <c r="M985" s="8"/>
      <c r="N985" s="8"/>
    </row>
    <row r="986" spans="12:14" ht="15.75" customHeight="1" x14ac:dyDescent="0.25">
      <c r="L986" s="6"/>
      <c r="M986" s="8"/>
      <c r="N986" s="8"/>
    </row>
    <row r="987" spans="12:14" ht="15.75" customHeight="1" x14ac:dyDescent="0.25">
      <c r="L987" s="6"/>
      <c r="M987" s="8"/>
      <c r="N987" s="8"/>
    </row>
    <row r="988" spans="12:14" ht="15.75" customHeight="1" x14ac:dyDescent="0.25">
      <c r="L988" s="6"/>
      <c r="M988" s="8"/>
      <c r="N988" s="8"/>
    </row>
    <row r="989" spans="12:14" ht="15.75" customHeight="1" x14ac:dyDescent="0.25">
      <c r="L989" s="6"/>
      <c r="M989" s="8"/>
      <c r="N989" s="8"/>
    </row>
    <row r="990" spans="12:14" ht="15.75" customHeight="1" x14ac:dyDescent="0.25">
      <c r="L990" s="6"/>
      <c r="M990" s="8"/>
      <c r="N990" s="8"/>
    </row>
    <row r="991" spans="12:14" ht="15.75" customHeight="1" x14ac:dyDescent="0.25">
      <c r="L991" s="6"/>
      <c r="M991" s="8"/>
      <c r="N991" s="8"/>
    </row>
    <row r="992" spans="12:14" ht="15.75" customHeight="1" x14ac:dyDescent="0.25">
      <c r="L992" s="6"/>
      <c r="M992" s="8"/>
      <c r="N992" s="8"/>
    </row>
    <row r="993" spans="12:14" ht="15.75" customHeight="1" x14ac:dyDescent="0.25">
      <c r="L993" s="6"/>
      <c r="M993" s="8"/>
      <c r="N993" s="8"/>
    </row>
    <row r="994" spans="12:14" ht="15.75" customHeight="1" x14ac:dyDescent="0.25">
      <c r="L994" s="6"/>
      <c r="M994" s="8"/>
      <c r="N994" s="8"/>
    </row>
    <row r="995" spans="12:14" ht="15.75" customHeight="1" x14ac:dyDescent="0.25">
      <c r="L995" s="6"/>
      <c r="M995" s="8"/>
      <c r="N995" s="8"/>
    </row>
    <row r="996" spans="12:14" ht="15.75" customHeight="1" x14ac:dyDescent="0.25">
      <c r="L996" s="6"/>
      <c r="M996" s="8"/>
      <c r="N996" s="8"/>
    </row>
    <row r="997" spans="12:14" ht="15.75" customHeight="1" x14ac:dyDescent="0.25">
      <c r="L997" s="6"/>
      <c r="M997" s="8"/>
      <c r="N997" s="8"/>
    </row>
    <row r="998" spans="12:14" ht="15.75" customHeight="1" x14ac:dyDescent="0.25">
      <c r="L998" s="6"/>
      <c r="M998" s="8"/>
      <c r="N998" s="8"/>
    </row>
    <row r="999" spans="12:14" ht="15.75" customHeight="1" x14ac:dyDescent="0.25">
      <c r="L999" s="6"/>
      <c r="M999" s="8"/>
      <c r="N999" s="8"/>
    </row>
    <row r="1000" spans="12:14" ht="15.75" customHeight="1" x14ac:dyDescent="0.25">
      <c r="L1000" s="6"/>
      <c r="M1000" s="8"/>
      <c r="N1000" s="8"/>
    </row>
  </sheetData>
  <mergeCells count="677">
    <mergeCell ref="B435:F435"/>
    <mergeCell ref="I435:J435"/>
    <mergeCell ref="B436:F436"/>
    <mergeCell ref="I436:J436"/>
    <mergeCell ref="I437:J437"/>
    <mergeCell ref="I440:J440"/>
    <mergeCell ref="I441:J441"/>
    <mergeCell ref="B437:F437"/>
    <mergeCell ref="B438:F438"/>
    <mergeCell ref="I438:J438"/>
    <mergeCell ref="B439:F439"/>
    <mergeCell ref="I439:J439"/>
    <mergeCell ref="B440:F440"/>
    <mergeCell ref="B441:F441"/>
    <mergeCell ref="B429:F429"/>
    <mergeCell ref="I429:J429"/>
    <mergeCell ref="B430:F430"/>
    <mergeCell ref="I430:J430"/>
    <mergeCell ref="B431:F431"/>
    <mergeCell ref="I431:J431"/>
    <mergeCell ref="I432:J432"/>
    <mergeCell ref="B432:F432"/>
    <mergeCell ref="B434:K434"/>
    <mergeCell ref="I427:J427"/>
    <mergeCell ref="I428:J428"/>
    <mergeCell ref="B420:J420"/>
    <mergeCell ref="B421:J421"/>
    <mergeCell ref="B423:K423"/>
    <mergeCell ref="B425:K425"/>
    <mergeCell ref="I426:J426"/>
    <mergeCell ref="B427:F427"/>
    <mergeCell ref="B428:F428"/>
    <mergeCell ref="I417:J417"/>
    <mergeCell ref="I418:J418"/>
    <mergeCell ref="B413:F413"/>
    <mergeCell ref="I413:J413"/>
    <mergeCell ref="B415:K415"/>
    <mergeCell ref="B416:F416"/>
    <mergeCell ref="I416:J416"/>
    <mergeCell ref="B417:F417"/>
    <mergeCell ref="B418:F418"/>
    <mergeCell ref="B404:F404"/>
    <mergeCell ref="I404:J404"/>
    <mergeCell ref="B405:F405"/>
    <mergeCell ref="I405:J405"/>
    <mergeCell ref="B407:K407"/>
    <mergeCell ref="I408:J408"/>
    <mergeCell ref="I411:J411"/>
    <mergeCell ref="I412:J412"/>
    <mergeCell ref="B408:F408"/>
    <mergeCell ref="B409:F409"/>
    <mergeCell ref="I409:J409"/>
    <mergeCell ref="B410:F410"/>
    <mergeCell ref="I410:J410"/>
    <mergeCell ref="B411:F411"/>
    <mergeCell ref="B412:F412"/>
    <mergeCell ref="B399:F399"/>
    <mergeCell ref="B400:F400"/>
    <mergeCell ref="I400:J400"/>
    <mergeCell ref="B401:F401"/>
    <mergeCell ref="I401:J401"/>
    <mergeCell ref="B402:F402"/>
    <mergeCell ref="I402:J402"/>
    <mergeCell ref="I403:J403"/>
    <mergeCell ref="B403:F403"/>
    <mergeCell ref="B375:F375"/>
    <mergeCell ref="I375:J375"/>
    <mergeCell ref="B376:F376"/>
    <mergeCell ref="I376:J376"/>
    <mergeCell ref="B377:F377"/>
    <mergeCell ref="I377:J377"/>
    <mergeCell ref="I378:J378"/>
    <mergeCell ref="I386:J386"/>
    <mergeCell ref="I387:J387"/>
    <mergeCell ref="I373:J373"/>
    <mergeCell ref="I374:J374"/>
    <mergeCell ref="B369:F369"/>
    <mergeCell ref="I369:J369"/>
    <mergeCell ref="B370:F370"/>
    <mergeCell ref="I370:J370"/>
    <mergeCell ref="B372:K372"/>
    <mergeCell ref="B373:F373"/>
    <mergeCell ref="B374:F374"/>
    <mergeCell ref="I367:J367"/>
    <mergeCell ref="I368:J368"/>
    <mergeCell ref="I364:J364"/>
    <mergeCell ref="B365:F365"/>
    <mergeCell ref="I365:J365"/>
    <mergeCell ref="B366:F366"/>
    <mergeCell ref="I366:J366"/>
    <mergeCell ref="B367:F367"/>
    <mergeCell ref="B368:F368"/>
    <mergeCell ref="C478:G478"/>
    <mergeCell ref="I478:J478"/>
    <mergeCell ref="B479:J479"/>
    <mergeCell ref="B482:J482"/>
    <mergeCell ref="B486:J486"/>
    <mergeCell ref="B488:J488"/>
    <mergeCell ref="I467:J467"/>
    <mergeCell ref="B468:J468"/>
    <mergeCell ref="B471:J471"/>
    <mergeCell ref="B474:K474"/>
    <mergeCell ref="C476:G476"/>
    <mergeCell ref="I476:J476"/>
    <mergeCell ref="I477:J477"/>
    <mergeCell ref="C467:F467"/>
    <mergeCell ref="C463:F463"/>
    <mergeCell ref="I463:J463"/>
    <mergeCell ref="C464:F464"/>
    <mergeCell ref="I464:J464"/>
    <mergeCell ref="C465:F465"/>
    <mergeCell ref="I465:J465"/>
    <mergeCell ref="I466:J466"/>
    <mergeCell ref="C477:G477"/>
    <mergeCell ref="I462:J462"/>
    <mergeCell ref="C458:F458"/>
    <mergeCell ref="C459:F459"/>
    <mergeCell ref="I459:J459"/>
    <mergeCell ref="C460:F460"/>
    <mergeCell ref="I460:J460"/>
    <mergeCell ref="C461:F461"/>
    <mergeCell ref="C462:F462"/>
    <mergeCell ref="C466:F466"/>
    <mergeCell ref="B387:F387"/>
    <mergeCell ref="B448:J448"/>
    <mergeCell ref="B449:J449"/>
    <mergeCell ref="B452:J452"/>
    <mergeCell ref="B455:K455"/>
    <mergeCell ref="C457:F457"/>
    <mergeCell ref="I457:J457"/>
    <mergeCell ref="I458:J458"/>
    <mergeCell ref="I461:J461"/>
    <mergeCell ref="B443:K443"/>
    <mergeCell ref="B444:F444"/>
    <mergeCell ref="I444:J444"/>
    <mergeCell ref="B445:F445"/>
    <mergeCell ref="I445:J445"/>
    <mergeCell ref="B446:F446"/>
    <mergeCell ref="I446:J446"/>
    <mergeCell ref="I398:J398"/>
    <mergeCell ref="I399:J399"/>
    <mergeCell ref="B394:F394"/>
    <mergeCell ref="I394:J394"/>
    <mergeCell ref="B395:F395"/>
    <mergeCell ref="I395:J395"/>
    <mergeCell ref="B397:K397"/>
    <mergeCell ref="B398:F398"/>
    <mergeCell ref="B361:K361"/>
    <mergeCell ref="B363:K363"/>
    <mergeCell ref="I392:J392"/>
    <mergeCell ref="I393:J393"/>
    <mergeCell ref="B389:K389"/>
    <mergeCell ref="B390:F390"/>
    <mergeCell ref="I390:J390"/>
    <mergeCell ref="B391:F391"/>
    <mergeCell ref="I391:J391"/>
    <mergeCell ref="B392:F392"/>
    <mergeCell ref="B393:F393"/>
    <mergeCell ref="B378:F378"/>
    <mergeCell ref="B379:F379"/>
    <mergeCell ref="I379:J379"/>
    <mergeCell ref="B381:K381"/>
    <mergeCell ref="B382:F382"/>
    <mergeCell ref="I382:J382"/>
    <mergeCell ref="I383:J383"/>
    <mergeCell ref="B383:F383"/>
    <mergeCell ref="B384:F384"/>
    <mergeCell ref="I384:J384"/>
    <mergeCell ref="B385:F385"/>
    <mergeCell ref="I385:J385"/>
    <mergeCell ref="B386:F386"/>
    <mergeCell ref="B353:K353"/>
    <mergeCell ref="B354:F354"/>
    <mergeCell ref="I354:J354"/>
    <mergeCell ref="I355:J355"/>
    <mergeCell ref="B355:F355"/>
    <mergeCell ref="B356:F356"/>
    <mergeCell ref="I356:J356"/>
    <mergeCell ref="B358:J358"/>
    <mergeCell ref="B359:J359"/>
    <mergeCell ref="B347:F347"/>
    <mergeCell ref="I347:J347"/>
    <mergeCell ref="B348:F348"/>
    <mergeCell ref="I348:J348"/>
    <mergeCell ref="B349:F349"/>
    <mergeCell ref="I349:J349"/>
    <mergeCell ref="I350:J350"/>
    <mergeCell ref="B350:F350"/>
    <mergeCell ref="B351:F351"/>
    <mergeCell ref="I351:J351"/>
    <mergeCell ref="I345:J345"/>
    <mergeCell ref="I346:J346"/>
    <mergeCell ref="B342:K342"/>
    <mergeCell ref="B343:F343"/>
    <mergeCell ref="I343:J343"/>
    <mergeCell ref="B344:F344"/>
    <mergeCell ref="I344:J344"/>
    <mergeCell ref="B345:F345"/>
    <mergeCell ref="B346:F346"/>
    <mergeCell ref="B338:F338"/>
    <mergeCell ref="I338:J338"/>
    <mergeCell ref="B339:F339"/>
    <mergeCell ref="I339:J339"/>
    <mergeCell ref="B340:F340"/>
    <mergeCell ref="I340:J340"/>
    <mergeCell ref="I336:J336"/>
    <mergeCell ref="I337:J337"/>
    <mergeCell ref="B333:F333"/>
    <mergeCell ref="B334:F334"/>
    <mergeCell ref="I334:J334"/>
    <mergeCell ref="B335:F335"/>
    <mergeCell ref="I335:J335"/>
    <mergeCell ref="B336:F336"/>
    <mergeCell ref="B337:F337"/>
    <mergeCell ref="B332:F332"/>
    <mergeCell ref="I332:J332"/>
    <mergeCell ref="I333:J333"/>
    <mergeCell ref="B303:F303"/>
    <mergeCell ref="I303:J303"/>
    <mergeCell ref="B304:F304"/>
    <mergeCell ref="I304:J304"/>
    <mergeCell ref="B305:F305"/>
    <mergeCell ref="I305:J305"/>
    <mergeCell ref="I306:J306"/>
    <mergeCell ref="B306:F306"/>
    <mergeCell ref="B307:F307"/>
    <mergeCell ref="I307:J307"/>
    <mergeCell ref="B308:F308"/>
    <mergeCell ref="I308:J308"/>
    <mergeCell ref="B309:F309"/>
    <mergeCell ref="B310:F310"/>
    <mergeCell ref="B315:F315"/>
    <mergeCell ref="B316:F316"/>
    <mergeCell ref="I316:J316"/>
    <mergeCell ref="B317:F317"/>
    <mergeCell ref="I317:J317"/>
    <mergeCell ref="B318:F318"/>
    <mergeCell ref="I318:J318"/>
    <mergeCell ref="B326:F326"/>
    <mergeCell ref="I326:J326"/>
    <mergeCell ref="B327:F327"/>
    <mergeCell ref="I327:J327"/>
    <mergeCell ref="I328:J328"/>
    <mergeCell ref="B328:F328"/>
    <mergeCell ref="B330:K330"/>
    <mergeCell ref="B331:F331"/>
    <mergeCell ref="I331:J331"/>
    <mergeCell ref="L314:L320"/>
    <mergeCell ref="I315:J315"/>
    <mergeCell ref="B320:F320"/>
    <mergeCell ref="I320:J320"/>
    <mergeCell ref="B322:K322"/>
    <mergeCell ref="B323:F323"/>
    <mergeCell ref="I323:J323"/>
    <mergeCell ref="B324:F324"/>
    <mergeCell ref="B325:F325"/>
    <mergeCell ref="I324:J324"/>
    <mergeCell ref="I325:J325"/>
    <mergeCell ref="B319:F319"/>
    <mergeCell ref="I319:J319"/>
    <mergeCell ref="I295:J295"/>
    <mergeCell ref="I296:J296"/>
    <mergeCell ref="I309:J309"/>
    <mergeCell ref="I310:J310"/>
    <mergeCell ref="B311:F311"/>
    <mergeCell ref="I311:J311"/>
    <mergeCell ref="B312:F312"/>
    <mergeCell ref="I312:J312"/>
    <mergeCell ref="B314:K314"/>
    <mergeCell ref="B282:K282"/>
    <mergeCell ref="I287:J287"/>
    <mergeCell ref="I288:J288"/>
    <mergeCell ref="B284:K284"/>
    <mergeCell ref="B285:F285"/>
    <mergeCell ref="I285:J285"/>
    <mergeCell ref="B286:F286"/>
    <mergeCell ref="I286:J286"/>
    <mergeCell ref="B287:F287"/>
    <mergeCell ref="B288:F288"/>
    <mergeCell ref="B294:F294"/>
    <mergeCell ref="I294:J294"/>
    <mergeCell ref="B295:F295"/>
    <mergeCell ref="B296:F296"/>
    <mergeCell ref="B264:F264"/>
    <mergeCell ref="I264:J264"/>
    <mergeCell ref="B265:F265"/>
    <mergeCell ref="I265:J265"/>
    <mergeCell ref="B266:F266"/>
    <mergeCell ref="I266:J266"/>
    <mergeCell ref="I267:J267"/>
    <mergeCell ref="B267:F267"/>
    <mergeCell ref="B268:F268"/>
    <mergeCell ref="I268:J268"/>
    <mergeCell ref="B270:K270"/>
    <mergeCell ref="B271:F271"/>
    <mergeCell ref="I271:J271"/>
    <mergeCell ref="I272:J272"/>
    <mergeCell ref="B272:F272"/>
    <mergeCell ref="B273:F273"/>
    <mergeCell ref="I273:J273"/>
    <mergeCell ref="B274:K277"/>
    <mergeCell ref="B279:J279"/>
    <mergeCell ref="B280:J280"/>
    <mergeCell ref="B289:F289"/>
    <mergeCell ref="I289:J289"/>
    <mergeCell ref="B290:F290"/>
    <mergeCell ref="I290:J290"/>
    <mergeCell ref="B291:F291"/>
    <mergeCell ref="I291:J291"/>
    <mergeCell ref="I292:J292"/>
    <mergeCell ref="B292:F292"/>
    <mergeCell ref="B293:F293"/>
    <mergeCell ref="I293:J293"/>
    <mergeCell ref="I301:J301"/>
    <mergeCell ref="I302:J302"/>
    <mergeCell ref="B297:F297"/>
    <mergeCell ref="I297:J297"/>
    <mergeCell ref="B299:K299"/>
    <mergeCell ref="B300:F300"/>
    <mergeCell ref="I300:J300"/>
    <mergeCell ref="B301:F301"/>
    <mergeCell ref="B302:F302"/>
    <mergeCell ref="B256:F256"/>
    <mergeCell ref="I256:J256"/>
    <mergeCell ref="B257:F257"/>
    <mergeCell ref="I257:J257"/>
    <mergeCell ref="I262:J262"/>
    <mergeCell ref="I263:J263"/>
    <mergeCell ref="B259:K259"/>
    <mergeCell ref="B260:F260"/>
    <mergeCell ref="I260:J260"/>
    <mergeCell ref="B261:F261"/>
    <mergeCell ref="I261:J261"/>
    <mergeCell ref="B262:F262"/>
    <mergeCell ref="B263:F263"/>
    <mergeCell ref="B251:F251"/>
    <mergeCell ref="I251:J251"/>
    <mergeCell ref="B252:F252"/>
    <mergeCell ref="I252:J252"/>
    <mergeCell ref="B253:F253"/>
    <mergeCell ref="I253:J253"/>
    <mergeCell ref="I254:J254"/>
    <mergeCell ref="B254:F254"/>
    <mergeCell ref="B255:F255"/>
    <mergeCell ref="I255:J255"/>
    <mergeCell ref="B241:F241"/>
    <mergeCell ref="I241:J241"/>
    <mergeCell ref="B242:F242"/>
    <mergeCell ref="I242:J242"/>
    <mergeCell ref="B243:F243"/>
    <mergeCell ref="I243:J243"/>
    <mergeCell ref="I244:J244"/>
    <mergeCell ref="I249:J249"/>
    <mergeCell ref="I250:J250"/>
    <mergeCell ref="B244:F244"/>
    <mergeCell ref="B245:K245"/>
    <mergeCell ref="B247:K247"/>
    <mergeCell ref="B248:F248"/>
    <mergeCell ref="I248:J248"/>
    <mergeCell ref="B249:F249"/>
    <mergeCell ref="B250:F250"/>
    <mergeCell ref="I239:J239"/>
    <mergeCell ref="I240:J240"/>
    <mergeCell ref="B235:F235"/>
    <mergeCell ref="I235:J235"/>
    <mergeCell ref="B236:F236"/>
    <mergeCell ref="I236:J236"/>
    <mergeCell ref="B238:K238"/>
    <mergeCell ref="B239:F239"/>
    <mergeCell ref="B240:F240"/>
    <mergeCell ref="I232:J232"/>
    <mergeCell ref="I233:J233"/>
    <mergeCell ref="B234:F234"/>
    <mergeCell ref="I234:J234"/>
    <mergeCell ref="B227:K228"/>
    <mergeCell ref="B230:K230"/>
    <mergeCell ref="L230:L235"/>
    <mergeCell ref="B231:F231"/>
    <mergeCell ref="I231:J231"/>
    <mergeCell ref="B232:F232"/>
    <mergeCell ref="B233:F233"/>
    <mergeCell ref="C189:H189"/>
    <mergeCell ref="I189:J189"/>
    <mergeCell ref="I225:J225"/>
    <mergeCell ref="I226:J226"/>
    <mergeCell ref="B219:F219"/>
    <mergeCell ref="I219:J219"/>
    <mergeCell ref="B220:F220"/>
    <mergeCell ref="I220:J220"/>
    <mergeCell ref="B221:F221"/>
    <mergeCell ref="I221:J221"/>
    <mergeCell ref="I222:J222"/>
    <mergeCell ref="B222:F222"/>
    <mergeCell ref="B223:F223"/>
    <mergeCell ref="I223:J223"/>
    <mergeCell ref="B224:F224"/>
    <mergeCell ref="I224:J224"/>
    <mergeCell ref="B225:F225"/>
    <mergeCell ref="B226:F226"/>
    <mergeCell ref="C184:H184"/>
    <mergeCell ref="I184:J184"/>
    <mergeCell ref="C185:H185"/>
    <mergeCell ref="I185:J185"/>
    <mergeCell ref="I186:J186"/>
    <mergeCell ref="C186:H186"/>
    <mergeCell ref="C187:H187"/>
    <mergeCell ref="I187:J187"/>
    <mergeCell ref="C188:H188"/>
    <mergeCell ref="I188:J188"/>
    <mergeCell ref="I179:J179"/>
    <mergeCell ref="C179:H179"/>
    <mergeCell ref="C180:H180"/>
    <mergeCell ref="I180:J180"/>
    <mergeCell ref="C181:H181"/>
    <mergeCell ref="I181:J181"/>
    <mergeCell ref="C182:H182"/>
    <mergeCell ref="I182:J182"/>
    <mergeCell ref="C183:H183"/>
    <mergeCell ref="I183:J183"/>
    <mergeCell ref="C174:H174"/>
    <mergeCell ref="I174:J174"/>
    <mergeCell ref="C175:H175"/>
    <mergeCell ref="I175:J175"/>
    <mergeCell ref="C176:H176"/>
    <mergeCell ref="I176:J176"/>
    <mergeCell ref="C177:H177"/>
    <mergeCell ref="I177:J177"/>
    <mergeCell ref="C178:H178"/>
    <mergeCell ref="I178:J178"/>
    <mergeCell ref="C169:H169"/>
    <mergeCell ref="I169:J169"/>
    <mergeCell ref="C170:H170"/>
    <mergeCell ref="I170:J170"/>
    <mergeCell ref="C171:H171"/>
    <mergeCell ref="I171:J171"/>
    <mergeCell ref="I172:J172"/>
    <mergeCell ref="C172:H172"/>
    <mergeCell ref="C173:H173"/>
    <mergeCell ref="I173:J173"/>
    <mergeCell ref="B210:F210"/>
    <mergeCell ref="I210:J210"/>
    <mergeCell ref="B211:F211"/>
    <mergeCell ref="I211:J211"/>
    <mergeCell ref="B213:K213"/>
    <mergeCell ref="I214:J214"/>
    <mergeCell ref="I217:J217"/>
    <mergeCell ref="I218:J218"/>
    <mergeCell ref="B214:F214"/>
    <mergeCell ref="B215:F215"/>
    <mergeCell ref="I215:J215"/>
    <mergeCell ref="B216:F216"/>
    <mergeCell ref="I216:J216"/>
    <mergeCell ref="B217:F217"/>
    <mergeCell ref="B218:F218"/>
    <mergeCell ref="I201:J201"/>
    <mergeCell ref="B206:F206"/>
    <mergeCell ref="I206:J206"/>
    <mergeCell ref="B207:F207"/>
    <mergeCell ref="I207:J207"/>
    <mergeCell ref="B208:F208"/>
    <mergeCell ref="I208:J208"/>
    <mergeCell ref="I209:J209"/>
    <mergeCell ref="B209:F209"/>
    <mergeCell ref="I139:J139"/>
    <mergeCell ref="I140:J140"/>
    <mergeCell ref="I204:J204"/>
    <mergeCell ref="I205:J205"/>
    <mergeCell ref="B201:F201"/>
    <mergeCell ref="B202:F202"/>
    <mergeCell ref="I202:J202"/>
    <mergeCell ref="B203:F203"/>
    <mergeCell ref="I203:J203"/>
    <mergeCell ref="B204:F204"/>
    <mergeCell ref="B205:F205"/>
    <mergeCell ref="C190:H190"/>
    <mergeCell ref="I190:J190"/>
    <mergeCell ref="C191:H191"/>
    <mergeCell ref="I191:J191"/>
    <mergeCell ref="C192:H192"/>
    <mergeCell ref="I192:J192"/>
    <mergeCell ref="I193:J193"/>
    <mergeCell ref="C193:H193"/>
    <mergeCell ref="B196:K196"/>
    <mergeCell ref="B198:K198"/>
    <mergeCell ref="I199:J199"/>
    <mergeCell ref="B200:F200"/>
    <mergeCell ref="I200:J200"/>
    <mergeCell ref="B96:J96"/>
    <mergeCell ref="B97:H97"/>
    <mergeCell ref="B99:K99"/>
    <mergeCell ref="C100:G100"/>
    <mergeCell ref="C101:G101"/>
    <mergeCell ref="B102:B103"/>
    <mergeCell ref="C102:G103"/>
    <mergeCell ref="C107:G107"/>
    <mergeCell ref="C108:G108"/>
    <mergeCell ref="C87:I87"/>
    <mergeCell ref="C88:I88"/>
    <mergeCell ref="C89:I89"/>
    <mergeCell ref="C90:I90"/>
    <mergeCell ref="C91:G91"/>
    <mergeCell ref="C92:G92"/>
    <mergeCell ref="C93:G93"/>
    <mergeCell ref="C94:G94"/>
    <mergeCell ref="C95:I95"/>
    <mergeCell ref="B75:J75"/>
    <mergeCell ref="B76:H76"/>
    <mergeCell ref="B78:K78"/>
    <mergeCell ref="C79:G79"/>
    <mergeCell ref="C80:G80"/>
    <mergeCell ref="C83:G83"/>
    <mergeCell ref="C84:I84"/>
    <mergeCell ref="C85:I85"/>
    <mergeCell ref="C86:I86"/>
    <mergeCell ref="C120:I120"/>
    <mergeCell ref="B121:J121"/>
    <mergeCell ref="B122:H122"/>
    <mergeCell ref="I131:J131"/>
    <mergeCell ref="I132:J132"/>
    <mergeCell ref="B124:J124"/>
    <mergeCell ref="B127:K127"/>
    <mergeCell ref="B129:K129"/>
    <mergeCell ref="B130:F130"/>
    <mergeCell ref="I130:J130"/>
    <mergeCell ref="B131:F131"/>
    <mergeCell ref="B132:F132"/>
    <mergeCell ref="C111:I111"/>
    <mergeCell ref="C112:I112"/>
    <mergeCell ref="C113:I113"/>
    <mergeCell ref="C114:I114"/>
    <mergeCell ref="C115:I115"/>
    <mergeCell ref="C116:G116"/>
    <mergeCell ref="C117:G117"/>
    <mergeCell ref="C118:G118"/>
    <mergeCell ref="C119:G119"/>
    <mergeCell ref="C48:I48"/>
    <mergeCell ref="B49:J49"/>
    <mergeCell ref="B50:H50"/>
    <mergeCell ref="B52:K52"/>
    <mergeCell ref="C53:G53"/>
    <mergeCell ref="C54:G54"/>
    <mergeCell ref="B55:B56"/>
    <mergeCell ref="C109:I109"/>
    <mergeCell ref="C110:I110"/>
    <mergeCell ref="C55:G56"/>
    <mergeCell ref="C61:G61"/>
    <mergeCell ref="C62:I62"/>
    <mergeCell ref="C63:I63"/>
    <mergeCell ref="C64:I64"/>
    <mergeCell ref="C65:I65"/>
    <mergeCell ref="C66:I66"/>
    <mergeCell ref="C67:I67"/>
    <mergeCell ref="C68:I68"/>
    <mergeCell ref="C69:G69"/>
    <mergeCell ref="C70:G70"/>
    <mergeCell ref="C71:G71"/>
    <mergeCell ref="C72:G72"/>
    <mergeCell ref="C73:G73"/>
    <mergeCell ref="C74:I74"/>
    <mergeCell ref="I18:J18"/>
    <mergeCell ref="I19:J19"/>
    <mergeCell ref="C15:G15"/>
    <mergeCell ref="C16:G16"/>
    <mergeCell ref="I16:J16"/>
    <mergeCell ref="C17:G17"/>
    <mergeCell ref="I17:J17"/>
    <mergeCell ref="C18:G18"/>
    <mergeCell ref="C19:G19"/>
    <mergeCell ref="C47:G47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  <mergeCell ref="C12:G12"/>
    <mergeCell ref="I12:J12"/>
    <mergeCell ref="C13:G13"/>
    <mergeCell ref="I13:J13"/>
    <mergeCell ref="C14:G14"/>
    <mergeCell ref="I14:J14"/>
    <mergeCell ref="I15:J15"/>
    <mergeCell ref="C38:I38"/>
    <mergeCell ref="C39:I39"/>
    <mergeCell ref="C40:I40"/>
    <mergeCell ref="C41:I41"/>
    <mergeCell ref="C42:I42"/>
    <mergeCell ref="C43:G43"/>
    <mergeCell ref="C44:G44"/>
    <mergeCell ref="C45:G45"/>
    <mergeCell ref="C46:G46"/>
    <mergeCell ref="C166:H166"/>
    <mergeCell ref="I166:J166"/>
    <mergeCell ref="C167:H167"/>
    <mergeCell ref="I167:J167"/>
    <mergeCell ref="C168:H168"/>
    <mergeCell ref="I168:J168"/>
    <mergeCell ref="C20:G20"/>
    <mergeCell ref="I20:J20"/>
    <mergeCell ref="C21:G21"/>
    <mergeCell ref="I21:J21"/>
    <mergeCell ref="C22:G22"/>
    <mergeCell ref="I22:J22"/>
    <mergeCell ref="B23:J23"/>
    <mergeCell ref="B24:J24"/>
    <mergeCell ref="B25:G25"/>
    <mergeCell ref="I25:J25"/>
    <mergeCell ref="B28:K28"/>
    <mergeCell ref="B29:K29"/>
    <mergeCell ref="B30:K30"/>
    <mergeCell ref="C31:G31"/>
    <mergeCell ref="C32:G32"/>
    <mergeCell ref="C35:G35"/>
    <mergeCell ref="C36:I36"/>
    <mergeCell ref="C37:I37"/>
    <mergeCell ref="I153:J153"/>
    <mergeCell ref="B149:F149"/>
    <mergeCell ref="B150:F150"/>
    <mergeCell ref="I150:J150"/>
    <mergeCell ref="B151:F151"/>
    <mergeCell ref="I151:J151"/>
    <mergeCell ref="B152:F152"/>
    <mergeCell ref="B153:F153"/>
    <mergeCell ref="C165:H165"/>
    <mergeCell ref="I144:J144"/>
    <mergeCell ref="B144:F144"/>
    <mergeCell ref="B146:K146"/>
    <mergeCell ref="B147:F147"/>
    <mergeCell ref="I147:J147"/>
    <mergeCell ref="B148:F148"/>
    <mergeCell ref="I148:J148"/>
    <mergeCell ref="I149:J149"/>
    <mergeCell ref="I152:J152"/>
    <mergeCell ref="B159:J159"/>
    <mergeCell ref="B162:K162"/>
    <mergeCell ref="B164:K164"/>
    <mergeCell ref="I165:J165"/>
    <mergeCell ref="B133:F133"/>
    <mergeCell ref="I133:J133"/>
    <mergeCell ref="B134:F134"/>
    <mergeCell ref="I134:J134"/>
    <mergeCell ref="B135:F135"/>
    <mergeCell ref="I135:J135"/>
    <mergeCell ref="I136:J136"/>
    <mergeCell ref="B136:F136"/>
    <mergeCell ref="B137:F137"/>
    <mergeCell ref="I137:J137"/>
    <mergeCell ref="B138:F138"/>
    <mergeCell ref="I138:J138"/>
    <mergeCell ref="B139:F139"/>
    <mergeCell ref="B140:F140"/>
    <mergeCell ref="B141:F141"/>
    <mergeCell ref="I141:J141"/>
    <mergeCell ref="B142:F142"/>
    <mergeCell ref="I142:J142"/>
    <mergeCell ref="B143:F143"/>
    <mergeCell ref="I143:J143"/>
    <mergeCell ref="B154:F154"/>
    <mergeCell ref="I154:J154"/>
    <mergeCell ref="B155:F155"/>
    <mergeCell ref="I155:J155"/>
    <mergeCell ref="B156:F156"/>
    <mergeCell ref="I156:J156"/>
    <mergeCell ref="I157:J157"/>
    <mergeCell ref="B157:F157"/>
    <mergeCell ref="B158:F158"/>
    <mergeCell ref="I158:J158"/>
  </mergeCell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000"/>
  <sheetViews>
    <sheetView workbookViewId="0"/>
  </sheetViews>
  <sheetFormatPr defaultColWidth="14.42578125" defaultRowHeight="15" customHeight="1" x14ac:dyDescent="0.25"/>
  <cols>
    <col min="1" max="1" width="23.42578125" customWidth="1"/>
    <col min="2" max="10" width="14.7109375" customWidth="1"/>
    <col min="11" max="11" width="18.5703125" customWidth="1"/>
    <col min="12" max="12" width="41.42578125" customWidth="1"/>
    <col min="13" max="26" width="14.7109375" customWidth="1"/>
  </cols>
  <sheetData>
    <row r="1" spans="1:14" ht="16.5" customHeight="1" x14ac:dyDescent="0.25">
      <c r="A1" s="5"/>
      <c r="B1" s="7"/>
      <c r="C1" s="7"/>
      <c r="D1" s="7"/>
      <c r="E1" s="7"/>
      <c r="F1" s="7"/>
      <c r="G1" s="7"/>
      <c r="H1" s="7"/>
      <c r="I1" s="7"/>
      <c r="J1" s="7"/>
      <c r="K1" s="10"/>
      <c r="L1" s="6"/>
      <c r="M1" s="8"/>
      <c r="N1" s="8"/>
    </row>
    <row r="2" spans="1:14" ht="16.5" customHeight="1" x14ac:dyDescent="0.25">
      <c r="A2" s="7"/>
      <c r="B2" s="696" t="s">
        <v>646</v>
      </c>
      <c r="C2" s="532"/>
      <c r="D2" s="532"/>
      <c r="E2" s="532"/>
      <c r="F2" s="532"/>
      <c r="G2" s="532"/>
      <c r="H2" s="532"/>
      <c r="I2" s="532"/>
      <c r="J2" s="532"/>
      <c r="K2" s="533"/>
      <c r="L2" s="6"/>
      <c r="M2" s="8"/>
      <c r="N2" s="8"/>
    </row>
    <row r="3" spans="1:14" ht="16.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10"/>
      <c r="L3" s="6"/>
      <c r="M3" s="8"/>
      <c r="N3" s="8"/>
    </row>
    <row r="4" spans="1:14" ht="16.5" customHeight="1" x14ac:dyDescent="0.25">
      <c r="A4" s="7"/>
      <c r="B4" s="697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8"/>
      <c r="N4" s="8"/>
    </row>
    <row r="5" spans="1:14" ht="16.5" customHeight="1" x14ac:dyDescent="0.25">
      <c r="A5" s="7"/>
      <c r="B5" s="586" t="s">
        <v>31</v>
      </c>
      <c r="C5" s="537"/>
      <c r="D5" s="537"/>
      <c r="E5" s="537"/>
      <c r="F5" s="537"/>
      <c r="G5" s="538"/>
      <c r="H5" s="20" t="s">
        <v>32</v>
      </c>
      <c r="I5" s="698" t="s">
        <v>33</v>
      </c>
      <c r="J5" s="538"/>
      <c r="K5" s="22" t="s">
        <v>34</v>
      </c>
      <c r="L5" s="6"/>
      <c r="M5" s="8"/>
      <c r="N5" s="8"/>
    </row>
    <row r="6" spans="1:14" ht="16.5" customHeight="1" x14ac:dyDescent="0.25">
      <c r="A6" s="10"/>
      <c r="B6" s="24" t="s">
        <v>39</v>
      </c>
      <c r="C6" s="699" t="s">
        <v>40</v>
      </c>
      <c r="D6" s="537"/>
      <c r="E6" s="537"/>
      <c r="F6" s="537"/>
      <c r="G6" s="538"/>
      <c r="H6" s="28">
        <f>SUM(H7:H15)</f>
        <v>11</v>
      </c>
      <c r="I6" s="700"/>
      <c r="J6" s="538"/>
      <c r="K6" s="32">
        <f>SUM(K7:K15)</f>
        <v>77436.468061081294</v>
      </c>
      <c r="L6" s="6"/>
      <c r="M6" s="8"/>
      <c r="N6" s="8"/>
    </row>
    <row r="7" spans="1:14" ht="16.5" customHeight="1" x14ac:dyDescent="0.25">
      <c r="A7" s="10"/>
      <c r="B7" s="33" t="s">
        <v>53</v>
      </c>
      <c r="C7" s="702" t="s">
        <v>54</v>
      </c>
      <c r="D7" s="537"/>
      <c r="E7" s="537"/>
      <c r="F7" s="537"/>
      <c r="G7" s="538"/>
      <c r="H7" s="36">
        <v>1</v>
      </c>
      <c r="I7" s="701">
        <f>K45</f>
        <v>12578.929312692355</v>
      </c>
      <c r="J7" s="538"/>
      <c r="K7" s="42">
        <f t="shared" ref="K7:K15" si="0">I7*H7</f>
        <v>12578.929312692355</v>
      </c>
      <c r="L7" s="6"/>
      <c r="M7" s="8"/>
      <c r="N7" s="8"/>
    </row>
    <row r="8" spans="1:14" ht="16.5" customHeight="1" x14ac:dyDescent="0.25">
      <c r="A8" s="10"/>
      <c r="B8" s="33" t="s">
        <v>59</v>
      </c>
      <c r="C8" s="702" t="s">
        <v>60</v>
      </c>
      <c r="D8" s="537"/>
      <c r="E8" s="537"/>
      <c r="F8" s="537"/>
      <c r="G8" s="538"/>
      <c r="H8" s="36">
        <v>1</v>
      </c>
      <c r="I8" s="701">
        <f>K66</f>
        <v>10130.342291755216</v>
      </c>
      <c r="J8" s="538"/>
      <c r="K8" s="42">
        <f t="shared" si="0"/>
        <v>10130.342291755216</v>
      </c>
      <c r="L8" s="6"/>
      <c r="M8" s="8"/>
      <c r="N8" s="8"/>
    </row>
    <row r="9" spans="1:14" ht="16.5" customHeight="1" x14ac:dyDescent="0.25">
      <c r="A9" s="10"/>
      <c r="B9" s="33" t="s">
        <v>63</v>
      </c>
      <c r="C9" s="702" t="s">
        <v>68</v>
      </c>
      <c r="D9" s="537"/>
      <c r="E9" s="537"/>
      <c r="F9" s="537"/>
      <c r="G9" s="538"/>
      <c r="H9" s="46">
        <v>1</v>
      </c>
      <c r="I9" s="701">
        <f>K85</f>
        <v>5130.0715059133481</v>
      </c>
      <c r="J9" s="538"/>
      <c r="K9" s="42">
        <f t="shared" si="0"/>
        <v>5130.0715059133481</v>
      </c>
      <c r="L9" s="6"/>
      <c r="M9" s="8"/>
      <c r="N9" s="8"/>
    </row>
    <row r="10" spans="1:14" ht="16.5" customHeight="1" x14ac:dyDescent="0.25">
      <c r="A10" s="10"/>
      <c r="B10" s="33" t="s">
        <v>67</v>
      </c>
      <c r="C10" s="702" t="s">
        <v>72</v>
      </c>
      <c r="D10" s="537"/>
      <c r="E10" s="537"/>
      <c r="F10" s="537"/>
      <c r="G10" s="538"/>
      <c r="H10" s="36">
        <v>1</v>
      </c>
      <c r="I10" s="701">
        <f>K106</f>
        <v>6496.190580617138</v>
      </c>
      <c r="J10" s="538"/>
      <c r="K10" s="42">
        <f t="shared" si="0"/>
        <v>6496.190580617138</v>
      </c>
      <c r="L10" s="6"/>
      <c r="M10" s="8"/>
      <c r="N10" s="8"/>
    </row>
    <row r="11" spans="1:14" ht="16.5" customHeight="1" x14ac:dyDescent="0.25">
      <c r="A11" s="10"/>
      <c r="B11" s="33" t="s">
        <v>71</v>
      </c>
      <c r="C11" s="702" t="s">
        <v>82</v>
      </c>
      <c r="D11" s="537"/>
      <c r="E11" s="537"/>
      <c r="F11" s="537"/>
      <c r="G11" s="538"/>
      <c r="H11" s="46">
        <v>1</v>
      </c>
      <c r="I11" s="701">
        <f>K127</f>
        <v>5926.5901046535892</v>
      </c>
      <c r="J11" s="538"/>
      <c r="K11" s="42">
        <f t="shared" si="0"/>
        <v>5926.5901046535892</v>
      </c>
      <c r="L11" s="6"/>
      <c r="M11" s="8"/>
      <c r="N11" s="8"/>
    </row>
    <row r="12" spans="1:14" ht="16.5" customHeight="1" x14ac:dyDescent="0.25">
      <c r="A12" s="10"/>
      <c r="B12" s="33" t="s">
        <v>75</v>
      </c>
      <c r="C12" s="702" t="s">
        <v>90</v>
      </c>
      <c r="D12" s="537"/>
      <c r="E12" s="537"/>
      <c r="F12" s="537"/>
      <c r="G12" s="538"/>
      <c r="H12" s="36">
        <v>1</v>
      </c>
      <c r="I12" s="701">
        <f>K149</f>
        <v>5684.5797853274617</v>
      </c>
      <c r="J12" s="538"/>
      <c r="K12" s="42">
        <f t="shared" si="0"/>
        <v>5684.5797853274617</v>
      </c>
      <c r="L12" s="6"/>
      <c r="M12" s="8"/>
      <c r="N12" s="8"/>
    </row>
    <row r="13" spans="1:14" ht="16.5" customHeight="1" x14ac:dyDescent="0.25">
      <c r="A13" s="10"/>
      <c r="B13" s="33" t="s">
        <v>81</v>
      </c>
      <c r="C13" s="702" t="s">
        <v>94</v>
      </c>
      <c r="D13" s="537"/>
      <c r="E13" s="537"/>
      <c r="F13" s="537"/>
      <c r="G13" s="538"/>
      <c r="H13" s="36">
        <v>1</v>
      </c>
      <c r="I13" s="701">
        <f>K171</f>
        <v>5684.5797853274617</v>
      </c>
      <c r="J13" s="538"/>
      <c r="K13" s="42">
        <f t="shared" si="0"/>
        <v>5684.5797853274617</v>
      </c>
      <c r="L13" s="6"/>
      <c r="M13" s="8"/>
      <c r="N13" s="8"/>
    </row>
    <row r="14" spans="1:14" ht="16.5" customHeight="1" x14ac:dyDescent="0.25">
      <c r="A14" s="10"/>
      <c r="B14" s="33" t="s">
        <v>86</v>
      </c>
      <c r="C14" s="705" t="s">
        <v>100</v>
      </c>
      <c r="D14" s="537"/>
      <c r="E14" s="537"/>
      <c r="F14" s="537"/>
      <c r="G14" s="538"/>
      <c r="H14" s="46">
        <v>2</v>
      </c>
      <c r="I14" s="701">
        <f>K193</f>
        <v>6121.6611467860021</v>
      </c>
      <c r="J14" s="538"/>
      <c r="K14" s="42">
        <f t="shared" si="0"/>
        <v>12243.322293572004</v>
      </c>
      <c r="L14" s="6"/>
      <c r="M14" s="8"/>
      <c r="N14" s="8"/>
    </row>
    <row r="15" spans="1:14" ht="16.5" customHeight="1" x14ac:dyDescent="0.25">
      <c r="A15" s="10"/>
      <c r="B15" s="33" t="s">
        <v>88</v>
      </c>
      <c r="C15" s="705" t="s">
        <v>104</v>
      </c>
      <c r="D15" s="537"/>
      <c r="E15" s="537"/>
      <c r="F15" s="537"/>
      <c r="G15" s="538"/>
      <c r="H15" s="46">
        <v>2</v>
      </c>
      <c r="I15" s="701">
        <f>K219</f>
        <v>6780.931200611356</v>
      </c>
      <c r="J15" s="538"/>
      <c r="K15" s="42">
        <f t="shared" si="0"/>
        <v>13561.862401222712</v>
      </c>
      <c r="L15" s="6"/>
      <c r="M15" s="8"/>
      <c r="N15" s="8"/>
    </row>
    <row r="16" spans="1:14" ht="16.5" customHeight="1" x14ac:dyDescent="0.25">
      <c r="A16" s="10"/>
      <c r="B16" s="24" t="s">
        <v>106</v>
      </c>
      <c r="C16" s="700" t="s">
        <v>58</v>
      </c>
      <c r="D16" s="537"/>
      <c r="E16" s="537"/>
      <c r="F16" s="537"/>
      <c r="G16" s="538"/>
      <c r="H16" s="28">
        <f>SUM(H17:H21)</f>
        <v>11</v>
      </c>
      <c r="I16" s="704"/>
      <c r="J16" s="538"/>
      <c r="K16" s="32">
        <f>SUM(K17:K21)</f>
        <v>735.8461111111111</v>
      </c>
      <c r="L16" s="6"/>
      <c r="M16" s="8"/>
      <c r="N16" s="8"/>
    </row>
    <row r="17" spans="1:14" ht="16.5" customHeight="1" x14ac:dyDescent="0.25">
      <c r="A17" s="10"/>
      <c r="B17" s="52" t="s">
        <v>109</v>
      </c>
      <c r="C17" s="702" t="s">
        <v>111</v>
      </c>
      <c r="D17" s="537"/>
      <c r="E17" s="537"/>
      <c r="F17" s="537"/>
      <c r="G17" s="538"/>
      <c r="H17" s="36">
        <f>H7+H9</f>
        <v>2</v>
      </c>
      <c r="I17" s="701">
        <f>K231</f>
        <v>22.152222222222221</v>
      </c>
      <c r="J17" s="538"/>
      <c r="K17" s="57">
        <f t="shared" ref="K17:K21" si="1">I17*H17</f>
        <v>44.304444444444442</v>
      </c>
      <c r="L17" s="6"/>
      <c r="M17" s="8"/>
      <c r="N17" s="8"/>
    </row>
    <row r="18" spans="1:14" ht="16.5" customHeight="1" x14ac:dyDescent="0.25">
      <c r="A18" s="10"/>
      <c r="B18" s="52" t="s">
        <v>114</v>
      </c>
      <c r="C18" s="775" t="s">
        <v>115</v>
      </c>
      <c r="D18" s="537"/>
      <c r="E18" s="537"/>
      <c r="F18" s="537"/>
      <c r="G18" s="538"/>
      <c r="H18" s="36">
        <f>H8</f>
        <v>1</v>
      </c>
      <c r="I18" s="701">
        <f>K243</f>
        <v>96.129444444444445</v>
      </c>
      <c r="J18" s="538"/>
      <c r="K18" s="57">
        <f t="shared" si="1"/>
        <v>96.129444444444445</v>
      </c>
      <c r="L18" s="6"/>
      <c r="M18" s="8"/>
      <c r="N18" s="8"/>
    </row>
    <row r="19" spans="1:14" ht="16.5" customHeight="1" x14ac:dyDescent="0.25">
      <c r="A19" s="10"/>
      <c r="B19" s="52" t="s">
        <v>124</v>
      </c>
      <c r="C19" s="702" t="s">
        <v>125</v>
      </c>
      <c r="D19" s="537"/>
      <c r="E19" s="537"/>
      <c r="F19" s="537"/>
      <c r="G19" s="538"/>
      <c r="H19" s="36">
        <v>2</v>
      </c>
      <c r="I19" s="701">
        <f>K257</f>
        <v>94.691666666666649</v>
      </c>
      <c r="J19" s="538"/>
      <c r="K19" s="57">
        <f t="shared" si="1"/>
        <v>189.3833333333333</v>
      </c>
      <c r="L19" s="6"/>
      <c r="M19" s="8"/>
      <c r="N19" s="8"/>
    </row>
    <row r="20" spans="1:14" ht="16.5" customHeight="1" x14ac:dyDescent="0.25">
      <c r="A20" s="10"/>
      <c r="B20" s="52" t="s">
        <v>127</v>
      </c>
      <c r="C20" s="707" t="s">
        <v>128</v>
      </c>
      <c r="D20" s="537"/>
      <c r="E20" s="537"/>
      <c r="F20" s="537"/>
      <c r="G20" s="538"/>
      <c r="H20" s="36">
        <f>H12+H13</f>
        <v>2</v>
      </c>
      <c r="I20" s="701">
        <f>K270</f>
        <v>72.135555555555555</v>
      </c>
      <c r="J20" s="538"/>
      <c r="K20" s="57">
        <f t="shared" si="1"/>
        <v>144.27111111111111</v>
      </c>
      <c r="L20" s="6"/>
      <c r="M20" s="8"/>
      <c r="N20" s="8"/>
    </row>
    <row r="21" spans="1:14" ht="16.5" customHeight="1" x14ac:dyDescent="0.25">
      <c r="A21" s="10"/>
      <c r="B21" s="52" t="s">
        <v>131</v>
      </c>
      <c r="C21" s="705" t="s">
        <v>132</v>
      </c>
      <c r="D21" s="537"/>
      <c r="E21" s="537"/>
      <c r="F21" s="537"/>
      <c r="G21" s="538"/>
      <c r="H21" s="36">
        <v>4</v>
      </c>
      <c r="I21" s="701">
        <f>K280</f>
        <v>65.439444444444447</v>
      </c>
      <c r="J21" s="538"/>
      <c r="K21" s="57">
        <f t="shared" si="1"/>
        <v>261.75777777777779</v>
      </c>
      <c r="L21" s="6"/>
      <c r="M21" s="8"/>
      <c r="N21" s="8"/>
    </row>
    <row r="22" spans="1:14" ht="16.5" customHeight="1" x14ac:dyDescent="0.25">
      <c r="A22" s="10"/>
      <c r="B22" s="24" t="s">
        <v>133</v>
      </c>
      <c r="C22" s="700" t="s">
        <v>70</v>
      </c>
      <c r="D22" s="537"/>
      <c r="E22" s="537"/>
      <c r="F22" s="537"/>
      <c r="G22" s="538"/>
      <c r="H22" s="28">
        <f>H23</f>
        <v>1</v>
      </c>
      <c r="I22" s="704"/>
      <c r="J22" s="538"/>
      <c r="K22" s="32">
        <f>K356</f>
        <v>1106.7864799951551</v>
      </c>
      <c r="L22" s="6"/>
      <c r="M22" s="8"/>
      <c r="N22" s="8"/>
    </row>
    <row r="23" spans="1:14" ht="16.5" customHeight="1" x14ac:dyDescent="0.25">
      <c r="A23" s="10"/>
      <c r="B23" s="33" t="s">
        <v>136</v>
      </c>
      <c r="C23" s="702" t="s">
        <v>137</v>
      </c>
      <c r="D23" s="537"/>
      <c r="E23" s="537"/>
      <c r="F23" s="537"/>
      <c r="G23" s="538"/>
      <c r="H23" s="72">
        <v>1</v>
      </c>
      <c r="I23" s="701">
        <f>K296+K304+K315+I330+K340+K353</f>
        <v>1106.7864799951551</v>
      </c>
      <c r="J23" s="538"/>
      <c r="K23" s="42">
        <f>I23*H23</f>
        <v>1106.7864799951551</v>
      </c>
      <c r="L23" s="6"/>
      <c r="M23" s="8"/>
      <c r="N23" s="8"/>
    </row>
    <row r="24" spans="1:14" ht="16.5" customHeight="1" x14ac:dyDescent="0.25">
      <c r="A24" s="10"/>
      <c r="B24" s="24" t="s">
        <v>140</v>
      </c>
      <c r="C24" s="700" t="s">
        <v>96</v>
      </c>
      <c r="D24" s="537"/>
      <c r="E24" s="537"/>
      <c r="F24" s="537"/>
      <c r="G24" s="538"/>
      <c r="H24" s="28">
        <v>1</v>
      </c>
      <c r="I24" s="706"/>
      <c r="J24" s="538"/>
      <c r="K24" s="32">
        <f>K365</f>
        <v>10000</v>
      </c>
      <c r="L24" s="6"/>
      <c r="M24" s="8"/>
      <c r="N24" s="8"/>
    </row>
    <row r="25" spans="1:14" ht="16.5" customHeight="1" x14ac:dyDescent="0.25">
      <c r="A25" s="10"/>
      <c r="B25" s="24" t="s">
        <v>143</v>
      </c>
      <c r="C25" s="700" t="s">
        <v>102</v>
      </c>
      <c r="D25" s="537"/>
      <c r="E25" s="537"/>
      <c r="F25" s="537"/>
      <c r="G25" s="538"/>
      <c r="H25" s="28">
        <v>1</v>
      </c>
      <c r="I25" s="706"/>
      <c r="J25" s="538"/>
      <c r="K25" s="32">
        <f>K374</f>
        <v>24721.288330846288</v>
      </c>
      <c r="L25" s="6"/>
      <c r="M25" s="8"/>
      <c r="N25" s="8"/>
    </row>
    <row r="26" spans="1:14" ht="16.5" customHeight="1" x14ac:dyDescent="0.25">
      <c r="A26" s="7"/>
      <c r="B26" s="708" t="s">
        <v>144</v>
      </c>
      <c r="C26" s="564"/>
      <c r="D26" s="564"/>
      <c r="E26" s="564"/>
      <c r="F26" s="564"/>
      <c r="G26" s="564"/>
      <c r="H26" s="564"/>
      <c r="I26" s="564"/>
      <c r="J26" s="565"/>
      <c r="K26" s="77">
        <f>K24+K22+K16+K6+K25</f>
        <v>114000.38898303386</v>
      </c>
      <c r="L26" s="6"/>
      <c r="M26" s="8"/>
      <c r="N26" s="8"/>
    </row>
    <row r="27" spans="1:14" ht="16.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10"/>
      <c r="L27" s="6"/>
      <c r="M27" s="8"/>
      <c r="N27" s="8"/>
    </row>
    <row r="28" spans="1:14" ht="16.5" customHeight="1" x14ac:dyDescent="0.25">
      <c r="A28" s="7"/>
      <c r="B28" s="709" t="s">
        <v>149</v>
      </c>
      <c r="C28" s="537"/>
      <c r="D28" s="537"/>
      <c r="E28" s="537"/>
      <c r="F28" s="537"/>
      <c r="G28" s="537"/>
      <c r="H28" s="537"/>
      <c r="I28" s="537"/>
      <c r="J28" s="537"/>
      <c r="K28" s="538"/>
      <c r="L28" s="6"/>
      <c r="M28" s="8"/>
      <c r="N28" s="8"/>
    </row>
    <row r="29" spans="1:14" ht="16.5" customHeight="1" x14ac:dyDescent="0.25">
      <c r="A29" s="7"/>
      <c r="B29" s="710"/>
      <c r="C29" s="537"/>
      <c r="D29" s="537"/>
      <c r="E29" s="537"/>
      <c r="F29" s="537"/>
      <c r="G29" s="537"/>
      <c r="H29" s="537"/>
      <c r="I29" s="537"/>
      <c r="J29" s="537"/>
      <c r="K29" s="537"/>
      <c r="L29" s="6"/>
      <c r="M29" s="8"/>
      <c r="N29" s="8"/>
    </row>
    <row r="30" spans="1:14" ht="16.5" customHeight="1" x14ac:dyDescent="0.25">
      <c r="A30" s="7"/>
      <c r="B30" s="581" t="s">
        <v>154</v>
      </c>
      <c r="C30" s="537"/>
      <c r="D30" s="537"/>
      <c r="E30" s="537"/>
      <c r="F30" s="537"/>
      <c r="G30" s="537"/>
      <c r="H30" s="537"/>
      <c r="I30" s="537"/>
      <c r="J30" s="537"/>
      <c r="K30" s="538"/>
      <c r="L30" s="6"/>
      <c r="M30" s="8"/>
      <c r="N30" s="8"/>
    </row>
    <row r="31" spans="1:14" ht="16.5" customHeight="1" x14ac:dyDescent="0.25">
      <c r="A31" s="7"/>
      <c r="B31" s="80" t="s">
        <v>116</v>
      </c>
      <c r="C31" s="582" t="s">
        <v>117</v>
      </c>
      <c r="D31" s="537"/>
      <c r="E31" s="537"/>
      <c r="F31" s="537"/>
      <c r="G31" s="537"/>
      <c r="H31" s="537"/>
      <c r="I31" s="538"/>
      <c r="J31" s="81"/>
      <c r="K31" s="81" t="s">
        <v>121</v>
      </c>
      <c r="L31" s="6"/>
      <c r="M31" s="8"/>
      <c r="N31" s="8"/>
    </row>
    <row r="32" spans="1:14" ht="16.5" customHeight="1" x14ac:dyDescent="0.25">
      <c r="A32" s="7"/>
      <c r="B32" s="33" t="s">
        <v>122</v>
      </c>
      <c r="C32" s="705" t="s">
        <v>123</v>
      </c>
      <c r="D32" s="537"/>
      <c r="E32" s="537"/>
      <c r="F32" s="537"/>
      <c r="G32" s="537"/>
      <c r="H32" s="537"/>
      <c r="I32" s="538"/>
      <c r="J32" s="82"/>
      <c r="K32" s="85">
        <f>'6 - DADOS CC MO'!E113</f>
        <v>6876.95</v>
      </c>
      <c r="L32" s="6"/>
      <c r="M32" s="8"/>
      <c r="N32" s="8"/>
    </row>
    <row r="33" spans="1:14" ht="16.5" customHeight="1" x14ac:dyDescent="0.25">
      <c r="A33" s="7"/>
      <c r="B33" s="33"/>
      <c r="C33" s="585" t="s">
        <v>142</v>
      </c>
      <c r="D33" s="537"/>
      <c r="E33" s="537"/>
      <c r="F33" s="537"/>
      <c r="G33" s="537"/>
      <c r="H33" s="537"/>
      <c r="I33" s="538"/>
      <c r="J33" s="52"/>
      <c r="K33" s="87">
        <f>K32</f>
        <v>6876.95</v>
      </c>
      <c r="L33" s="6"/>
      <c r="M33" s="8"/>
      <c r="N33" s="8"/>
    </row>
    <row r="34" spans="1:14" ht="16.5" customHeight="1" x14ac:dyDescent="0.25">
      <c r="A34" s="7"/>
      <c r="B34" s="81" t="s">
        <v>145</v>
      </c>
      <c r="C34" s="582" t="s">
        <v>146</v>
      </c>
      <c r="D34" s="537"/>
      <c r="E34" s="537"/>
      <c r="F34" s="537"/>
      <c r="G34" s="537"/>
      <c r="H34" s="537"/>
      <c r="I34" s="538"/>
      <c r="J34" s="81" t="s">
        <v>141</v>
      </c>
      <c r="K34" s="81" t="s">
        <v>121</v>
      </c>
      <c r="L34" s="6"/>
      <c r="M34" s="8"/>
      <c r="N34" s="8"/>
    </row>
    <row r="35" spans="1:14" ht="16.5" customHeight="1" x14ac:dyDescent="0.25">
      <c r="A35" s="7"/>
      <c r="B35" s="36" t="s">
        <v>147</v>
      </c>
      <c r="C35" s="580" t="s">
        <v>148</v>
      </c>
      <c r="D35" s="537"/>
      <c r="E35" s="537"/>
      <c r="F35" s="537"/>
      <c r="G35" s="537"/>
      <c r="H35" s="537"/>
      <c r="I35" s="538"/>
      <c r="J35" s="92">
        <f>'7 - ENCARGOS SOCIAIS'!$D$13</f>
        <v>0.36800000000000005</v>
      </c>
      <c r="K35" s="85">
        <f>J35*K33</f>
        <v>2530.7176000000004</v>
      </c>
      <c r="L35" s="6"/>
      <c r="M35" s="8"/>
      <c r="N35" s="8"/>
    </row>
    <row r="36" spans="1:14" ht="16.5" customHeight="1" x14ac:dyDescent="0.25">
      <c r="A36" s="7"/>
      <c r="B36" s="36" t="s">
        <v>150</v>
      </c>
      <c r="C36" s="580" t="s">
        <v>151</v>
      </c>
      <c r="D36" s="537"/>
      <c r="E36" s="537"/>
      <c r="F36" s="537"/>
      <c r="G36" s="537"/>
      <c r="H36" s="537"/>
      <c r="I36" s="538"/>
      <c r="J36" s="92">
        <f>'7 - ENCARGOS SOCIAIS'!$D$21</f>
        <v>0.15387245147090212</v>
      </c>
      <c r="K36" s="85">
        <f>J36*K33</f>
        <v>1058.1731551428202</v>
      </c>
      <c r="L36" s="6"/>
      <c r="M36" s="8"/>
      <c r="N36" s="8"/>
    </row>
    <row r="37" spans="1:14" ht="16.5" customHeight="1" x14ac:dyDescent="0.25">
      <c r="A37" s="7"/>
      <c r="B37" s="36" t="s">
        <v>152</v>
      </c>
      <c r="C37" s="580" t="s">
        <v>153</v>
      </c>
      <c r="D37" s="537"/>
      <c r="E37" s="537"/>
      <c r="F37" s="537"/>
      <c r="G37" s="537"/>
      <c r="H37" s="537"/>
      <c r="I37" s="538"/>
      <c r="J37" s="92">
        <f>'7 - ENCARGOS SOCIAIS'!$D$28</f>
        <v>0.12666581537651095</v>
      </c>
      <c r="K37" s="85">
        <f>J37*K33</f>
        <v>871.07447905349693</v>
      </c>
      <c r="L37" s="6"/>
      <c r="M37" s="8"/>
      <c r="N37" s="8"/>
    </row>
    <row r="38" spans="1:14" ht="16.5" customHeight="1" x14ac:dyDescent="0.25">
      <c r="A38" s="7"/>
      <c r="B38" s="36" t="s">
        <v>155</v>
      </c>
      <c r="C38" s="580" t="s">
        <v>156</v>
      </c>
      <c r="D38" s="537"/>
      <c r="E38" s="537"/>
      <c r="F38" s="537"/>
      <c r="G38" s="537"/>
      <c r="H38" s="537"/>
      <c r="I38" s="538"/>
      <c r="J38" s="92">
        <f>'7 - ENCARGOS SOCIAIS'!$D$32</f>
        <v>5.9231502118822603E-2</v>
      </c>
      <c r="K38" s="85">
        <f>J38*K33</f>
        <v>407.33207849603707</v>
      </c>
      <c r="L38" s="6"/>
      <c r="M38" s="8"/>
      <c r="N38" s="8"/>
    </row>
    <row r="39" spans="1:14" ht="16.5" customHeight="1" x14ac:dyDescent="0.25">
      <c r="A39" s="7"/>
      <c r="B39" s="20"/>
      <c r="C39" s="586" t="s">
        <v>157</v>
      </c>
      <c r="D39" s="537"/>
      <c r="E39" s="537"/>
      <c r="F39" s="537"/>
      <c r="G39" s="537"/>
      <c r="H39" s="537"/>
      <c r="I39" s="538"/>
      <c r="J39" s="96">
        <f t="shared" ref="J39:K39" si="2">SUM(J35:J38)</f>
        <v>0.70776976896623567</v>
      </c>
      <c r="K39" s="97">
        <f t="shared" si="2"/>
        <v>4867.2973126923544</v>
      </c>
      <c r="L39" s="6"/>
      <c r="M39" s="8"/>
      <c r="N39" s="8"/>
    </row>
    <row r="40" spans="1:14" ht="16.5" customHeight="1" x14ac:dyDescent="0.25">
      <c r="A40" s="7"/>
      <c r="B40" s="81" t="s">
        <v>158</v>
      </c>
      <c r="C40" s="587" t="s">
        <v>159</v>
      </c>
      <c r="D40" s="537"/>
      <c r="E40" s="537"/>
      <c r="F40" s="537"/>
      <c r="G40" s="538"/>
      <c r="H40" s="100" t="s">
        <v>160</v>
      </c>
      <c r="I40" s="81" t="s">
        <v>120</v>
      </c>
      <c r="J40" s="81" t="s">
        <v>161</v>
      </c>
      <c r="K40" s="81" t="s">
        <v>121</v>
      </c>
      <c r="L40" s="6"/>
      <c r="M40" s="8"/>
      <c r="N40" s="8"/>
    </row>
    <row r="41" spans="1:14" ht="16.5" customHeight="1" x14ac:dyDescent="0.25">
      <c r="A41" s="7"/>
      <c r="B41" s="36" t="s">
        <v>162</v>
      </c>
      <c r="C41" s="580" t="s">
        <v>174</v>
      </c>
      <c r="D41" s="537"/>
      <c r="E41" s="537"/>
      <c r="F41" s="537"/>
      <c r="G41" s="538"/>
      <c r="H41" s="36">
        <v>26</v>
      </c>
      <c r="I41" s="102">
        <v>27.15</v>
      </c>
      <c r="J41" s="103">
        <v>0.19</v>
      </c>
      <c r="K41" s="42">
        <f>(H41*I41)-((H41*I41)*0.19)</f>
        <v>571.779</v>
      </c>
      <c r="L41" s="6"/>
      <c r="M41" s="8"/>
      <c r="N41" s="8"/>
    </row>
    <row r="42" spans="1:14" ht="16.5" customHeight="1" x14ac:dyDescent="0.25">
      <c r="A42" s="7"/>
      <c r="B42" s="36" t="s">
        <v>164</v>
      </c>
      <c r="C42" s="580" t="s">
        <v>177</v>
      </c>
      <c r="D42" s="537"/>
      <c r="E42" s="537"/>
      <c r="F42" s="537"/>
      <c r="G42" s="538"/>
      <c r="H42" s="36">
        <f>H41*4</f>
        <v>104</v>
      </c>
      <c r="I42" s="106">
        <v>6.25</v>
      </c>
      <c r="J42" s="103">
        <v>0.06</v>
      </c>
      <c r="K42" s="42">
        <f>(H42*I42)-(K32*0.06)</f>
        <v>237.38300000000004</v>
      </c>
      <c r="L42" s="6"/>
      <c r="M42" s="8"/>
      <c r="N42" s="8"/>
    </row>
    <row r="43" spans="1:14" ht="16.5" customHeight="1" x14ac:dyDescent="0.25">
      <c r="A43" s="7"/>
      <c r="B43" s="36" t="s">
        <v>166</v>
      </c>
      <c r="C43" s="580" t="s">
        <v>167</v>
      </c>
      <c r="D43" s="537"/>
      <c r="E43" s="537"/>
      <c r="F43" s="537"/>
      <c r="G43" s="538"/>
      <c r="H43" s="33">
        <v>1</v>
      </c>
      <c r="I43" s="102">
        <v>25.52</v>
      </c>
      <c r="J43" s="107"/>
      <c r="K43" s="109">
        <f>I43</f>
        <v>25.52</v>
      </c>
      <c r="L43" s="6"/>
      <c r="M43" s="8"/>
      <c r="N43" s="8"/>
    </row>
    <row r="44" spans="1:14" ht="16.5" customHeight="1" x14ac:dyDescent="0.25">
      <c r="A44" s="7"/>
      <c r="B44" s="107"/>
      <c r="C44" s="585" t="s">
        <v>170</v>
      </c>
      <c r="D44" s="537"/>
      <c r="E44" s="537"/>
      <c r="F44" s="537"/>
      <c r="G44" s="537"/>
      <c r="H44" s="537"/>
      <c r="I44" s="538"/>
      <c r="J44" s="52"/>
      <c r="K44" s="110">
        <f>SUM(K41:K43)</f>
        <v>834.68200000000002</v>
      </c>
      <c r="L44" s="6"/>
      <c r="M44" s="8"/>
      <c r="N44" s="8"/>
    </row>
    <row r="45" spans="1:14" ht="16.5" customHeight="1" x14ac:dyDescent="0.25">
      <c r="A45" s="7"/>
      <c r="B45" s="588" t="s">
        <v>182</v>
      </c>
      <c r="C45" s="564"/>
      <c r="D45" s="564"/>
      <c r="E45" s="564"/>
      <c r="F45" s="564"/>
      <c r="G45" s="564"/>
      <c r="H45" s="564"/>
      <c r="I45" s="564"/>
      <c r="J45" s="565"/>
      <c r="K45" s="113">
        <f>K44+K39+K33</f>
        <v>12578.929312692355</v>
      </c>
      <c r="L45" s="6"/>
      <c r="M45" s="8"/>
      <c r="N45" s="8"/>
    </row>
    <row r="46" spans="1:14" ht="16.5" customHeight="1" x14ac:dyDescent="0.25">
      <c r="A46" s="7"/>
      <c r="B46" s="711" t="s">
        <v>187</v>
      </c>
      <c r="C46" s="611"/>
      <c r="D46" s="611"/>
      <c r="E46" s="611"/>
      <c r="F46" s="611"/>
      <c r="G46" s="611"/>
      <c r="H46" s="611"/>
      <c r="I46" s="611"/>
      <c r="J46" s="612"/>
      <c r="K46" s="114">
        <f>K45*1</f>
        <v>12578.929312692355</v>
      </c>
      <c r="L46" s="6"/>
      <c r="M46" s="8"/>
      <c r="N46" s="8"/>
    </row>
    <row r="47" spans="1:14" ht="16.5" customHeight="1" x14ac:dyDescent="0.25">
      <c r="A47" s="7"/>
      <c r="B47" s="7"/>
      <c r="C47" s="7"/>
      <c r="D47" s="7"/>
      <c r="E47" s="7"/>
      <c r="F47" s="7"/>
      <c r="G47" s="7"/>
      <c r="H47" s="115"/>
      <c r="I47" s="7"/>
      <c r="J47" s="7"/>
      <c r="K47" s="10"/>
      <c r="L47" s="6"/>
      <c r="M47" s="8"/>
      <c r="N47" s="8"/>
    </row>
    <row r="48" spans="1:14" ht="16.5" customHeight="1" x14ac:dyDescent="0.25">
      <c r="A48" s="7"/>
      <c r="B48" s="581" t="s">
        <v>193</v>
      </c>
      <c r="C48" s="537"/>
      <c r="D48" s="537"/>
      <c r="E48" s="537"/>
      <c r="F48" s="537"/>
      <c r="G48" s="537"/>
      <c r="H48" s="537"/>
      <c r="I48" s="537"/>
      <c r="J48" s="537"/>
      <c r="K48" s="538"/>
      <c r="L48" s="6"/>
      <c r="M48" s="8"/>
      <c r="N48" s="8"/>
    </row>
    <row r="49" spans="1:14" ht="16.5" customHeight="1" x14ac:dyDescent="0.25">
      <c r="A49" s="7"/>
      <c r="B49" s="80" t="s">
        <v>116</v>
      </c>
      <c r="C49" s="582" t="s">
        <v>117</v>
      </c>
      <c r="D49" s="537"/>
      <c r="E49" s="537"/>
      <c r="F49" s="537"/>
      <c r="G49" s="538"/>
      <c r="H49" s="100" t="s">
        <v>118</v>
      </c>
      <c r="I49" s="117" t="s">
        <v>119</v>
      </c>
      <c r="J49" s="81" t="s">
        <v>120</v>
      </c>
      <c r="K49" s="81" t="s">
        <v>121</v>
      </c>
      <c r="L49" s="6"/>
      <c r="M49" s="8"/>
      <c r="N49" s="8"/>
    </row>
    <row r="50" spans="1:14" ht="16.5" customHeight="1" x14ac:dyDescent="0.25">
      <c r="A50" s="7"/>
      <c r="B50" s="33" t="s">
        <v>122</v>
      </c>
      <c r="C50" s="702" t="s">
        <v>123</v>
      </c>
      <c r="D50" s="537"/>
      <c r="E50" s="537"/>
      <c r="F50" s="537"/>
      <c r="G50" s="538"/>
      <c r="H50" s="33">
        <v>220</v>
      </c>
      <c r="I50" s="36" t="s">
        <v>126</v>
      </c>
      <c r="J50" s="118">
        <f>K50/H50</f>
        <v>16.363636363636363</v>
      </c>
      <c r="K50" s="85">
        <f>'6 - DADOS CC MO'!E102</f>
        <v>3600</v>
      </c>
      <c r="L50" s="6"/>
      <c r="M50" s="8"/>
      <c r="N50" s="8"/>
    </row>
    <row r="51" spans="1:14" ht="16.5" customHeight="1" x14ac:dyDescent="0.25">
      <c r="A51" s="7"/>
      <c r="B51" s="33" t="s">
        <v>195</v>
      </c>
      <c r="C51" s="50" t="s">
        <v>130</v>
      </c>
      <c r="D51" s="119"/>
      <c r="E51" s="119"/>
      <c r="F51" s="119"/>
      <c r="G51" s="120"/>
      <c r="H51" s="121">
        <v>7.33</v>
      </c>
      <c r="I51" s="33" t="s">
        <v>126</v>
      </c>
      <c r="J51" s="122">
        <f>J50*2</f>
        <v>32.727272727272727</v>
      </c>
      <c r="K51" s="85">
        <f>J51*H51</f>
        <v>239.89090909090908</v>
      </c>
      <c r="L51" s="6"/>
      <c r="M51" s="8"/>
      <c r="N51" s="8"/>
    </row>
    <row r="52" spans="1:14" ht="16.5" customHeight="1" x14ac:dyDescent="0.25">
      <c r="A52" s="7"/>
      <c r="B52" s="33" t="s">
        <v>198</v>
      </c>
      <c r="C52" s="50" t="s">
        <v>200</v>
      </c>
      <c r="D52" s="119"/>
      <c r="E52" s="119"/>
      <c r="F52" s="119"/>
      <c r="G52" s="120"/>
      <c r="H52" s="33"/>
      <c r="I52" s="7"/>
      <c r="J52" s="122">
        <f>61/304*(SUM(K51))</f>
        <v>48.136004784688993</v>
      </c>
      <c r="K52" s="85">
        <f>J52</f>
        <v>48.136004784688993</v>
      </c>
      <c r="L52" s="6"/>
      <c r="M52" s="8"/>
      <c r="N52" s="8"/>
    </row>
    <row r="53" spans="1:14" ht="16.5" customHeight="1" x14ac:dyDescent="0.25">
      <c r="A53" s="7"/>
      <c r="B53" s="33" t="s">
        <v>129</v>
      </c>
      <c r="C53" s="702" t="s">
        <v>139</v>
      </c>
      <c r="D53" s="537"/>
      <c r="E53" s="537"/>
      <c r="F53" s="537"/>
      <c r="G53" s="538"/>
      <c r="H53" s="33">
        <v>40</v>
      </c>
      <c r="I53" s="36" t="s">
        <v>141</v>
      </c>
      <c r="J53" s="33"/>
      <c r="K53" s="85">
        <f>K50*40%</f>
        <v>1440</v>
      </c>
      <c r="L53" s="6"/>
      <c r="M53" s="8"/>
      <c r="N53" s="8"/>
    </row>
    <row r="54" spans="1:14" ht="16.5" customHeight="1" x14ac:dyDescent="0.25">
      <c r="A54" s="7"/>
      <c r="B54" s="33"/>
      <c r="C54" s="585" t="s">
        <v>142</v>
      </c>
      <c r="D54" s="537"/>
      <c r="E54" s="537"/>
      <c r="F54" s="537"/>
      <c r="G54" s="537"/>
      <c r="H54" s="537"/>
      <c r="I54" s="538"/>
      <c r="J54" s="52"/>
      <c r="K54" s="97">
        <f>SUM(K50:K53)</f>
        <v>5328.0269138755975</v>
      </c>
      <c r="L54" s="6"/>
      <c r="M54" s="8"/>
      <c r="N54" s="8"/>
    </row>
    <row r="55" spans="1:14" ht="16.5" customHeight="1" x14ac:dyDescent="0.25">
      <c r="A55" s="7"/>
      <c r="B55" s="81" t="s">
        <v>145</v>
      </c>
      <c r="C55" s="582" t="s">
        <v>146</v>
      </c>
      <c r="D55" s="537"/>
      <c r="E55" s="537"/>
      <c r="F55" s="537"/>
      <c r="G55" s="537"/>
      <c r="H55" s="537"/>
      <c r="I55" s="538"/>
      <c r="J55" s="81" t="s">
        <v>141</v>
      </c>
      <c r="K55" s="81" t="s">
        <v>121</v>
      </c>
      <c r="L55" s="6"/>
      <c r="M55" s="8"/>
      <c r="N55" s="8"/>
    </row>
    <row r="56" spans="1:14" ht="16.5" customHeight="1" x14ac:dyDescent="0.25">
      <c r="A56" s="7"/>
      <c r="B56" s="36" t="s">
        <v>147</v>
      </c>
      <c r="C56" s="580" t="s">
        <v>148</v>
      </c>
      <c r="D56" s="537"/>
      <c r="E56" s="537"/>
      <c r="F56" s="537"/>
      <c r="G56" s="537"/>
      <c r="H56" s="537"/>
      <c r="I56" s="538"/>
      <c r="J56" s="92">
        <f>'7 - ENCARGOS SOCIAIS'!$D$13</f>
        <v>0.36800000000000005</v>
      </c>
      <c r="K56" s="85">
        <f>J56*K54</f>
        <v>1960.7139043062202</v>
      </c>
      <c r="L56" s="6"/>
      <c r="M56" s="8"/>
      <c r="N56" s="8"/>
    </row>
    <row r="57" spans="1:14" ht="16.5" customHeight="1" x14ac:dyDescent="0.25">
      <c r="A57" s="7"/>
      <c r="B57" s="36" t="s">
        <v>150</v>
      </c>
      <c r="C57" s="580" t="s">
        <v>151</v>
      </c>
      <c r="D57" s="537"/>
      <c r="E57" s="537"/>
      <c r="F57" s="537"/>
      <c r="G57" s="537"/>
      <c r="H57" s="537"/>
      <c r="I57" s="538"/>
      <c r="J57" s="92">
        <f>'7 - ENCARGOS SOCIAIS'!$D$21</f>
        <v>0.15387245147090212</v>
      </c>
      <c r="K57" s="85">
        <f>J57*K54</f>
        <v>819.83656274098325</v>
      </c>
      <c r="L57" s="6"/>
      <c r="M57" s="8"/>
      <c r="N57" s="8"/>
    </row>
    <row r="58" spans="1:14" ht="16.5" customHeight="1" x14ac:dyDescent="0.25">
      <c r="A58" s="7"/>
      <c r="B58" s="36" t="s">
        <v>152</v>
      </c>
      <c r="C58" s="580" t="s">
        <v>153</v>
      </c>
      <c r="D58" s="537"/>
      <c r="E58" s="537"/>
      <c r="F58" s="537"/>
      <c r="G58" s="537"/>
      <c r="H58" s="537"/>
      <c r="I58" s="538"/>
      <c r="J58" s="92">
        <f>'7 - ENCARGOS SOCIAIS'!$D$28</f>
        <v>0.12666581537651095</v>
      </c>
      <c r="K58" s="85">
        <f>J58*K54</f>
        <v>674.87887339404779</v>
      </c>
      <c r="L58" s="6"/>
      <c r="M58" s="8"/>
      <c r="N58" s="8"/>
    </row>
    <row r="59" spans="1:14" ht="16.5" customHeight="1" x14ac:dyDescent="0.25">
      <c r="A59" s="7"/>
      <c r="B59" s="36" t="s">
        <v>155</v>
      </c>
      <c r="C59" s="580" t="s">
        <v>156</v>
      </c>
      <c r="D59" s="537"/>
      <c r="E59" s="537"/>
      <c r="F59" s="537"/>
      <c r="G59" s="537"/>
      <c r="H59" s="537"/>
      <c r="I59" s="538"/>
      <c r="J59" s="92">
        <f>'7 - ENCARGOS SOCIAIS'!$D$32</f>
        <v>5.9231502118822603E-2</v>
      </c>
      <c r="K59" s="85">
        <f>J59*K54</f>
        <v>315.58703743836634</v>
      </c>
      <c r="L59" s="6"/>
      <c r="M59" s="8"/>
      <c r="N59" s="8"/>
    </row>
    <row r="60" spans="1:14" ht="16.5" customHeight="1" x14ac:dyDescent="0.25">
      <c r="A60" s="7"/>
      <c r="B60" s="20"/>
      <c r="C60" s="586" t="s">
        <v>157</v>
      </c>
      <c r="D60" s="537"/>
      <c r="E60" s="537"/>
      <c r="F60" s="537"/>
      <c r="G60" s="537"/>
      <c r="H60" s="537"/>
      <c r="I60" s="538"/>
      <c r="J60" s="96">
        <f t="shared" ref="J60:K60" si="3">SUM(J56:J59)</f>
        <v>0.70776976896623567</v>
      </c>
      <c r="K60" s="97">
        <f t="shared" si="3"/>
        <v>3771.0163778796177</v>
      </c>
      <c r="L60" s="6"/>
      <c r="M60" s="8"/>
      <c r="N60" s="8"/>
    </row>
    <row r="61" spans="1:14" ht="16.5" customHeight="1" x14ac:dyDescent="0.25">
      <c r="A61" s="7"/>
      <c r="B61" s="81" t="s">
        <v>158</v>
      </c>
      <c r="C61" s="587" t="s">
        <v>159</v>
      </c>
      <c r="D61" s="537"/>
      <c r="E61" s="537"/>
      <c r="F61" s="537"/>
      <c r="G61" s="538"/>
      <c r="H61" s="100" t="s">
        <v>160</v>
      </c>
      <c r="I61" s="81" t="s">
        <v>120</v>
      </c>
      <c r="J61" s="81" t="s">
        <v>161</v>
      </c>
      <c r="K61" s="81" t="s">
        <v>121</v>
      </c>
      <c r="L61" s="6"/>
      <c r="M61" s="8"/>
      <c r="N61" s="8"/>
    </row>
    <row r="62" spans="1:14" ht="16.5" customHeight="1" x14ac:dyDescent="0.25">
      <c r="A62" s="7"/>
      <c r="B62" s="36" t="s">
        <v>162</v>
      </c>
      <c r="C62" s="580" t="s">
        <v>174</v>
      </c>
      <c r="D62" s="537"/>
      <c r="E62" s="537"/>
      <c r="F62" s="537"/>
      <c r="G62" s="538"/>
      <c r="H62" s="36">
        <v>26</v>
      </c>
      <c r="I62" s="102">
        <v>27.15</v>
      </c>
      <c r="J62" s="103">
        <v>0.19</v>
      </c>
      <c r="K62" s="42">
        <f>(H62*I62)-((H62*I62)*0.19)</f>
        <v>571.779</v>
      </c>
      <c r="L62" s="6"/>
      <c r="M62" s="8"/>
      <c r="N62" s="8"/>
    </row>
    <row r="63" spans="1:14" ht="16.5" customHeight="1" x14ac:dyDescent="0.25">
      <c r="A63" s="7"/>
      <c r="B63" s="36" t="s">
        <v>164</v>
      </c>
      <c r="C63" s="580" t="s">
        <v>177</v>
      </c>
      <c r="D63" s="537"/>
      <c r="E63" s="537"/>
      <c r="F63" s="537"/>
      <c r="G63" s="538"/>
      <c r="H63" s="36">
        <f>H62*4</f>
        <v>104</v>
      </c>
      <c r="I63" s="106">
        <v>6.25</v>
      </c>
      <c r="J63" s="103">
        <v>0.06</v>
      </c>
      <c r="K63" s="42">
        <f>(H63*I63)-(K50*0.06)</f>
        <v>434</v>
      </c>
      <c r="L63" s="6"/>
      <c r="M63" s="8"/>
      <c r="N63" s="8"/>
    </row>
    <row r="64" spans="1:14" ht="16.5" customHeight="1" x14ac:dyDescent="0.25">
      <c r="A64" s="7"/>
      <c r="B64" s="36" t="s">
        <v>166</v>
      </c>
      <c r="C64" s="580" t="s">
        <v>167</v>
      </c>
      <c r="D64" s="537"/>
      <c r="E64" s="537"/>
      <c r="F64" s="537"/>
      <c r="G64" s="538"/>
      <c r="H64" s="33">
        <v>1</v>
      </c>
      <c r="I64" s="102">
        <v>25.52</v>
      </c>
      <c r="J64" s="107"/>
      <c r="K64" s="85">
        <f>I64</f>
        <v>25.52</v>
      </c>
      <c r="L64" s="6"/>
      <c r="M64" s="8"/>
      <c r="N64" s="8"/>
    </row>
    <row r="65" spans="1:14" ht="16.5" customHeight="1" x14ac:dyDescent="0.25">
      <c r="A65" s="7"/>
      <c r="B65" s="107"/>
      <c r="C65" s="585" t="s">
        <v>170</v>
      </c>
      <c r="D65" s="537"/>
      <c r="E65" s="537"/>
      <c r="F65" s="537"/>
      <c r="G65" s="537"/>
      <c r="H65" s="537"/>
      <c r="I65" s="538"/>
      <c r="J65" s="52"/>
      <c r="K65" s="97">
        <f>SUM(K62:K64)</f>
        <v>1031.299</v>
      </c>
      <c r="L65" s="6"/>
      <c r="M65" s="8"/>
      <c r="N65" s="8"/>
    </row>
    <row r="66" spans="1:14" ht="16.5" customHeight="1" x14ac:dyDescent="0.25">
      <c r="A66" s="7"/>
      <c r="B66" s="588" t="s">
        <v>218</v>
      </c>
      <c r="C66" s="564"/>
      <c r="D66" s="564"/>
      <c r="E66" s="564"/>
      <c r="F66" s="564"/>
      <c r="G66" s="564"/>
      <c r="H66" s="564"/>
      <c r="I66" s="564"/>
      <c r="J66" s="565"/>
      <c r="K66" s="340">
        <f>K54+K60+K65</f>
        <v>10130.342291755216</v>
      </c>
      <c r="L66" s="6"/>
      <c r="M66" s="8"/>
      <c r="N66" s="8"/>
    </row>
    <row r="67" spans="1:14" ht="16.5" customHeight="1" x14ac:dyDescent="0.25">
      <c r="A67" s="7"/>
      <c r="B67" s="711" t="s">
        <v>187</v>
      </c>
      <c r="C67" s="611"/>
      <c r="D67" s="611"/>
      <c r="E67" s="611"/>
      <c r="F67" s="611"/>
      <c r="G67" s="611"/>
      <c r="H67" s="611"/>
      <c r="I67" s="611"/>
      <c r="J67" s="612"/>
      <c r="K67" s="341">
        <f>K66</f>
        <v>10130.342291755216</v>
      </c>
      <c r="L67" s="6"/>
      <c r="M67" s="8"/>
      <c r="N67" s="8"/>
    </row>
    <row r="68" spans="1:14" ht="16.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10"/>
      <c r="L68" s="6"/>
      <c r="M68" s="8"/>
      <c r="N68" s="8"/>
    </row>
    <row r="69" spans="1:14" ht="16.5" customHeight="1" x14ac:dyDescent="0.25">
      <c r="A69" s="7"/>
      <c r="B69" s="581" t="s">
        <v>695</v>
      </c>
      <c r="C69" s="537"/>
      <c r="D69" s="537"/>
      <c r="E69" s="537"/>
      <c r="F69" s="537"/>
      <c r="G69" s="537"/>
      <c r="H69" s="537"/>
      <c r="I69" s="537"/>
      <c r="J69" s="537"/>
      <c r="K69" s="538"/>
      <c r="L69" s="6"/>
      <c r="M69" s="8"/>
      <c r="N69" s="8"/>
    </row>
    <row r="70" spans="1:14" ht="16.5" customHeight="1" x14ac:dyDescent="0.25">
      <c r="A70" s="7"/>
      <c r="B70" s="80" t="s">
        <v>116</v>
      </c>
      <c r="C70" s="582" t="s">
        <v>117</v>
      </c>
      <c r="D70" s="537"/>
      <c r="E70" s="537"/>
      <c r="F70" s="537"/>
      <c r="G70" s="537"/>
      <c r="H70" s="537"/>
      <c r="I70" s="538"/>
      <c r="J70" s="81"/>
      <c r="K70" s="81" t="s">
        <v>121</v>
      </c>
      <c r="L70" s="6"/>
      <c r="M70" s="8"/>
      <c r="N70" s="8"/>
    </row>
    <row r="71" spans="1:14" ht="16.5" customHeight="1" x14ac:dyDescent="0.25">
      <c r="A71" s="7"/>
      <c r="B71" s="33" t="s">
        <v>122</v>
      </c>
      <c r="C71" s="705" t="s">
        <v>123</v>
      </c>
      <c r="D71" s="537"/>
      <c r="E71" s="537"/>
      <c r="F71" s="537"/>
      <c r="G71" s="537"/>
      <c r="H71" s="537"/>
      <c r="I71" s="538"/>
      <c r="J71" s="82"/>
      <c r="K71" s="85">
        <f>'6 - DADOS CC MO'!E56</f>
        <v>2307.83</v>
      </c>
      <c r="L71" s="6"/>
      <c r="M71" s="8"/>
      <c r="N71" s="8"/>
    </row>
    <row r="72" spans="1:14" ht="16.5" customHeight="1" x14ac:dyDescent="0.25">
      <c r="A72" s="7"/>
      <c r="B72" s="33"/>
      <c r="C72" s="585" t="s">
        <v>142</v>
      </c>
      <c r="D72" s="537"/>
      <c r="E72" s="537"/>
      <c r="F72" s="537"/>
      <c r="G72" s="537"/>
      <c r="H72" s="537"/>
      <c r="I72" s="538"/>
      <c r="J72" s="52"/>
      <c r="K72" s="87">
        <f>K71</f>
        <v>2307.83</v>
      </c>
      <c r="L72" s="6"/>
      <c r="M72" s="8"/>
      <c r="N72" s="8"/>
    </row>
    <row r="73" spans="1:14" ht="16.5" customHeight="1" x14ac:dyDescent="0.25">
      <c r="A73" s="7"/>
      <c r="B73" s="81" t="s">
        <v>145</v>
      </c>
      <c r="C73" s="582" t="s">
        <v>146</v>
      </c>
      <c r="D73" s="537"/>
      <c r="E73" s="537"/>
      <c r="F73" s="537"/>
      <c r="G73" s="537"/>
      <c r="H73" s="537"/>
      <c r="I73" s="538"/>
      <c r="J73" s="81" t="s">
        <v>141</v>
      </c>
      <c r="K73" s="81" t="s">
        <v>121</v>
      </c>
      <c r="L73" s="6"/>
      <c r="M73" s="8"/>
      <c r="N73" s="8"/>
    </row>
    <row r="74" spans="1:14" ht="16.5" customHeight="1" x14ac:dyDescent="0.25">
      <c r="A74" s="7"/>
      <c r="B74" s="36" t="s">
        <v>147</v>
      </c>
      <c r="C74" s="580" t="s">
        <v>148</v>
      </c>
      <c r="D74" s="537"/>
      <c r="E74" s="537"/>
      <c r="F74" s="537"/>
      <c r="G74" s="537"/>
      <c r="H74" s="537"/>
      <c r="I74" s="538"/>
      <c r="J74" s="92">
        <f>'7 - ENCARGOS SOCIAIS'!$D$13</f>
        <v>0.36800000000000005</v>
      </c>
      <c r="K74" s="85">
        <f t="shared" ref="K74:K77" si="4">J74*$K$72</f>
        <v>849.28144000000009</v>
      </c>
      <c r="L74" s="6"/>
      <c r="M74" s="8"/>
      <c r="N74" s="8"/>
    </row>
    <row r="75" spans="1:14" ht="16.5" customHeight="1" x14ac:dyDescent="0.25">
      <c r="A75" s="7"/>
      <c r="B75" s="36" t="s">
        <v>150</v>
      </c>
      <c r="C75" s="580" t="s">
        <v>151</v>
      </c>
      <c r="D75" s="537"/>
      <c r="E75" s="537"/>
      <c r="F75" s="537"/>
      <c r="G75" s="537"/>
      <c r="H75" s="537"/>
      <c r="I75" s="538"/>
      <c r="J75" s="92">
        <f>'7 - ENCARGOS SOCIAIS'!$D$21</f>
        <v>0.15387245147090212</v>
      </c>
      <c r="K75" s="85">
        <f t="shared" si="4"/>
        <v>355.11145967809205</v>
      </c>
      <c r="L75" s="6"/>
      <c r="M75" s="8"/>
      <c r="N75" s="8"/>
    </row>
    <row r="76" spans="1:14" ht="16.5" customHeight="1" x14ac:dyDescent="0.25">
      <c r="A76" s="7"/>
      <c r="B76" s="36" t="s">
        <v>152</v>
      </c>
      <c r="C76" s="580" t="s">
        <v>153</v>
      </c>
      <c r="D76" s="537"/>
      <c r="E76" s="537"/>
      <c r="F76" s="537"/>
      <c r="G76" s="537"/>
      <c r="H76" s="537"/>
      <c r="I76" s="538"/>
      <c r="J76" s="92">
        <f>'7 - ENCARGOS SOCIAIS'!$D$28</f>
        <v>0.12666581537651095</v>
      </c>
      <c r="K76" s="85">
        <f t="shared" si="4"/>
        <v>292.32316870037323</v>
      </c>
      <c r="L76" s="6"/>
      <c r="M76" s="8"/>
      <c r="N76" s="8"/>
    </row>
    <row r="77" spans="1:14" ht="16.5" customHeight="1" x14ac:dyDescent="0.25">
      <c r="A77" s="7"/>
      <c r="B77" s="36" t="s">
        <v>155</v>
      </c>
      <c r="C77" s="580" t="s">
        <v>156</v>
      </c>
      <c r="D77" s="537"/>
      <c r="E77" s="537"/>
      <c r="F77" s="537"/>
      <c r="G77" s="537"/>
      <c r="H77" s="537"/>
      <c r="I77" s="538"/>
      <c r="J77" s="92">
        <f>'7 - ENCARGOS SOCIAIS'!$D$32</f>
        <v>5.9231502118822603E-2</v>
      </c>
      <c r="K77" s="85">
        <f t="shared" si="4"/>
        <v>136.69623753488236</v>
      </c>
      <c r="L77" s="6"/>
      <c r="M77" s="8"/>
      <c r="N77" s="8"/>
    </row>
    <row r="78" spans="1:14" ht="16.5" customHeight="1" x14ac:dyDescent="0.25">
      <c r="A78" s="7"/>
      <c r="B78" s="20"/>
      <c r="C78" s="586" t="s">
        <v>157</v>
      </c>
      <c r="D78" s="537"/>
      <c r="E78" s="537"/>
      <c r="F78" s="537"/>
      <c r="G78" s="537"/>
      <c r="H78" s="537"/>
      <c r="I78" s="538"/>
      <c r="J78" s="96">
        <f t="shared" ref="J78:K78" si="5">SUM(J74:J77)</f>
        <v>0.70776976896623567</v>
      </c>
      <c r="K78" s="97">
        <f t="shared" si="5"/>
        <v>1633.4123059133478</v>
      </c>
      <c r="L78" s="6"/>
      <c r="M78" s="8"/>
      <c r="N78" s="8"/>
    </row>
    <row r="79" spans="1:14" ht="16.5" customHeight="1" x14ac:dyDescent="0.25">
      <c r="A79" s="7"/>
      <c r="B79" s="81" t="s">
        <v>158</v>
      </c>
      <c r="C79" s="587" t="s">
        <v>159</v>
      </c>
      <c r="D79" s="537"/>
      <c r="E79" s="537"/>
      <c r="F79" s="537"/>
      <c r="G79" s="538"/>
      <c r="H79" s="100" t="s">
        <v>160</v>
      </c>
      <c r="I79" s="81" t="s">
        <v>120</v>
      </c>
      <c r="J79" s="81" t="s">
        <v>161</v>
      </c>
      <c r="K79" s="81" t="s">
        <v>121</v>
      </c>
      <c r="L79" s="6"/>
      <c r="M79" s="8"/>
      <c r="N79" s="8"/>
    </row>
    <row r="80" spans="1:14" ht="16.5" customHeight="1" x14ac:dyDescent="0.25">
      <c r="A80" s="7"/>
      <c r="B80" s="36" t="s">
        <v>162</v>
      </c>
      <c r="C80" s="580" t="s">
        <v>174</v>
      </c>
      <c r="D80" s="537"/>
      <c r="E80" s="537"/>
      <c r="F80" s="537"/>
      <c r="G80" s="538"/>
      <c r="H80" s="36">
        <v>26</v>
      </c>
      <c r="I80" s="102">
        <v>27.15</v>
      </c>
      <c r="J80" s="103">
        <v>0.19</v>
      </c>
      <c r="K80" s="42">
        <f>(H80*I80)-((H80*I80)*0.19)</f>
        <v>571.779</v>
      </c>
      <c r="L80" s="6"/>
      <c r="M80" s="8"/>
      <c r="N80" s="8"/>
    </row>
    <row r="81" spans="1:14" ht="16.5" customHeight="1" x14ac:dyDescent="0.25">
      <c r="A81" s="7"/>
      <c r="B81" s="36" t="s">
        <v>164</v>
      </c>
      <c r="C81" s="580" t="s">
        <v>177</v>
      </c>
      <c r="D81" s="537"/>
      <c r="E81" s="537"/>
      <c r="F81" s="537"/>
      <c r="G81" s="538"/>
      <c r="H81" s="36">
        <f>H80*4</f>
        <v>104</v>
      </c>
      <c r="I81" s="106">
        <v>6.25</v>
      </c>
      <c r="J81" s="103">
        <v>0.06</v>
      </c>
      <c r="K81" s="42">
        <f>(H81*I81)-(K71*0.06)</f>
        <v>511.53020000000004</v>
      </c>
      <c r="L81" s="6"/>
      <c r="M81" s="8"/>
      <c r="N81" s="8"/>
    </row>
    <row r="82" spans="1:14" ht="16.5" customHeight="1" x14ac:dyDescent="0.25">
      <c r="A82" s="7"/>
      <c r="B82" s="36" t="s">
        <v>166</v>
      </c>
      <c r="C82" s="580" t="s">
        <v>167</v>
      </c>
      <c r="D82" s="537"/>
      <c r="E82" s="537"/>
      <c r="F82" s="537"/>
      <c r="G82" s="538"/>
      <c r="H82" s="33">
        <v>1</v>
      </c>
      <c r="I82" s="102">
        <f>'6 - DADOS CC MO'!E58</f>
        <v>25.52</v>
      </c>
      <c r="J82" s="107"/>
      <c r="K82" s="132">
        <f t="shared" ref="K82:K83" si="6">I82</f>
        <v>25.52</v>
      </c>
      <c r="L82" s="6"/>
      <c r="M82" s="8"/>
      <c r="N82" s="8"/>
    </row>
    <row r="83" spans="1:14" ht="16.5" customHeight="1" x14ac:dyDescent="0.25">
      <c r="A83" s="7"/>
      <c r="B83" s="36" t="s">
        <v>168</v>
      </c>
      <c r="C83" s="580" t="s">
        <v>207</v>
      </c>
      <c r="D83" s="537"/>
      <c r="E83" s="537"/>
      <c r="F83" s="537"/>
      <c r="G83" s="538"/>
      <c r="H83" s="33">
        <v>1</v>
      </c>
      <c r="I83" s="102">
        <v>80</v>
      </c>
      <c r="J83" s="107"/>
      <c r="K83" s="132">
        <f t="shared" si="6"/>
        <v>80</v>
      </c>
      <c r="L83" s="6"/>
      <c r="M83" s="8"/>
      <c r="N83" s="8"/>
    </row>
    <row r="84" spans="1:14" ht="16.5" customHeight="1" x14ac:dyDescent="0.25">
      <c r="A84" s="7"/>
      <c r="B84" s="107"/>
      <c r="C84" s="585" t="s">
        <v>170</v>
      </c>
      <c r="D84" s="537"/>
      <c r="E84" s="537"/>
      <c r="F84" s="537"/>
      <c r="G84" s="537"/>
      <c r="H84" s="537"/>
      <c r="I84" s="538"/>
      <c r="J84" s="52"/>
      <c r="K84" s="110">
        <f>SUM(K80:K83)</f>
        <v>1188.8292000000001</v>
      </c>
      <c r="L84" s="6"/>
      <c r="M84" s="8"/>
      <c r="N84" s="8"/>
    </row>
    <row r="85" spans="1:14" ht="16.5" customHeight="1" x14ac:dyDescent="0.25">
      <c r="A85" s="7"/>
      <c r="B85" s="588" t="s">
        <v>232</v>
      </c>
      <c r="C85" s="564"/>
      <c r="D85" s="564"/>
      <c r="E85" s="564"/>
      <c r="F85" s="564"/>
      <c r="G85" s="564"/>
      <c r="H85" s="564"/>
      <c r="I85" s="564"/>
      <c r="J85" s="565"/>
      <c r="K85" s="113">
        <f>K84+K78+K72</f>
        <v>5130.0715059133481</v>
      </c>
      <c r="L85" s="6"/>
      <c r="M85" s="8"/>
      <c r="N85" s="8"/>
    </row>
    <row r="86" spans="1:14" ht="16.5" customHeight="1" x14ac:dyDescent="0.25">
      <c r="A86" s="7"/>
      <c r="B86" s="711" t="s">
        <v>187</v>
      </c>
      <c r="C86" s="611"/>
      <c r="D86" s="611"/>
      <c r="E86" s="611"/>
      <c r="F86" s="611"/>
      <c r="G86" s="611"/>
      <c r="H86" s="611"/>
      <c r="I86" s="611"/>
      <c r="J86" s="612"/>
      <c r="K86" s="114">
        <f>K85*1</f>
        <v>5130.0715059133481</v>
      </c>
      <c r="L86" s="6"/>
      <c r="M86" s="8"/>
      <c r="N86" s="8"/>
    </row>
    <row r="87" spans="1:14" ht="16.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10"/>
      <c r="L87" s="6"/>
      <c r="M87" s="8"/>
      <c r="N87" s="8"/>
    </row>
    <row r="88" spans="1:14" ht="16.5" customHeight="1" x14ac:dyDescent="0.25">
      <c r="A88" s="7"/>
      <c r="B88" s="581" t="s">
        <v>710</v>
      </c>
      <c r="C88" s="537"/>
      <c r="D88" s="537"/>
      <c r="E88" s="537"/>
      <c r="F88" s="537"/>
      <c r="G88" s="537"/>
      <c r="H88" s="537"/>
      <c r="I88" s="537"/>
      <c r="J88" s="537"/>
      <c r="K88" s="538"/>
      <c r="L88" s="6"/>
      <c r="M88" s="8"/>
      <c r="N88" s="8"/>
    </row>
    <row r="89" spans="1:14" ht="16.5" customHeight="1" x14ac:dyDescent="0.25">
      <c r="A89" s="7"/>
      <c r="B89" s="80" t="s">
        <v>116</v>
      </c>
      <c r="C89" s="582" t="s">
        <v>117</v>
      </c>
      <c r="D89" s="537"/>
      <c r="E89" s="537"/>
      <c r="F89" s="537"/>
      <c r="G89" s="538"/>
      <c r="H89" s="100" t="s">
        <v>118</v>
      </c>
      <c r="I89" s="117" t="s">
        <v>119</v>
      </c>
      <c r="J89" s="81" t="s">
        <v>120</v>
      </c>
      <c r="K89" s="81" t="s">
        <v>121</v>
      </c>
      <c r="L89" s="6"/>
      <c r="M89" s="8"/>
      <c r="N89" s="8"/>
    </row>
    <row r="90" spans="1:14" ht="16.5" customHeight="1" x14ac:dyDescent="0.25">
      <c r="A90" s="7"/>
      <c r="B90" s="36" t="s">
        <v>122</v>
      </c>
      <c r="C90" s="580" t="s">
        <v>123</v>
      </c>
      <c r="D90" s="537"/>
      <c r="E90" s="537"/>
      <c r="F90" s="537"/>
      <c r="G90" s="538"/>
      <c r="H90" s="33">
        <v>220</v>
      </c>
      <c r="I90" s="36" t="s">
        <v>126</v>
      </c>
      <c r="J90" s="118">
        <f>K90/H90</f>
        <v>9.6690909090909081</v>
      </c>
      <c r="K90" s="85">
        <f>'6 - DADOS CC MO'!E34</f>
        <v>2127.1999999999998</v>
      </c>
      <c r="L90" s="6"/>
      <c r="M90" s="8"/>
      <c r="N90" s="8"/>
    </row>
    <row r="91" spans="1:14" ht="16.5" customHeight="1" x14ac:dyDescent="0.25">
      <c r="A91" s="7"/>
      <c r="B91" s="33" t="s">
        <v>195</v>
      </c>
      <c r="C91" s="50" t="s">
        <v>130</v>
      </c>
      <c r="D91" s="119"/>
      <c r="E91" s="119"/>
      <c r="F91" s="119"/>
      <c r="G91" s="120"/>
      <c r="H91" s="121">
        <v>7.33</v>
      </c>
      <c r="I91" s="33" t="s">
        <v>126</v>
      </c>
      <c r="J91" s="122">
        <f>J90*2</f>
        <v>19.338181818181816</v>
      </c>
      <c r="K91" s="85">
        <f>J91*H91</f>
        <v>141.74887272727273</v>
      </c>
      <c r="L91" s="6"/>
      <c r="M91" s="8"/>
      <c r="N91" s="8"/>
    </row>
    <row r="92" spans="1:14" ht="16.5" customHeight="1" x14ac:dyDescent="0.25">
      <c r="A92" s="7"/>
      <c r="B92" s="36" t="s">
        <v>198</v>
      </c>
      <c r="C92" s="91" t="s">
        <v>135</v>
      </c>
      <c r="D92" s="134"/>
      <c r="E92" s="134"/>
      <c r="F92" s="134"/>
      <c r="G92" s="129"/>
      <c r="H92" s="121"/>
      <c r="I92" s="36"/>
      <c r="J92" s="118">
        <f>61/304*(SUM(K91))</f>
        <v>28.44303038277512</v>
      </c>
      <c r="K92" s="128">
        <f>J92</f>
        <v>28.44303038277512</v>
      </c>
      <c r="L92" s="6"/>
      <c r="M92" s="8"/>
      <c r="N92" s="8"/>
    </row>
    <row r="93" spans="1:14" ht="16.5" customHeight="1" x14ac:dyDescent="0.25">
      <c r="A93" s="7"/>
      <c r="B93" s="36" t="s">
        <v>129</v>
      </c>
      <c r="C93" s="580" t="s">
        <v>139</v>
      </c>
      <c r="D93" s="537"/>
      <c r="E93" s="537"/>
      <c r="F93" s="537"/>
      <c r="G93" s="538"/>
      <c r="H93" s="33">
        <v>40</v>
      </c>
      <c r="I93" s="36" t="s">
        <v>141</v>
      </c>
      <c r="J93" s="82"/>
      <c r="K93" s="85">
        <f>K90*40%</f>
        <v>850.88</v>
      </c>
      <c r="L93" s="6"/>
      <c r="M93" s="8"/>
      <c r="N93" s="8"/>
    </row>
    <row r="94" spans="1:14" ht="16.5" customHeight="1" x14ac:dyDescent="0.25">
      <c r="A94" s="7"/>
      <c r="B94" s="33"/>
      <c r="C94" s="585" t="s">
        <v>142</v>
      </c>
      <c r="D94" s="537"/>
      <c r="E94" s="537"/>
      <c r="F94" s="537"/>
      <c r="G94" s="537"/>
      <c r="H94" s="537"/>
      <c r="I94" s="538"/>
      <c r="J94" s="52"/>
      <c r="K94" s="87">
        <f>SUM(K90:K93)</f>
        <v>3148.2719031100478</v>
      </c>
      <c r="L94" s="6"/>
      <c r="M94" s="8"/>
      <c r="N94" s="8"/>
    </row>
    <row r="95" spans="1:14" ht="16.5" customHeight="1" x14ac:dyDescent="0.25">
      <c r="A95" s="7"/>
      <c r="B95" s="81" t="s">
        <v>145</v>
      </c>
      <c r="C95" s="582" t="s">
        <v>146</v>
      </c>
      <c r="D95" s="537"/>
      <c r="E95" s="537"/>
      <c r="F95" s="537"/>
      <c r="G95" s="537"/>
      <c r="H95" s="537"/>
      <c r="I95" s="538"/>
      <c r="J95" s="81" t="s">
        <v>141</v>
      </c>
      <c r="K95" s="81" t="s">
        <v>121</v>
      </c>
      <c r="L95" s="6"/>
      <c r="M95" s="8"/>
      <c r="N95" s="8"/>
    </row>
    <row r="96" spans="1:14" ht="16.5" customHeight="1" x14ac:dyDescent="0.25">
      <c r="A96" s="7"/>
      <c r="B96" s="36" t="s">
        <v>147</v>
      </c>
      <c r="C96" s="580" t="s">
        <v>148</v>
      </c>
      <c r="D96" s="537"/>
      <c r="E96" s="537"/>
      <c r="F96" s="537"/>
      <c r="G96" s="537"/>
      <c r="H96" s="537"/>
      <c r="I96" s="538"/>
      <c r="J96" s="92">
        <f>'7 - ENCARGOS SOCIAIS'!$D$13</f>
        <v>0.36800000000000005</v>
      </c>
      <c r="K96" s="85">
        <f t="shared" ref="K96:K99" si="7">J96*$K$94</f>
        <v>1158.5640603444976</v>
      </c>
      <c r="L96" s="6"/>
      <c r="M96" s="8"/>
      <c r="N96" s="8"/>
    </row>
    <row r="97" spans="1:14" ht="16.5" customHeight="1" x14ac:dyDescent="0.25">
      <c r="A97" s="7"/>
      <c r="B97" s="36" t="s">
        <v>150</v>
      </c>
      <c r="C97" s="580" t="s">
        <v>151</v>
      </c>
      <c r="D97" s="537"/>
      <c r="E97" s="537"/>
      <c r="F97" s="537"/>
      <c r="G97" s="537"/>
      <c r="H97" s="537"/>
      <c r="I97" s="538"/>
      <c r="J97" s="92">
        <f>'7 - ENCARGOS SOCIAIS'!$D$21</f>
        <v>0.15387245147090212</v>
      </c>
      <c r="K97" s="85">
        <f t="shared" si="7"/>
        <v>484.43231562850548</v>
      </c>
      <c r="L97" s="6"/>
      <c r="M97" s="8"/>
      <c r="N97" s="8"/>
    </row>
    <row r="98" spans="1:14" ht="16.5" customHeight="1" x14ac:dyDescent="0.25">
      <c r="A98" s="7"/>
      <c r="B98" s="36" t="s">
        <v>152</v>
      </c>
      <c r="C98" s="580" t="s">
        <v>153</v>
      </c>
      <c r="D98" s="537"/>
      <c r="E98" s="537"/>
      <c r="F98" s="537"/>
      <c r="G98" s="537"/>
      <c r="H98" s="537"/>
      <c r="I98" s="538"/>
      <c r="J98" s="92">
        <f>'7 - ENCARGOS SOCIAIS'!$D$28</f>
        <v>0.12666581537651095</v>
      </c>
      <c r="K98" s="85">
        <f t="shared" si="7"/>
        <v>398.77842763439406</v>
      </c>
      <c r="L98" s="6"/>
      <c r="M98" s="8"/>
      <c r="N98" s="8"/>
    </row>
    <row r="99" spans="1:14" ht="16.5" customHeight="1" x14ac:dyDescent="0.25">
      <c r="A99" s="7"/>
      <c r="B99" s="36" t="s">
        <v>155</v>
      </c>
      <c r="C99" s="580" t="s">
        <v>156</v>
      </c>
      <c r="D99" s="537"/>
      <c r="E99" s="537"/>
      <c r="F99" s="537"/>
      <c r="G99" s="537"/>
      <c r="H99" s="537"/>
      <c r="I99" s="538"/>
      <c r="J99" s="92">
        <f>'7 - ENCARGOS SOCIAIS'!$D$32</f>
        <v>5.9231502118822603E-2</v>
      </c>
      <c r="K99" s="85">
        <f t="shared" si="7"/>
        <v>186.47687389969246</v>
      </c>
      <c r="L99" s="6"/>
      <c r="M99" s="8"/>
      <c r="N99" s="8"/>
    </row>
    <row r="100" spans="1:14" ht="16.5" customHeight="1" x14ac:dyDescent="0.25">
      <c r="A100" s="7"/>
      <c r="B100" s="81"/>
      <c r="C100" s="582" t="s">
        <v>157</v>
      </c>
      <c r="D100" s="537"/>
      <c r="E100" s="537"/>
      <c r="F100" s="537"/>
      <c r="G100" s="537"/>
      <c r="H100" s="537"/>
      <c r="I100" s="538"/>
      <c r="J100" s="136">
        <f t="shared" ref="J100:K100" si="8">SUM(J96:J99)</f>
        <v>0.70776976896623567</v>
      </c>
      <c r="K100" s="137">
        <f t="shared" si="8"/>
        <v>2228.2516775070899</v>
      </c>
      <c r="L100" s="6"/>
      <c r="M100" s="8"/>
      <c r="N100" s="8"/>
    </row>
    <row r="101" spans="1:14" ht="16.5" customHeight="1" x14ac:dyDescent="0.25">
      <c r="A101" s="7"/>
      <c r="B101" s="20" t="s">
        <v>158</v>
      </c>
      <c r="C101" s="698" t="s">
        <v>159</v>
      </c>
      <c r="D101" s="537"/>
      <c r="E101" s="537"/>
      <c r="F101" s="537"/>
      <c r="G101" s="538"/>
      <c r="H101" s="22" t="s">
        <v>160</v>
      </c>
      <c r="I101" s="20" t="s">
        <v>120</v>
      </c>
      <c r="J101" s="20" t="s">
        <v>161</v>
      </c>
      <c r="K101" s="20" t="s">
        <v>121</v>
      </c>
      <c r="L101" s="6"/>
      <c r="M101" s="8"/>
      <c r="N101" s="8"/>
    </row>
    <row r="102" spans="1:14" ht="16.5" customHeight="1" x14ac:dyDescent="0.25">
      <c r="A102" s="7"/>
      <c r="B102" s="36" t="s">
        <v>162</v>
      </c>
      <c r="C102" s="580" t="s">
        <v>174</v>
      </c>
      <c r="D102" s="537"/>
      <c r="E102" s="537"/>
      <c r="F102" s="537"/>
      <c r="G102" s="538"/>
      <c r="H102" s="36">
        <v>26</v>
      </c>
      <c r="I102" s="102">
        <v>27.15</v>
      </c>
      <c r="J102" s="103">
        <v>0.19</v>
      </c>
      <c r="K102" s="42">
        <f>(H102*I102)-((H102*I102)*0.19)</f>
        <v>571.779</v>
      </c>
      <c r="L102" s="6"/>
      <c r="M102" s="8"/>
      <c r="N102" s="8"/>
    </row>
    <row r="103" spans="1:14" ht="16.5" customHeight="1" x14ac:dyDescent="0.25">
      <c r="A103" s="7"/>
      <c r="B103" s="36" t="s">
        <v>164</v>
      </c>
      <c r="C103" s="580" t="s">
        <v>177</v>
      </c>
      <c r="D103" s="537"/>
      <c r="E103" s="537"/>
      <c r="F103" s="537"/>
      <c r="G103" s="538"/>
      <c r="H103" s="36">
        <f>H102*4</f>
        <v>104</v>
      </c>
      <c r="I103" s="106">
        <v>6.25</v>
      </c>
      <c r="J103" s="103">
        <v>0.06</v>
      </c>
      <c r="K103" s="42">
        <f>(H103*I103)-(K90*0.06)</f>
        <v>522.36800000000005</v>
      </c>
      <c r="L103" s="6"/>
      <c r="M103" s="8"/>
      <c r="N103" s="8"/>
    </row>
    <row r="104" spans="1:14" ht="16.5" customHeight="1" x14ac:dyDescent="0.25">
      <c r="A104" s="7"/>
      <c r="B104" s="36" t="s">
        <v>166</v>
      </c>
      <c r="C104" s="580" t="s">
        <v>167</v>
      </c>
      <c r="D104" s="537"/>
      <c r="E104" s="537"/>
      <c r="F104" s="537"/>
      <c r="G104" s="538"/>
      <c r="H104" s="33">
        <v>1</v>
      </c>
      <c r="I104" s="102">
        <f>'6 - DADOS CC MO'!E37</f>
        <v>25.52</v>
      </c>
      <c r="J104" s="107"/>
      <c r="K104" s="132">
        <f>I104</f>
        <v>25.52</v>
      </c>
      <c r="L104" s="6"/>
      <c r="M104" s="8"/>
      <c r="N104" s="8"/>
    </row>
    <row r="105" spans="1:14" ht="16.5" customHeight="1" x14ac:dyDescent="0.25">
      <c r="A105" s="7"/>
      <c r="B105" s="107"/>
      <c r="C105" s="585" t="s">
        <v>170</v>
      </c>
      <c r="D105" s="537"/>
      <c r="E105" s="537"/>
      <c r="F105" s="537"/>
      <c r="G105" s="537"/>
      <c r="H105" s="537"/>
      <c r="I105" s="538"/>
      <c r="J105" s="52"/>
      <c r="K105" s="110">
        <f>SUM(K102:K104)</f>
        <v>1119.6669999999999</v>
      </c>
      <c r="L105" s="6"/>
      <c r="M105" s="8"/>
      <c r="N105" s="8"/>
    </row>
    <row r="106" spans="1:14" ht="16.5" customHeight="1" x14ac:dyDescent="0.25">
      <c r="A106" s="7"/>
      <c r="B106" s="588" t="s">
        <v>253</v>
      </c>
      <c r="C106" s="564"/>
      <c r="D106" s="564"/>
      <c r="E106" s="564"/>
      <c r="F106" s="564"/>
      <c r="G106" s="564"/>
      <c r="H106" s="564"/>
      <c r="I106" s="564"/>
      <c r="J106" s="565"/>
      <c r="K106" s="113">
        <f>K105+K100+K94</f>
        <v>6496.190580617138</v>
      </c>
      <c r="L106" s="6"/>
      <c r="M106" s="8"/>
      <c r="N106" s="8"/>
    </row>
    <row r="107" spans="1:14" ht="16.5" customHeight="1" x14ac:dyDescent="0.25">
      <c r="A107" s="7"/>
      <c r="B107" s="711" t="s">
        <v>187</v>
      </c>
      <c r="C107" s="611"/>
      <c r="D107" s="611"/>
      <c r="E107" s="611"/>
      <c r="F107" s="611"/>
      <c r="G107" s="611"/>
      <c r="H107" s="611"/>
      <c r="I107" s="611"/>
      <c r="J107" s="612"/>
      <c r="K107" s="114">
        <f>K106*1</f>
        <v>6496.190580617138</v>
      </c>
      <c r="L107" s="6"/>
      <c r="M107" s="8"/>
      <c r="N107" s="8"/>
    </row>
    <row r="108" spans="1:14" ht="16.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10"/>
      <c r="L108" s="6"/>
      <c r="M108" s="8"/>
      <c r="N108" s="8"/>
    </row>
    <row r="109" spans="1:14" ht="16.5" customHeight="1" x14ac:dyDescent="0.25">
      <c r="A109" s="7"/>
      <c r="B109" s="581" t="s">
        <v>718</v>
      </c>
      <c r="C109" s="537"/>
      <c r="D109" s="537"/>
      <c r="E109" s="537"/>
      <c r="F109" s="537"/>
      <c r="G109" s="537"/>
      <c r="H109" s="537"/>
      <c r="I109" s="537"/>
      <c r="J109" s="537"/>
      <c r="K109" s="538"/>
      <c r="L109" s="6"/>
      <c r="M109" s="8"/>
      <c r="N109" s="8"/>
    </row>
    <row r="110" spans="1:14" ht="16.5" customHeight="1" x14ac:dyDescent="0.25">
      <c r="A110" s="7"/>
      <c r="B110" s="80" t="s">
        <v>116</v>
      </c>
      <c r="C110" s="582" t="s">
        <v>117</v>
      </c>
      <c r="D110" s="537"/>
      <c r="E110" s="537"/>
      <c r="F110" s="537"/>
      <c r="G110" s="538"/>
      <c r="H110" s="100" t="s">
        <v>118</v>
      </c>
      <c r="I110" s="117" t="s">
        <v>119</v>
      </c>
      <c r="J110" s="81" t="s">
        <v>120</v>
      </c>
      <c r="K110" s="81" t="s">
        <v>121</v>
      </c>
      <c r="L110" s="6"/>
      <c r="M110" s="8"/>
      <c r="N110" s="8"/>
    </row>
    <row r="111" spans="1:14" ht="16.5" customHeight="1" x14ac:dyDescent="0.25">
      <c r="A111" s="7"/>
      <c r="B111" s="36" t="s">
        <v>122</v>
      </c>
      <c r="C111" s="580" t="s">
        <v>123</v>
      </c>
      <c r="D111" s="537"/>
      <c r="E111" s="537"/>
      <c r="F111" s="537"/>
      <c r="G111" s="538"/>
      <c r="H111" s="33">
        <v>220</v>
      </c>
      <c r="I111" s="36" t="s">
        <v>126</v>
      </c>
      <c r="J111" s="118">
        <f>K111/H111</f>
        <v>8.6198181818181805</v>
      </c>
      <c r="K111" s="85">
        <f>'6 - DADOS CC MO'!E45</f>
        <v>1896.36</v>
      </c>
      <c r="L111" s="6"/>
      <c r="M111" s="8"/>
      <c r="N111" s="8"/>
    </row>
    <row r="112" spans="1:14" ht="16.5" customHeight="1" x14ac:dyDescent="0.25">
      <c r="A112" s="7"/>
      <c r="B112" s="33" t="s">
        <v>195</v>
      </c>
      <c r="C112" s="50" t="s">
        <v>130</v>
      </c>
      <c r="D112" s="119"/>
      <c r="E112" s="119"/>
      <c r="F112" s="119"/>
      <c r="G112" s="120"/>
      <c r="H112" s="121">
        <v>7.33</v>
      </c>
      <c r="I112" s="33" t="s">
        <v>126</v>
      </c>
      <c r="J112" s="122">
        <f>J111*2</f>
        <v>17.239636363636361</v>
      </c>
      <c r="K112" s="85">
        <f>J112*H112</f>
        <v>126.36653454545453</v>
      </c>
      <c r="L112" s="6"/>
      <c r="M112" s="8"/>
      <c r="N112" s="8"/>
    </row>
    <row r="113" spans="1:14" ht="16.5" customHeight="1" x14ac:dyDescent="0.25">
      <c r="A113" s="7"/>
      <c r="B113" s="36" t="s">
        <v>198</v>
      </c>
      <c r="C113" s="91" t="s">
        <v>135</v>
      </c>
      <c r="D113" s="134"/>
      <c r="E113" s="134"/>
      <c r="F113" s="134"/>
      <c r="G113" s="129"/>
      <c r="H113" s="121"/>
      <c r="I113" s="36"/>
      <c r="J113" s="118">
        <f>61/304*(SUM(K112))</f>
        <v>25.356442787081338</v>
      </c>
      <c r="K113" s="128">
        <f>J113</f>
        <v>25.356442787081338</v>
      </c>
      <c r="L113" s="6"/>
      <c r="M113" s="8"/>
      <c r="N113" s="8"/>
    </row>
    <row r="114" spans="1:14" ht="16.5" customHeight="1" x14ac:dyDescent="0.25">
      <c r="A114" s="7"/>
      <c r="B114" s="36" t="s">
        <v>129</v>
      </c>
      <c r="C114" s="580" t="s">
        <v>139</v>
      </c>
      <c r="D114" s="537"/>
      <c r="E114" s="537"/>
      <c r="F114" s="537"/>
      <c r="G114" s="538"/>
      <c r="H114" s="33">
        <v>40</v>
      </c>
      <c r="I114" s="36" t="s">
        <v>141</v>
      </c>
      <c r="J114" s="82"/>
      <c r="K114" s="85">
        <f>K111*40%</f>
        <v>758.54399999999998</v>
      </c>
      <c r="L114" s="6"/>
      <c r="M114" s="8"/>
      <c r="N114" s="8"/>
    </row>
    <row r="115" spans="1:14" ht="16.5" customHeight="1" x14ac:dyDescent="0.25">
      <c r="A115" s="7"/>
      <c r="B115" s="33"/>
      <c r="C115" s="585" t="s">
        <v>142</v>
      </c>
      <c r="D115" s="537"/>
      <c r="E115" s="537"/>
      <c r="F115" s="537"/>
      <c r="G115" s="537"/>
      <c r="H115" s="537"/>
      <c r="I115" s="538"/>
      <c r="J115" s="52"/>
      <c r="K115" s="87">
        <f>SUM(K111:K114)</f>
        <v>2806.6269773325357</v>
      </c>
      <c r="L115" s="6"/>
      <c r="M115" s="8"/>
      <c r="N115" s="8"/>
    </row>
    <row r="116" spans="1:14" ht="16.5" customHeight="1" x14ac:dyDescent="0.25">
      <c r="A116" s="7"/>
      <c r="B116" s="81" t="s">
        <v>145</v>
      </c>
      <c r="C116" s="582" t="s">
        <v>146</v>
      </c>
      <c r="D116" s="537"/>
      <c r="E116" s="537"/>
      <c r="F116" s="537"/>
      <c r="G116" s="537"/>
      <c r="H116" s="537"/>
      <c r="I116" s="538"/>
      <c r="J116" s="81" t="s">
        <v>141</v>
      </c>
      <c r="K116" s="81" t="s">
        <v>121</v>
      </c>
      <c r="L116" s="6"/>
      <c r="M116" s="8"/>
      <c r="N116" s="8"/>
    </row>
    <row r="117" spans="1:14" ht="16.5" customHeight="1" x14ac:dyDescent="0.25">
      <c r="A117" s="7"/>
      <c r="B117" s="36" t="s">
        <v>147</v>
      </c>
      <c r="C117" s="580" t="s">
        <v>148</v>
      </c>
      <c r="D117" s="537"/>
      <c r="E117" s="537"/>
      <c r="F117" s="537"/>
      <c r="G117" s="537"/>
      <c r="H117" s="537"/>
      <c r="I117" s="538"/>
      <c r="J117" s="92">
        <f>'7 - ENCARGOS SOCIAIS'!$D$13</f>
        <v>0.36800000000000005</v>
      </c>
      <c r="K117" s="85">
        <f t="shared" ref="K117:K120" si="9">J117*$K$115</f>
        <v>1032.8387276583733</v>
      </c>
      <c r="L117" s="6"/>
      <c r="M117" s="8"/>
      <c r="N117" s="8"/>
    </row>
    <row r="118" spans="1:14" ht="16.5" customHeight="1" x14ac:dyDescent="0.25">
      <c r="A118" s="7"/>
      <c r="B118" s="36" t="s">
        <v>150</v>
      </c>
      <c r="C118" s="580" t="s">
        <v>151</v>
      </c>
      <c r="D118" s="537"/>
      <c r="E118" s="537"/>
      <c r="F118" s="537"/>
      <c r="G118" s="537"/>
      <c r="H118" s="537"/>
      <c r="I118" s="538"/>
      <c r="J118" s="92">
        <f>'7 - ENCARGOS SOCIAIS'!$D$21</f>
        <v>0.15387245147090212</v>
      </c>
      <c r="K118" s="85">
        <f t="shared" si="9"/>
        <v>431.86257336652528</v>
      </c>
      <c r="L118" s="6"/>
      <c r="M118" s="8"/>
      <c r="N118" s="8"/>
    </row>
    <row r="119" spans="1:14" ht="16.5" customHeight="1" x14ac:dyDescent="0.25">
      <c r="A119" s="7"/>
      <c r="B119" s="36" t="s">
        <v>152</v>
      </c>
      <c r="C119" s="580" t="s">
        <v>153</v>
      </c>
      <c r="D119" s="537"/>
      <c r="E119" s="537"/>
      <c r="F119" s="537"/>
      <c r="G119" s="537"/>
      <c r="H119" s="537"/>
      <c r="I119" s="538"/>
      <c r="J119" s="92">
        <f>'7 - ENCARGOS SOCIAIS'!$D$28</f>
        <v>0.12666581537651095</v>
      </c>
      <c r="K119" s="85">
        <f t="shared" si="9"/>
        <v>355.50369454153793</v>
      </c>
      <c r="L119" s="6"/>
      <c r="M119" s="8"/>
      <c r="N119" s="8"/>
    </row>
    <row r="120" spans="1:14" ht="16.5" customHeight="1" x14ac:dyDescent="0.25">
      <c r="A120" s="7"/>
      <c r="B120" s="36" t="s">
        <v>155</v>
      </c>
      <c r="C120" s="580" t="s">
        <v>156</v>
      </c>
      <c r="D120" s="537"/>
      <c r="E120" s="537"/>
      <c r="F120" s="537"/>
      <c r="G120" s="537"/>
      <c r="H120" s="537"/>
      <c r="I120" s="538"/>
      <c r="J120" s="92">
        <f>'7 - ENCARGOS SOCIAIS'!$D$32</f>
        <v>5.9231502118822603E-2</v>
      </c>
      <c r="K120" s="85">
        <f t="shared" si="9"/>
        <v>166.24073175461677</v>
      </c>
      <c r="L120" s="6"/>
      <c r="M120" s="8"/>
      <c r="N120" s="8"/>
    </row>
    <row r="121" spans="1:14" ht="16.5" customHeight="1" x14ac:dyDescent="0.25">
      <c r="A121" s="7"/>
      <c r="B121" s="20"/>
      <c r="C121" s="586" t="s">
        <v>157</v>
      </c>
      <c r="D121" s="537"/>
      <c r="E121" s="537"/>
      <c r="F121" s="537"/>
      <c r="G121" s="537"/>
      <c r="H121" s="537"/>
      <c r="I121" s="538"/>
      <c r="J121" s="96">
        <f t="shared" ref="J121:K121" si="10">SUM(J117:J120)</f>
        <v>0.70776976896623567</v>
      </c>
      <c r="K121" s="97">
        <f t="shared" si="10"/>
        <v>1986.4457273210533</v>
      </c>
      <c r="L121" s="6"/>
      <c r="M121" s="8"/>
      <c r="N121" s="8"/>
    </row>
    <row r="122" spans="1:14" ht="16.5" customHeight="1" x14ac:dyDescent="0.25">
      <c r="A122" s="7"/>
      <c r="B122" s="81" t="s">
        <v>158</v>
      </c>
      <c r="C122" s="587" t="s">
        <v>159</v>
      </c>
      <c r="D122" s="537"/>
      <c r="E122" s="537"/>
      <c r="F122" s="537"/>
      <c r="G122" s="538"/>
      <c r="H122" s="100" t="s">
        <v>160</v>
      </c>
      <c r="I122" s="81" t="s">
        <v>120</v>
      </c>
      <c r="J122" s="81" t="s">
        <v>161</v>
      </c>
      <c r="K122" s="81" t="s">
        <v>121</v>
      </c>
      <c r="L122" s="6"/>
      <c r="M122" s="8"/>
      <c r="N122" s="8"/>
    </row>
    <row r="123" spans="1:14" ht="16.5" customHeight="1" x14ac:dyDescent="0.25">
      <c r="A123" s="7"/>
      <c r="B123" s="36" t="s">
        <v>162</v>
      </c>
      <c r="C123" s="580" t="s">
        <v>174</v>
      </c>
      <c r="D123" s="537"/>
      <c r="E123" s="537"/>
      <c r="F123" s="537"/>
      <c r="G123" s="538"/>
      <c r="H123" s="36">
        <v>26</v>
      </c>
      <c r="I123" s="102">
        <v>27.15</v>
      </c>
      <c r="J123" s="103">
        <v>0.19</v>
      </c>
      <c r="K123" s="42">
        <f>(H123*I123)-((H123*I123)*0.19)</f>
        <v>571.779</v>
      </c>
      <c r="L123" s="6"/>
      <c r="M123" s="8"/>
      <c r="N123" s="8"/>
    </row>
    <row r="124" spans="1:14" ht="16.5" customHeight="1" x14ac:dyDescent="0.25">
      <c r="A124" s="7"/>
      <c r="B124" s="36" t="s">
        <v>164</v>
      </c>
      <c r="C124" s="580" t="s">
        <v>177</v>
      </c>
      <c r="D124" s="537"/>
      <c r="E124" s="537"/>
      <c r="F124" s="537"/>
      <c r="G124" s="538"/>
      <c r="H124" s="36">
        <f>H123*4</f>
        <v>104</v>
      </c>
      <c r="I124" s="106">
        <v>6.25</v>
      </c>
      <c r="J124" s="103">
        <v>0.06</v>
      </c>
      <c r="K124" s="42">
        <f>(H124*I124)-(K111*0.06)</f>
        <v>536.21839999999997</v>
      </c>
      <c r="L124" s="6"/>
      <c r="M124" s="8"/>
      <c r="N124" s="8"/>
    </row>
    <row r="125" spans="1:14" ht="16.5" customHeight="1" x14ac:dyDescent="0.25">
      <c r="A125" s="7"/>
      <c r="B125" s="36" t="s">
        <v>166</v>
      </c>
      <c r="C125" s="580" t="s">
        <v>167</v>
      </c>
      <c r="D125" s="537"/>
      <c r="E125" s="537"/>
      <c r="F125" s="537"/>
      <c r="G125" s="538"/>
      <c r="H125" s="33">
        <v>1</v>
      </c>
      <c r="I125" s="102">
        <f>'6 - DADOS CC MO'!E48</f>
        <v>25.52</v>
      </c>
      <c r="J125" s="107"/>
      <c r="K125" s="132">
        <f>I125</f>
        <v>25.52</v>
      </c>
      <c r="L125" s="6"/>
      <c r="M125" s="8"/>
      <c r="N125" s="8"/>
    </row>
    <row r="126" spans="1:14" ht="16.5" customHeight="1" x14ac:dyDescent="0.25">
      <c r="A126" s="7"/>
      <c r="B126" s="107"/>
      <c r="C126" s="585" t="s">
        <v>170</v>
      </c>
      <c r="D126" s="537"/>
      <c r="E126" s="537"/>
      <c r="F126" s="537"/>
      <c r="G126" s="537"/>
      <c r="H126" s="537"/>
      <c r="I126" s="538"/>
      <c r="J126" s="52"/>
      <c r="K126" s="110">
        <f>SUM(K123:K125)</f>
        <v>1133.5174</v>
      </c>
      <c r="L126" s="6"/>
      <c r="M126" s="8"/>
      <c r="N126" s="8"/>
    </row>
    <row r="127" spans="1:14" ht="16.5" customHeight="1" x14ac:dyDescent="0.25">
      <c r="A127" s="7"/>
      <c r="B127" s="588" t="s">
        <v>304</v>
      </c>
      <c r="C127" s="564"/>
      <c r="D127" s="564"/>
      <c r="E127" s="564"/>
      <c r="F127" s="564"/>
      <c r="G127" s="564"/>
      <c r="H127" s="564"/>
      <c r="I127" s="564"/>
      <c r="J127" s="565"/>
      <c r="K127" s="113">
        <f>K126+K121+K115</f>
        <v>5926.5901046535892</v>
      </c>
      <c r="L127" s="6"/>
      <c r="M127" s="8"/>
      <c r="N127" s="8"/>
    </row>
    <row r="128" spans="1:14" ht="16.5" customHeight="1" x14ac:dyDescent="0.25">
      <c r="A128" s="7"/>
      <c r="B128" s="711" t="s">
        <v>187</v>
      </c>
      <c r="C128" s="611"/>
      <c r="D128" s="611"/>
      <c r="E128" s="611"/>
      <c r="F128" s="611"/>
      <c r="G128" s="611"/>
      <c r="H128" s="611"/>
      <c r="I128" s="611"/>
      <c r="J128" s="612"/>
      <c r="K128" s="114">
        <f>K127*1</f>
        <v>5926.5901046535892</v>
      </c>
      <c r="L128" s="6"/>
      <c r="M128" s="8"/>
      <c r="N128" s="8"/>
    </row>
    <row r="129" spans="1:14" ht="16.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10"/>
      <c r="L129" s="6"/>
      <c r="M129" s="8"/>
      <c r="N129" s="8"/>
    </row>
    <row r="130" spans="1:14" ht="16.5" customHeight="1" x14ac:dyDescent="0.25">
      <c r="A130" s="7"/>
      <c r="B130" s="581" t="s">
        <v>727</v>
      </c>
      <c r="C130" s="537"/>
      <c r="D130" s="537"/>
      <c r="E130" s="537"/>
      <c r="F130" s="537"/>
      <c r="G130" s="537"/>
      <c r="H130" s="537"/>
      <c r="I130" s="537"/>
      <c r="J130" s="537"/>
      <c r="K130" s="538"/>
      <c r="L130" s="6"/>
      <c r="M130" s="8"/>
      <c r="N130" s="8"/>
    </row>
    <row r="131" spans="1:14" ht="16.5" customHeight="1" x14ac:dyDescent="0.25">
      <c r="A131" s="7"/>
      <c r="B131" s="80" t="s">
        <v>116</v>
      </c>
      <c r="C131" s="582" t="s">
        <v>117</v>
      </c>
      <c r="D131" s="537"/>
      <c r="E131" s="537"/>
      <c r="F131" s="537"/>
      <c r="G131" s="538"/>
      <c r="H131" s="100" t="s">
        <v>118</v>
      </c>
      <c r="I131" s="117" t="s">
        <v>119</v>
      </c>
      <c r="J131" s="81" t="s">
        <v>120</v>
      </c>
      <c r="K131" s="81" t="s">
        <v>121</v>
      </c>
      <c r="L131" s="6"/>
      <c r="M131" s="8"/>
      <c r="N131" s="8"/>
    </row>
    <row r="132" spans="1:14" ht="16.5" customHeight="1" x14ac:dyDescent="0.25">
      <c r="A132" s="7"/>
      <c r="B132" s="33" t="s">
        <v>122</v>
      </c>
      <c r="C132" s="702" t="s">
        <v>123</v>
      </c>
      <c r="D132" s="537"/>
      <c r="E132" s="537"/>
      <c r="F132" s="537"/>
      <c r="G132" s="538"/>
      <c r="H132" s="33">
        <v>220</v>
      </c>
      <c r="I132" s="36" t="s">
        <v>126</v>
      </c>
      <c r="J132" s="118">
        <f>K132/H132</f>
        <v>8.0266363636363636</v>
      </c>
      <c r="K132" s="85">
        <f>'6 - DADOS CC MO'!E67</f>
        <v>1765.86</v>
      </c>
      <c r="L132" s="6"/>
      <c r="M132" s="8"/>
      <c r="N132" s="8"/>
    </row>
    <row r="133" spans="1:14" ht="16.5" customHeight="1" x14ac:dyDescent="0.25">
      <c r="A133" s="7"/>
      <c r="B133" s="33" t="s">
        <v>195</v>
      </c>
      <c r="C133" s="50" t="s">
        <v>130</v>
      </c>
      <c r="D133" s="119"/>
      <c r="E133" s="119"/>
      <c r="F133" s="119"/>
      <c r="G133" s="120"/>
      <c r="H133" s="121">
        <v>7.33</v>
      </c>
      <c r="I133" s="33" t="s">
        <v>126</v>
      </c>
      <c r="J133" s="122">
        <f>J132*2</f>
        <v>16.053272727272727</v>
      </c>
      <c r="K133" s="85">
        <f>J133*H133</f>
        <v>117.67048909090909</v>
      </c>
      <c r="L133" s="6"/>
      <c r="M133" s="8"/>
      <c r="N133" s="8"/>
    </row>
    <row r="134" spans="1:14" ht="16.5" customHeight="1" x14ac:dyDescent="0.25">
      <c r="A134" s="7"/>
      <c r="B134" s="36" t="s">
        <v>198</v>
      </c>
      <c r="C134" s="91" t="s">
        <v>135</v>
      </c>
      <c r="D134" s="134"/>
      <c r="E134" s="134"/>
      <c r="F134" s="134"/>
      <c r="G134" s="129"/>
      <c r="H134" s="121"/>
      <c r="I134" s="36"/>
      <c r="J134" s="118">
        <f>61/304*(SUM(K133))</f>
        <v>23.611512613636364</v>
      </c>
      <c r="K134" s="128">
        <f>J134</f>
        <v>23.611512613636364</v>
      </c>
      <c r="L134" s="6"/>
      <c r="M134" s="8"/>
      <c r="N134" s="8"/>
    </row>
    <row r="135" spans="1:14" ht="16.5" customHeight="1" x14ac:dyDescent="0.25">
      <c r="A135" s="7"/>
      <c r="B135" s="33" t="s">
        <v>129</v>
      </c>
      <c r="C135" s="702" t="s">
        <v>139</v>
      </c>
      <c r="D135" s="537"/>
      <c r="E135" s="537"/>
      <c r="F135" s="537"/>
      <c r="G135" s="538"/>
      <c r="H135" s="33">
        <v>40</v>
      </c>
      <c r="I135" s="36" t="s">
        <v>141</v>
      </c>
      <c r="J135" s="82"/>
      <c r="K135" s="85">
        <f>K132*40%</f>
        <v>706.34400000000005</v>
      </c>
      <c r="L135" s="6"/>
      <c r="M135" s="8"/>
      <c r="N135" s="8"/>
    </row>
    <row r="136" spans="1:14" ht="16.5" customHeight="1" x14ac:dyDescent="0.25">
      <c r="A136" s="7"/>
      <c r="B136" s="33"/>
      <c r="C136" s="585" t="s">
        <v>142</v>
      </c>
      <c r="D136" s="537"/>
      <c r="E136" s="537"/>
      <c r="F136" s="537"/>
      <c r="G136" s="537"/>
      <c r="H136" s="537"/>
      <c r="I136" s="538"/>
      <c r="J136" s="52"/>
      <c r="K136" s="87">
        <f>SUM(K132:K135)</f>
        <v>2613.4860017045453</v>
      </c>
      <c r="L136" s="6"/>
      <c r="M136" s="8"/>
      <c r="N136" s="8"/>
    </row>
    <row r="137" spans="1:14" ht="16.5" customHeight="1" x14ac:dyDescent="0.25">
      <c r="A137" s="7"/>
      <c r="B137" s="81" t="s">
        <v>145</v>
      </c>
      <c r="C137" s="582" t="s">
        <v>146</v>
      </c>
      <c r="D137" s="537"/>
      <c r="E137" s="537"/>
      <c r="F137" s="537"/>
      <c r="G137" s="537"/>
      <c r="H137" s="537"/>
      <c r="I137" s="538"/>
      <c r="J137" s="81" t="s">
        <v>141</v>
      </c>
      <c r="K137" s="81" t="s">
        <v>121</v>
      </c>
      <c r="L137" s="6"/>
      <c r="M137" s="8"/>
      <c r="N137" s="8"/>
    </row>
    <row r="138" spans="1:14" ht="16.5" customHeight="1" x14ac:dyDescent="0.25">
      <c r="A138" s="7"/>
      <c r="B138" s="36" t="s">
        <v>147</v>
      </c>
      <c r="C138" s="580" t="s">
        <v>148</v>
      </c>
      <c r="D138" s="537"/>
      <c r="E138" s="537"/>
      <c r="F138" s="537"/>
      <c r="G138" s="537"/>
      <c r="H138" s="537"/>
      <c r="I138" s="538"/>
      <c r="J138" s="92">
        <f>'7 - ENCARGOS SOCIAIS'!$D$13</f>
        <v>0.36800000000000005</v>
      </c>
      <c r="K138" s="85">
        <f t="shared" ref="K138:K141" si="11">J138*$K$136</f>
        <v>961.76284862727277</v>
      </c>
      <c r="L138" s="6"/>
      <c r="M138" s="8"/>
      <c r="N138" s="8"/>
    </row>
    <row r="139" spans="1:14" ht="16.5" customHeight="1" x14ac:dyDescent="0.25">
      <c r="A139" s="7"/>
      <c r="B139" s="36" t="s">
        <v>150</v>
      </c>
      <c r="C139" s="580" t="s">
        <v>151</v>
      </c>
      <c r="D139" s="537"/>
      <c r="E139" s="537"/>
      <c r="F139" s="537"/>
      <c r="G139" s="537"/>
      <c r="H139" s="537"/>
      <c r="I139" s="538"/>
      <c r="J139" s="92">
        <f>'7 - ENCARGOS SOCIAIS'!$D$21</f>
        <v>0.15387245147090212</v>
      </c>
      <c r="K139" s="85">
        <f t="shared" si="11"/>
        <v>402.14349796716465</v>
      </c>
      <c r="L139" s="6"/>
      <c r="M139" s="8"/>
      <c r="N139" s="8"/>
    </row>
    <row r="140" spans="1:14" ht="16.5" customHeight="1" x14ac:dyDescent="0.25">
      <c r="A140" s="7"/>
      <c r="B140" s="36" t="s">
        <v>152</v>
      </c>
      <c r="C140" s="580" t="s">
        <v>153</v>
      </c>
      <c r="D140" s="537"/>
      <c r="E140" s="537"/>
      <c r="F140" s="537"/>
      <c r="G140" s="537"/>
      <c r="H140" s="537"/>
      <c r="I140" s="538"/>
      <c r="J140" s="92">
        <f>'7 - ENCARGOS SOCIAIS'!$D$28</f>
        <v>0.12666581537651095</v>
      </c>
      <c r="K140" s="85">
        <f t="shared" si="11"/>
        <v>331.0393353810037</v>
      </c>
      <c r="L140" s="6"/>
      <c r="M140" s="8"/>
      <c r="N140" s="8"/>
    </row>
    <row r="141" spans="1:14" ht="16.5" customHeight="1" x14ac:dyDescent="0.25">
      <c r="A141" s="7"/>
      <c r="B141" s="36" t="s">
        <v>155</v>
      </c>
      <c r="C141" s="580" t="s">
        <v>156</v>
      </c>
      <c r="D141" s="537"/>
      <c r="E141" s="537"/>
      <c r="F141" s="537"/>
      <c r="G141" s="537"/>
      <c r="H141" s="537"/>
      <c r="I141" s="538"/>
      <c r="J141" s="92">
        <f>'7 - ENCARGOS SOCIAIS'!$D$32</f>
        <v>5.9231502118822603E-2</v>
      </c>
      <c r="K141" s="85">
        <f t="shared" si="11"/>
        <v>154.80070164747599</v>
      </c>
      <c r="L141" s="6"/>
      <c r="M141" s="8"/>
      <c r="N141" s="8"/>
    </row>
    <row r="142" spans="1:14" ht="16.5" customHeight="1" x14ac:dyDescent="0.25">
      <c r="A142" s="7"/>
      <c r="B142" s="20"/>
      <c r="C142" s="586" t="s">
        <v>157</v>
      </c>
      <c r="D142" s="537"/>
      <c r="E142" s="537"/>
      <c r="F142" s="537"/>
      <c r="G142" s="537"/>
      <c r="H142" s="537"/>
      <c r="I142" s="538"/>
      <c r="J142" s="96">
        <f t="shared" ref="J142:K142" si="12">SUM(J138:J141)</f>
        <v>0.70776976896623567</v>
      </c>
      <c r="K142" s="97">
        <f t="shared" si="12"/>
        <v>1849.7463836229169</v>
      </c>
      <c r="L142" s="6"/>
      <c r="M142" s="8"/>
      <c r="N142" s="8"/>
    </row>
    <row r="143" spans="1:14" ht="16.5" customHeight="1" x14ac:dyDescent="0.25">
      <c r="A143" s="7"/>
      <c r="B143" s="81" t="s">
        <v>158</v>
      </c>
      <c r="C143" s="587" t="s">
        <v>159</v>
      </c>
      <c r="D143" s="537"/>
      <c r="E143" s="537"/>
      <c r="F143" s="537"/>
      <c r="G143" s="538"/>
      <c r="H143" s="100" t="s">
        <v>160</v>
      </c>
      <c r="I143" s="81" t="s">
        <v>120</v>
      </c>
      <c r="J143" s="81" t="s">
        <v>161</v>
      </c>
      <c r="K143" s="81" t="s">
        <v>121</v>
      </c>
      <c r="L143" s="6"/>
      <c r="M143" s="8"/>
      <c r="N143" s="8"/>
    </row>
    <row r="144" spans="1:14" ht="16.5" customHeight="1" x14ac:dyDescent="0.25">
      <c r="A144" s="7"/>
      <c r="B144" s="36" t="s">
        <v>162</v>
      </c>
      <c r="C144" s="580" t="s">
        <v>174</v>
      </c>
      <c r="D144" s="537"/>
      <c r="E144" s="537"/>
      <c r="F144" s="537"/>
      <c r="G144" s="538"/>
      <c r="H144" s="36">
        <v>26</v>
      </c>
      <c r="I144" s="102">
        <v>27.15</v>
      </c>
      <c r="J144" s="103">
        <v>0.19</v>
      </c>
      <c r="K144" s="42">
        <f>(H144*I144)-((H144*I144)*0.19)</f>
        <v>571.779</v>
      </c>
      <c r="L144" s="6"/>
      <c r="M144" s="8"/>
      <c r="N144" s="8"/>
    </row>
    <row r="145" spans="1:14" ht="16.5" customHeight="1" x14ac:dyDescent="0.25">
      <c r="A145" s="7"/>
      <c r="B145" s="36" t="s">
        <v>164</v>
      </c>
      <c r="C145" s="580" t="s">
        <v>177</v>
      </c>
      <c r="D145" s="537"/>
      <c r="E145" s="537"/>
      <c r="F145" s="537"/>
      <c r="G145" s="538"/>
      <c r="H145" s="36">
        <f>H144*4</f>
        <v>104</v>
      </c>
      <c r="I145" s="106">
        <v>6.25</v>
      </c>
      <c r="J145" s="103">
        <v>0.06</v>
      </c>
      <c r="K145" s="42">
        <f>(H145*I145)-(K132*0.06)</f>
        <v>544.04840000000002</v>
      </c>
      <c r="L145" s="6"/>
      <c r="M145" s="8"/>
      <c r="N145" s="8"/>
    </row>
    <row r="146" spans="1:14" ht="16.5" customHeight="1" x14ac:dyDescent="0.25">
      <c r="A146" s="7"/>
      <c r="B146" s="36" t="s">
        <v>166</v>
      </c>
      <c r="C146" s="580" t="s">
        <v>167</v>
      </c>
      <c r="D146" s="537"/>
      <c r="E146" s="537"/>
      <c r="F146" s="537"/>
      <c r="G146" s="538"/>
      <c r="H146" s="33">
        <v>1</v>
      </c>
      <c r="I146" s="102">
        <f>'6 - DADOS CC MO'!E70</f>
        <v>25.52</v>
      </c>
      <c r="J146" s="107"/>
      <c r="K146" s="132">
        <f t="shared" ref="K146:K147" si="13">I146</f>
        <v>25.52</v>
      </c>
      <c r="L146" s="6"/>
      <c r="M146" s="8"/>
      <c r="N146" s="8"/>
    </row>
    <row r="147" spans="1:14" ht="16.5" customHeight="1" x14ac:dyDescent="0.25">
      <c r="A147" s="7"/>
      <c r="B147" s="36" t="s">
        <v>168</v>
      </c>
      <c r="C147" s="580" t="s">
        <v>207</v>
      </c>
      <c r="D147" s="537"/>
      <c r="E147" s="537"/>
      <c r="F147" s="537"/>
      <c r="G147" s="538"/>
      <c r="H147" s="33">
        <v>1</v>
      </c>
      <c r="I147" s="102">
        <v>80</v>
      </c>
      <c r="J147" s="107"/>
      <c r="K147" s="132">
        <f t="shared" si="13"/>
        <v>80</v>
      </c>
      <c r="L147" s="6"/>
      <c r="M147" s="8"/>
      <c r="N147" s="8"/>
    </row>
    <row r="148" spans="1:14" ht="16.5" customHeight="1" x14ac:dyDescent="0.25">
      <c r="A148" s="7"/>
      <c r="B148" s="107"/>
      <c r="C148" s="585" t="s">
        <v>170</v>
      </c>
      <c r="D148" s="537"/>
      <c r="E148" s="537"/>
      <c r="F148" s="537"/>
      <c r="G148" s="537"/>
      <c r="H148" s="537"/>
      <c r="I148" s="538"/>
      <c r="J148" s="52"/>
      <c r="K148" s="110">
        <f>SUM(K144:K147)</f>
        <v>1221.3474000000001</v>
      </c>
      <c r="L148" s="6"/>
      <c r="M148" s="8"/>
      <c r="N148" s="8"/>
    </row>
    <row r="149" spans="1:14" ht="16.5" customHeight="1" x14ac:dyDescent="0.25">
      <c r="A149" s="7"/>
      <c r="B149" s="588" t="s">
        <v>351</v>
      </c>
      <c r="C149" s="564"/>
      <c r="D149" s="564"/>
      <c r="E149" s="564"/>
      <c r="F149" s="564"/>
      <c r="G149" s="564"/>
      <c r="H149" s="564"/>
      <c r="I149" s="564"/>
      <c r="J149" s="565"/>
      <c r="K149" s="113">
        <f>K148+K142+K136</f>
        <v>5684.5797853274617</v>
      </c>
      <c r="L149" s="6"/>
      <c r="M149" s="8"/>
      <c r="N149" s="8"/>
    </row>
    <row r="150" spans="1:14" ht="16.5" customHeight="1" x14ac:dyDescent="0.25">
      <c r="A150" s="7"/>
      <c r="B150" s="711" t="s">
        <v>187</v>
      </c>
      <c r="C150" s="611"/>
      <c r="D150" s="611"/>
      <c r="E150" s="611"/>
      <c r="F150" s="611"/>
      <c r="G150" s="611"/>
      <c r="H150" s="611"/>
      <c r="I150" s="611"/>
      <c r="J150" s="612"/>
      <c r="K150" s="114">
        <f>K149*1</f>
        <v>5684.5797853274617</v>
      </c>
      <c r="L150" s="6"/>
      <c r="M150" s="8"/>
      <c r="N150" s="8"/>
    </row>
    <row r="151" spans="1:14" ht="16.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10"/>
      <c r="L151" s="6"/>
      <c r="M151" s="8"/>
      <c r="N151" s="8"/>
    </row>
    <row r="152" spans="1:14" ht="16.5" customHeight="1" x14ac:dyDescent="0.25">
      <c r="A152" s="7"/>
      <c r="B152" s="581" t="s">
        <v>739</v>
      </c>
      <c r="C152" s="537"/>
      <c r="D152" s="537"/>
      <c r="E152" s="537"/>
      <c r="F152" s="537"/>
      <c r="G152" s="537"/>
      <c r="H152" s="537"/>
      <c r="I152" s="537"/>
      <c r="J152" s="537"/>
      <c r="K152" s="538"/>
      <c r="L152" s="6"/>
      <c r="M152" s="8"/>
      <c r="N152" s="8"/>
    </row>
    <row r="153" spans="1:14" ht="16.5" customHeight="1" x14ac:dyDescent="0.25">
      <c r="A153" s="7"/>
      <c r="B153" s="80" t="s">
        <v>116</v>
      </c>
      <c r="C153" s="582" t="s">
        <v>117</v>
      </c>
      <c r="D153" s="537"/>
      <c r="E153" s="537"/>
      <c r="F153" s="537"/>
      <c r="G153" s="538"/>
      <c r="H153" s="100" t="s">
        <v>118</v>
      </c>
      <c r="I153" s="117" t="s">
        <v>119</v>
      </c>
      <c r="J153" s="81" t="s">
        <v>120</v>
      </c>
      <c r="K153" s="81" t="s">
        <v>121</v>
      </c>
      <c r="L153" s="6"/>
      <c r="M153" s="8"/>
      <c r="N153" s="8"/>
    </row>
    <row r="154" spans="1:14" ht="16.5" customHeight="1" x14ac:dyDescent="0.25">
      <c r="A154" s="7"/>
      <c r="B154" s="33" t="s">
        <v>122</v>
      </c>
      <c r="C154" s="702" t="s">
        <v>123</v>
      </c>
      <c r="D154" s="537"/>
      <c r="E154" s="537"/>
      <c r="F154" s="537"/>
      <c r="G154" s="538"/>
      <c r="H154" s="33">
        <v>220</v>
      </c>
      <c r="I154" s="36" t="s">
        <v>126</v>
      </c>
      <c r="J154" s="118">
        <f>K154/H154</f>
        <v>8.0266363636363636</v>
      </c>
      <c r="K154" s="180">
        <f>'6 - DADOS CC MO'!E79</f>
        <v>1765.86</v>
      </c>
      <c r="L154" s="6"/>
      <c r="M154" s="8"/>
      <c r="N154" s="8"/>
    </row>
    <row r="155" spans="1:14" ht="16.5" customHeight="1" x14ac:dyDescent="0.25">
      <c r="A155" s="7"/>
      <c r="B155" s="33" t="s">
        <v>195</v>
      </c>
      <c r="C155" s="50" t="s">
        <v>130</v>
      </c>
      <c r="D155" s="119"/>
      <c r="E155" s="119"/>
      <c r="F155" s="119"/>
      <c r="G155" s="120"/>
      <c r="H155" s="121">
        <v>7.33</v>
      </c>
      <c r="I155" s="33" t="s">
        <v>126</v>
      </c>
      <c r="J155" s="122">
        <f>J154*2</f>
        <v>16.053272727272727</v>
      </c>
      <c r="K155" s="85">
        <f>J155*H155</f>
        <v>117.67048909090909</v>
      </c>
      <c r="L155" s="6"/>
      <c r="M155" s="8"/>
      <c r="N155" s="8"/>
    </row>
    <row r="156" spans="1:14" ht="16.5" customHeight="1" x14ac:dyDescent="0.25">
      <c r="A156" s="7"/>
      <c r="B156" s="36" t="s">
        <v>198</v>
      </c>
      <c r="C156" s="91" t="s">
        <v>135</v>
      </c>
      <c r="D156" s="134"/>
      <c r="E156" s="134"/>
      <c r="F156" s="134"/>
      <c r="G156" s="129"/>
      <c r="H156" s="121"/>
      <c r="I156" s="36"/>
      <c r="J156" s="118">
        <f>61/304*(SUM(K155))</f>
        <v>23.611512613636364</v>
      </c>
      <c r="K156" s="128">
        <f>J156</f>
        <v>23.611512613636364</v>
      </c>
      <c r="L156" s="6"/>
      <c r="M156" s="8"/>
      <c r="N156" s="8"/>
    </row>
    <row r="157" spans="1:14" ht="16.5" customHeight="1" x14ac:dyDescent="0.25">
      <c r="A157" s="7"/>
      <c r="B157" s="33" t="s">
        <v>129</v>
      </c>
      <c r="C157" s="702" t="s">
        <v>139</v>
      </c>
      <c r="D157" s="537"/>
      <c r="E157" s="537"/>
      <c r="F157" s="537"/>
      <c r="G157" s="538"/>
      <c r="H157" s="33">
        <v>40</v>
      </c>
      <c r="I157" s="36" t="s">
        <v>141</v>
      </c>
      <c r="J157" s="82"/>
      <c r="K157" s="85">
        <f>K154*40%</f>
        <v>706.34400000000005</v>
      </c>
      <c r="L157" s="6"/>
      <c r="M157" s="8"/>
      <c r="N157" s="8"/>
    </row>
    <row r="158" spans="1:14" ht="16.5" customHeight="1" x14ac:dyDescent="0.25">
      <c r="A158" s="7"/>
      <c r="B158" s="33"/>
      <c r="C158" s="585" t="s">
        <v>142</v>
      </c>
      <c r="D158" s="537"/>
      <c r="E158" s="537"/>
      <c r="F158" s="537"/>
      <c r="G158" s="537"/>
      <c r="H158" s="537"/>
      <c r="I158" s="538"/>
      <c r="J158" s="52"/>
      <c r="K158" s="87">
        <f>SUM(K154:K157)</f>
        <v>2613.4860017045453</v>
      </c>
      <c r="L158" s="6"/>
      <c r="M158" s="8"/>
      <c r="N158" s="8"/>
    </row>
    <row r="159" spans="1:14" ht="16.5" customHeight="1" x14ac:dyDescent="0.25">
      <c r="A159" s="7"/>
      <c r="B159" s="81" t="s">
        <v>145</v>
      </c>
      <c r="C159" s="582" t="s">
        <v>146</v>
      </c>
      <c r="D159" s="537"/>
      <c r="E159" s="537"/>
      <c r="F159" s="537"/>
      <c r="G159" s="537"/>
      <c r="H159" s="537"/>
      <c r="I159" s="538"/>
      <c r="J159" s="81" t="s">
        <v>141</v>
      </c>
      <c r="K159" s="81" t="s">
        <v>121</v>
      </c>
      <c r="L159" s="6"/>
      <c r="M159" s="8"/>
      <c r="N159" s="8"/>
    </row>
    <row r="160" spans="1:14" ht="16.5" customHeight="1" x14ac:dyDescent="0.25">
      <c r="A160" s="7"/>
      <c r="B160" s="36" t="s">
        <v>147</v>
      </c>
      <c r="C160" s="580" t="s">
        <v>148</v>
      </c>
      <c r="D160" s="537"/>
      <c r="E160" s="537"/>
      <c r="F160" s="537"/>
      <c r="G160" s="537"/>
      <c r="H160" s="537"/>
      <c r="I160" s="538"/>
      <c r="J160" s="92">
        <f>'7 - ENCARGOS SOCIAIS'!$D$13</f>
        <v>0.36800000000000005</v>
      </c>
      <c r="K160" s="85">
        <f t="shared" ref="K160:K163" si="14">J160*$K$158</f>
        <v>961.76284862727277</v>
      </c>
      <c r="L160" s="6"/>
      <c r="M160" s="8"/>
      <c r="N160" s="8"/>
    </row>
    <row r="161" spans="1:14" ht="16.5" customHeight="1" x14ac:dyDescent="0.25">
      <c r="A161" s="7"/>
      <c r="B161" s="36" t="s">
        <v>150</v>
      </c>
      <c r="C161" s="580" t="s">
        <v>151</v>
      </c>
      <c r="D161" s="537"/>
      <c r="E161" s="537"/>
      <c r="F161" s="537"/>
      <c r="G161" s="537"/>
      <c r="H161" s="537"/>
      <c r="I161" s="538"/>
      <c r="J161" s="92">
        <f>'7 - ENCARGOS SOCIAIS'!$D$21</f>
        <v>0.15387245147090212</v>
      </c>
      <c r="K161" s="85">
        <f t="shared" si="14"/>
        <v>402.14349796716465</v>
      </c>
      <c r="L161" s="6"/>
      <c r="M161" s="8"/>
      <c r="N161" s="8"/>
    </row>
    <row r="162" spans="1:14" ht="16.5" customHeight="1" x14ac:dyDescent="0.25">
      <c r="A162" s="7"/>
      <c r="B162" s="36" t="s">
        <v>152</v>
      </c>
      <c r="C162" s="580" t="s">
        <v>153</v>
      </c>
      <c r="D162" s="537"/>
      <c r="E162" s="537"/>
      <c r="F162" s="537"/>
      <c r="G162" s="537"/>
      <c r="H162" s="537"/>
      <c r="I162" s="538"/>
      <c r="J162" s="92">
        <f>'7 - ENCARGOS SOCIAIS'!$D$28</f>
        <v>0.12666581537651095</v>
      </c>
      <c r="K162" s="85">
        <f t="shared" si="14"/>
        <v>331.0393353810037</v>
      </c>
      <c r="L162" s="6"/>
      <c r="M162" s="8"/>
      <c r="N162" s="8"/>
    </row>
    <row r="163" spans="1:14" ht="16.5" customHeight="1" x14ac:dyDescent="0.25">
      <c r="A163" s="7"/>
      <c r="B163" s="36" t="s">
        <v>155</v>
      </c>
      <c r="C163" s="580" t="s">
        <v>156</v>
      </c>
      <c r="D163" s="537"/>
      <c r="E163" s="537"/>
      <c r="F163" s="537"/>
      <c r="G163" s="537"/>
      <c r="H163" s="537"/>
      <c r="I163" s="538"/>
      <c r="J163" s="92">
        <f>'7 - ENCARGOS SOCIAIS'!$D$32</f>
        <v>5.9231502118822603E-2</v>
      </c>
      <c r="K163" s="85">
        <f t="shared" si="14"/>
        <v>154.80070164747599</v>
      </c>
      <c r="L163" s="6"/>
      <c r="M163" s="8"/>
      <c r="N163" s="8"/>
    </row>
    <row r="164" spans="1:14" ht="16.5" customHeight="1" x14ac:dyDescent="0.25">
      <c r="A164" s="7"/>
      <c r="B164" s="20"/>
      <c r="C164" s="586" t="s">
        <v>157</v>
      </c>
      <c r="D164" s="537"/>
      <c r="E164" s="537"/>
      <c r="F164" s="537"/>
      <c r="G164" s="537"/>
      <c r="H164" s="537"/>
      <c r="I164" s="538"/>
      <c r="J164" s="96">
        <f t="shared" ref="J164:K164" si="15">SUM(J160:J163)</f>
        <v>0.70776976896623567</v>
      </c>
      <c r="K164" s="97">
        <f t="shared" si="15"/>
        <v>1849.7463836229169</v>
      </c>
      <c r="L164" s="6"/>
      <c r="M164" s="8"/>
      <c r="N164" s="8"/>
    </row>
    <row r="165" spans="1:14" ht="16.5" customHeight="1" x14ac:dyDescent="0.25">
      <c r="A165" s="7"/>
      <c r="B165" s="81" t="s">
        <v>158</v>
      </c>
      <c r="C165" s="587" t="s">
        <v>159</v>
      </c>
      <c r="D165" s="537"/>
      <c r="E165" s="537"/>
      <c r="F165" s="537"/>
      <c r="G165" s="538"/>
      <c r="H165" s="100" t="s">
        <v>160</v>
      </c>
      <c r="I165" s="81" t="s">
        <v>120</v>
      </c>
      <c r="J165" s="81" t="s">
        <v>161</v>
      </c>
      <c r="K165" s="81" t="s">
        <v>121</v>
      </c>
      <c r="L165" s="6"/>
      <c r="M165" s="8"/>
      <c r="N165" s="8"/>
    </row>
    <row r="166" spans="1:14" ht="16.5" customHeight="1" x14ac:dyDescent="0.25">
      <c r="A166" s="7"/>
      <c r="B166" s="36" t="s">
        <v>162</v>
      </c>
      <c r="C166" s="580" t="s">
        <v>174</v>
      </c>
      <c r="D166" s="537"/>
      <c r="E166" s="537"/>
      <c r="F166" s="537"/>
      <c r="G166" s="538"/>
      <c r="H166" s="36">
        <v>26</v>
      </c>
      <c r="I166" s="102">
        <v>27.15</v>
      </c>
      <c r="J166" s="103">
        <v>0.19</v>
      </c>
      <c r="K166" s="42">
        <f>(H166*I166)-((H166*I166)*0.19)</f>
        <v>571.779</v>
      </c>
      <c r="L166" s="6"/>
      <c r="M166" s="8"/>
      <c r="N166" s="8"/>
    </row>
    <row r="167" spans="1:14" ht="16.5" customHeight="1" x14ac:dyDescent="0.25">
      <c r="A167" s="7"/>
      <c r="B167" s="36" t="s">
        <v>164</v>
      </c>
      <c r="C167" s="580" t="s">
        <v>177</v>
      </c>
      <c r="D167" s="537"/>
      <c r="E167" s="537"/>
      <c r="F167" s="537"/>
      <c r="G167" s="538"/>
      <c r="H167" s="36">
        <f>H166*4</f>
        <v>104</v>
      </c>
      <c r="I167" s="106">
        <v>6.25</v>
      </c>
      <c r="J167" s="103">
        <v>0.06</v>
      </c>
      <c r="K167" s="42">
        <f>(H167*I167)-(K154*0.06)</f>
        <v>544.04840000000002</v>
      </c>
      <c r="L167" s="6"/>
      <c r="M167" s="8"/>
      <c r="N167" s="8"/>
    </row>
    <row r="168" spans="1:14" ht="16.5" customHeight="1" x14ac:dyDescent="0.25">
      <c r="A168" s="7"/>
      <c r="B168" s="46" t="s">
        <v>166</v>
      </c>
      <c r="C168" s="712" t="s">
        <v>167</v>
      </c>
      <c r="D168" s="537"/>
      <c r="E168" s="537"/>
      <c r="F168" s="537"/>
      <c r="G168" s="538"/>
      <c r="H168" s="33">
        <v>1</v>
      </c>
      <c r="I168" s="102">
        <f>'6 - DADOS CC MO'!E82</f>
        <v>25.52</v>
      </c>
      <c r="J168" s="190"/>
      <c r="K168" s="191">
        <f t="shared" ref="K168:K169" si="16">I168</f>
        <v>25.52</v>
      </c>
      <c r="L168" s="6"/>
      <c r="M168" s="8"/>
      <c r="N168" s="8"/>
    </row>
    <row r="169" spans="1:14" ht="16.5" customHeight="1" x14ac:dyDescent="0.25">
      <c r="A169" s="7"/>
      <c r="B169" s="36" t="s">
        <v>168</v>
      </c>
      <c r="C169" s="580" t="s">
        <v>207</v>
      </c>
      <c r="D169" s="537"/>
      <c r="E169" s="537"/>
      <c r="F169" s="537"/>
      <c r="G169" s="538"/>
      <c r="H169" s="33">
        <v>1</v>
      </c>
      <c r="I169" s="102">
        <v>80</v>
      </c>
      <c r="J169" s="107"/>
      <c r="K169" s="132">
        <f t="shared" si="16"/>
        <v>80</v>
      </c>
      <c r="L169" s="6"/>
      <c r="M169" s="8"/>
      <c r="N169" s="8"/>
    </row>
    <row r="170" spans="1:14" ht="16.5" customHeight="1" x14ac:dyDescent="0.25">
      <c r="A170" s="7"/>
      <c r="B170" s="107"/>
      <c r="C170" s="585" t="s">
        <v>170</v>
      </c>
      <c r="D170" s="537"/>
      <c r="E170" s="537"/>
      <c r="F170" s="537"/>
      <c r="G170" s="537"/>
      <c r="H170" s="537"/>
      <c r="I170" s="538"/>
      <c r="J170" s="52"/>
      <c r="K170" s="110">
        <f>SUM(K166:K169)</f>
        <v>1221.3474000000001</v>
      </c>
      <c r="L170" s="6"/>
      <c r="M170" s="8"/>
      <c r="N170" s="8"/>
    </row>
    <row r="171" spans="1:14" ht="16.5" customHeight="1" x14ac:dyDescent="0.25">
      <c r="A171" s="7"/>
      <c r="B171" s="588" t="s">
        <v>385</v>
      </c>
      <c r="C171" s="564"/>
      <c r="D171" s="564"/>
      <c r="E171" s="564"/>
      <c r="F171" s="564"/>
      <c r="G171" s="564"/>
      <c r="H171" s="564"/>
      <c r="I171" s="564"/>
      <c r="J171" s="565"/>
      <c r="K171" s="113">
        <f>K170+K164+K158</f>
        <v>5684.5797853274617</v>
      </c>
      <c r="L171" s="6"/>
      <c r="M171" s="8"/>
      <c r="N171" s="8"/>
    </row>
    <row r="172" spans="1:14" ht="16.5" customHeight="1" x14ac:dyDescent="0.25">
      <c r="A172" s="7"/>
      <c r="B172" s="711" t="s">
        <v>187</v>
      </c>
      <c r="C172" s="611"/>
      <c r="D172" s="611"/>
      <c r="E172" s="611"/>
      <c r="F172" s="611"/>
      <c r="G172" s="611"/>
      <c r="H172" s="611"/>
      <c r="I172" s="611"/>
      <c r="J172" s="612"/>
      <c r="K172" s="114">
        <f>K171*1</f>
        <v>5684.5797853274617</v>
      </c>
      <c r="L172" s="6"/>
      <c r="M172" s="8"/>
      <c r="N172" s="8"/>
    </row>
    <row r="173" spans="1:14" ht="16.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10"/>
      <c r="L173" s="6"/>
      <c r="M173" s="8"/>
      <c r="N173" s="8"/>
    </row>
    <row r="174" spans="1:14" ht="16.5" customHeight="1" x14ac:dyDescent="0.25">
      <c r="A174" s="7"/>
      <c r="B174" s="581" t="s">
        <v>746</v>
      </c>
      <c r="C174" s="537"/>
      <c r="D174" s="537"/>
      <c r="E174" s="537"/>
      <c r="F174" s="537"/>
      <c r="G174" s="537"/>
      <c r="H174" s="537"/>
      <c r="I174" s="537"/>
      <c r="J174" s="537"/>
      <c r="K174" s="538"/>
      <c r="L174" s="6"/>
      <c r="M174" s="8"/>
      <c r="N174" s="8"/>
    </row>
    <row r="175" spans="1:14" ht="16.5" customHeight="1" x14ac:dyDescent="0.25">
      <c r="A175" s="7"/>
      <c r="B175" s="80" t="s">
        <v>116</v>
      </c>
      <c r="C175" s="582" t="s">
        <v>117</v>
      </c>
      <c r="D175" s="537"/>
      <c r="E175" s="537"/>
      <c r="F175" s="537"/>
      <c r="G175" s="538"/>
      <c r="H175" s="100" t="s">
        <v>118</v>
      </c>
      <c r="I175" s="117" t="s">
        <v>119</v>
      </c>
      <c r="J175" s="81" t="s">
        <v>120</v>
      </c>
      <c r="K175" s="81" t="s">
        <v>121</v>
      </c>
      <c r="L175" s="6"/>
      <c r="M175" s="8"/>
      <c r="N175" s="8"/>
    </row>
    <row r="176" spans="1:14" ht="16.5" customHeight="1" x14ac:dyDescent="0.25">
      <c r="A176" s="7"/>
      <c r="B176" s="36" t="s">
        <v>122</v>
      </c>
      <c r="C176" s="580" t="s">
        <v>123</v>
      </c>
      <c r="D176" s="537"/>
      <c r="E176" s="537"/>
      <c r="F176" s="537"/>
      <c r="G176" s="538"/>
      <c r="H176" s="33">
        <v>180</v>
      </c>
      <c r="I176" s="36" t="s">
        <v>126</v>
      </c>
      <c r="J176" s="118">
        <f>K176/H176</f>
        <v>11.8125</v>
      </c>
      <c r="K176" s="85">
        <f>'6 - DADOS CC MO'!E91</f>
        <v>2126.25</v>
      </c>
      <c r="L176" s="6"/>
      <c r="M176" s="8"/>
      <c r="N176" s="8"/>
    </row>
    <row r="177" spans="1:14" ht="16.5" customHeight="1" x14ac:dyDescent="0.25">
      <c r="A177" s="7"/>
      <c r="B177" s="36" t="s">
        <v>195</v>
      </c>
      <c r="C177" s="50" t="s">
        <v>130</v>
      </c>
      <c r="D177" s="119"/>
      <c r="E177" s="119"/>
      <c r="F177" s="119"/>
      <c r="G177" s="129"/>
      <c r="H177" s="121">
        <f>7+1/3</f>
        <v>7.333333333333333</v>
      </c>
      <c r="I177" s="36" t="s">
        <v>126</v>
      </c>
      <c r="J177" s="130">
        <f>J176*2</f>
        <v>23.625</v>
      </c>
      <c r="K177" s="85">
        <f>J177*H177</f>
        <v>173.25</v>
      </c>
      <c r="L177" s="6"/>
      <c r="M177" s="8"/>
      <c r="N177" s="8"/>
    </row>
    <row r="178" spans="1:14" ht="16.5" customHeight="1" x14ac:dyDescent="0.25">
      <c r="A178" s="7"/>
      <c r="B178" s="36" t="s">
        <v>198</v>
      </c>
      <c r="C178" s="50" t="s">
        <v>200</v>
      </c>
      <c r="D178" s="119"/>
      <c r="E178" s="119"/>
      <c r="F178" s="119"/>
      <c r="G178" s="129"/>
      <c r="H178" s="33"/>
      <c r="I178" s="36"/>
      <c r="J178" s="130">
        <f>61/304*(SUM(K177))</f>
        <v>34.763980263157897</v>
      </c>
      <c r="K178" s="85">
        <f>J178</f>
        <v>34.763980263157897</v>
      </c>
      <c r="L178" s="6"/>
      <c r="M178" s="8"/>
      <c r="N178" s="8"/>
    </row>
    <row r="179" spans="1:14" ht="16.5" customHeight="1" x14ac:dyDescent="0.25">
      <c r="A179" s="7"/>
      <c r="B179" s="36" t="s">
        <v>129</v>
      </c>
      <c r="C179" s="580" t="s">
        <v>139</v>
      </c>
      <c r="D179" s="537"/>
      <c r="E179" s="537"/>
      <c r="F179" s="537"/>
      <c r="G179" s="538"/>
      <c r="H179" s="33">
        <v>40</v>
      </c>
      <c r="I179" s="36" t="s">
        <v>141</v>
      </c>
      <c r="J179" s="82"/>
      <c r="K179" s="85">
        <f>K176*40%</f>
        <v>850.5</v>
      </c>
      <c r="L179" s="6"/>
      <c r="M179" s="8"/>
      <c r="N179" s="8"/>
    </row>
    <row r="180" spans="1:14" ht="16.5" customHeight="1" x14ac:dyDescent="0.25">
      <c r="A180" s="7"/>
      <c r="B180" s="33"/>
      <c r="C180" s="585" t="s">
        <v>142</v>
      </c>
      <c r="D180" s="537"/>
      <c r="E180" s="537"/>
      <c r="F180" s="537"/>
      <c r="G180" s="537"/>
      <c r="H180" s="537"/>
      <c r="I180" s="538"/>
      <c r="J180" s="52"/>
      <c r="K180" s="87">
        <f>SUM(K176:K179)</f>
        <v>3184.7639802631579</v>
      </c>
      <c r="L180" s="6"/>
      <c r="M180" s="8"/>
      <c r="N180" s="8"/>
    </row>
    <row r="181" spans="1:14" ht="16.5" customHeight="1" x14ac:dyDescent="0.25">
      <c r="A181" s="7"/>
      <c r="B181" s="81" t="s">
        <v>145</v>
      </c>
      <c r="C181" s="582" t="s">
        <v>146</v>
      </c>
      <c r="D181" s="537"/>
      <c r="E181" s="537"/>
      <c r="F181" s="537"/>
      <c r="G181" s="537"/>
      <c r="H181" s="537"/>
      <c r="I181" s="538"/>
      <c r="J181" s="81" t="s">
        <v>141</v>
      </c>
      <c r="K181" s="81" t="s">
        <v>121</v>
      </c>
      <c r="L181" s="6"/>
      <c r="M181" s="8"/>
      <c r="N181" s="8"/>
    </row>
    <row r="182" spans="1:14" ht="16.5" customHeight="1" x14ac:dyDescent="0.25">
      <c r="A182" s="7"/>
      <c r="B182" s="36" t="s">
        <v>147</v>
      </c>
      <c r="C182" s="580" t="s">
        <v>148</v>
      </c>
      <c r="D182" s="537"/>
      <c r="E182" s="537"/>
      <c r="F182" s="537"/>
      <c r="G182" s="537"/>
      <c r="H182" s="537"/>
      <c r="I182" s="538"/>
      <c r="J182" s="92">
        <f>'7 - ENCARGOS SOCIAIS'!$D$13</f>
        <v>0.36800000000000005</v>
      </c>
      <c r="K182" s="85">
        <f t="shared" ref="K182:K185" si="17">J182*$K$180</f>
        <v>1171.9931447368422</v>
      </c>
      <c r="L182" s="6"/>
      <c r="M182" s="8"/>
      <c r="N182" s="8"/>
    </row>
    <row r="183" spans="1:14" ht="16.5" customHeight="1" x14ac:dyDescent="0.25">
      <c r="A183" s="7"/>
      <c r="B183" s="36" t="s">
        <v>150</v>
      </c>
      <c r="C183" s="580" t="s">
        <v>151</v>
      </c>
      <c r="D183" s="537"/>
      <c r="E183" s="537"/>
      <c r="F183" s="537"/>
      <c r="G183" s="537"/>
      <c r="H183" s="537"/>
      <c r="I183" s="538"/>
      <c r="J183" s="92">
        <f>'7 - ENCARGOS SOCIAIS'!$D$21</f>
        <v>0.15387245147090212</v>
      </c>
      <c r="K183" s="85">
        <f t="shared" si="17"/>
        <v>490.0474409993198</v>
      </c>
      <c r="L183" s="6"/>
      <c r="M183" s="8"/>
      <c r="N183" s="8"/>
    </row>
    <row r="184" spans="1:14" ht="16.5" customHeight="1" x14ac:dyDescent="0.25">
      <c r="A184" s="7"/>
      <c r="B184" s="36" t="s">
        <v>152</v>
      </c>
      <c r="C184" s="580" t="s">
        <v>153</v>
      </c>
      <c r="D184" s="537"/>
      <c r="E184" s="537"/>
      <c r="F184" s="537"/>
      <c r="G184" s="537"/>
      <c r="H184" s="537"/>
      <c r="I184" s="538"/>
      <c r="J184" s="92">
        <f>'7 - ENCARGOS SOCIAIS'!$D$28</f>
        <v>0.12666581537651095</v>
      </c>
      <c r="K184" s="85">
        <f t="shared" si="17"/>
        <v>403.40072634177534</v>
      </c>
      <c r="L184" s="6"/>
      <c r="M184" s="8"/>
      <c r="N184" s="8"/>
    </row>
    <row r="185" spans="1:14" ht="16.5" customHeight="1" x14ac:dyDescent="0.25">
      <c r="A185" s="7"/>
      <c r="B185" s="36" t="s">
        <v>155</v>
      </c>
      <c r="C185" s="580" t="s">
        <v>156</v>
      </c>
      <c r="D185" s="537"/>
      <c r="E185" s="537"/>
      <c r="F185" s="537"/>
      <c r="G185" s="537"/>
      <c r="H185" s="537"/>
      <c r="I185" s="538"/>
      <c r="J185" s="92">
        <f>'7 - ENCARGOS SOCIAIS'!$D$32</f>
        <v>5.9231502118822603E-2</v>
      </c>
      <c r="K185" s="85">
        <f t="shared" si="17"/>
        <v>188.63835444490715</v>
      </c>
      <c r="L185" s="6"/>
      <c r="M185" s="8"/>
      <c r="N185" s="8"/>
    </row>
    <row r="186" spans="1:14" ht="16.5" customHeight="1" x14ac:dyDescent="0.25">
      <c r="A186" s="7"/>
      <c r="B186" s="20"/>
      <c r="C186" s="586" t="s">
        <v>157</v>
      </c>
      <c r="D186" s="537"/>
      <c r="E186" s="537"/>
      <c r="F186" s="537"/>
      <c r="G186" s="537"/>
      <c r="H186" s="537"/>
      <c r="I186" s="538"/>
      <c r="J186" s="96">
        <f t="shared" ref="J186:K186" si="18">SUM(J182:J185)</f>
        <v>0.70776976896623567</v>
      </c>
      <c r="K186" s="97">
        <f t="shared" si="18"/>
        <v>2254.0796665228445</v>
      </c>
      <c r="L186" s="6"/>
      <c r="M186" s="8"/>
      <c r="N186" s="8"/>
    </row>
    <row r="187" spans="1:14" ht="16.5" customHeight="1" x14ac:dyDescent="0.25">
      <c r="A187" s="7"/>
      <c r="B187" s="81" t="s">
        <v>158</v>
      </c>
      <c r="C187" s="587" t="s">
        <v>159</v>
      </c>
      <c r="D187" s="537"/>
      <c r="E187" s="537"/>
      <c r="F187" s="537"/>
      <c r="G187" s="538"/>
      <c r="H187" s="100" t="s">
        <v>160</v>
      </c>
      <c r="I187" s="81" t="s">
        <v>120</v>
      </c>
      <c r="J187" s="81" t="s">
        <v>161</v>
      </c>
      <c r="K187" s="81" t="s">
        <v>121</v>
      </c>
      <c r="L187" s="6"/>
      <c r="M187" s="8"/>
      <c r="N187" s="8"/>
    </row>
    <row r="188" spans="1:14" ht="16.5" customHeight="1" x14ac:dyDescent="0.25">
      <c r="A188" s="7"/>
      <c r="B188" s="36" t="s">
        <v>162</v>
      </c>
      <c r="C188" s="580" t="s">
        <v>409</v>
      </c>
      <c r="D188" s="537"/>
      <c r="E188" s="537"/>
      <c r="F188" s="537"/>
      <c r="G188" s="538"/>
      <c r="H188" s="36">
        <v>15</v>
      </c>
      <c r="I188" s="102">
        <v>27.15</v>
      </c>
      <c r="J188" s="103">
        <v>0.19</v>
      </c>
      <c r="K188" s="42">
        <f>(H188*I188)-((H188*I188)*0.19)</f>
        <v>329.8725</v>
      </c>
      <c r="L188" s="6"/>
      <c r="M188" s="8"/>
      <c r="N188" s="8"/>
    </row>
    <row r="189" spans="1:14" ht="16.5" customHeight="1" x14ac:dyDescent="0.25">
      <c r="A189" s="7"/>
      <c r="B189" s="36" t="s">
        <v>164</v>
      </c>
      <c r="C189" s="580" t="s">
        <v>177</v>
      </c>
      <c r="D189" s="537"/>
      <c r="E189" s="537"/>
      <c r="F189" s="537"/>
      <c r="G189" s="538"/>
      <c r="H189" s="36">
        <f>H188*4</f>
        <v>60</v>
      </c>
      <c r="I189" s="106">
        <v>6.25</v>
      </c>
      <c r="J189" s="103">
        <v>0.06</v>
      </c>
      <c r="K189" s="42">
        <f>(H189*I189)-(K176*0.06)</f>
        <v>247.42500000000001</v>
      </c>
      <c r="L189" s="6"/>
      <c r="M189" s="8"/>
      <c r="N189" s="8"/>
    </row>
    <row r="190" spans="1:14" ht="16.5" customHeight="1" x14ac:dyDescent="0.25">
      <c r="A190" s="7"/>
      <c r="B190" s="36" t="s">
        <v>166</v>
      </c>
      <c r="C190" s="580" t="s">
        <v>167</v>
      </c>
      <c r="D190" s="537"/>
      <c r="E190" s="537"/>
      <c r="F190" s="537"/>
      <c r="G190" s="538"/>
      <c r="H190" s="33">
        <v>1</v>
      </c>
      <c r="I190" s="102">
        <f>'6 - DADOS CC MO'!E93</f>
        <v>25.52</v>
      </c>
      <c r="J190" s="107"/>
      <c r="K190" s="132">
        <f t="shared" ref="K190:K191" si="19">I190</f>
        <v>25.52</v>
      </c>
      <c r="L190" s="6"/>
      <c r="M190" s="8"/>
      <c r="N190" s="8"/>
    </row>
    <row r="191" spans="1:14" ht="16.5" customHeight="1" x14ac:dyDescent="0.25">
      <c r="A191" s="7"/>
      <c r="B191" s="36" t="s">
        <v>168</v>
      </c>
      <c r="C191" s="580" t="s">
        <v>207</v>
      </c>
      <c r="D191" s="537"/>
      <c r="E191" s="537"/>
      <c r="F191" s="537"/>
      <c r="G191" s="538"/>
      <c r="H191" s="33">
        <v>1</v>
      </c>
      <c r="I191" s="102">
        <v>80</v>
      </c>
      <c r="J191" s="107"/>
      <c r="K191" s="132">
        <f t="shared" si="19"/>
        <v>80</v>
      </c>
      <c r="L191" s="6"/>
      <c r="M191" s="8"/>
      <c r="N191" s="8"/>
    </row>
    <row r="192" spans="1:14" ht="16.5" customHeight="1" x14ac:dyDescent="0.25">
      <c r="A192" s="7"/>
      <c r="B192" s="107"/>
      <c r="C192" s="585" t="s">
        <v>170</v>
      </c>
      <c r="D192" s="537"/>
      <c r="E192" s="537"/>
      <c r="F192" s="537"/>
      <c r="G192" s="537"/>
      <c r="H192" s="537"/>
      <c r="I192" s="538"/>
      <c r="J192" s="52"/>
      <c r="K192" s="110">
        <f>SUM(K188:K191)</f>
        <v>682.8175</v>
      </c>
      <c r="L192" s="6"/>
      <c r="M192" s="8"/>
      <c r="N192" s="8"/>
    </row>
    <row r="193" spans="1:14" ht="16.5" customHeight="1" x14ac:dyDescent="0.25">
      <c r="A193" s="7"/>
      <c r="B193" s="588" t="s">
        <v>424</v>
      </c>
      <c r="C193" s="564"/>
      <c r="D193" s="564"/>
      <c r="E193" s="564"/>
      <c r="F193" s="564"/>
      <c r="G193" s="564"/>
      <c r="H193" s="564"/>
      <c r="I193" s="564"/>
      <c r="J193" s="565"/>
      <c r="K193" s="113">
        <f>K192+K186+K180</f>
        <v>6121.6611467860021</v>
      </c>
      <c r="L193" s="6"/>
      <c r="M193" s="8"/>
      <c r="N193" s="8"/>
    </row>
    <row r="194" spans="1:14" ht="16.5" customHeight="1" x14ac:dyDescent="0.25">
      <c r="A194" s="7"/>
      <c r="B194" s="711" t="s">
        <v>426</v>
      </c>
      <c r="C194" s="611"/>
      <c r="D194" s="611"/>
      <c r="E194" s="611"/>
      <c r="F194" s="611"/>
      <c r="G194" s="611"/>
      <c r="H194" s="611"/>
      <c r="I194" s="611"/>
      <c r="J194" s="612"/>
      <c r="K194" s="114">
        <f>K193*2</f>
        <v>12243.322293572004</v>
      </c>
      <c r="L194" s="6"/>
      <c r="M194" s="8"/>
      <c r="N194" s="8"/>
    </row>
    <row r="195" spans="1:14" ht="16.5" customHeight="1" x14ac:dyDescent="0.25">
      <c r="A195" s="7"/>
      <c r="B195" s="206"/>
      <c r="C195" s="206"/>
      <c r="D195" s="206"/>
      <c r="E195" s="206"/>
      <c r="F195" s="206"/>
      <c r="G195" s="206"/>
      <c r="H195" s="206"/>
      <c r="I195" s="206"/>
      <c r="J195" s="206"/>
      <c r="K195" s="207"/>
      <c r="L195" s="6"/>
      <c r="M195" s="8"/>
      <c r="N195" s="8"/>
    </row>
    <row r="196" spans="1:14" ht="16.5" customHeight="1" x14ac:dyDescent="0.25">
      <c r="A196" s="7"/>
      <c r="B196" s="581" t="s">
        <v>768</v>
      </c>
      <c r="C196" s="537"/>
      <c r="D196" s="537"/>
      <c r="E196" s="537"/>
      <c r="F196" s="537"/>
      <c r="G196" s="537"/>
      <c r="H196" s="537"/>
      <c r="I196" s="537"/>
      <c r="J196" s="537"/>
      <c r="K196" s="538"/>
      <c r="L196" s="6"/>
      <c r="M196" s="8"/>
      <c r="N196" s="8"/>
    </row>
    <row r="197" spans="1:14" ht="16.5" customHeight="1" x14ac:dyDescent="0.25">
      <c r="A197" s="7"/>
      <c r="B197" s="80" t="s">
        <v>116</v>
      </c>
      <c r="C197" s="582" t="s">
        <v>117</v>
      </c>
      <c r="D197" s="537"/>
      <c r="E197" s="537"/>
      <c r="F197" s="537"/>
      <c r="G197" s="538"/>
      <c r="H197" s="100" t="s">
        <v>118</v>
      </c>
      <c r="I197" s="117" t="s">
        <v>119</v>
      </c>
      <c r="J197" s="81" t="s">
        <v>120</v>
      </c>
      <c r="K197" s="81" t="s">
        <v>121</v>
      </c>
      <c r="L197" s="6"/>
      <c r="M197" s="8"/>
      <c r="N197" s="8"/>
    </row>
    <row r="198" spans="1:14" ht="16.5" customHeight="1" x14ac:dyDescent="0.25">
      <c r="A198" s="7"/>
      <c r="B198" s="36" t="s">
        <v>122</v>
      </c>
      <c r="C198" s="580" t="s">
        <v>123</v>
      </c>
      <c r="D198" s="537"/>
      <c r="E198" s="537"/>
      <c r="F198" s="537"/>
      <c r="G198" s="538"/>
      <c r="H198" s="33">
        <v>180</v>
      </c>
      <c r="I198" s="36" t="s">
        <v>126</v>
      </c>
      <c r="J198" s="118">
        <f>K198/H198</f>
        <v>11.8125</v>
      </c>
      <c r="K198" s="85">
        <f>'6 - DADOS CC MO'!E91</f>
        <v>2126.25</v>
      </c>
      <c r="L198" s="6"/>
      <c r="M198" s="8"/>
      <c r="N198" s="8"/>
    </row>
    <row r="199" spans="1:14" ht="16.5" customHeight="1" x14ac:dyDescent="0.25">
      <c r="A199" s="7"/>
      <c r="B199" s="583" t="s">
        <v>129</v>
      </c>
      <c r="C199" s="584" t="s">
        <v>178</v>
      </c>
      <c r="D199" s="542"/>
      <c r="E199" s="542"/>
      <c r="F199" s="542"/>
      <c r="G199" s="577"/>
      <c r="H199" s="33">
        <f>7*15</f>
        <v>105</v>
      </c>
      <c r="I199" s="36" t="s">
        <v>180</v>
      </c>
      <c r="J199" s="118"/>
      <c r="K199" s="85"/>
      <c r="L199" s="6"/>
      <c r="M199" s="8"/>
      <c r="N199" s="8"/>
    </row>
    <row r="200" spans="1:14" ht="16.5" customHeight="1" x14ac:dyDescent="0.25">
      <c r="A200" s="7"/>
      <c r="B200" s="550"/>
      <c r="C200" s="578"/>
      <c r="D200" s="544"/>
      <c r="E200" s="544"/>
      <c r="F200" s="544"/>
      <c r="G200" s="579"/>
      <c r="H200" s="33">
        <f>H199*8/7</f>
        <v>120</v>
      </c>
      <c r="I200" s="36" t="s">
        <v>181</v>
      </c>
      <c r="J200" s="118">
        <f>J198*0.2</f>
        <v>2.3625000000000003</v>
      </c>
      <c r="K200" s="85">
        <f>H200*J200</f>
        <v>283.50000000000006</v>
      </c>
      <c r="L200" s="6"/>
      <c r="M200" s="8"/>
      <c r="N200" s="8"/>
    </row>
    <row r="201" spans="1:14" ht="16.5" customHeight="1" x14ac:dyDescent="0.25">
      <c r="A201" s="7"/>
      <c r="B201" s="36" t="s">
        <v>183</v>
      </c>
      <c r="C201" s="50" t="s">
        <v>130</v>
      </c>
      <c r="D201" s="119"/>
      <c r="E201" s="119"/>
      <c r="F201" s="119"/>
      <c r="G201" s="120"/>
      <c r="H201" s="121">
        <f>7+1/3-H202</f>
        <v>3</v>
      </c>
      <c r="I201" s="33" t="s">
        <v>126</v>
      </c>
      <c r="J201" s="122">
        <f>J198*2</f>
        <v>23.625</v>
      </c>
      <c r="K201" s="85">
        <f>J201*H201</f>
        <v>70.875</v>
      </c>
      <c r="L201" s="6"/>
      <c r="M201" s="8"/>
      <c r="N201" s="8"/>
    </row>
    <row r="202" spans="1:14" ht="16.5" customHeight="1" x14ac:dyDescent="0.25">
      <c r="A202" s="7"/>
      <c r="B202" s="36" t="s">
        <v>185</v>
      </c>
      <c r="C202" s="50" t="s">
        <v>186</v>
      </c>
      <c r="D202" s="119"/>
      <c r="E202" s="119"/>
      <c r="F202" s="119"/>
      <c r="G202" s="120"/>
      <c r="H202" s="121">
        <f>4+1/3</f>
        <v>4.333333333333333</v>
      </c>
      <c r="I202" s="33" t="s">
        <v>126</v>
      </c>
      <c r="J202" s="122"/>
      <c r="K202" s="85"/>
      <c r="L202" s="6"/>
      <c r="M202" s="8"/>
      <c r="N202" s="8"/>
    </row>
    <row r="203" spans="1:14" ht="16.5" customHeight="1" x14ac:dyDescent="0.25">
      <c r="A203" s="7"/>
      <c r="B203" s="36" t="s">
        <v>188</v>
      </c>
      <c r="C203" s="50" t="s">
        <v>189</v>
      </c>
      <c r="D203" s="119"/>
      <c r="E203" s="119"/>
      <c r="F203" s="119"/>
      <c r="G203" s="120"/>
      <c r="H203" s="121">
        <f>H202*8/7</f>
        <v>4.9523809523809517</v>
      </c>
      <c r="I203" s="33" t="s">
        <v>126</v>
      </c>
      <c r="J203" s="122">
        <f>J198*2*1.2</f>
        <v>28.349999999999998</v>
      </c>
      <c r="K203" s="85">
        <f>J203*H203</f>
        <v>140.39999999999998</v>
      </c>
      <c r="L203" s="6"/>
      <c r="M203" s="8"/>
      <c r="N203" s="8"/>
    </row>
    <row r="204" spans="1:14" ht="16.5" customHeight="1" x14ac:dyDescent="0.25">
      <c r="A204" s="7"/>
      <c r="B204" s="36" t="s">
        <v>192</v>
      </c>
      <c r="C204" s="50" t="s">
        <v>200</v>
      </c>
      <c r="D204" s="119"/>
      <c r="E204" s="119"/>
      <c r="F204" s="119"/>
      <c r="G204" s="120"/>
      <c r="H204" s="33"/>
      <c r="I204" s="7"/>
      <c r="J204" s="122">
        <f>61/304*(SUM(K200:K203))</f>
        <v>99.280509868421063</v>
      </c>
      <c r="K204" s="85">
        <f>J204</f>
        <v>99.280509868421063</v>
      </c>
      <c r="L204" s="6"/>
      <c r="M204" s="8"/>
      <c r="N204" s="8"/>
    </row>
    <row r="205" spans="1:14" ht="16.5" customHeight="1" x14ac:dyDescent="0.25">
      <c r="A205" s="7"/>
      <c r="B205" s="36" t="s">
        <v>134</v>
      </c>
      <c r="C205" s="580" t="s">
        <v>139</v>
      </c>
      <c r="D205" s="537"/>
      <c r="E205" s="537"/>
      <c r="F205" s="537"/>
      <c r="G205" s="538"/>
      <c r="H205" s="33">
        <v>40</v>
      </c>
      <c r="I205" s="36" t="s">
        <v>141</v>
      </c>
      <c r="J205" s="82"/>
      <c r="K205" s="85">
        <f>K198*40%</f>
        <v>850.5</v>
      </c>
      <c r="L205" s="6"/>
      <c r="M205" s="8"/>
      <c r="N205" s="8"/>
    </row>
    <row r="206" spans="1:14" ht="16.5" customHeight="1" x14ac:dyDescent="0.25">
      <c r="A206" s="7"/>
      <c r="B206" s="33"/>
      <c r="C206" s="585" t="s">
        <v>142</v>
      </c>
      <c r="D206" s="537"/>
      <c r="E206" s="537"/>
      <c r="F206" s="537"/>
      <c r="G206" s="537"/>
      <c r="H206" s="537"/>
      <c r="I206" s="538"/>
      <c r="J206" s="52"/>
      <c r="K206" s="87">
        <f>SUM(K198:K205)</f>
        <v>3570.8055098684213</v>
      </c>
      <c r="L206" s="6"/>
      <c r="M206" s="8"/>
      <c r="N206" s="8"/>
    </row>
    <row r="207" spans="1:14" ht="16.5" customHeight="1" x14ac:dyDescent="0.25">
      <c r="A207" s="7"/>
      <c r="B207" s="81" t="s">
        <v>145</v>
      </c>
      <c r="C207" s="582" t="s">
        <v>146</v>
      </c>
      <c r="D207" s="537"/>
      <c r="E207" s="537"/>
      <c r="F207" s="537"/>
      <c r="G207" s="537"/>
      <c r="H207" s="537"/>
      <c r="I207" s="538"/>
      <c r="J207" s="81" t="s">
        <v>141</v>
      </c>
      <c r="K207" s="81" t="s">
        <v>121</v>
      </c>
      <c r="L207" s="6"/>
      <c r="M207" s="8"/>
      <c r="N207" s="8"/>
    </row>
    <row r="208" spans="1:14" ht="16.5" customHeight="1" x14ac:dyDescent="0.25">
      <c r="A208" s="7"/>
      <c r="B208" s="36" t="s">
        <v>147</v>
      </c>
      <c r="C208" s="580" t="s">
        <v>148</v>
      </c>
      <c r="D208" s="537"/>
      <c r="E208" s="537"/>
      <c r="F208" s="537"/>
      <c r="G208" s="537"/>
      <c r="H208" s="537"/>
      <c r="I208" s="538"/>
      <c r="J208" s="92">
        <f>'7 - ENCARGOS SOCIAIS'!$D$13</f>
        <v>0.36800000000000005</v>
      </c>
      <c r="K208" s="85">
        <f>J208*K206</f>
        <v>1314.0564276315793</v>
      </c>
      <c r="L208" s="6"/>
      <c r="M208" s="8"/>
      <c r="N208" s="8"/>
    </row>
    <row r="209" spans="1:14" ht="16.5" customHeight="1" x14ac:dyDescent="0.25">
      <c r="A209" s="7"/>
      <c r="B209" s="36" t="s">
        <v>150</v>
      </c>
      <c r="C209" s="580" t="s">
        <v>151</v>
      </c>
      <c r="D209" s="537"/>
      <c r="E209" s="537"/>
      <c r="F209" s="537"/>
      <c r="G209" s="537"/>
      <c r="H209" s="537"/>
      <c r="I209" s="538"/>
      <c r="J209" s="92">
        <f>'7 - ENCARGOS SOCIAIS'!$D$21</f>
        <v>0.15387245147090212</v>
      </c>
      <c r="K209" s="85">
        <f>J209*K206</f>
        <v>549.44859752925856</v>
      </c>
      <c r="L209" s="6"/>
      <c r="M209" s="8"/>
      <c r="N209" s="8"/>
    </row>
    <row r="210" spans="1:14" ht="16.5" customHeight="1" x14ac:dyDescent="0.25">
      <c r="A210" s="7"/>
      <c r="B210" s="36" t="s">
        <v>152</v>
      </c>
      <c r="C210" s="580" t="s">
        <v>153</v>
      </c>
      <c r="D210" s="537"/>
      <c r="E210" s="537"/>
      <c r="F210" s="537"/>
      <c r="G210" s="537"/>
      <c r="H210" s="537"/>
      <c r="I210" s="538"/>
      <c r="J210" s="92">
        <f>'7 - ENCARGOS SOCIAIS'!$D$28</f>
        <v>0.12666581537651095</v>
      </c>
      <c r="K210" s="85">
        <f>J210*K206</f>
        <v>452.29899145842148</v>
      </c>
      <c r="L210" s="6"/>
      <c r="M210" s="8"/>
      <c r="N210" s="8"/>
    </row>
    <row r="211" spans="1:14" ht="16.5" customHeight="1" x14ac:dyDescent="0.25">
      <c r="A211" s="7"/>
      <c r="B211" s="36" t="s">
        <v>155</v>
      </c>
      <c r="C211" s="580" t="s">
        <v>156</v>
      </c>
      <c r="D211" s="537"/>
      <c r="E211" s="537"/>
      <c r="F211" s="537"/>
      <c r="G211" s="537"/>
      <c r="H211" s="537"/>
      <c r="I211" s="538"/>
      <c r="J211" s="92">
        <f>'7 - ENCARGOS SOCIAIS'!$D$32</f>
        <v>5.9231502118822603E-2</v>
      </c>
      <c r="K211" s="85">
        <f>J211*K206</f>
        <v>211.50417412367483</v>
      </c>
      <c r="L211" s="6"/>
      <c r="M211" s="8"/>
      <c r="N211" s="8"/>
    </row>
    <row r="212" spans="1:14" ht="16.5" customHeight="1" x14ac:dyDescent="0.25">
      <c r="A212" s="7"/>
      <c r="B212" s="20"/>
      <c r="C212" s="586" t="s">
        <v>157</v>
      </c>
      <c r="D212" s="537"/>
      <c r="E212" s="537"/>
      <c r="F212" s="537"/>
      <c r="G212" s="537"/>
      <c r="H212" s="537"/>
      <c r="I212" s="538"/>
      <c r="J212" s="96">
        <f t="shared" ref="J212:K212" si="20">SUM(J208:J211)</f>
        <v>0.70776976896623567</v>
      </c>
      <c r="K212" s="97">
        <f t="shared" si="20"/>
        <v>2527.3081907429341</v>
      </c>
      <c r="L212" s="6"/>
      <c r="M212" s="8"/>
      <c r="N212" s="8"/>
    </row>
    <row r="213" spans="1:14" ht="16.5" customHeight="1" x14ac:dyDescent="0.25">
      <c r="A213" s="7"/>
      <c r="B213" s="81" t="s">
        <v>158</v>
      </c>
      <c r="C213" s="587" t="s">
        <v>159</v>
      </c>
      <c r="D213" s="537"/>
      <c r="E213" s="537"/>
      <c r="F213" s="537"/>
      <c r="G213" s="538"/>
      <c r="H213" s="100" t="s">
        <v>160</v>
      </c>
      <c r="I213" s="81" t="s">
        <v>120</v>
      </c>
      <c r="J213" s="81" t="s">
        <v>161</v>
      </c>
      <c r="K213" s="81" t="s">
        <v>121</v>
      </c>
      <c r="L213" s="6"/>
      <c r="M213" s="8"/>
      <c r="N213" s="8"/>
    </row>
    <row r="214" spans="1:14" ht="16.5" customHeight="1" x14ac:dyDescent="0.25">
      <c r="A214" s="7"/>
      <c r="B214" s="36" t="s">
        <v>162</v>
      </c>
      <c r="C214" s="580" t="s">
        <v>174</v>
      </c>
      <c r="D214" s="537"/>
      <c r="E214" s="537"/>
      <c r="F214" s="537"/>
      <c r="G214" s="538"/>
      <c r="H214" s="36">
        <v>15</v>
      </c>
      <c r="I214" s="102">
        <v>27.15</v>
      </c>
      <c r="J214" s="103">
        <v>0.19</v>
      </c>
      <c r="K214" s="42">
        <f>(H214*I214)-((H214*I214)*0.19)</f>
        <v>329.8725</v>
      </c>
      <c r="L214" s="6"/>
      <c r="M214" s="8"/>
      <c r="N214" s="8"/>
    </row>
    <row r="215" spans="1:14" ht="16.5" customHeight="1" x14ac:dyDescent="0.25">
      <c r="A215" s="7"/>
      <c r="B215" s="36" t="s">
        <v>164</v>
      </c>
      <c r="C215" s="580" t="s">
        <v>177</v>
      </c>
      <c r="D215" s="537"/>
      <c r="E215" s="537"/>
      <c r="F215" s="537"/>
      <c r="G215" s="538"/>
      <c r="H215" s="36">
        <f>H214*4</f>
        <v>60</v>
      </c>
      <c r="I215" s="106">
        <v>6.25</v>
      </c>
      <c r="J215" s="103">
        <v>0.06</v>
      </c>
      <c r="K215" s="42">
        <f>(H215*I215)-(K198*0.06)</f>
        <v>247.42500000000001</v>
      </c>
      <c r="L215" s="6"/>
      <c r="M215" s="8"/>
      <c r="N215" s="8"/>
    </row>
    <row r="216" spans="1:14" ht="16.5" customHeight="1" x14ac:dyDescent="0.25">
      <c r="A216" s="7"/>
      <c r="B216" s="36" t="s">
        <v>166</v>
      </c>
      <c r="C216" s="580" t="s">
        <v>167</v>
      </c>
      <c r="D216" s="537"/>
      <c r="E216" s="537"/>
      <c r="F216" s="537"/>
      <c r="G216" s="538"/>
      <c r="H216" s="33">
        <v>1</v>
      </c>
      <c r="I216" s="102">
        <f>'6 - DADOS CC MO'!E93</f>
        <v>25.52</v>
      </c>
      <c r="J216" s="107"/>
      <c r="K216" s="132">
        <f t="shared" ref="K216:K217" si="21">I216</f>
        <v>25.52</v>
      </c>
      <c r="L216" s="6"/>
      <c r="M216" s="8"/>
      <c r="N216" s="8"/>
    </row>
    <row r="217" spans="1:14" ht="16.5" customHeight="1" x14ac:dyDescent="0.25">
      <c r="A217" s="7"/>
      <c r="B217" s="36" t="s">
        <v>168</v>
      </c>
      <c r="C217" s="580" t="s">
        <v>207</v>
      </c>
      <c r="D217" s="537"/>
      <c r="E217" s="537"/>
      <c r="F217" s="537"/>
      <c r="G217" s="538"/>
      <c r="H217" s="33">
        <v>1</v>
      </c>
      <c r="I217" s="102">
        <v>80</v>
      </c>
      <c r="J217" s="107"/>
      <c r="K217" s="132">
        <f t="shared" si="21"/>
        <v>80</v>
      </c>
      <c r="L217" s="6"/>
      <c r="M217" s="8"/>
      <c r="N217" s="8"/>
    </row>
    <row r="218" spans="1:14" ht="16.5" customHeight="1" x14ac:dyDescent="0.25">
      <c r="A218" s="7"/>
      <c r="B218" s="107"/>
      <c r="C218" s="585" t="s">
        <v>170</v>
      </c>
      <c r="D218" s="537"/>
      <c r="E218" s="537"/>
      <c r="F218" s="537"/>
      <c r="G218" s="537"/>
      <c r="H218" s="537"/>
      <c r="I218" s="538"/>
      <c r="J218" s="52"/>
      <c r="K218" s="110">
        <f>SUM(K214:K217)</f>
        <v>682.8175</v>
      </c>
      <c r="L218" s="6"/>
      <c r="M218" s="8"/>
      <c r="N218" s="8"/>
    </row>
    <row r="219" spans="1:14" ht="16.5" customHeight="1" x14ac:dyDescent="0.25">
      <c r="A219" s="7"/>
      <c r="B219" s="588" t="s">
        <v>424</v>
      </c>
      <c r="C219" s="564"/>
      <c r="D219" s="564"/>
      <c r="E219" s="564"/>
      <c r="F219" s="564"/>
      <c r="G219" s="564"/>
      <c r="H219" s="564"/>
      <c r="I219" s="564"/>
      <c r="J219" s="565"/>
      <c r="K219" s="113">
        <f>K218+K212+K206</f>
        <v>6780.931200611356</v>
      </c>
      <c r="L219" s="6"/>
      <c r="M219" s="8"/>
      <c r="N219" s="8"/>
    </row>
    <row r="220" spans="1:14" ht="16.5" customHeight="1" x14ac:dyDescent="0.25">
      <c r="A220" s="7"/>
      <c r="B220" s="711" t="s">
        <v>426</v>
      </c>
      <c r="C220" s="611"/>
      <c r="D220" s="611"/>
      <c r="E220" s="611"/>
      <c r="F220" s="611"/>
      <c r="G220" s="611"/>
      <c r="H220" s="611"/>
      <c r="I220" s="611"/>
      <c r="J220" s="612"/>
      <c r="K220" s="114">
        <f>K219*2</f>
        <v>13561.862401222712</v>
      </c>
      <c r="L220" s="6"/>
      <c r="M220" s="8"/>
      <c r="N220" s="8"/>
    </row>
    <row r="221" spans="1:14" ht="16.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10"/>
      <c r="L221" s="6"/>
      <c r="M221" s="8"/>
      <c r="N221" s="8"/>
    </row>
    <row r="222" spans="1:14" ht="16.5" customHeight="1" x14ac:dyDescent="0.25">
      <c r="A222" s="7"/>
      <c r="B222" s="713" t="s">
        <v>441</v>
      </c>
      <c r="C222" s="537"/>
      <c r="D222" s="537"/>
      <c r="E222" s="537"/>
      <c r="F222" s="537"/>
      <c r="G222" s="537"/>
      <c r="H222" s="537"/>
      <c r="I222" s="537"/>
      <c r="J222" s="538"/>
      <c r="K222" s="214">
        <f>K220+K194+K172+K150+K128+K107+K86+K67+K46</f>
        <v>77436.468061081279</v>
      </c>
      <c r="L222" s="6"/>
      <c r="M222" s="8"/>
      <c r="N222" s="8"/>
    </row>
    <row r="223" spans="1:14" ht="16.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10"/>
      <c r="L223" s="6"/>
      <c r="M223" s="8"/>
      <c r="N223" s="8"/>
    </row>
    <row r="224" spans="1:14" ht="16.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10"/>
      <c r="L224" s="6"/>
      <c r="M224" s="8"/>
      <c r="N224" s="8"/>
    </row>
    <row r="225" spans="1:14" ht="16.5" customHeight="1" x14ac:dyDescent="0.25">
      <c r="A225" s="7"/>
      <c r="B225" s="709" t="s">
        <v>444</v>
      </c>
      <c r="C225" s="537"/>
      <c r="D225" s="537"/>
      <c r="E225" s="537"/>
      <c r="F225" s="537"/>
      <c r="G225" s="537"/>
      <c r="H225" s="537"/>
      <c r="I225" s="537"/>
      <c r="J225" s="537"/>
      <c r="K225" s="538"/>
      <c r="L225" s="6"/>
      <c r="M225" s="8"/>
      <c r="N225" s="8"/>
    </row>
    <row r="226" spans="1:14" ht="16.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10"/>
      <c r="L226" s="6"/>
      <c r="M226" s="8"/>
      <c r="N226" s="8"/>
    </row>
    <row r="227" spans="1:14" ht="16.5" customHeight="1" x14ac:dyDescent="0.25">
      <c r="A227" s="7"/>
      <c r="B227" s="581" t="s">
        <v>445</v>
      </c>
      <c r="C227" s="537"/>
      <c r="D227" s="537"/>
      <c r="E227" s="537"/>
      <c r="F227" s="537"/>
      <c r="G227" s="537"/>
      <c r="H227" s="537"/>
      <c r="I227" s="537"/>
      <c r="J227" s="537"/>
      <c r="K227" s="538"/>
      <c r="L227" s="6"/>
      <c r="M227" s="8"/>
      <c r="N227" s="8"/>
    </row>
    <row r="228" spans="1:14" ht="32.25" customHeight="1" x14ac:dyDescent="0.25">
      <c r="A228" s="7"/>
      <c r="B228" s="586" t="s">
        <v>239</v>
      </c>
      <c r="C228" s="537"/>
      <c r="D228" s="537"/>
      <c r="E228" s="537"/>
      <c r="F228" s="538"/>
      <c r="G228" s="22" t="s">
        <v>318</v>
      </c>
      <c r="H228" s="22" t="s">
        <v>241</v>
      </c>
      <c r="I228" s="698" t="s">
        <v>242</v>
      </c>
      <c r="J228" s="538"/>
      <c r="K228" s="20" t="s">
        <v>243</v>
      </c>
      <c r="L228" s="6"/>
      <c r="M228" s="8"/>
      <c r="N228" s="8"/>
    </row>
    <row r="229" spans="1:14" ht="16.5" customHeight="1" x14ac:dyDescent="0.25">
      <c r="A229" s="7"/>
      <c r="B229" s="702" t="s">
        <v>263</v>
      </c>
      <c r="C229" s="537"/>
      <c r="D229" s="537"/>
      <c r="E229" s="537"/>
      <c r="F229" s="538"/>
      <c r="G229" s="33">
        <v>1</v>
      </c>
      <c r="H229" s="106">
        <f>'10 - CUSTOS UN'!$J$36</f>
        <v>21.349999999999998</v>
      </c>
      <c r="I229" s="714">
        <f t="shared" ref="I229:I230" si="22">H229/6</f>
        <v>3.5583333333333331</v>
      </c>
      <c r="J229" s="538"/>
      <c r="K229" s="42">
        <f t="shared" ref="K229:K230" si="23">I229*G229</f>
        <v>3.5583333333333331</v>
      </c>
      <c r="L229" s="6"/>
      <c r="M229" s="8"/>
      <c r="N229" s="8"/>
    </row>
    <row r="230" spans="1:14" ht="16.5" customHeight="1" x14ac:dyDescent="0.25">
      <c r="A230" s="7"/>
      <c r="B230" s="715" t="s">
        <v>447</v>
      </c>
      <c r="C230" s="564"/>
      <c r="D230" s="564"/>
      <c r="E230" s="564"/>
      <c r="F230" s="565"/>
      <c r="G230" s="215">
        <v>1</v>
      </c>
      <c r="H230" s="348">
        <f>'10 - CUSTOS UN'!$J$63</f>
        <v>111.56333333333333</v>
      </c>
      <c r="I230" s="716">
        <f t="shared" si="22"/>
        <v>18.593888888888888</v>
      </c>
      <c r="J230" s="565"/>
      <c r="K230" s="217">
        <f t="shared" si="23"/>
        <v>18.593888888888888</v>
      </c>
      <c r="L230" s="6"/>
      <c r="M230" s="8"/>
      <c r="N230" s="8"/>
    </row>
    <row r="231" spans="1:14" ht="16.5" customHeight="1" x14ac:dyDescent="0.25">
      <c r="A231" s="7"/>
      <c r="B231" s="717" t="s">
        <v>260</v>
      </c>
      <c r="C231" s="544"/>
      <c r="D231" s="544"/>
      <c r="E231" s="544"/>
      <c r="F231" s="579"/>
      <c r="G231" s="218"/>
      <c r="H231" s="218"/>
      <c r="I231" s="718"/>
      <c r="J231" s="579"/>
      <c r="K231" s="219">
        <f>SUM(K229:K230)</f>
        <v>22.152222222222221</v>
      </c>
      <c r="L231" s="6"/>
      <c r="M231" s="8"/>
      <c r="N231" s="8"/>
    </row>
    <row r="232" spans="1:14" ht="16.5" customHeight="1" x14ac:dyDescent="0.25">
      <c r="A232" s="7"/>
      <c r="B232" s="719" t="s">
        <v>451</v>
      </c>
      <c r="C232" s="537"/>
      <c r="D232" s="537"/>
      <c r="E232" s="537"/>
      <c r="F232" s="538"/>
      <c r="G232" s="107"/>
      <c r="H232" s="107"/>
      <c r="I232" s="720">
        <f>K231</f>
        <v>22.152222222222221</v>
      </c>
      <c r="J232" s="538"/>
      <c r="K232" s="110">
        <f>K231*2</f>
        <v>44.304444444444442</v>
      </c>
      <c r="L232" s="6"/>
      <c r="M232" s="8"/>
      <c r="N232" s="8"/>
    </row>
    <row r="233" spans="1:14" ht="16.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10"/>
      <c r="L233" s="6"/>
      <c r="M233" s="8"/>
      <c r="N233" s="8"/>
    </row>
    <row r="234" spans="1:14" ht="16.5" customHeight="1" x14ac:dyDescent="0.25">
      <c r="A234" s="7"/>
      <c r="B234" s="581" t="s">
        <v>455</v>
      </c>
      <c r="C234" s="537"/>
      <c r="D234" s="537"/>
      <c r="E234" s="537"/>
      <c r="F234" s="537"/>
      <c r="G234" s="537"/>
      <c r="H234" s="537"/>
      <c r="I234" s="537"/>
      <c r="J234" s="537"/>
      <c r="K234" s="538"/>
      <c r="L234" s="6"/>
      <c r="M234" s="8"/>
      <c r="N234" s="8"/>
    </row>
    <row r="235" spans="1:14" ht="32.25" customHeight="1" x14ac:dyDescent="0.25">
      <c r="A235" s="7"/>
      <c r="B235" s="586" t="s">
        <v>239</v>
      </c>
      <c r="C235" s="537"/>
      <c r="D235" s="537"/>
      <c r="E235" s="537"/>
      <c r="F235" s="538"/>
      <c r="G235" s="22" t="s">
        <v>318</v>
      </c>
      <c r="H235" s="22" t="s">
        <v>241</v>
      </c>
      <c r="I235" s="698" t="s">
        <v>242</v>
      </c>
      <c r="J235" s="538"/>
      <c r="K235" s="20" t="s">
        <v>243</v>
      </c>
      <c r="L235" s="6"/>
      <c r="M235" s="8"/>
      <c r="N235" s="8"/>
    </row>
    <row r="236" spans="1:14" ht="16.5" customHeight="1" x14ac:dyDescent="0.25">
      <c r="A236" s="7"/>
      <c r="B236" s="702" t="s">
        <v>263</v>
      </c>
      <c r="C236" s="537"/>
      <c r="D236" s="537"/>
      <c r="E236" s="537"/>
      <c r="F236" s="538"/>
      <c r="G236" s="33">
        <v>1</v>
      </c>
      <c r="H236" s="250">
        <f>'10 - CUSTOS UN'!$J$36</f>
        <v>21.349999999999998</v>
      </c>
      <c r="I236" s="720">
        <f t="shared" ref="I236:I242" si="24">H236/6</f>
        <v>3.5583333333333331</v>
      </c>
      <c r="J236" s="538"/>
      <c r="K236" s="57">
        <f t="shared" ref="K236:K242" si="25">I236*G236</f>
        <v>3.5583333333333331</v>
      </c>
      <c r="L236" s="6"/>
      <c r="M236" s="8"/>
      <c r="N236" s="8"/>
    </row>
    <row r="237" spans="1:14" ht="16.5" customHeight="1" x14ac:dyDescent="0.25">
      <c r="A237" s="7"/>
      <c r="B237" s="702" t="s">
        <v>264</v>
      </c>
      <c r="C237" s="537"/>
      <c r="D237" s="537"/>
      <c r="E237" s="537"/>
      <c r="F237" s="538"/>
      <c r="G237" s="33">
        <v>1</v>
      </c>
      <c r="H237" s="250">
        <f>'10 - CUSTOS UN'!$J$27</f>
        <v>67.736666666666665</v>
      </c>
      <c r="I237" s="720">
        <f t="shared" si="24"/>
        <v>11.289444444444444</v>
      </c>
      <c r="J237" s="538"/>
      <c r="K237" s="57">
        <f t="shared" si="25"/>
        <v>11.289444444444444</v>
      </c>
      <c r="L237" s="6"/>
      <c r="M237" s="8"/>
      <c r="N237" s="8"/>
    </row>
    <row r="238" spans="1:14" ht="16.5" customHeight="1" x14ac:dyDescent="0.25">
      <c r="A238" s="7"/>
      <c r="B238" s="702" t="s">
        <v>250</v>
      </c>
      <c r="C238" s="537"/>
      <c r="D238" s="537"/>
      <c r="E238" s="537"/>
      <c r="F238" s="538"/>
      <c r="G238" s="33">
        <v>1</v>
      </c>
      <c r="H238" s="250">
        <f>'10 - CUSTOS UN'!$J$66</f>
        <v>156.05666666666664</v>
      </c>
      <c r="I238" s="720">
        <f t="shared" si="24"/>
        <v>26.009444444444441</v>
      </c>
      <c r="J238" s="538"/>
      <c r="K238" s="57">
        <f t="shared" si="25"/>
        <v>26.009444444444441</v>
      </c>
      <c r="L238" s="6"/>
      <c r="M238" s="8"/>
      <c r="N238" s="8"/>
    </row>
    <row r="239" spans="1:14" ht="16.5" customHeight="1" x14ac:dyDescent="0.25">
      <c r="A239" s="7"/>
      <c r="B239" s="702" t="s">
        <v>265</v>
      </c>
      <c r="C239" s="537"/>
      <c r="D239" s="537"/>
      <c r="E239" s="537"/>
      <c r="F239" s="538"/>
      <c r="G239" s="33">
        <v>1</v>
      </c>
      <c r="H239" s="250">
        <f>'10 - CUSTOS UN'!$J$30</f>
        <v>84.38</v>
      </c>
      <c r="I239" s="720">
        <f t="shared" si="24"/>
        <v>14.063333333333333</v>
      </c>
      <c r="J239" s="538"/>
      <c r="K239" s="57">
        <f t="shared" si="25"/>
        <v>14.063333333333333</v>
      </c>
      <c r="L239" s="6"/>
      <c r="M239" s="8"/>
      <c r="N239" s="8"/>
    </row>
    <row r="240" spans="1:14" ht="16.5" customHeight="1" x14ac:dyDescent="0.25">
      <c r="A240" s="7"/>
      <c r="B240" s="702" t="s">
        <v>258</v>
      </c>
      <c r="C240" s="537"/>
      <c r="D240" s="537"/>
      <c r="E240" s="537"/>
      <c r="F240" s="538"/>
      <c r="G240" s="33">
        <v>2</v>
      </c>
      <c r="H240" s="250">
        <f>'10 - CUSTOS UN'!$J$72</f>
        <v>8.2700000000000014</v>
      </c>
      <c r="I240" s="720">
        <f t="shared" si="24"/>
        <v>1.3783333333333336</v>
      </c>
      <c r="J240" s="538"/>
      <c r="K240" s="57">
        <f t="shared" si="25"/>
        <v>2.7566666666666673</v>
      </c>
      <c r="L240" s="6"/>
      <c r="M240" s="8"/>
      <c r="N240" s="8"/>
    </row>
    <row r="241" spans="1:14" ht="16.5" customHeight="1" x14ac:dyDescent="0.25">
      <c r="A241" s="7"/>
      <c r="B241" s="702" t="s">
        <v>256</v>
      </c>
      <c r="C241" s="537"/>
      <c r="D241" s="537"/>
      <c r="E241" s="537"/>
      <c r="F241" s="538"/>
      <c r="G241" s="33">
        <v>1</v>
      </c>
      <c r="H241" s="250">
        <f>'10 - CUSTOS UN'!$J$51</f>
        <v>212.1933333333333</v>
      </c>
      <c r="I241" s="720">
        <f t="shared" si="24"/>
        <v>35.365555555555552</v>
      </c>
      <c r="J241" s="538"/>
      <c r="K241" s="57">
        <f t="shared" si="25"/>
        <v>35.365555555555552</v>
      </c>
      <c r="L241" s="6"/>
      <c r="M241" s="8"/>
      <c r="N241" s="8"/>
    </row>
    <row r="242" spans="1:14" ht="16.5" customHeight="1" x14ac:dyDescent="0.25">
      <c r="A242" s="7"/>
      <c r="B242" s="715" t="s">
        <v>457</v>
      </c>
      <c r="C242" s="564"/>
      <c r="D242" s="564"/>
      <c r="E242" s="564"/>
      <c r="F242" s="565"/>
      <c r="G242" s="215">
        <v>1</v>
      </c>
      <c r="H242" s="252">
        <f>'10 - CUSTOS UN'!$J$48</f>
        <v>18.52</v>
      </c>
      <c r="I242" s="757">
        <f t="shared" si="24"/>
        <v>3.0866666666666664</v>
      </c>
      <c r="J242" s="565"/>
      <c r="K242" s="224">
        <f t="shared" si="25"/>
        <v>3.0866666666666664</v>
      </c>
      <c r="L242" s="6"/>
      <c r="M242" s="8"/>
      <c r="N242" s="8"/>
    </row>
    <row r="243" spans="1:14" ht="16.5" customHeight="1" x14ac:dyDescent="0.25">
      <c r="A243" s="7"/>
      <c r="B243" s="717" t="s">
        <v>260</v>
      </c>
      <c r="C243" s="544"/>
      <c r="D243" s="544"/>
      <c r="E243" s="544"/>
      <c r="F243" s="579"/>
      <c r="G243" s="218"/>
      <c r="H243" s="218"/>
      <c r="I243" s="769"/>
      <c r="J243" s="579"/>
      <c r="K243" s="219">
        <f>SUM(K236:K242)</f>
        <v>96.129444444444445</v>
      </c>
      <c r="L243" s="6"/>
      <c r="M243" s="8"/>
      <c r="N243" s="8"/>
    </row>
    <row r="244" spans="1:14" ht="16.5" customHeight="1" x14ac:dyDescent="0.25">
      <c r="A244" s="7"/>
      <c r="B244" s="719" t="s">
        <v>716</v>
      </c>
      <c r="C244" s="537"/>
      <c r="D244" s="537"/>
      <c r="E244" s="537"/>
      <c r="F244" s="538"/>
      <c r="G244" s="107"/>
      <c r="H244" s="107"/>
      <c r="I244" s="720">
        <f>K243</f>
        <v>96.129444444444445</v>
      </c>
      <c r="J244" s="538"/>
      <c r="K244" s="110">
        <f>K243*1</f>
        <v>96.129444444444445</v>
      </c>
      <c r="L244" s="6"/>
      <c r="M244" s="8"/>
      <c r="N244" s="8"/>
    </row>
    <row r="245" spans="1:14" ht="16.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10"/>
      <c r="L245" s="6"/>
      <c r="M245" s="8"/>
      <c r="N245" s="8"/>
    </row>
    <row r="246" spans="1:14" ht="16.5" customHeight="1" x14ac:dyDescent="0.25">
      <c r="A246" s="7"/>
      <c r="B246" s="581" t="s">
        <v>460</v>
      </c>
      <c r="C246" s="537"/>
      <c r="D246" s="537"/>
      <c r="E246" s="537"/>
      <c r="F246" s="537"/>
      <c r="G246" s="537"/>
      <c r="H246" s="537"/>
      <c r="I246" s="537"/>
      <c r="J246" s="537"/>
      <c r="K246" s="538"/>
      <c r="L246" s="6"/>
      <c r="M246" s="8"/>
      <c r="N246" s="8"/>
    </row>
    <row r="247" spans="1:14" ht="32.25" customHeight="1" x14ac:dyDescent="0.25">
      <c r="A247" s="7"/>
      <c r="B247" s="586" t="s">
        <v>239</v>
      </c>
      <c r="C247" s="537"/>
      <c r="D247" s="537"/>
      <c r="E247" s="537"/>
      <c r="F247" s="538"/>
      <c r="G247" s="22" t="s">
        <v>318</v>
      </c>
      <c r="H247" s="22" t="s">
        <v>241</v>
      </c>
      <c r="I247" s="698" t="s">
        <v>242</v>
      </c>
      <c r="J247" s="538"/>
      <c r="K247" s="20" t="s">
        <v>243</v>
      </c>
      <c r="L247" s="6"/>
      <c r="M247" s="8"/>
      <c r="N247" s="8"/>
    </row>
    <row r="248" spans="1:14" ht="16.5" customHeight="1" x14ac:dyDescent="0.25">
      <c r="A248" s="7"/>
      <c r="B248" s="745" t="s">
        <v>263</v>
      </c>
      <c r="C248" s="537"/>
      <c r="D248" s="537"/>
      <c r="E248" s="537"/>
      <c r="F248" s="538"/>
      <c r="G248" s="363">
        <v>2</v>
      </c>
      <c r="H248" s="250">
        <f>'10 - CUSTOS UN'!$J$36</f>
        <v>21.349999999999998</v>
      </c>
      <c r="I248" s="720">
        <f t="shared" ref="I248:I256" si="26">H248/6</f>
        <v>3.5583333333333331</v>
      </c>
      <c r="J248" s="538"/>
      <c r="K248" s="57">
        <f t="shared" ref="K248:K256" si="27">I248*G248</f>
        <v>7.1166666666666663</v>
      </c>
      <c r="L248" s="6"/>
      <c r="M248" s="8"/>
      <c r="N248" s="8"/>
    </row>
    <row r="249" spans="1:14" ht="16.5" customHeight="1" x14ac:dyDescent="0.25">
      <c r="A249" s="7"/>
      <c r="B249" s="745" t="s">
        <v>447</v>
      </c>
      <c r="C249" s="537"/>
      <c r="D249" s="537"/>
      <c r="E249" s="537"/>
      <c r="F249" s="538"/>
      <c r="G249" s="363">
        <v>1</v>
      </c>
      <c r="H249" s="106">
        <f>'10 - CUSTOS UN'!$J$63</f>
        <v>111.56333333333333</v>
      </c>
      <c r="I249" s="762">
        <f t="shared" si="26"/>
        <v>18.593888888888888</v>
      </c>
      <c r="J249" s="538"/>
      <c r="K249" s="57">
        <f t="shared" si="27"/>
        <v>18.593888888888888</v>
      </c>
      <c r="L249" s="6"/>
      <c r="M249" s="8"/>
      <c r="N249" s="8"/>
    </row>
    <row r="250" spans="1:14" ht="16.5" customHeight="1" x14ac:dyDescent="0.25">
      <c r="A250" s="7"/>
      <c r="B250" s="745" t="s">
        <v>461</v>
      </c>
      <c r="C250" s="537"/>
      <c r="D250" s="537"/>
      <c r="E250" s="537"/>
      <c r="F250" s="538"/>
      <c r="G250" s="363">
        <v>1</v>
      </c>
      <c r="H250" s="366">
        <f>'10 - CUSTOS UN'!$J$78</f>
        <v>146.51999999999998</v>
      </c>
      <c r="I250" s="762">
        <f t="shared" si="26"/>
        <v>24.419999999999998</v>
      </c>
      <c r="J250" s="538"/>
      <c r="K250" s="57">
        <f t="shared" si="27"/>
        <v>24.419999999999998</v>
      </c>
      <c r="L250" s="6"/>
      <c r="M250" s="8"/>
      <c r="N250" s="8"/>
    </row>
    <row r="251" spans="1:14" ht="16.5" customHeight="1" x14ac:dyDescent="0.25">
      <c r="A251" s="7"/>
      <c r="B251" s="702" t="s">
        <v>462</v>
      </c>
      <c r="C251" s="537"/>
      <c r="D251" s="537"/>
      <c r="E251" s="537"/>
      <c r="F251" s="538"/>
      <c r="G251" s="33">
        <v>1</v>
      </c>
      <c r="H251" s="250">
        <f>'10 - CUSTOS UN'!$J$81</f>
        <v>134.89000000000001</v>
      </c>
      <c r="I251" s="762">
        <f t="shared" si="26"/>
        <v>22.481666666666669</v>
      </c>
      <c r="J251" s="538"/>
      <c r="K251" s="57">
        <f t="shared" si="27"/>
        <v>22.481666666666669</v>
      </c>
      <c r="L251" s="6"/>
      <c r="M251" s="8"/>
      <c r="N251" s="8"/>
    </row>
    <row r="252" spans="1:14" ht="16.5" customHeight="1" x14ac:dyDescent="0.25">
      <c r="A252" s="7"/>
      <c r="B252" s="702" t="s">
        <v>463</v>
      </c>
      <c r="C252" s="537"/>
      <c r="D252" s="537"/>
      <c r="E252" s="537"/>
      <c r="F252" s="538"/>
      <c r="G252" s="33">
        <v>2</v>
      </c>
      <c r="H252" s="250">
        <f>'10 - CUSTOS UN'!$J$54</f>
        <v>10.023333333333333</v>
      </c>
      <c r="I252" s="762">
        <f t="shared" si="26"/>
        <v>1.6705555555555556</v>
      </c>
      <c r="J252" s="538"/>
      <c r="K252" s="57">
        <f t="shared" si="27"/>
        <v>3.3411111111111111</v>
      </c>
      <c r="L252" s="6"/>
      <c r="M252" s="8"/>
      <c r="N252" s="8"/>
    </row>
    <row r="253" spans="1:14" ht="16.5" customHeight="1" x14ac:dyDescent="0.25">
      <c r="A253" s="7"/>
      <c r="B253" s="702" t="s">
        <v>466</v>
      </c>
      <c r="C253" s="537"/>
      <c r="D253" s="537"/>
      <c r="E253" s="537"/>
      <c r="F253" s="538"/>
      <c r="G253" s="33">
        <v>1</v>
      </c>
      <c r="H253" s="250">
        <f>'10 - CUSTOS UN'!$J$90</f>
        <v>3.0066666666666664</v>
      </c>
      <c r="I253" s="762">
        <f t="shared" si="26"/>
        <v>0.50111111111111106</v>
      </c>
      <c r="J253" s="538"/>
      <c r="K253" s="57">
        <f t="shared" si="27"/>
        <v>0.50111111111111106</v>
      </c>
      <c r="L253" s="6"/>
      <c r="M253" s="8"/>
      <c r="N253" s="8"/>
    </row>
    <row r="254" spans="1:14" ht="16.5" customHeight="1" x14ac:dyDescent="0.25">
      <c r="A254" s="7"/>
      <c r="B254" s="702" t="s">
        <v>467</v>
      </c>
      <c r="C254" s="537"/>
      <c r="D254" s="537"/>
      <c r="E254" s="537"/>
      <c r="F254" s="538"/>
      <c r="G254" s="33">
        <v>3</v>
      </c>
      <c r="H254" s="250">
        <f>'10 - CUSTOS UN'!$J$75</f>
        <v>2.8833333333333333</v>
      </c>
      <c r="I254" s="762">
        <f t="shared" si="26"/>
        <v>0.48055555555555557</v>
      </c>
      <c r="J254" s="538"/>
      <c r="K254" s="57">
        <f t="shared" si="27"/>
        <v>1.4416666666666667</v>
      </c>
      <c r="L254" s="6"/>
      <c r="M254" s="8"/>
      <c r="N254" s="8"/>
    </row>
    <row r="255" spans="1:14" ht="16.5" customHeight="1" x14ac:dyDescent="0.25">
      <c r="A255" s="7"/>
      <c r="B255" s="702" t="s">
        <v>265</v>
      </c>
      <c r="C255" s="537"/>
      <c r="D255" s="537"/>
      <c r="E255" s="537"/>
      <c r="F255" s="538"/>
      <c r="G255" s="33">
        <v>1</v>
      </c>
      <c r="H255" s="250">
        <f>'10 - CUSTOS UN'!$J$30</f>
        <v>84.38</v>
      </c>
      <c r="I255" s="762">
        <f t="shared" si="26"/>
        <v>14.063333333333333</v>
      </c>
      <c r="J255" s="538"/>
      <c r="K255" s="57">
        <f t="shared" si="27"/>
        <v>14.063333333333333</v>
      </c>
      <c r="L255" s="6"/>
      <c r="M255" s="8"/>
      <c r="N255" s="8"/>
    </row>
    <row r="256" spans="1:14" ht="16.5" customHeight="1" x14ac:dyDescent="0.25">
      <c r="A256" s="7"/>
      <c r="B256" s="715" t="s">
        <v>266</v>
      </c>
      <c r="C256" s="564"/>
      <c r="D256" s="564"/>
      <c r="E256" s="564"/>
      <c r="F256" s="565"/>
      <c r="G256" s="215">
        <v>1</v>
      </c>
      <c r="H256" s="252">
        <f>'10 - CUSTOS UN'!$J$42</f>
        <v>16.393333333333334</v>
      </c>
      <c r="I256" s="763">
        <f t="shared" si="26"/>
        <v>2.7322222222222226</v>
      </c>
      <c r="J256" s="565"/>
      <c r="K256" s="224">
        <f t="shared" si="27"/>
        <v>2.7322222222222226</v>
      </c>
      <c r="L256" s="6"/>
      <c r="M256" s="8"/>
      <c r="N256" s="8"/>
    </row>
    <row r="257" spans="1:14" ht="16.5" customHeight="1" x14ac:dyDescent="0.25">
      <c r="A257" s="7"/>
      <c r="B257" s="717" t="s">
        <v>260</v>
      </c>
      <c r="C257" s="544"/>
      <c r="D257" s="544"/>
      <c r="E257" s="544"/>
      <c r="F257" s="579"/>
      <c r="G257" s="218"/>
      <c r="H257" s="218"/>
      <c r="I257" s="764"/>
      <c r="J257" s="579"/>
      <c r="K257" s="228">
        <f>SUM(K248:K256)</f>
        <v>94.691666666666649</v>
      </c>
      <c r="L257" s="6"/>
      <c r="M257" s="8"/>
      <c r="N257" s="8"/>
    </row>
    <row r="258" spans="1:14" ht="16.5" customHeight="1" x14ac:dyDescent="0.25">
      <c r="A258" s="7"/>
      <c r="B258" s="719" t="s">
        <v>451</v>
      </c>
      <c r="C258" s="537"/>
      <c r="D258" s="537"/>
      <c r="E258" s="537"/>
      <c r="F258" s="538"/>
      <c r="G258" s="107"/>
      <c r="H258" s="107"/>
      <c r="I258" s="720">
        <f>K257</f>
        <v>94.691666666666649</v>
      </c>
      <c r="J258" s="538"/>
      <c r="K258" s="229">
        <f>K257*2</f>
        <v>189.3833333333333</v>
      </c>
      <c r="L258" s="6"/>
      <c r="M258" s="8"/>
      <c r="N258" s="8"/>
    </row>
    <row r="259" spans="1:14" ht="16.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10"/>
      <c r="L259" s="6"/>
      <c r="M259" s="8"/>
      <c r="N259" s="8"/>
    </row>
    <row r="260" spans="1:14" ht="16.5" customHeight="1" x14ac:dyDescent="0.25">
      <c r="A260" s="7"/>
      <c r="B260" s="581" t="s">
        <v>470</v>
      </c>
      <c r="C260" s="537"/>
      <c r="D260" s="537"/>
      <c r="E260" s="537"/>
      <c r="F260" s="537"/>
      <c r="G260" s="537"/>
      <c r="H260" s="537"/>
      <c r="I260" s="537"/>
      <c r="J260" s="537"/>
      <c r="K260" s="538"/>
      <c r="L260" s="6"/>
      <c r="M260" s="8"/>
      <c r="N260" s="8"/>
    </row>
    <row r="261" spans="1:14" ht="36.75" customHeight="1" x14ac:dyDescent="0.25">
      <c r="A261" s="7"/>
      <c r="B261" s="586" t="s">
        <v>239</v>
      </c>
      <c r="C261" s="537"/>
      <c r="D261" s="537"/>
      <c r="E261" s="537"/>
      <c r="F261" s="538"/>
      <c r="G261" s="22" t="s">
        <v>318</v>
      </c>
      <c r="H261" s="22" t="s">
        <v>241</v>
      </c>
      <c r="I261" s="698" t="s">
        <v>242</v>
      </c>
      <c r="J261" s="538"/>
      <c r="K261" s="20" t="s">
        <v>243</v>
      </c>
      <c r="L261" s="6"/>
      <c r="M261" s="8"/>
      <c r="N261" s="8"/>
    </row>
    <row r="262" spans="1:14" ht="16.5" customHeight="1" x14ac:dyDescent="0.25">
      <c r="A262" s="7"/>
      <c r="B262" s="702" t="s">
        <v>263</v>
      </c>
      <c r="C262" s="537"/>
      <c r="D262" s="537"/>
      <c r="E262" s="537"/>
      <c r="F262" s="538"/>
      <c r="G262" s="33">
        <v>2</v>
      </c>
      <c r="H262" s="250">
        <f>'10 - CUSTOS UN'!$J$36</f>
        <v>21.349999999999998</v>
      </c>
      <c r="I262" s="714">
        <f t="shared" ref="I262:I269" si="28">H262/6</f>
        <v>3.5583333333333331</v>
      </c>
      <c r="J262" s="538"/>
      <c r="K262" s="42">
        <f t="shared" ref="K262:K269" si="29">I262*G262</f>
        <v>7.1166666666666663</v>
      </c>
      <c r="L262" s="6"/>
      <c r="M262" s="8"/>
      <c r="N262" s="8"/>
    </row>
    <row r="263" spans="1:14" ht="16.5" customHeight="1" x14ac:dyDescent="0.25">
      <c r="A263" s="7"/>
      <c r="B263" s="702" t="s">
        <v>447</v>
      </c>
      <c r="C263" s="537"/>
      <c r="D263" s="537"/>
      <c r="E263" s="537"/>
      <c r="F263" s="538"/>
      <c r="G263" s="33">
        <v>1</v>
      </c>
      <c r="H263" s="106">
        <f>'10 - CUSTOS UN'!$J$63</f>
        <v>111.56333333333333</v>
      </c>
      <c r="I263" s="714">
        <f t="shared" si="28"/>
        <v>18.593888888888888</v>
      </c>
      <c r="J263" s="538"/>
      <c r="K263" s="42">
        <f t="shared" si="29"/>
        <v>18.593888888888888</v>
      </c>
      <c r="L263" s="6"/>
      <c r="M263" s="8"/>
      <c r="N263" s="8"/>
    </row>
    <row r="264" spans="1:14" ht="16.5" customHeight="1" x14ac:dyDescent="0.25">
      <c r="A264" s="7"/>
      <c r="B264" s="702" t="s">
        <v>264</v>
      </c>
      <c r="C264" s="537"/>
      <c r="D264" s="537"/>
      <c r="E264" s="537"/>
      <c r="F264" s="538"/>
      <c r="G264" s="33">
        <v>2</v>
      </c>
      <c r="H264" s="250">
        <f>'10 - CUSTOS UN'!$J$27</f>
        <v>67.736666666666665</v>
      </c>
      <c r="I264" s="714">
        <f t="shared" si="28"/>
        <v>11.289444444444444</v>
      </c>
      <c r="J264" s="538"/>
      <c r="K264" s="42">
        <f t="shared" si="29"/>
        <v>22.578888888888887</v>
      </c>
      <c r="L264" s="6"/>
      <c r="M264" s="8"/>
      <c r="N264" s="8"/>
    </row>
    <row r="265" spans="1:14" ht="16.5" customHeight="1" x14ac:dyDescent="0.25">
      <c r="A265" s="7"/>
      <c r="B265" s="702" t="s">
        <v>265</v>
      </c>
      <c r="C265" s="537"/>
      <c r="D265" s="537"/>
      <c r="E265" s="537"/>
      <c r="F265" s="538"/>
      <c r="G265" s="33">
        <v>1</v>
      </c>
      <c r="H265" s="250">
        <f>'10 - CUSTOS UN'!$J$30</f>
        <v>84.38</v>
      </c>
      <c r="I265" s="714">
        <f t="shared" si="28"/>
        <v>14.063333333333333</v>
      </c>
      <c r="J265" s="538"/>
      <c r="K265" s="42">
        <f t="shared" si="29"/>
        <v>14.063333333333333</v>
      </c>
      <c r="L265" s="6"/>
      <c r="M265" s="8"/>
      <c r="N265" s="8"/>
    </row>
    <row r="266" spans="1:14" ht="16.5" customHeight="1" x14ac:dyDescent="0.25">
      <c r="A266" s="7"/>
      <c r="B266" s="702" t="s">
        <v>474</v>
      </c>
      <c r="C266" s="537"/>
      <c r="D266" s="537"/>
      <c r="E266" s="537"/>
      <c r="F266" s="538"/>
      <c r="G266" s="33">
        <v>6</v>
      </c>
      <c r="H266" s="106">
        <f>'10 - CUSTOS UN'!$J$69</f>
        <v>5.1333333333333337</v>
      </c>
      <c r="I266" s="714">
        <f t="shared" si="28"/>
        <v>0.85555555555555562</v>
      </c>
      <c r="J266" s="538"/>
      <c r="K266" s="42">
        <f t="shared" si="29"/>
        <v>5.1333333333333337</v>
      </c>
      <c r="L266" s="6"/>
      <c r="M266" s="8"/>
      <c r="N266" s="8"/>
    </row>
    <row r="267" spans="1:14" ht="16.5" customHeight="1" x14ac:dyDescent="0.25">
      <c r="A267" s="7"/>
      <c r="B267" s="702" t="s">
        <v>466</v>
      </c>
      <c r="C267" s="537"/>
      <c r="D267" s="537"/>
      <c r="E267" s="537"/>
      <c r="F267" s="538"/>
      <c r="G267" s="33">
        <v>1</v>
      </c>
      <c r="H267" s="250">
        <f>'10 - CUSTOS UN'!$J$90</f>
        <v>3.0066666666666664</v>
      </c>
      <c r="I267" s="714">
        <f t="shared" si="28"/>
        <v>0.50111111111111106</v>
      </c>
      <c r="J267" s="538"/>
      <c r="K267" s="42">
        <f t="shared" si="29"/>
        <v>0.50111111111111106</v>
      </c>
      <c r="L267" s="6"/>
      <c r="M267" s="8"/>
      <c r="N267" s="8"/>
    </row>
    <row r="268" spans="1:14" ht="16.5" customHeight="1" x14ac:dyDescent="0.25">
      <c r="A268" s="7"/>
      <c r="B268" s="702" t="s">
        <v>475</v>
      </c>
      <c r="C268" s="537"/>
      <c r="D268" s="537"/>
      <c r="E268" s="537"/>
      <c r="F268" s="538"/>
      <c r="G268" s="33">
        <v>1</v>
      </c>
      <c r="H268" s="106">
        <f>'10 - CUSTOS UN'!$J$9</f>
        <v>8.4966666666666661</v>
      </c>
      <c r="I268" s="714">
        <f t="shared" si="28"/>
        <v>1.4161111111111111</v>
      </c>
      <c r="J268" s="538"/>
      <c r="K268" s="42">
        <f t="shared" si="29"/>
        <v>1.4161111111111111</v>
      </c>
      <c r="L268" s="6"/>
      <c r="M268" s="8"/>
      <c r="N268" s="8"/>
    </row>
    <row r="269" spans="1:14" ht="16.5" customHeight="1" x14ac:dyDescent="0.25">
      <c r="A269" s="7"/>
      <c r="B269" s="715" t="s">
        <v>266</v>
      </c>
      <c r="C269" s="564"/>
      <c r="D269" s="564"/>
      <c r="E269" s="564"/>
      <c r="F269" s="565"/>
      <c r="G269" s="215">
        <v>1</v>
      </c>
      <c r="H269" s="252">
        <f>'10 - CUSTOS UN'!$J$42</f>
        <v>16.393333333333334</v>
      </c>
      <c r="I269" s="716">
        <f t="shared" si="28"/>
        <v>2.7322222222222226</v>
      </c>
      <c r="J269" s="565"/>
      <c r="K269" s="217">
        <f t="shared" si="29"/>
        <v>2.7322222222222226</v>
      </c>
      <c r="L269" s="6"/>
      <c r="M269" s="8"/>
      <c r="N269" s="8"/>
    </row>
    <row r="270" spans="1:14" ht="16.5" customHeight="1" x14ac:dyDescent="0.25">
      <c r="A270" s="7"/>
      <c r="B270" s="717" t="s">
        <v>260</v>
      </c>
      <c r="C270" s="544"/>
      <c r="D270" s="544"/>
      <c r="E270" s="544"/>
      <c r="F270" s="579"/>
      <c r="G270" s="218"/>
      <c r="H270" s="218"/>
      <c r="I270" s="765"/>
      <c r="J270" s="579"/>
      <c r="K270" s="228">
        <f>SUM(K262:K269)</f>
        <v>72.135555555555555</v>
      </c>
      <c r="L270" s="6"/>
      <c r="M270" s="8"/>
      <c r="N270" s="8"/>
    </row>
    <row r="271" spans="1:14" ht="16.5" customHeight="1" x14ac:dyDescent="0.25">
      <c r="A271" s="7"/>
      <c r="B271" s="719" t="s">
        <v>451</v>
      </c>
      <c r="C271" s="537"/>
      <c r="D271" s="537"/>
      <c r="E271" s="537"/>
      <c r="F271" s="538"/>
      <c r="G271" s="107"/>
      <c r="H271" s="107"/>
      <c r="I271" s="720">
        <f>K270</f>
        <v>72.135555555555555</v>
      </c>
      <c r="J271" s="538"/>
      <c r="K271" s="229">
        <f>K270*2</f>
        <v>144.27111111111111</v>
      </c>
      <c r="L271" s="6"/>
      <c r="M271" s="8"/>
      <c r="N271" s="8"/>
    </row>
    <row r="272" spans="1:14" ht="16.5" customHeight="1" x14ac:dyDescent="0.25">
      <c r="A272" s="7"/>
      <c r="B272" s="766"/>
      <c r="C272" s="537"/>
      <c r="D272" s="537"/>
      <c r="E272" s="537"/>
      <c r="F272" s="537"/>
      <c r="G272" s="7"/>
      <c r="H272" s="7"/>
      <c r="I272" s="766"/>
      <c r="J272" s="537"/>
      <c r="K272" s="240"/>
      <c r="L272" s="6"/>
      <c r="M272" s="8"/>
      <c r="N272" s="8"/>
    </row>
    <row r="273" spans="1:14" ht="16.5" customHeight="1" x14ac:dyDescent="0.25">
      <c r="A273" s="7"/>
      <c r="B273" s="581" t="s">
        <v>476</v>
      </c>
      <c r="C273" s="537"/>
      <c r="D273" s="537"/>
      <c r="E273" s="537"/>
      <c r="F273" s="537"/>
      <c r="G273" s="537"/>
      <c r="H273" s="537"/>
      <c r="I273" s="537"/>
      <c r="J273" s="537"/>
      <c r="K273" s="538"/>
      <c r="L273" s="6"/>
      <c r="M273" s="8"/>
      <c r="N273" s="8"/>
    </row>
    <row r="274" spans="1:14" ht="33" customHeight="1" x14ac:dyDescent="0.25">
      <c r="A274" s="7"/>
      <c r="B274" s="586" t="s">
        <v>239</v>
      </c>
      <c r="C274" s="537"/>
      <c r="D274" s="537"/>
      <c r="E274" s="537"/>
      <c r="F274" s="538"/>
      <c r="G274" s="22" t="s">
        <v>318</v>
      </c>
      <c r="H274" s="22" t="s">
        <v>241</v>
      </c>
      <c r="I274" s="698" t="s">
        <v>242</v>
      </c>
      <c r="J274" s="538"/>
      <c r="K274" s="20" t="s">
        <v>243</v>
      </c>
      <c r="L274" s="6"/>
      <c r="M274" s="8"/>
      <c r="N274" s="8"/>
    </row>
    <row r="275" spans="1:14" ht="16.5" customHeight="1" x14ac:dyDescent="0.25">
      <c r="A275" s="7"/>
      <c r="B275" s="702" t="s">
        <v>263</v>
      </c>
      <c r="C275" s="537"/>
      <c r="D275" s="537"/>
      <c r="E275" s="537"/>
      <c r="F275" s="538"/>
      <c r="G275" s="33">
        <v>2</v>
      </c>
      <c r="H275" s="250">
        <f>'10 - CUSTOS UN'!$J$36</f>
        <v>21.349999999999998</v>
      </c>
      <c r="I275" s="720">
        <f t="shared" ref="I275:I279" si="30">H275/6</f>
        <v>3.5583333333333331</v>
      </c>
      <c r="J275" s="538"/>
      <c r="K275" s="57">
        <f t="shared" ref="K275:K279" si="31">I275*G275</f>
        <v>7.1166666666666663</v>
      </c>
      <c r="L275" s="6"/>
      <c r="M275" s="8"/>
      <c r="N275" s="8"/>
    </row>
    <row r="276" spans="1:14" ht="16.5" customHeight="1" x14ac:dyDescent="0.25">
      <c r="A276" s="7"/>
      <c r="B276" s="702" t="s">
        <v>264</v>
      </c>
      <c r="C276" s="537"/>
      <c r="D276" s="537"/>
      <c r="E276" s="537"/>
      <c r="F276" s="538"/>
      <c r="G276" s="33">
        <v>2</v>
      </c>
      <c r="H276" s="250">
        <f>'10 - CUSTOS UN'!$J$27</f>
        <v>67.736666666666665</v>
      </c>
      <c r="I276" s="720">
        <f t="shared" si="30"/>
        <v>11.289444444444444</v>
      </c>
      <c r="J276" s="538"/>
      <c r="K276" s="57">
        <f t="shared" si="31"/>
        <v>22.578888888888887</v>
      </c>
      <c r="L276" s="6"/>
      <c r="M276" s="8"/>
      <c r="N276" s="8"/>
    </row>
    <row r="277" spans="1:14" ht="16.5" customHeight="1" x14ac:dyDescent="0.25">
      <c r="A277" s="7"/>
      <c r="B277" s="705" t="s">
        <v>447</v>
      </c>
      <c r="C277" s="537"/>
      <c r="D277" s="537"/>
      <c r="E277" s="537"/>
      <c r="F277" s="538"/>
      <c r="G277" s="33">
        <v>1</v>
      </c>
      <c r="H277" s="106">
        <f>'10 - CUSTOS UN'!$J$63</f>
        <v>111.56333333333333</v>
      </c>
      <c r="I277" s="720">
        <f t="shared" si="30"/>
        <v>18.593888888888888</v>
      </c>
      <c r="J277" s="538"/>
      <c r="K277" s="57">
        <f t="shared" si="31"/>
        <v>18.593888888888888</v>
      </c>
      <c r="L277" s="6"/>
      <c r="M277" s="8"/>
      <c r="N277" s="8"/>
    </row>
    <row r="278" spans="1:14" ht="16.5" customHeight="1" x14ac:dyDescent="0.25">
      <c r="A278" s="7"/>
      <c r="B278" s="702" t="s">
        <v>478</v>
      </c>
      <c r="C278" s="537"/>
      <c r="D278" s="537"/>
      <c r="E278" s="537"/>
      <c r="F278" s="538"/>
      <c r="G278" s="33">
        <v>1</v>
      </c>
      <c r="H278" s="250">
        <f>'10 - CUSTOS UN'!$J$30</f>
        <v>84.38</v>
      </c>
      <c r="I278" s="720">
        <f t="shared" si="30"/>
        <v>14.063333333333333</v>
      </c>
      <c r="J278" s="538"/>
      <c r="K278" s="57">
        <f t="shared" si="31"/>
        <v>14.063333333333333</v>
      </c>
      <c r="L278" s="6"/>
      <c r="M278" s="8"/>
      <c r="N278" s="8"/>
    </row>
    <row r="279" spans="1:14" ht="16.5" customHeight="1" x14ac:dyDescent="0.25">
      <c r="A279" s="7"/>
      <c r="B279" s="715" t="s">
        <v>479</v>
      </c>
      <c r="C279" s="564"/>
      <c r="D279" s="564"/>
      <c r="E279" s="564"/>
      <c r="F279" s="565"/>
      <c r="G279" s="215">
        <v>1</v>
      </c>
      <c r="H279" s="252">
        <f>'10 - CUSTOS UN'!$J$48</f>
        <v>18.52</v>
      </c>
      <c r="I279" s="757">
        <f t="shared" si="30"/>
        <v>3.0866666666666664</v>
      </c>
      <c r="J279" s="565"/>
      <c r="K279" s="224">
        <f t="shared" si="31"/>
        <v>3.0866666666666664</v>
      </c>
      <c r="L279" s="6"/>
      <c r="M279" s="8"/>
      <c r="N279" s="8"/>
    </row>
    <row r="280" spans="1:14" ht="16.5" customHeight="1" x14ac:dyDescent="0.25">
      <c r="A280" s="7"/>
      <c r="B280" s="717" t="s">
        <v>260</v>
      </c>
      <c r="C280" s="544"/>
      <c r="D280" s="544"/>
      <c r="E280" s="544"/>
      <c r="F280" s="579"/>
      <c r="G280" s="218"/>
      <c r="H280" s="218"/>
      <c r="I280" s="765"/>
      <c r="J280" s="579"/>
      <c r="K280" s="228">
        <f>SUM(K275:K279)</f>
        <v>65.439444444444447</v>
      </c>
      <c r="L280" s="6"/>
      <c r="M280" s="8"/>
      <c r="N280" s="8"/>
    </row>
    <row r="281" spans="1:14" ht="16.5" customHeight="1" x14ac:dyDescent="0.25">
      <c r="A281" s="7"/>
      <c r="B281" s="719" t="s">
        <v>469</v>
      </c>
      <c r="C281" s="537"/>
      <c r="D281" s="537"/>
      <c r="E281" s="537"/>
      <c r="F281" s="538"/>
      <c r="G281" s="107"/>
      <c r="H281" s="107"/>
      <c r="I281" s="720">
        <f>K280</f>
        <v>65.439444444444447</v>
      </c>
      <c r="J281" s="538"/>
      <c r="K281" s="229">
        <f>K280*4</f>
        <v>261.75777777777779</v>
      </c>
      <c r="L281" s="6"/>
      <c r="M281" s="8"/>
      <c r="N281" s="8"/>
    </row>
    <row r="282" spans="1:14" ht="16.5" customHeight="1" x14ac:dyDescent="0.25">
      <c r="A282" s="7"/>
      <c r="B282" s="241"/>
      <c r="C282" s="241"/>
      <c r="D282" s="241"/>
      <c r="E282" s="241"/>
      <c r="F282" s="241"/>
      <c r="G282" s="7"/>
      <c r="H282" s="7"/>
      <c r="I282" s="7"/>
      <c r="J282" s="7"/>
      <c r="K282" s="10"/>
      <c r="L282" s="6"/>
      <c r="M282" s="8"/>
      <c r="N282" s="8"/>
    </row>
    <row r="283" spans="1:14" ht="16.5" customHeight="1" x14ac:dyDescent="0.25">
      <c r="A283" s="7"/>
      <c r="B283" s="713" t="s">
        <v>482</v>
      </c>
      <c r="C283" s="537"/>
      <c r="D283" s="537"/>
      <c r="E283" s="537"/>
      <c r="F283" s="537"/>
      <c r="G283" s="537"/>
      <c r="H283" s="537"/>
      <c r="I283" s="537"/>
      <c r="J283" s="538"/>
      <c r="K283" s="373">
        <f>SUM(K232+K244+K258+K271+K281)</f>
        <v>735.8461111111111</v>
      </c>
      <c r="L283" s="6"/>
      <c r="M283" s="8"/>
      <c r="N283" s="8"/>
    </row>
    <row r="284" spans="1:14" ht="16.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10"/>
      <c r="L284" s="6"/>
      <c r="M284" s="8"/>
      <c r="N284" s="8"/>
    </row>
    <row r="285" spans="1:14" ht="16.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10"/>
      <c r="L285" s="6"/>
      <c r="M285" s="8"/>
      <c r="N285" s="8"/>
    </row>
    <row r="286" spans="1:14" ht="16.5" customHeight="1" x14ac:dyDescent="0.25">
      <c r="A286" s="7"/>
      <c r="B286" s="709" t="s">
        <v>485</v>
      </c>
      <c r="C286" s="537"/>
      <c r="D286" s="537"/>
      <c r="E286" s="537"/>
      <c r="F286" s="537"/>
      <c r="G286" s="537"/>
      <c r="H286" s="537"/>
      <c r="I286" s="537"/>
      <c r="J286" s="537"/>
      <c r="K286" s="538"/>
      <c r="L286" s="6"/>
      <c r="M286" s="8"/>
      <c r="N286" s="8"/>
    </row>
    <row r="287" spans="1:14" ht="16.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10"/>
      <c r="L287" s="6"/>
      <c r="M287" s="8"/>
      <c r="N287" s="8"/>
    </row>
    <row r="288" spans="1:14" ht="16.5" customHeight="1" x14ac:dyDescent="0.25">
      <c r="A288" s="7"/>
      <c r="B288" s="767" t="s">
        <v>855</v>
      </c>
      <c r="C288" s="537"/>
      <c r="D288" s="537"/>
      <c r="E288" s="537"/>
      <c r="F288" s="537"/>
      <c r="G288" s="537"/>
      <c r="H288" s="537"/>
      <c r="I288" s="537"/>
      <c r="J288" s="537"/>
      <c r="K288" s="538"/>
      <c r="L288" s="6"/>
      <c r="M288" s="8"/>
      <c r="N288" s="8"/>
    </row>
    <row r="289" spans="1:14" ht="16.5" customHeight="1" x14ac:dyDescent="0.25">
      <c r="A289" s="7"/>
      <c r="B289" s="753"/>
      <c r="C289" s="537"/>
      <c r="D289" s="537"/>
      <c r="E289" s="537"/>
      <c r="F289" s="537"/>
      <c r="G289" s="537"/>
      <c r="H289" s="537"/>
      <c r="I289" s="537"/>
      <c r="J289" s="537"/>
      <c r="K289" s="537"/>
      <c r="L289" s="6"/>
      <c r="M289" s="8"/>
      <c r="N289" s="8"/>
    </row>
    <row r="290" spans="1:14" ht="16.5" customHeight="1" x14ac:dyDescent="0.25">
      <c r="A290" s="7"/>
      <c r="B290" s="722" t="s">
        <v>489</v>
      </c>
      <c r="C290" s="537"/>
      <c r="D290" s="537"/>
      <c r="E290" s="537"/>
      <c r="F290" s="537"/>
      <c r="G290" s="537"/>
      <c r="H290" s="537"/>
      <c r="I290" s="537"/>
      <c r="J290" s="537"/>
      <c r="K290" s="538"/>
      <c r="L290" s="6"/>
      <c r="M290" s="8"/>
      <c r="N290" s="8"/>
    </row>
    <row r="291" spans="1:14" ht="16.5" customHeight="1" x14ac:dyDescent="0.25">
      <c r="A291" s="7"/>
      <c r="B291" s="582" t="s">
        <v>239</v>
      </c>
      <c r="C291" s="537"/>
      <c r="D291" s="537"/>
      <c r="E291" s="537"/>
      <c r="F291" s="538"/>
      <c r="G291" s="81" t="s">
        <v>118</v>
      </c>
      <c r="H291" s="81" t="s">
        <v>119</v>
      </c>
      <c r="I291" s="582" t="s">
        <v>319</v>
      </c>
      <c r="J291" s="538"/>
      <c r="K291" s="81" t="s">
        <v>320</v>
      </c>
      <c r="L291" s="6"/>
      <c r="M291" s="8"/>
      <c r="N291" s="8"/>
    </row>
    <row r="292" spans="1:14" ht="16.5" customHeight="1" x14ac:dyDescent="0.25">
      <c r="A292" s="7"/>
      <c r="B292" s="580" t="s">
        <v>488</v>
      </c>
      <c r="C292" s="537"/>
      <c r="D292" s="537"/>
      <c r="E292" s="537"/>
      <c r="F292" s="538"/>
      <c r="G292" s="72">
        <v>1</v>
      </c>
      <c r="H292" s="36" t="s">
        <v>335</v>
      </c>
      <c r="I292" s="720">
        <v>42911</v>
      </c>
      <c r="J292" s="538"/>
      <c r="K292" s="57">
        <f>G292*I292</f>
        <v>42911</v>
      </c>
      <c r="L292" s="6"/>
      <c r="M292" s="8"/>
      <c r="N292" s="8"/>
    </row>
    <row r="293" spans="1:14" ht="16.5" customHeight="1" x14ac:dyDescent="0.25">
      <c r="A293" s="7"/>
      <c r="B293" s="580" t="s">
        <v>490</v>
      </c>
      <c r="C293" s="537"/>
      <c r="D293" s="537"/>
      <c r="E293" s="537"/>
      <c r="F293" s="538"/>
      <c r="G293" s="36">
        <v>60</v>
      </c>
      <c r="H293" s="36" t="s">
        <v>327</v>
      </c>
      <c r="I293" s="720"/>
      <c r="J293" s="538"/>
      <c r="K293" s="57"/>
      <c r="L293" s="6"/>
      <c r="M293" s="8"/>
      <c r="N293" s="8"/>
    </row>
    <row r="294" spans="1:14" ht="16.5" customHeight="1" x14ac:dyDescent="0.25">
      <c r="A294" s="7"/>
      <c r="B294" s="745" t="s">
        <v>493</v>
      </c>
      <c r="C294" s="537"/>
      <c r="D294" s="537"/>
      <c r="E294" s="537"/>
      <c r="F294" s="538"/>
      <c r="G294" s="36">
        <v>20</v>
      </c>
      <c r="H294" s="36" t="s">
        <v>141</v>
      </c>
      <c r="I294" s="720">
        <f>I292*(G294/100)</f>
        <v>8582.2000000000007</v>
      </c>
      <c r="J294" s="538"/>
      <c r="K294" s="57"/>
      <c r="L294" s="6"/>
      <c r="M294" s="8"/>
      <c r="N294" s="8"/>
    </row>
    <row r="295" spans="1:14" ht="16.5" customHeight="1" x14ac:dyDescent="0.25">
      <c r="A295" s="7"/>
      <c r="B295" s="747" t="s">
        <v>494</v>
      </c>
      <c r="C295" s="564"/>
      <c r="D295" s="564"/>
      <c r="E295" s="564"/>
      <c r="F295" s="565"/>
      <c r="G295" s="244">
        <v>80</v>
      </c>
      <c r="H295" s="244" t="s">
        <v>141</v>
      </c>
      <c r="I295" s="757">
        <f>I292</f>
        <v>42911</v>
      </c>
      <c r="J295" s="565"/>
      <c r="K295" s="224">
        <f>I295*G295/100</f>
        <v>34328.800000000003</v>
      </c>
      <c r="L295" s="6"/>
      <c r="M295" s="8"/>
      <c r="N295" s="8"/>
    </row>
    <row r="296" spans="1:14" ht="16.5" customHeight="1" x14ac:dyDescent="0.25">
      <c r="A296" s="7"/>
      <c r="B296" s="749" t="s">
        <v>496</v>
      </c>
      <c r="C296" s="544"/>
      <c r="D296" s="544"/>
      <c r="E296" s="544"/>
      <c r="F296" s="579"/>
      <c r="G296" s="246">
        <v>60</v>
      </c>
      <c r="H296" s="246" t="s">
        <v>327</v>
      </c>
      <c r="I296" s="765">
        <f t="shared" ref="I296:I297" si="32">K295</f>
        <v>34328.800000000003</v>
      </c>
      <c r="J296" s="579"/>
      <c r="K296" s="228">
        <f>I296/G296</f>
        <v>572.14666666666676</v>
      </c>
      <c r="L296" s="6"/>
      <c r="M296" s="8"/>
      <c r="N296" s="8"/>
    </row>
    <row r="297" spans="1:14" ht="16.5" customHeight="1" x14ac:dyDescent="0.25">
      <c r="A297" s="7"/>
      <c r="B297" s="751" t="s">
        <v>499</v>
      </c>
      <c r="C297" s="537"/>
      <c r="D297" s="537"/>
      <c r="E297" s="537"/>
      <c r="F297" s="538"/>
      <c r="G297" s="247">
        <v>1</v>
      </c>
      <c r="H297" s="247" t="s">
        <v>335</v>
      </c>
      <c r="I297" s="752">
        <f t="shared" si="32"/>
        <v>572.14666666666676</v>
      </c>
      <c r="J297" s="538"/>
      <c r="K297" s="248">
        <f>I297*G297</f>
        <v>572.14666666666676</v>
      </c>
      <c r="L297" s="6"/>
      <c r="M297" s="8"/>
      <c r="N297" s="8"/>
    </row>
    <row r="298" spans="1:14" ht="16.5" customHeight="1" x14ac:dyDescent="0.25">
      <c r="A298" s="7"/>
      <c r="B298" s="753"/>
      <c r="C298" s="537"/>
      <c r="D298" s="537"/>
      <c r="E298" s="537"/>
      <c r="F298" s="537"/>
      <c r="G298" s="537"/>
      <c r="H298" s="537"/>
      <c r="I298" s="537"/>
      <c r="J298" s="537"/>
      <c r="K298" s="537"/>
      <c r="L298" s="6"/>
      <c r="M298" s="8"/>
      <c r="N298" s="8"/>
    </row>
    <row r="299" spans="1:14" ht="16.5" customHeight="1" x14ac:dyDescent="0.25">
      <c r="A299" s="7"/>
      <c r="B299" s="722" t="s">
        <v>503</v>
      </c>
      <c r="C299" s="537"/>
      <c r="D299" s="537"/>
      <c r="E299" s="537"/>
      <c r="F299" s="537"/>
      <c r="G299" s="537"/>
      <c r="H299" s="537"/>
      <c r="I299" s="537"/>
      <c r="J299" s="537"/>
      <c r="K299" s="538"/>
      <c r="L299" s="6"/>
      <c r="M299" s="8"/>
      <c r="N299" s="8"/>
    </row>
    <row r="300" spans="1:14" ht="16.5" customHeight="1" x14ac:dyDescent="0.25">
      <c r="A300" s="7"/>
      <c r="B300" s="582" t="s">
        <v>239</v>
      </c>
      <c r="C300" s="537"/>
      <c r="D300" s="537"/>
      <c r="E300" s="537"/>
      <c r="F300" s="538"/>
      <c r="G300" s="117" t="s">
        <v>118</v>
      </c>
      <c r="H300" s="81" t="s">
        <v>119</v>
      </c>
      <c r="I300" s="582" t="s">
        <v>319</v>
      </c>
      <c r="J300" s="538"/>
      <c r="K300" s="81" t="s">
        <v>320</v>
      </c>
      <c r="L300" s="6"/>
      <c r="M300" s="8"/>
      <c r="N300" s="8"/>
    </row>
    <row r="301" spans="1:14" ht="16.5" customHeight="1" x14ac:dyDescent="0.25">
      <c r="A301" s="7"/>
      <c r="B301" s="745" t="s">
        <v>864</v>
      </c>
      <c r="C301" s="537"/>
      <c r="D301" s="537"/>
      <c r="E301" s="537"/>
      <c r="F301" s="538"/>
      <c r="G301" s="36"/>
      <c r="H301" s="36"/>
      <c r="I301" s="720">
        <f>I292</f>
        <v>42911</v>
      </c>
      <c r="J301" s="538"/>
      <c r="K301" s="250"/>
      <c r="L301" s="6"/>
      <c r="M301" s="8"/>
      <c r="N301" s="8"/>
    </row>
    <row r="302" spans="1:14" ht="16.5" customHeight="1" x14ac:dyDescent="0.25">
      <c r="A302" s="7"/>
      <c r="B302" s="745" t="s">
        <v>338</v>
      </c>
      <c r="C302" s="537"/>
      <c r="D302" s="537"/>
      <c r="E302" s="537"/>
      <c r="F302" s="538"/>
      <c r="G302" s="251">
        <v>0.13750000000000001</v>
      </c>
      <c r="H302" s="36" t="s">
        <v>141</v>
      </c>
      <c r="I302" s="756"/>
      <c r="J302" s="538"/>
      <c r="K302" s="250"/>
      <c r="L302" s="6"/>
      <c r="M302" s="8"/>
      <c r="N302" s="8"/>
    </row>
    <row r="303" spans="1:14" ht="16.5" customHeight="1" x14ac:dyDescent="0.25">
      <c r="A303" s="7"/>
      <c r="B303" s="746" t="s">
        <v>865</v>
      </c>
      <c r="C303" s="564"/>
      <c r="D303" s="564"/>
      <c r="E303" s="564"/>
      <c r="F303" s="565"/>
      <c r="G303" s="244"/>
      <c r="H303" s="244"/>
      <c r="I303" s="757">
        <f>(((I301-I294)*((G293+1)/(2*G293)))+I294)</f>
        <v>26032.673333333336</v>
      </c>
      <c r="J303" s="565"/>
      <c r="K303" s="252"/>
      <c r="L303" s="6"/>
      <c r="M303" s="8"/>
      <c r="N303" s="8"/>
    </row>
    <row r="304" spans="1:14" ht="16.5" customHeight="1" x14ac:dyDescent="0.25">
      <c r="A304" s="7"/>
      <c r="B304" s="749" t="s">
        <v>866</v>
      </c>
      <c r="C304" s="544"/>
      <c r="D304" s="544"/>
      <c r="E304" s="544"/>
      <c r="F304" s="579"/>
      <c r="G304" s="246"/>
      <c r="H304" s="246"/>
      <c r="I304" s="750"/>
      <c r="J304" s="579"/>
      <c r="K304" s="228">
        <f>(I303*(G302/100))/12</f>
        <v>2.9829104861111113</v>
      </c>
      <c r="L304" s="6"/>
      <c r="M304" s="8"/>
      <c r="N304" s="8"/>
    </row>
    <row r="305" spans="1:14" ht="16.5" customHeight="1" x14ac:dyDescent="0.25">
      <c r="A305" s="7"/>
      <c r="B305" s="751" t="s">
        <v>511</v>
      </c>
      <c r="C305" s="537"/>
      <c r="D305" s="537"/>
      <c r="E305" s="537"/>
      <c r="F305" s="538"/>
      <c r="G305" s="247">
        <v>1</v>
      </c>
      <c r="H305" s="247" t="s">
        <v>335</v>
      </c>
      <c r="I305" s="752">
        <f>K304</f>
        <v>2.9829104861111113</v>
      </c>
      <c r="J305" s="538"/>
      <c r="K305" s="248">
        <f>I305*G305</f>
        <v>2.9829104861111113</v>
      </c>
      <c r="L305" s="6"/>
      <c r="M305" s="8"/>
      <c r="N305" s="8"/>
    </row>
    <row r="306" spans="1:14" ht="60.75" customHeight="1" x14ac:dyDescent="0.25">
      <c r="A306" s="7"/>
      <c r="B306" s="730" t="s">
        <v>514</v>
      </c>
      <c r="C306" s="537"/>
      <c r="D306" s="537"/>
      <c r="E306" s="537"/>
      <c r="F306" s="537"/>
      <c r="G306" s="537"/>
      <c r="H306" s="537"/>
      <c r="I306" s="537"/>
      <c r="J306" s="537"/>
      <c r="K306" s="538"/>
      <c r="L306" s="6"/>
      <c r="M306" s="8"/>
      <c r="N306" s="8"/>
    </row>
    <row r="307" spans="1:14" ht="16.5" customHeight="1" x14ac:dyDescent="0.25">
      <c r="A307" s="7"/>
      <c r="B307" s="753"/>
      <c r="C307" s="537"/>
      <c r="D307" s="537"/>
      <c r="E307" s="537"/>
      <c r="F307" s="537"/>
      <c r="G307" s="537"/>
      <c r="H307" s="537"/>
      <c r="I307" s="537"/>
      <c r="J307" s="537"/>
      <c r="K307" s="537"/>
      <c r="L307" s="6"/>
      <c r="M307" s="8"/>
      <c r="N307" s="8"/>
    </row>
    <row r="308" spans="1:14" ht="16.5" customHeight="1" x14ac:dyDescent="0.25">
      <c r="A308" s="7"/>
      <c r="B308" s="722" t="s">
        <v>516</v>
      </c>
      <c r="C308" s="537"/>
      <c r="D308" s="537"/>
      <c r="E308" s="537"/>
      <c r="F308" s="537"/>
      <c r="G308" s="537"/>
      <c r="H308" s="537"/>
      <c r="I308" s="537"/>
      <c r="J308" s="537"/>
      <c r="K308" s="538"/>
      <c r="L308" s="758"/>
      <c r="M308" s="8"/>
      <c r="N308" s="8"/>
    </row>
    <row r="309" spans="1:14" ht="16.5" customHeight="1" x14ac:dyDescent="0.25">
      <c r="A309" s="7"/>
      <c r="B309" s="582" t="s">
        <v>239</v>
      </c>
      <c r="C309" s="537"/>
      <c r="D309" s="537"/>
      <c r="E309" s="537"/>
      <c r="F309" s="538"/>
      <c r="G309" s="117" t="s">
        <v>118</v>
      </c>
      <c r="H309" s="81" t="s">
        <v>119</v>
      </c>
      <c r="I309" s="582" t="s">
        <v>319</v>
      </c>
      <c r="J309" s="538"/>
      <c r="K309" s="81" t="s">
        <v>354</v>
      </c>
      <c r="L309" s="759"/>
      <c r="M309" s="8"/>
      <c r="N309" s="8"/>
    </row>
    <row r="310" spans="1:14" ht="16.5" customHeight="1" x14ac:dyDescent="0.25">
      <c r="A310" s="7"/>
      <c r="B310" s="580" t="s">
        <v>355</v>
      </c>
      <c r="C310" s="537"/>
      <c r="D310" s="537"/>
      <c r="E310" s="537"/>
      <c r="F310" s="538"/>
      <c r="G310" s="36">
        <v>1</v>
      </c>
      <c r="H310" s="36" t="s">
        <v>335</v>
      </c>
      <c r="I310" s="720">
        <f>I292*0.03</f>
        <v>1287.33</v>
      </c>
      <c r="J310" s="538"/>
      <c r="K310" s="57">
        <f t="shared" ref="K310:K311" si="33">(I310*G310)/12</f>
        <v>107.27749999999999</v>
      </c>
      <c r="L310" s="759"/>
      <c r="M310" s="8"/>
      <c r="N310" s="8"/>
    </row>
    <row r="311" spans="1:14" ht="16.5" customHeight="1" x14ac:dyDescent="0.25">
      <c r="A311" s="7"/>
      <c r="B311" s="580" t="s">
        <v>356</v>
      </c>
      <c r="C311" s="537"/>
      <c r="D311" s="537"/>
      <c r="E311" s="537"/>
      <c r="F311" s="538"/>
      <c r="G311" s="36">
        <v>1</v>
      </c>
      <c r="H311" s="36" t="s">
        <v>335</v>
      </c>
      <c r="I311" s="754">
        <v>114.09</v>
      </c>
      <c r="J311" s="538"/>
      <c r="K311" s="57">
        <f t="shared" si="33"/>
        <v>9.5075000000000003</v>
      </c>
      <c r="L311" s="759"/>
      <c r="M311" s="8"/>
      <c r="N311" s="8"/>
    </row>
    <row r="312" spans="1:14" ht="16.5" customHeight="1" x14ac:dyDescent="0.25">
      <c r="A312" s="7"/>
      <c r="B312" s="745" t="s">
        <v>871</v>
      </c>
      <c r="C312" s="537"/>
      <c r="D312" s="537"/>
      <c r="E312" s="537"/>
      <c r="F312" s="538"/>
      <c r="G312" s="36">
        <v>1</v>
      </c>
      <c r="H312" s="36" t="s">
        <v>335</v>
      </c>
      <c r="I312" s="754">
        <v>0</v>
      </c>
      <c r="J312" s="538"/>
      <c r="K312" s="57">
        <f>(I312*G312)/60</f>
        <v>0</v>
      </c>
      <c r="L312" s="759"/>
      <c r="M312" s="8"/>
      <c r="N312" s="8"/>
    </row>
    <row r="313" spans="1:14" ht="16.5" customHeight="1" x14ac:dyDescent="0.25">
      <c r="A313" s="7"/>
      <c r="B313" s="580" t="s">
        <v>358</v>
      </c>
      <c r="C313" s="537"/>
      <c r="D313" s="537"/>
      <c r="E313" s="537"/>
      <c r="F313" s="538"/>
      <c r="G313" s="36">
        <v>1</v>
      </c>
      <c r="H313" s="36" t="s">
        <v>335</v>
      </c>
      <c r="I313" s="754">
        <f>'10 - CUSTOS UN'!J252</f>
        <v>858.83333333333337</v>
      </c>
      <c r="J313" s="538"/>
      <c r="K313" s="57">
        <f>(I313/12)*G313</f>
        <v>71.569444444444443</v>
      </c>
      <c r="L313" s="759"/>
      <c r="M313" s="8"/>
      <c r="N313" s="8"/>
    </row>
    <row r="314" spans="1:14" ht="16.5" customHeight="1" x14ac:dyDescent="0.25">
      <c r="A314" s="7"/>
      <c r="B314" s="747" t="s">
        <v>359</v>
      </c>
      <c r="C314" s="564"/>
      <c r="D314" s="564"/>
      <c r="E314" s="564"/>
      <c r="F314" s="565"/>
      <c r="G314" s="244">
        <v>1</v>
      </c>
      <c r="H314" s="244" t="s">
        <v>335</v>
      </c>
      <c r="I314" s="755">
        <f>'10 - CUSTOS UN'!J233</f>
        <v>57.093333333333334</v>
      </c>
      <c r="J314" s="565"/>
      <c r="K314" s="224">
        <f>I314*G314</f>
        <v>57.093333333333334</v>
      </c>
      <c r="L314" s="759"/>
      <c r="M314" s="8"/>
      <c r="N314" s="8"/>
    </row>
    <row r="315" spans="1:14" ht="16.5" customHeight="1" x14ac:dyDescent="0.25">
      <c r="A315" s="7"/>
      <c r="B315" s="748" t="s">
        <v>527</v>
      </c>
      <c r="C315" s="537"/>
      <c r="D315" s="537"/>
      <c r="E315" s="537"/>
      <c r="F315" s="538"/>
      <c r="G315" s="20"/>
      <c r="H315" s="20"/>
      <c r="I315" s="586"/>
      <c r="J315" s="538"/>
      <c r="K315" s="229">
        <f>SUM(K310:K314)/2</f>
        <v>122.72388888888888</v>
      </c>
      <c r="L315" s="759"/>
      <c r="M315" s="8"/>
      <c r="N315" s="8"/>
    </row>
    <row r="316" spans="1:14" ht="16.5" customHeight="1" x14ac:dyDescent="0.25">
      <c r="A316" s="7"/>
      <c r="B316" s="729" t="s">
        <v>360</v>
      </c>
      <c r="C316" s="611"/>
      <c r="D316" s="611"/>
      <c r="E316" s="611"/>
      <c r="F316" s="612"/>
      <c r="G316" s="257">
        <v>1</v>
      </c>
      <c r="H316" s="257" t="s">
        <v>335</v>
      </c>
      <c r="I316" s="721">
        <f>K315</f>
        <v>122.72388888888888</v>
      </c>
      <c r="J316" s="612"/>
      <c r="K316" s="258">
        <f>I316*G316</f>
        <v>122.72388888888888</v>
      </c>
      <c r="L316" s="760"/>
      <c r="M316" s="8"/>
      <c r="N316" s="8"/>
    </row>
    <row r="317" spans="1:14" ht="16.5" customHeight="1" x14ac:dyDescent="0.25">
      <c r="A317" s="7"/>
      <c r="B317" s="710"/>
      <c r="C317" s="537"/>
      <c r="D317" s="537"/>
      <c r="E317" s="537"/>
      <c r="F317" s="537"/>
      <c r="G317" s="537"/>
      <c r="H317" s="537"/>
      <c r="I317" s="537"/>
      <c r="J317" s="537"/>
      <c r="K317" s="537"/>
      <c r="L317" s="6"/>
      <c r="M317" s="8"/>
      <c r="N317" s="8"/>
    </row>
    <row r="318" spans="1:14" ht="16.5" customHeight="1" x14ac:dyDescent="0.25">
      <c r="A318" s="7"/>
      <c r="B318" s="722" t="s">
        <v>532</v>
      </c>
      <c r="C318" s="537"/>
      <c r="D318" s="537"/>
      <c r="E318" s="537"/>
      <c r="F318" s="537"/>
      <c r="G318" s="537"/>
      <c r="H318" s="537"/>
      <c r="I318" s="537"/>
      <c r="J318" s="537"/>
      <c r="K318" s="538"/>
      <c r="L318" s="6"/>
      <c r="M318" s="8"/>
      <c r="N318" s="8"/>
    </row>
    <row r="319" spans="1:14" ht="16.5" customHeight="1" x14ac:dyDescent="0.25">
      <c r="A319" s="7"/>
      <c r="B319" s="582" t="s">
        <v>239</v>
      </c>
      <c r="C319" s="537"/>
      <c r="D319" s="537"/>
      <c r="E319" s="537"/>
      <c r="F319" s="538"/>
      <c r="G319" s="81" t="s">
        <v>118</v>
      </c>
      <c r="H319" s="81" t="s">
        <v>119</v>
      </c>
      <c r="I319" s="582" t="s">
        <v>319</v>
      </c>
      <c r="J319" s="538"/>
      <c r="K319" s="81" t="s">
        <v>534</v>
      </c>
      <c r="L319" s="6"/>
      <c r="M319" s="8"/>
      <c r="N319" s="8"/>
    </row>
    <row r="320" spans="1:14" ht="16.5" customHeight="1" x14ac:dyDescent="0.25">
      <c r="A320" s="7"/>
      <c r="B320" s="702" t="s">
        <v>363</v>
      </c>
      <c r="C320" s="537"/>
      <c r="D320" s="537"/>
      <c r="E320" s="537"/>
      <c r="F320" s="538"/>
      <c r="G320" s="259">
        <v>600</v>
      </c>
      <c r="H320" s="33" t="s">
        <v>364</v>
      </c>
      <c r="I320" s="723"/>
      <c r="J320" s="538"/>
      <c r="K320" s="250"/>
      <c r="L320" s="6"/>
      <c r="M320" s="8"/>
      <c r="N320" s="8"/>
    </row>
    <row r="321" spans="1:14" ht="16.5" customHeight="1" x14ac:dyDescent="0.25">
      <c r="A321" s="7"/>
      <c r="B321" s="705" t="s">
        <v>536</v>
      </c>
      <c r="C321" s="537"/>
      <c r="D321" s="537"/>
      <c r="E321" s="537"/>
      <c r="F321" s="538"/>
      <c r="G321" s="33">
        <v>1</v>
      </c>
      <c r="H321" s="33" t="s">
        <v>335</v>
      </c>
      <c r="I321" s="723"/>
      <c r="J321" s="538"/>
      <c r="K321" s="250"/>
      <c r="L321" s="6"/>
      <c r="M321" s="8"/>
      <c r="N321" s="8"/>
    </row>
    <row r="322" spans="1:14" ht="16.5" customHeight="1" x14ac:dyDescent="0.25">
      <c r="A322" s="7"/>
      <c r="B322" s="702" t="s">
        <v>878</v>
      </c>
      <c r="C322" s="537"/>
      <c r="D322" s="537"/>
      <c r="E322" s="537"/>
      <c r="F322" s="538"/>
      <c r="G322" s="33">
        <v>12.9</v>
      </c>
      <c r="H322" s="33" t="s">
        <v>540</v>
      </c>
      <c r="I322" s="723"/>
      <c r="J322" s="538"/>
      <c r="K322" s="250"/>
      <c r="L322" s="6"/>
      <c r="M322" s="8"/>
      <c r="N322" s="8"/>
    </row>
    <row r="323" spans="1:14" ht="16.5" customHeight="1" x14ac:dyDescent="0.25">
      <c r="A323" s="7"/>
      <c r="B323" s="724" t="s">
        <v>879</v>
      </c>
      <c r="C323" s="537"/>
      <c r="D323" s="537"/>
      <c r="E323" s="537"/>
      <c r="F323" s="538"/>
      <c r="G323" s="261">
        <v>1</v>
      </c>
      <c r="H323" s="261" t="s">
        <v>369</v>
      </c>
      <c r="I323" s="761">
        <v>6.52</v>
      </c>
      <c r="J323" s="538"/>
      <c r="K323" s="57"/>
      <c r="L323" s="6"/>
      <c r="M323" s="8"/>
      <c r="N323" s="8"/>
    </row>
    <row r="324" spans="1:14" ht="16.5" customHeight="1" x14ac:dyDescent="0.25">
      <c r="A324" s="7"/>
      <c r="B324" s="702" t="s">
        <v>543</v>
      </c>
      <c r="C324" s="537"/>
      <c r="D324" s="537"/>
      <c r="E324" s="537"/>
      <c r="F324" s="538"/>
      <c r="G324" s="121">
        <f>G320/G322</f>
        <v>46.511627906976742</v>
      </c>
      <c r="H324" s="33" t="s">
        <v>413</v>
      </c>
      <c r="I324" s="714"/>
      <c r="J324" s="538"/>
      <c r="K324" s="57">
        <f>G324*I323</f>
        <v>303.25581395348831</v>
      </c>
      <c r="L324" s="6"/>
      <c r="M324" s="8"/>
      <c r="N324" s="8"/>
    </row>
    <row r="325" spans="1:14" ht="16.5" customHeight="1" x14ac:dyDescent="0.25">
      <c r="A325" s="7"/>
      <c r="B325" s="719" t="s">
        <v>544</v>
      </c>
      <c r="C325" s="537"/>
      <c r="D325" s="537"/>
      <c r="E325" s="537"/>
      <c r="F325" s="538"/>
      <c r="G325" s="121">
        <f>G324*G321</f>
        <v>46.511627906976742</v>
      </c>
      <c r="H325" s="33" t="s">
        <v>413</v>
      </c>
      <c r="I325" s="725"/>
      <c r="J325" s="538"/>
      <c r="K325" s="229">
        <f>G325*I323</f>
        <v>303.25581395348831</v>
      </c>
      <c r="L325" s="6"/>
      <c r="M325" s="8"/>
      <c r="N325" s="8"/>
    </row>
    <row r="326" spans="1:14" ht="16.5" customHeight="1" x14ac:dyDescent="0.25">
      <c r="A326" s="7"/>
      <c r="B326" s="718" t="s">
        <v>545</v>
      </c>
      <c r="C326" s="544"/>
      <c r="D326" s="544"/>
      <c r="E326" s="544"/>
      <c r="F326" s="579"/>
      <c r="G326" s="263">
        <v>0.2</v>
      </c>
      <c r="H326" s="264" t="s">
        <v>546</v>
      </c>
      <c r="I326" s="726"/>
      <c r="J326" s="579"/>
      <c r="K326" s="265"/>
      <c r="L326" s="6"/>
      <c r="M326" s="8"/>
      <c r="N326" s="8"/>
    </row>
    <row r="327" spans="1:14" ht="16.5" customHeight="1" x14ac:dyDescent="0.25">
      <c r="A327" s="7"/>
      <c r="B327" s="702" t="s">
        <v>548</v>
      </c>
      <c r="C327" s="537"/>
      <c r="D327" s="537"/>
      <c r="E327" s="537"/>
      <c r="F327" s="538"/>
      <c r="G327" s="121">
        <v>1</v>
      </c>
      <c r="H327" s="33" t="s">
        <v>369</v>
      </c>
      <c r="I327" s="714">
        <f>'10 - CUSTOS UN'!J213</f>
        <v>43.476666666666659</v>
      </c>
      <c r="J327" s="538"/>
      <c r="K327" s="229"/>
      <c r="L327" s="6"/>
      <c r="M327" s="8"/>
      <c r="N327" s="8"/>
    </row>
    <row r="328" spans="1:14" ht="16.5" customHeight="1" x14ac:dyDescent="0.25">
      <c r="A328" s="7"/>
      <c r="B328" s="702" t="s">
        <v>550</v>
      </c>
      <c r="C328" s="537"/>
      <c r="D328" s="537"/>
      <c r="E328" s="537"/>
      <c r="F328" s="538"/>
      <c r="G328" s="121">
        <f>G326*(G320/1000)</f>
        <v>0.12</v>
      </c>
      <c r="H328" s="33" t="s">
        <v>551</v>
      </c>
      <c r="I328" s="714"/>
      <c r="J328" s="538"/>
      <c r="K328" s="57">
        <f>G328*I327</f>
        <v>5.2171999999999992</v>
      </c>
      <c r="L328" s="6"/>
      <c r="M328" s="8"/>
      <c r="N328" s="8"/>
    </row>
    <row r="329" spans="1:14" ht="16.5" customHeight="1" x14ac:dyDescent="0.25">
      <c r="A329" s="7"/>
      <c r="B329" s="727" t="s">
        <v>552</v>
      </c>
      <c r="C329" s="564"/>
      <c r="D329" s="564"/>
      <c r="E329" s="564"/>
      <c r="F329" s="565"/>
      <c r="G329" s="273">
        <f>G326*(G320/1000)*G321</f>
        <v>0.12</v>
      </c>
      <c r="H329" s="274" t="s">
        <v>551</v>
      </c>
      <c r="I329" s="728"/>
      <c r="J329" s="565"/>
      <c r="K329" s="275">
        <f>G329*I327</f>
        <v>5.2171999999999992</v>
      </c>
      <c r="L329" s="6"/>
      <c r="M329" s="8"/>
      <c r="N329" s="8"/>
    </row>
    <row r="330" spans="1:14" ht="16.5" customHeight="1" x14ac:dyDescent="0.25">
      <c r="A330" s="7"/>
      <c r="B330" s="729" t="s">
        <v>557</v>
      </c>
      <c r="C330" s="611"/>
      <c r="D330" s="611"/>
      <c r="E330" s="611"/>
      <c r="F330" s="612"/>
      <c r="G330" s="276">
        <v>1</v>
      </c>
      <c r="H330" s="257" t="s">
        <v>335</v>
      </c>
      <c r="I330" s="721">
        <f>K328+K324</f>
        <v>308.47301395348831</v>
      </c>
      <c r="J330" s="612"/>
      <c r="K330" s="258">
        <f>I330*G330</f>
        <v>308.47301395348831</v>
      </c>
      <c r="L330" s="6"/>
      <c r="M330" s="8"/>
      <c r="N330" s="8"/>
    </row>
    <row r="331" spans="1:14" ht="48.75" customHeight="1" x14ac:dyDescent="0.25">
      <c r="A331" s="7"/>
      <c r="B331" s="730" t="s">
        <v>558</v>
      </c>
      <c r="C331" s="537"/>
      <c r="D331" s="537"/>
      <c r="E331" s="537"/>
      <c r="F331" s="537"/>
      <c r="G331" s="537"/>
      <c r="H331" s="537"/>
      <c r="I331" s="537"/>
      <c r="J331" s="537"/>
      <c r="K331" s="538"/>
      <c r="L331" s="6"/>
      <c r="M331" s="8"/>
      <c r="N331" s="8"/>
    </row>
    <row r="332" spans="1:14" ht="16.5" customHeight="1" x14ac:dyDescent="0.25">
      <c r="A332" s="7"/>
      <c r="B332" s="710"/>
      <c r="C332" s="537"/>
      <c r="D332" s="537"/>
      <c r="E332" s="537"/>
      <c r="F332" s="537"/>
      <c r="G332" s="537"/>
      <c r="H332" s="537"/>
      <c r="I332" s="537"/>
      <c r="J332" s="537"/>
      <c r="K332" s="537"/>
      <c r="L332" s="6"/>
      <c r="M332" s="8"/>
      <c r="N332" s="8"/>
    </row>
    <row r="333" spans="1:14" ht="16.5" customHeight="1" x14ac:dyDescent="0.25">
      <c r="A333" s="7"/>
      <c r="B333" s="722" t="s">
        <v>560</v>
      </c>
      <c r="C333" s="537"/>
      <c r="D333" s="537"/>
      <c r="E333" s="537"/>
      <c r="F333" s="537"/>
      <c r="G333" s="537"/>
      <c r="H333" s="537"/>
      <c r="I333" s="537"/>
      <c r="J333" s="537"/>
      <c r="K333" s="538"/>
      <c r="L333" s="6"/>
      <c r="M333" s="8"/>
      <c r="N333" s="8"/>
    </row>
    <row r="334" spans="1:14" ht="16.5" customHeight="1" x14ac:dyDescent="0.25">
      <c r="A334" s="7"/>
      <c r="B334" s="582" t="s">
        <v>239</v>
      </c>
      <c r="C334" s="537"/>
      <c r="D334" s="537"/>
      <c r="E334" s="537"/>
      <c r="F334" s="538"/>
      <c r="G334" s="81" t="s">
        <v>118</v>
      </c>
      <c r="H334" s="81" t="s">
        <v>119</v>
      </c>
      <c r="I334" s="582" t="s">
        <v>319</v>
      </c>
      <c r="J334" s="538"/>
      <c r="K334" s="81" t="s">
        <v>534</v>
      </c>
      <c r="L334" s="6"/>
      <c r="M334" s="8"/>
      <c r="N334" s="8"/>
    </row>
    <row r="335" spans="1:14" ht="16.5" customHeight="1" x14ac:dyDescent="0.25">
      <c r="A335" s="7"/>
      <c r="B335" s="702" t="s">
        <v>561</v>
      </c>
      <c r="C335" s="537"/>
      <c r="D335" s="537"/>
      <c r="E335" s="537"/>
      <c r="F335" s="538"/>
      <c r="G335" s="277">
        <v>4</v>
      </c>
      <c r="H335" s="33" t="s">
        <v>335</v>
      </c>
      <c r="I335" s="714">
        <f>'10 - CUSTOS UN'!J195</f>
        <v>287.16666666666669</v>
      </c>
      <c r="J335" s="538"/>
      <c r="K335" s="229">
        <f>I335*G335</f>
        <v>1148.6666666666667</v>
      </c>
      <c r="L335" s="6"/>
      <c r="M335" s="8"/>
      <c r="N335" s="8"/>
    </row>
    <row r="336" spans="1:14" ht="16.5" customHeight="1" x14ac:dyDescent="0.25">
      <c r="A336" s="7"/>
      <c r="B336" s="705" t="s">
        <v>563</v>
      </c>
      <c r="C336" s="537"/>
      <c r="D336" s="537"/>
      <c r="E336" s="537"/>
      <c r="F336" s="538"/>
      <c r="G336" s="278">
        <v>50000</v>
      </c>
      <c r="H336" s="33" t="s">
        <v>413</v>
      </c>
      <c r="I336" s="714"/>
      <c r="J336" s="538"/>
      <c r="K336" s="229"/>
      <c r="L336" s="6"/>
      <c r="M336" s="8"/>
      <c r="N336" s="8"/>
    </row>
    <row r="337" spans="1:14" ht="16.5" customHeight="1" x14ac:dyDescent="0.25">
      <c r="A337" s="7"/>
      <c r="B337" s="702" t="s">
        <v>363</v>
      </c>
      <c r="C337" s="537"/>
      <c r="D337" s="537"/>
      <c r="E337" s="537"/>
      <c r="F337" s="538"/>
      <c r="G337" s="278">
        <v>1500</v>
      </c>
      <c r="H337" s="33" t="s">
        <v>413</v>
      </c>
      <c r="I337" s="714"/>
      <c r="J337" s="538"/>
      <c r="K337" s="229"/>
      <c r="L337" s="6"/>
      <c r="M337" s="8"/>
      <c r="N337" s="8"/>
    </row>
    <row r="338" spans="1:14" ht="16.5" customHeight="1" x14ac:dyDescent="0.25">
      <c r="A338" s="7"/>
      <c r="B338" s="705" t="s">
        <v>566</v>
      </c>
      <c r="C338" s="537"/>
      <c r="D338" s="537"/>
      <c r="E338" s="537"/>
      <c r="F338" s="538"/>
      <c r="G338" s="280">
        <f>(G337/G336)*100</f>
        <v>3</v>
      </c>
      <c r="H338" s="33" t="s">
        <v>141</v>
      </c>
      <c r="I338" s="714"/>
      <c r="J338" s="538"/>
      <c r="K338" s="229"/>
      <c r="L338" s="6"/>
      <c r="M338" s="8"/>
      <c r="N338" s="8"/>
    </row>
    <row r="339" spans="1:14" ht="16.5" customHeight="1" x14ac:dyDescent="0.25">
      <c r="A339" s="7"/>
      <c r="B339" s="705" t="s">
        <v>568</v>
      </c>
      <c r="C339" s="537"/>
      <c r="D339" s="537"/>
      <c r="E339" s="537"/>
      <c r="F339" s="538"/>
      <c r="G339" s="278">
        <v>1</v>
      </c>
      <c r="H339" s="33" t="s">
        <v>335</v>
      </c>
      <c r="I339" s="714"/>
      <c r="J339" s="538"/>
      <c r="K339" s="229"/>
      <c r="L339" s="6"/>
      <c r="M339" s="8"/>
      <c r="N339" s="8"/>
    </row>
    <row r="340" spans="1:14" ht="16.5" customHeight="1" x14ac:dyDescent="0.25">
      <c r="A340" s="7"/>
      <c r="B340" s="731" t="s">
        <v>418</v>
      </c>
      <c r="C340" s="564"/>
      <c r="D340" s="564"/>
      <c r="E340" s="564"/>
      <c r="F340" s="565"/>
      <c r="G340" s="281"/>
      <c r="H340" s="215"/>
      <c r="I340" s="716"/>
      <c r="J340" s="565"/>
      <c r="K340" s="275">
        <f>K335*(G338/100)</f>
        <v>34.46</v>
      </c>
      <c r="L340" s="6"/>
      <c r="M340" s="8"/>
      <c r="N340" s="8"/>
    </row>
    <row r="341" spans="1:14" ht="16.5" customHeight="1" x14ac:dyDescent="0.25">
      <c r="A341" s="7"/>
      <c r="B341" s="732" t="s">
        <v>420</v>
      </c>
      <c r="C341" s="611"/>
      <c r="D341" s="611"/>
      <c r="E341" s="611"/>
      <c r="F341" s="612"/>
      <c r="G341" s="282">
        <f>G338*G339</f>
        <v>3</v>
      </c>
      <c r="H341" s="257" t="s">
        <v>141</v>
      </c>
      <c r="I341" s="721">
        <f>K335</f>
        <v>1148.6666666666667</v>
      </c>
      <c r="J341" s="612"/>
      <c r="K341" s="258">
        <f>G341*(I341/100)</f>
        <v>34.460000000000008</v>
      </c>
      <c r="L341" s="6"/>
      <c r="M341" s="8"/>
      <c r="N341" s="8"/>
    </row>
    <row r="342" spans="1:14" ht="16.5" customHeight="1" x14ac:dyDescent="0.25">
      <c r="A342" s="7"/>
      <c r="B342" s="710"/>
      <c r="C342" s="537"/>
      <c r="D342" s="537"/>
      <c r="E342" s="537"/>
      <c r="F342" s="537"/>
      <c r="G342" s="537"/>
      <c r="H342" s="537"/>
      <c r="I342" s="537"/>
      <c r="J342" s="537"/>
      <c r="K342" s="537"/>
      <c r="L342" s="6"/>
      <c r="M342" s="8"/>
      <c r="N342" s="8"/>
    </row>
    <row r="343" spans="1:14" ht="16.5" customHeight="1" x14ac:dyDescent="0.25">
      <c r="A343" s="7"/>
      <c r="B343" s="722" t="s">
        <v>572</v>
      </c>
      <c r="C343" s="537"/>
      <c r="D343" s="537"/>
      <c r="E343" s="537"/>
      <c r="F343" s="537"/>
      <c r="G343" s="537"/>
      <c r="H343" s="537"/>
      <c r="I343" s="537"/>
      <c r="J343" s="537"/>
      <c r="K343" s="538"/>
      <c r="L343" s="6"/>
      <c r="M343" s="8"/>
      <c r="N343" s="8"/>
    </row>
    <row r="344" spans="1:14" ht="16.5" customHeight="1" x14ac:dyDescent="0.25">
      <c r="A344" s="7"/>
      <c r="B344" s="582" t="s">
        <v>239</v>
      </c>
      <c r="C344" s="537"/>
      <c r="D344" s="537"/>
      <c r="E344" s="537"/>
      <c r="F344" s="538"/>
      <c r="G344" s="81" t="s">
        <v>118</v>
      </c>
      <c r="H344" s="81" t="s">
        <v>119</v>
      </c>
      <c r="I344" s="582" t="s">
        <v>319</v>
      </c>
      <c r="J344" s="538"/>
      <c r="K344" s="81" t="s">
        <v>534</v>
      </c>
      <c r="L344" s="6"/>
      <c r="M344" s="8"/>
      <c r="N344" s="8"/>
    </row>
    <row r="345" spans="1:14" ht="16.5" customHeight="1" x14ac:dyDescent="0.25">
      <c r="A345" s="7"/>
      <c r="B345" s="702" t="s">
        <v>363</v>
      </c>
      <c r="C345" s="537"/>
      <c r="D345" s="537"/>
      <c r="E345" s="537"/>
      <c r="F345" s="538"/>
      <c r="G345" s="278">
        <v>600</v>
      </c>
      <c r="H345" s="33" t="s">
        <v>413</v>
      </c>
      <c r="I345" s="714"/>
      <c r="J345" s="538"/>
      <c r="K345" s="284"/>
      <c r="L345" s="6"/>
      <c r="M345" s="8"/>
      <c r="N345" s="8"/>
    </row>
    <row r="346" spans="1:14" ht="16.5" customHeight="1" x14ac:dyDescent="0.25">
      <c r="A346" s="7"/>
      <c r="B346" s="705" t="s">
        <v>568</v>
      </c>
      <c r="C346" s="537"/>
      <c r="D346" s="537"/>
      <c r="E346" s="537"/>
      <c r="F346" s="538"/>
      <c r="G346" s="278">
        <v>2</v>
      </c>
      <c r="H346" s="33" t="s">
        <v>335</v>
      </c>
      <c r="I346" s="714"/>
      <c r="J346" s="538"/>
      <c r="K346" s="284"/>
      <c r="L346" s="6"/>
      <c r="M346" s="8"/>
      <c r="N346" s="8"/>
    </row>
    <row r="347" spans="1:14" ht="16.5" customHeight="1" x14ac:dyDescent="0.25">
      <c r="A347" s="7"/>
      <c r="B347" s="702" t="s">
        <v>576</v>
      </c>
      <c r="C347" s="537"/>
      <c r="D347" s="537"/>
      <c r="E347" s="537"/>
      <c r="F347" s="538"/>
      <c r="G347" s="278">
        <v>10000</v>
      </c>
      <c r="H347" s="33" t="s">
        <v>413</v>
      </c>
      <c r="I347" s="714"/>
      <c r="J347" s="538"/>
      <c r="K347" s="284"/>
      <c r="L347" s="6"/>
      <c r="M347" s="8"/>
      <c r="N347" s="8"/>
    </row>
    <row r="348" spans="1:14" ht="16.5" customHeight="1" x14ac:dyDescent="0.25">
      <c r="A348" s="7"/>
      <c r="B348" s="702" t="s">
        <v>577</v>
      </c>
      <c r="C348" s="537"/>
      <c r="D348" s="537"/>
      <c r="E348" s="537"/>
      <c r="F348" s="538"/>
      <c r="G348" s="277">
        <v>1</v>
      </c>
      <c r="H348" s="33" t="s">
        <v>579</v>
      </c>
      <c r="I348" s="714">
        <v>1000</v>
      </c>
      <c r="J348" s="538"/>
      <c r="K348" s="284"/>
      <c r="L348" s="6"/>
      <c r="M348" s="8"/>
      <c r="N348" s="8"/>
    </row>
    <row r="349" spans="1:14" ht="16.5" customHeight="1" x14ac:dyDescent="0.25">
      <c r="A349" s="7"/>
      <c r="B349" s="719" t="s">
        <v>583</v>
      </c>
      <c r="C349" s="537"/>
      <c r="D349" s="537"/>
      <c r="E349" s="537"/>
      <c r="F349" s="538"/>
      <c r="G349" s="292">
        <f>G345/G347</f>
        <v>0.06</v>
      </c>
      <c r="H349" s="52" t="s">
        <v>141</v>
      </c>
      <c r="I349" s="725">
        <v>1000</v>
      </c>
      <c r="J349" s="538"/>
      <c r="K349" s="229">
        <f>G349*I349</f>
        <v>60</v>
      </c>
      <c r="L349" s="6"/>
      <c r="M349" s="8"/>
      <c r="N349" s="8"/>
    </row>
    <row r="350" spans="1:14" ht="16.5" customHeight="1" x14ac:dyDescent="0.25">
      <c r="A350" s="7"/>
      <c r="B350" s="702" t="s">
        <v>584</v>
      </c>
      <c r="C350" s="537"/>
      <c r="D350" s="537"/>
      <c r="E350" s="537"/>
      <c r="F350" s="538"/>
      <c r="G350" s="278">
        <v>10000</v>
      </c>
      <c r="H350" s="33" t="s">
        <v>413</v>
      </c>
      <c r="I350" s="714"/>
      <c r="J350" s="538"/>
      <c r="K350" s="229"/>
      <c r="L350" s="6"/>
      <c r="M350" s="8"/>
      <c r="N350" s="8"/>
    </row>
    <row r="351" spans="1:14" ht="16.5" customHeight="1" x14ac:dyDescent="0.25">
      <c r="A351" s="7"/>
      <c r="B351" s="702" t="s">
        <v>587</v>
      </c>
      <c r="C351" s="537"/>
      <c r="D351" s="537"/>
      <c r="E351" s="537"/>
      <c r="F351" s="538"/>
      <c r="G351" s="278">
        <v>1</v>
      </c>
      <c r="H351" s="33" t="s">
        <v>579</v>
      </c>
      <c r="I351" s="714">
        <v>100</v>
      </c>
      <c r="J351" s="538"/>
      <c r="K351" s="229"/>
      <c r="L351" s="6"/>
      <c r="M351" s="8"/>
      <c r="N351" s="8"/>
    </row>
    <row r="352" spans="1:14" ht="16.5" customHeight="1" x14ac:dyDescent="0.25">
      <c r="A352" s="7"/>
      <c r="B352" s="727" t="s">
        <v>588</v>
      </c>
      <c r="C352" s="564"/>
      <c r="D352" s="564"/>
      <c r="E352" s="564"/>
      <c r="F352" s="565"/>
      <c r="G352" s="273">
        <f>G345/G350</f>
        <v>0.06</v>
      </c>
      <c r="H352" s="274" t="s">
        <v>141</v>
      </c>
      <c r="I352" s="728">
        <f>I351</f>
        <v>100</v>
      </c>
      <c r="J352" s="565"/>
      <c r="K352" s="275">
        <f>G352*I352</f>
        <v>6</v>
      </c>
      <c r="L352" s="6"/>
      <c r="M352" s="8"/>
      <c r="N352" s="8"/>
    </row>
    <row r="353" spans="1:14" ht="16.5" customHeight="1" x14ac:dyDescent="0.25">
      <c r="A353" s="7"/>
      <c r="B353" s="717" t="s">
        <v>593</v>
      </c>
      <c r="C353" s="544"/>
      <c r="D353" s="544"/>
      <c r="E353" s="544"/>
      <c r="F353" s="579"/>
      <c r="G353" s="263"/>
      <c r="H353" s="264"/>
      <c r="I353" s="733"/>
      <c r="J353" s="579"/>
      <c r="K353" s="228">
        <f>K352+K349</f>
        <v>66</v>
      </c>
      <c r="L353" s="6"/>
      <c r="M353" s="8"/>
      <c r="N353" s="8"/>
    </row>
    <row r="354" spans="1:14" ht="16.5" customHeight="1" x14ac:dyDescent="0.25">
      <c r="A354" s="7"/>
      <c r="B354" s="732" t="s">
        <v>594</v>
      </c>
      <c r="C354" s="611"/>
      <c r="D354" s="611"/>
      <c r="E354" s="611"/>
      <c r="F354" s="612"/>
      <c r="G354" s="276">
        <v>1</v>
      </c>
      <c r="H354" s="257" t="s">
        <v>335</v>
      </c>
      <c r="I354" s="721">
        <f>K353</f>
        <v>66</v>
      </c>
      <c r="J354" s="612"/>
      <c r="K354" s="258">
        <f>I354*G354</f>
        <v>66</v>
      </c>
      <c r="L354" s="6"/>
      <c r="M354" s="8"/>
      <c r="N354" s="8"/>
    </row>
    <row r="355" spans="1:14" ht="16.5" customHeight="1" x14ac:dyDescent="0.25">
      <c r="A355" s="7"/>
      <c r="B355" s="734"/>
      <c r="C355" s="537"/>
      <c r="D355" s="537"/>
      <c r="E355" s="537"/>
      <c r="F355" s="537"/>
      <c r="G355" s="537"/>
      <c r="H355" s="537"/>
      <c r="I355" s="537"/>
      <c r="J355" s="537"/>
      <c r="K355" s="537"/>
      <c r="L355" s="6"/>
      <c r="M355" s="8"/>
      <c r="N355" s="8"/>
    </row>
    <row r="356" spans="1:14" ht="16.5" customHeight="1" x14ac:dyDescent="0.25">
      <c r="A356" s="7"/>
      <c r="B356" s="713" t="s">
        <v>600</v>
      </c>
      <c r="C356" s="537"/>
      <c r="D356" s="537"/>
      <c r="E356" s="537"/>
      <c r="F356" s="537"/>
      <c r="G356" s="537"/>
      <c r="H356" s="537"/>
      <c r="I356" s="537"/>
      <c r="J356" s="538"/>
      <c r="K356" s="214">
        <f>K297+K305+K316+K330+K341+K354</f>
        <v>1106.7864799951551</v>
      </c>
      <c r="L356" s="6"/>
      <c r="M356" s="8"/>
      <c r="N356" s="8"/>
    </row>
    <row r="357" spans="1:14" ht="16.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10"/>
      <c r="L357" s="6"/>
      <c r="M357" s="8"/>
      <c r="N357" s="8"/>
    </row>
    <row r="358" spans="1:14" ht="16.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10"/>
      <c r="L358" s="6"/>
      <c r="M358" s="8"/>
      <c r="N358" s="8"/>
    </row>
    <row r="359" spans="1:14" ht="16.5" customHeight="1" x14ac:dyDescent="0.25">
      <c r="A359" s="7"/>
      <c r="B359" s="709" t="s">
        <v>606</v>
      </c>
      <c r="C359" s="537"/>
      <c r="D359" s="537"/>
      <c r="E359" s="537"/>
      <c r="F359" s="537"/>
      <c r="G359" s="537"/>
      <c r="H359" s="537"/>
      <c r="I359" s="537"/>
      <c r="J359" s="537"/>
      <c r="K359" s="538"/>
      <c r="L359" s="6"/>
      <c r="M359" s="8"/>
      <c r="N359" s="8"/>
    </row>
    <row r="360" spans="1:14" ht="16.5" customHeight="1" x14ac:dyDescent="0.25">
      <c r="A360" s="7"/>
      <c r="B360" s="710"/>
      <c r="C360" s="537"/>
      <c r="D360" s="537"/>
      <c r="E360" s="537"/>
      <c r="F360" s="537"/>
      <c r="G360" s="537"/>
      <c r="H360" s="537"/>
      <c r="I360" s="537"/>
      <c r="J360" s="537"/>
      <c r="K360" s="537"/>
      <c r="L360" s="6"/>
      <c r="M360" s="8"/>
      <c r="N360" s="8"/>
    </row>
    <row r="361" spans="1:14" ht="16.5" customHeight="1" x14ac:dyDescent="0.25">
      <c r="A361" s="7"/>
      <c r="B361" s="735" t="s">
        <v>239</v>
      </c>
      <c r="C361" s="564"/>
      <c r="D361" s="564"/>
      <c r="E361" s="564"/>
      <c r="F361" s="565"/>
      <c r="G361" s="299" t="s">
        <v>118</v>
      </c>
      <c r="H361" s="299" t="s">
        <v>119</v>
      </c>
      <c r="I361" s="735" t="s">
        <v>319</v>
      </c>
      <c r="J361" s="565"/>
      <c r="K361" s="299" t="s">
        <v>609</v>
      </c>
      <c r="L361" s="6"/>
      <c r="M361" s="8"/>
      <c r="N361" s="8"/>
    </row>
    <row r="362" spans="1:14" ht="16.5" customHeight="1" x14ac:dyDescent="0.25">
      <c r="A362" s="7"/>
      <c r="B362" s="742" t="s">
        <v>610</v>
      </c>
      <c r="C362" s="544"/>
      <c r="D362" s="544"/>
      <c r="E362" s="544"/>
      <c r="F362" s="579"/>
      <c r="G362" s="218"/>
      <c r="H362" s="218"/>
      <c r="I362" s="736"/>
      <c r="J362" s="579"/>
      <c r="K362" s="301">
        <v>6000</v>
      </c>
      <c r="L362" s="6"/>
      <c r="M362" s="8"/>
      <c r="N362" s="8"/>
    </row>
    <row r="363" spans="1:14" ht="16.5" customHeight="1" x14ac:dyDescent="0.25">
      <c r="A363" s="7"/>
      <c r="B363" s="705" t="s">
        <v>612</v>
      </c>
      <c r="C363" s="537"/>
      <c r="D363" s="537"/>
      <c r="E363" s="537"/>
      <c r="F363" s="538"/>
      <c r="G363" s="107"/>
      <c r="H363" s="107"/>
      <c r="I363" s="723"/>
      <c r="J363" s="538"/>
      <c r="K363" s="42">
        <v>3000</v>
      </c>
      <c r="L363" s="6"/>
      <c r="M363" s="8"/>
      <c r="N363" s="8"/>
    </row>
    <row r="364" spans="1:14" ht="16.5" customHeight="1" x14ac:dyDescent="0.25">
      <c r="A364" s="7"/>
      <c r="B364" s="731" t="s">
        <v>614</v>
      </c>
      <c r="C364" s="564"/>
      <c r="D364" s="564"/>
      <c r="E364" s="564"/>
      <c r="F364" s="565"/>
      <c r="G364" s="304"/>
      <c r="H364" s="304"/>
      <c r="I364" s="743"/>
      <c r="J364" s="565"/>
      <c r="K364" s="351">
        <v>1000</v>
      </c>
      <c r="L364" s="6"/>
      <c r="M364" s="8"/>
      <c r="N364" s="8"/>
    </row>
    <row r="365" spans="1:14" ht="16.5" customHeight="1" x14ac:dyDescent="0.25">
      <c r="A365" s="7"/>
      <c r="B365" s="744" t="s">
        <v>618</v>
      </c>
      <c r="C365" s="611"/>
      <c r="D365" s="611"/>
      <c r="E365" s="611"/>
      <c r="F365" s="611"/>
      <c r="G365" s="611"/>
      <c r="H365" s="611"/>
      <c r="I365" s="611"/>
      <c r="J365" s="612"/>
      <c r="K365" s="306">
        <f>SUM(K362:K364)</f>
        <v>10000</v>
      </c>
      <c r="L365" s="6"/>
      <c r="M365" s="8"/>
      <c r="N365" s="8"/>
    </row>
    <row r="366" spans="1:14" ht="16.5" customHeight="1" x14ac:dyDescent="0.25">
      <c r="A366" s="7"/>
      <c r="B366" s="307"/>
      <c r="C366" s="307"/>
      <c r="D366" s="307"/>
      <c r="E366" s="307"/>
      <c r="F366" s="307"/>
      <c r="G366" s="7"/>
      <c r="H366" s="7"/>
      <c r="I366" s="10"/>
      <c r="J366" s="10"/>
      <c r="K366" s="207"/>
      <c r="L366" s="6"/>
      <c r="M366" s="8"/>
      <c r="N366" s="8"/>
    </row>
    <row r="367" spans="1:14" ht="16.5" customHeight="1" x14ac:dyDescent="0.25">
      <c r="A367" s="7"/>
      <c r="B367" s="307"/>
      <c r="C367" s="307"/>
      <c r="D367" s="307"/>
      <c r="E367" s="307"/>
      <c r="F367" s="307"/>
      <c r="G367" s="7"/>
      <c r="H367" s="7"/>
      <c r="I367" s="10"/>
      <c r="J367" s="10"/>
      <c r="K367" s="207"/>
      <c r="L367" s="6"/>
      <c r="M367" s="8"/>
      <c r="N367" s="8"/>
    </row>
    <row r="368" spans="1:14" ht="16.5" customHeight="1" x14ac:dyDescent="0.25">
      <c r="A368" s="7"/>
      <c r="B368" s="713" t="s">
        <v>621</v>
      </c>
      <c r="C368" s="537"/>
      <c r="D368" s="537"/>
      <c r="E368" s="537"/>
      <c r="F368" s="537"/>
      <c r="G368" s="537"/>
      <c r="H368" s="537"/>
      <c r="I368" s="537"/>
      <c r="J368" s="538"/>
      <c r="K368" s="214">
        <f>K365+K356+K283+K222</f>
        <v>89279.100652187539</v>
      </c>
      <c r="L368" s="6"/>
      <c r="M368" s="8"/>
      <c r="N368" s="8"/>
    </row>
    <row r="369" spans="1:14" ht="16.5" customHeight="1" x14ac:dyDescent="0.25">
      <c r="A369" s="7"/>
      <c r="B369" s="307"/>
      <c r="C369" s="307"/>
      <c r="D369" s="307"/>
      <c r="E369" s="307"/>
      <c r="F369" s="307"/>
      <c r="G369" s="7"/>
      <c r="H369" s="7"/>
      <c r="I369" s="10"/>
      <c r="J369" s="10"/>
      <c r="K369" s="207"/>
      <c r="L369" s="6"/>
      <c r="M369" s="8"/>
      <c r="N369" s="8"/>
    </row>
    <row r="370" spans="1:14" ht="16.5" customHeight="1" x14ac:dyDescent="0.25">
      <c r="A370" s="7"/>
      <c r="B370" s="241"/>
      <c r="C370" s="241"/>
      <c r="D370" s="241"/>
      <c r="E370" s="241"/>
      <c r="F370" s="241"/>
      <c r="G370" s="241"/>
      <c r="H370" s="241"/>
      <c r="I370" s="241"/>
      <c r="J370" s="241"/>
      <c r="K370" s="241"/>
      <c r="L370" s="6"/>
      <c r="M370" s="8"/>
      <c r="N370" s="8"/>
    </row>
    <row r="371" spans="1:14" ht="16.5" customHeight="1" x14ac:dyDescent="0.25">
      <c r="A371" s="7"/>
      <c r="B371" s="709" t="s">
        <v>623</v>
      </c>
      <c r="C371" s="537"/>
      <c r="D371" s="537"/>
      <c r="E371" s="537"/>
      <c r="F371" s="537"/>
      <c r="G371" s="537"/>
      <c r="H371" s="537"/>
      <c r="I371" s="537"/>
      <c r="J371" s="537"/>
      <c r="K371" s="538"/>
      <c r="L371" s="6"/>
      <c r="M371" s="8"/>
      <c r="N371" s="8"/>
    </row>
    <row r="372" spans="1:14" ht="16.5" customHeight="1" x14ac:dyDescent="0.25">
      <c r="A372" s="7"/>
      <c r="B372" s="310" t="s">
        <v>273</v>
      </c>
      <c r="C372" s="582" t="s">
        <v>239</v>
      </c>
      <c r="D372" s="537"/>
      <c r="E372" s="537"/>
      <c r="F372" s="537"/>
      <c r="G372" s="538"/>
      <c r="H372" s="312" t="s">
        <v>141</v>
      </c>
      <c r="I372" s="737" t="s">
        <v>615</v>
      </c>
      <c r="J372" s="738"/>
      <c r="K372" s="312" t="s">
        <v>616</v>
      </c>
      <c r="L372" s="6"/>
      <c r="M372" s="8"/>
      <c r="N372" s="8"/>
    </row>
    <row r="373" spans="1:14" ht="16.5" customHeight="1" x14ac:dyDescent="0.25">
      <c r="A373" s="7"/>
      <c r="B373" s="313" t="s">
        <v>6</v>
      </c>
      <c r="C373" s="739" t="s">
        <v>102</v>
      </c>
      <c r="D373" s="542"/>
      <c r="E373" s="542"/>
      <c r="F373" s="542"/>
      <c r="G373" s="577"/>
      <c r="H373" s="315">
        <f>'9 - BDI'!D15</f>
        <v>0.27689893995634196</v>
      </c>
      <c r="I373" s="740">
        <f>K368</f>
        <v>89279.100652187539</v>
      </c>
      <c r="J373" s="577"/>
      <c r="K373" s="318">
        <f>I373*H373</f>
        <v>24721.288330846288</v>
      </c>
      <c r="L373" s="6"/>
      <c r="M373" s="8"/>
      <c r="N373" s="8"/>
    </row>
    <row r="374" spans="1:14" ht="16.5" customHeight="1" x14ac:dyDescent="0.25">
      <c r="A374" s="7"/>
      <c r="B374" s="741" t="s">
        <v>627</v>
      </c>
      <c r="C374" s="535"/>
      <c r="D374" s="535"/>
      <c r="E374" s="535"/>
      <c r="F374" s="535"/>
      <c r="G374" s="535"/>
      <c r="H374" s="535"/>
      <c r="I374" s="535"/>
      <c r="J374" s="575"/>
      <c r="K374" s="319">
        <f>SUM(K373)</f>
        <v>24721.288330846288</v>
      </c>
      <c r="L374" s="6"/>
      <c r="M374" s="8"/>
      <c r="N374" s="8"/>
    </row>
    <row r="375" spans="1:14" ht="16.5" customHeight="1" x14ac:dyDescent="0.25">
      <c r="A375" s="7"/>
      <c r="B375" s="7"/>
      <c r="C375" s="7"/>
      <c r="D375" s="7"/>
      <c r="E375" s="7"/>
      <c r="F375" s="7"/>
      <c r="G375" s="115"/>
      <c r="H375" s="115"/>
      <c r="I375" s="320"/>
      <c r="J375" s="320"/>
      <c r="K375" s="321"/>
      <c r="L375" s="6"/>
      <c r="M375" s="8"/>
      <c r="N375" s="8"/>
    </row>
    <row r="376" spans="1:14" ht="16.5" customHeight="1" x14ac:dyDescent="0.25">
      <c r="A376" s="7"/>
      <c r="B376" s="241"/>
      <c r="C376" s="241"/>
      <c r="D376" s="241"/>
      <c r="E376" s="241"/>
      <c r="F376" s="241"/>
      <c r="G376" s="115"/>
      <c r="H376" s="115"/>
      <c r="I376" s="320"/>
      <c r="J376" s="320"/>
      <c r="K376" s="207"/>
      <c r="L376" s="6"/>
      <c r="M376" s="8"/>
      <c r="N376" s="8"/>
    </row>
    <row r="377" spans="1:14" ht="16.5" customHeight="1" x14ac:dyDescent="0.25">
      <c r="A377" s="7"/>
      <c r="B377" s="713" t="s">
        <v>629</v>
      </c>
      <c r="C377" s="537"/>
      <c r="D377" s="537"/>
      <c r="E377" s="537"/>
      <c r="F377" s="537"/>
      <c r="G377" s="537"/>
      <c r="H377" s="537"/>
      <c r="I377" s="537"/>
      <c r="J377" s="538"/>
      <c r="K377" s="214">
        <f>K368+K374</f>
        <v>114000.38898303383</v>
      </c>
      <c r="L377" s="6"/>
      <c r="M377" s="8"/>
      <c r="N377" s="8"/>
    </row>
    <row r="378" spans="1:14" ht="16.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10"/>
      <c r="L378" s="6"/>
      <c r="M378" s="8"/>
      <c r="N378" s="8"/>
    </row>
    <row r="379" spans="1:14" ht="16.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10"/>
      <c r="L379" s="6"/>
      <c r="M379" s="8"/>
      <c r="N379" s="8"/>
    </row>
    <row r="380" spans="1:14" ht="16.5" customHeight="1" x14ac:dyDescent="0.25">
      <c r="L380" s="6"/>
      <c r="M380" s="8"/>
      <c r="N380" s="8"/>
    </row>
    <row r="381" spans="1:14" ht="16.5" customHeight="1" x14ac:dyDescent="0.25">
      <c r="L381" s="6"/>
      <c r="M381" s="8"/>
      <c r="N381" s="8"/>
    </row>
    <row r="382" spans="1:14" ht="16.5" customHeight="1" x14ac:dyDescent="0.25">
      <c r="L382" s="6"/>
      <c r="M382" s="8"/>
      <c r="N382" s="8"/>
    </row>
    <row r="383" spans="1:14" ht="16.5" customHeight="1" x14ac:dyDescent="0.25">
      <c r="L383" s="6"/>
      <c r="M383" s="8"/>
      <c r="N383" s="8"/>
    </row>
    <row r="384" spans="1:14" ht="16.5" customHeight="1" x14ac:dyDescent="0.25">
      <c r="L384" s="6"/>
      <c r="M384" s="8"/>
      <c r="N384" s="8"/>
    </row>
    <row r="385" spans="12:14" ht="16.5" customHeight="1" x14ac:dyDescent="0.25">
      <c r="L385" s="6"/>
      <c r="M385" s="8"/>
      <c r="N385" s="8"/>
    </row>
    <row r="386" spans="12:14" ht="16.5" customHeight="1" x14ac:dyDescent="0.25">
      <c r="L386" s="6"/>
      <c r="M386" s="8"/>
      <c r="N386" s="8"/>
    </row>
    <row r="387" spans="12:14" ht="16.5" customHeight="1" x14ac:dyDescent="0.25">
      <c r="L387" s="6"/>
      <c r="M387" s="8"/>
      <c r="N387" s="8"/>
    </row>
    <row r="388" spans="12:14" ht="16.5" customHeight="1" x14ac:dyDescent="0.25">
      <c r="L388" s="6"/>
      <c r="M388" s="8"/>
      <c r="N388" s="8"/>
    </row>
    <row r="389" spans="12:14" ht="16.5" customHeight="1" x14ac:dyDescent="0.25">
      <c r="L389" s="6"/>
      <c r="M389" s="8"/>
      <c r="N389" s="8"/>
    </row>
    <row r="390" spans="12:14" ht="16.5" customHeight="1" x14ac:dyDescent="0.25">
      <c r="L390" s="6"/>
      <c r="M390" s="8"/>
      <c r="N390" s="8"/>
    </row>
    <row r="391" spans="12:14" ht="16.5" customHeight="1" x14ac:dyDescent="0.25">
      <c r="L391" s="6"/>
      <c r="M391" s="8"/>
      <c r="N391" s="8"/>
    </row>
    <row r="392" spans="12:14" ht="16.5" customHeight="1" x14ac:dyDescent="0.25">
      <c r="L392" s="6"/>
      <c r="M392" s="8"/>
      <c r="N392" s="8"/>
    </row>
    <row r="393" spans="12:14" ht="16.5" customHeight="1" x14ac:dyDescent="0.25">
      <c r="L393" s="6"/>
      <c r="M393" s="8"/>
      <c r="N393" s="8"/>
    </row>
    <row r="394" spans="12:14" ht="16.5" customHeight="1" x14ac:dyDescent="0.25">
      <c r="L394" s="6"/>
      <c r="M394" s="8"/>
      <c r="N394" s="8"/>
    </row>
    <row r="395" spans="12:14" ht="16.5" customHeight="1" x14ac:dyDescent="0.25">
      <c r="L395" s="6"/>
      <c r="M395" s="8"/>
      <c r="N395" s="8"/>
    </row>
    <row r="396" spans="12:14" ht="16.5" customHeight="1" x14ac:dyDescent="0.25">
      <c r="L396" s="6"/>
      <c r="M396" s="8"/>
      <c r="N396" s="8"/>
    </row>
    <row r="397" spans="12:14" ht="16.5" customHeight="1" x14ac:dyDescent="0.25">
      <c r="L397" s="6"/>
      <c r="M397" s="8"/>
      <c r="N397" s="8"/>
    </row>
    <row r="398" spans="12:14" ht="16.5" customHeight="1" x14ac:dyDescent="0.25">
      <c r="L398" s="6"/>
      <c r="M398" s="8"/>
      <c r="N398" s="8"/>
    </row>
    <row r="399" spans="12:14" ht="16.5" customHeight="1" x14ac:dyDescent="0.25">
      <c r="L399" s="6"/>
      <c r="M399" s="8"/>
      <c r="N399" s="8"/>
    </row>
    <row r="400" spans="12:14" ht="16.5" customHeight="1" x14ac:dyDescent="0.25">
      <c r="L400" s="6"/>
      <c r="M400" s="8"/>
      <c r="N400" s="8"/>
    </row>
    <row r="401" spans="12:14" ht="16.5" customHeight="1" x14ac:dyDescent="0.25">
      <c r="L401" s="6"/>
      <c r="M401" s="8"/>
      <c r="N401" s="8"/>
    </row>
    <row r="402" spans="12:14" ht="16.5" customHeight="1" x14ac:dyDescent="0.25">
      <c r="L402" s="6"/>
      <c r="M402" s="8"/>
      <c r="N402" s="8"/>
    </row>
    <row r="403" spans="12:14" ht="16.5" customHeight="1" x14ac:dyDescent="0.25">
      <c r="L403" s="6"/>
      <c r="M403" s="8"/>
      <c r="N403" s="8"/>
    </row>
    <row r="404" spans="12:14" ht="16.5" customHeight="1" x14ac:dyDescent="0.25">
      <c r="L404" s="6"/>
      <c r="M404" s="8"/>
      <c r="N404" s="8"/>
    </row>
    <row r="405" spans="12:14" ht="16.5" customHeight="1" x14ac:dyDescent="0.25">
      <c r="L405" s="6"/>
      <c r="M405" s="8"/>
      <c r="N405" s="8"/>
    </row>
    <row r="406" spans="12:14" ht="16.5" customHeight="1" x14ac:dyDescent="0.25">
      <c r="L406" s="6"/>
      <c r="M406" s="8"/>
      <c r="N406" s="8"/>
    </row>
    <row r="407" spans="12:14" ht="16.5" customHeight="1" x14ac:dyDescent="0.25">
      <c r="L407" s="6"/>
      <c r="M407" s="8"/>
      <c r="N407" s="8"/>
    </row>
    <row r="408" spans="12:14" ht="16.5" customHeight="1" x14ac:dyDescent="0.25">
      <c r="L408" s="6"/>
      <c r="M408" s="8"/>
      <c r="N408" s="8"/>
    </row>
    <row r="409" spans="12:14" ht="16.5" customHeight="1" x14ac:dyDescent="0.25">
      <c r="L409" s="6"/>
      <c r="M409" s="8"/>
      <c r="N409" s="8"/>
    </row>
    <row r="410" spans="12:14" ht="16.5" customHeight="1" x14ac:dyDescent="0.25">
      <c r="L410" s="6"/>
      <c r="M410" s="8"/>
      <c r="N410" s="8"/>
    </row>
    <row r="411" spans="12:14" ht="16.5" customHeight="1" x14ac:dyDescent="0.25">
      <c r="L411" s="6"/>
      <c r="M411" s="8"/>
      <c r="N411" s="8"/>
    </row>
    <row r="412" spans="12:14" ht="16.5" customHeight="1" x14ac:dyDescent="0.25">
      <c r="L412" s="6"/>
      <c r="M412" s="8"/>
      <c r="N412" s="8"/>
    </row>
    <row r="413" spans="12:14" ht="16.5" customHeight="1" x14ac:dyDescent="0.25">
      <c r="L413" s="6"/>
      <c r="M413" s="8"/>
      <c r="N413" s="8"/>
    </row>
    <row r="414" spans="12:14" ht="16.5" customHeight="1" x14ac:dyDescent="0.25">
      <c r="L414" s="6"/>
      <c r="M414" s="8"/>
      <c r="N414" s="8"/>
    </row>
    <row r="415" spans="12:14" ht="16.5" customHeight="1" x14ac:dyDescent="0.25">
      <c r="L415" s="6"/>
      <c r="M415" s="8"/>
      <c r="N415" s="8"/>
    </row>
    <row r="416" spans="12:14" ht="16.5" customHeight="1" x14ac:dyDescent="0.25">
      <c r="L416" s="6"/>
      <c r="M416" s="8"/>
      <c r="N416" s="8"/>
    </row>
    <row r="417" spans="12:14" ht="16.5" customHeight="1" x14ac:dyDescent="0.25">
      <c r="L417" s="6"/>
      <c r="M417" s="8"/>
      <c r="N417" s="8"/>
    </row>
    <row r="418" spans="12:14" ht="16.5" customHeight="1" x14ac:dyDescent="0.25">
      <c r="L418" s="6"/>
      <c r="M418" s="8"/>
      <c r="N418" s="8"/>
    </row>
    <row r="419" spans="12:14" ht="16.5" customHeight="1" x14ac:dyDescent="0.25">
      <c r="L419" s="6"/>
      <c r="M419" s="8"/>
      <c r="N419" s="8"/>
    </row>
    <row r="420" spans="12:14" ht="16.5" customHeight="1" x14ac:dyDescent="0.25">
      <c r="L420" s="6"/>
      <c r="M420" s="8"/>
      <c r="N420" s="8"/>
    </row>
    <row r="421" spans="12:14" ht="16.5" customHeight="1" x14ac:dyDescent="0.25">
      <c r="L421" s="6"/>
      <c r="M421" s="8"/>
      <c r="N421" s="8"/>
    </row>
    <row r="422" spans="12:14" ht="16.5" customHeight="1" x14ac:dyDescent="0.25">
      <c r="L422" s="6"/>
      <c r="M422" s="8"/>
      <c r="N422" s="8"/>
    </row>
    <row r="423" spans="12:14" ht="16.5" customHeight="1" x14ac:dyDescent="0.25">
      <c r="L423" s="6"/>
      <c r="M423" s="8"/>
      <c r="N423" s="8"/>
    </row>
    <row r="424" spans="12:14" ht="16.5" customHeight="1" x14ac:dyDescent="0.25">
      <c r="L424" s="6"/>
      <c r="M424" s="8"/>
      <c r="N424" s="8"/>
    </row>
    <row r="425" spans="12:14" ht="16.5" customHeight="1" x14ac:dyDescent="0.25">
      <c r="L425" s="6"/>
      <c r="M425" s="8"/>
      <c r="N425" s="8"/>
    </row>
    <row r="426" spans="12:14" ht="16.5" customHeight="1" x14ac:dyDescent="0.25">
      <c r="L426" s="6"/>
      <c r="M426" s="8"/>
      <c r="N426" s="8"/>
    </row>
    <row r="427" spans="12:14" ht="16.5" customHeight="1" x14ac:dyDescent="0.25">
      <c r="L427" s="6"/>
      <c r="M427" s="8"/>
      <c r="N427" s="8"/>
    </row>
    <row r="428" spans="12:14" ht="16.5" customHeight="1" x14ac:dyDescent="0.25">
      <c r="L428" s="6"/>
      <c r="M428" s="8"/>
      <c r="N428" s="8"/>
    </row>
    <row r="429" spans="12:14" ht="16.5" customHeight="1" x14ac:dyDescent="0.25">
      <c r="L429" s="6"/>
      <c r="M429" s="8"/>
      <c r="N429" s="8"/>
    </row>
    <row r="430" spans="12:14" ht="16.5" customHeight="1" x14ac:dyDescent="0.25">
      <c r="L430" s="6"/>
      <c r="M430" s="8"/>
      <c r="N430" s="8"/>
    </row>
    <row r="431" spans="12:14" ht="16.5" customHeight="1" x14ac:dyDescent="0.25">
      <c r="L431" s="6"/>
      <c r="M431" s="8"/>
      <c r="N431" s="8"/>
    </row>
    <row r="432" spans="12:14" ht="16.5" customHeight="1" x14ac:dyDescent="0.25">
      <c r="L432" s="6"/>
      <c r="M432" s="8"/>
      <c r="N432" s="8"/>
    </row>
    <row r="433" spans="12:14" ht="16.5" customHeight="1" x14ac:dyDescent="0.25">
      <c r="L433" s="6"/>
      <c r="M433" s="8"/>
      <c r="N433" s="8"/>
    </row>
    <row r="434" spans="12:14" ht="16.5" customHeight="1" x14ac:dyDescent="0.25">
      <c r="L434" s="6"/>
      <c r="M434" s="8"/>
      <c r="N434" s="8"/>
    </row>
    <row r="435" spans="12:14" ht="16.5" customHeight="1" x14ac:dyDescent="0.25">
      <c r="L435" s="6"/>
      <c r="M435" s="8"/>
      <c r="N435" s="8"/>
    </row>
    <row r="436" spans="12:14" ht="16.5" customHeight="1" x14ac:dyDescent="0.25">
      <c r="L436" s="6"/>
      <c r="M436" s="8"/>
      <c r="N436" s="8"/>
    </row>
    <row r="437" spans="12:14" ht="16.5" customHeight="1" x14ac:dyDescent="0.25">
      <c r="L437" s="6"/>
      <c r="M437" s="8"/>
      <c r="N437" s="8"/>
    </row>
    <row r="438" spans="12:14" ht="16.5" customHeight="1" x14ac:dyDescent="0.25">
      <c r="L438" s="6"/>
      <c r="M438" s="8"/>
      <c r="N438" s="8"/>
    </row>
    <row r="439" spans="12:14" ht="16.5" customHeight="1" x14ac:dyDescent="0.25">
      <c r="L439" s="6"/>
      <c r="M439" s="8"/>
      <c r="N439" s="8"/>
    </row>
    <row r="440" spans="12:14" ht="16.5" customHeight="1" x14ac:dyDescent="0.25">
      <c r="L440" s="6"/>
      <c r="M440" s="8"/>
      <c r="N440" s="8"/>
    </row>
    <row r="441" spans="12:14" ht="16.5" customHeight="1" x14ac:dyDescent="0.25">
      <c r="L441" s="6"/>
      <c r="M441" s="8"/>
      <c r="N441" s="8"/>
    </row>
    <row r="442" spans="12:14" ht="16.5" customHeight="1" x14ac:dyDescent="0.25">
      <c r="L442" s="6"/>
      <c r="M442" s="8"/>
      <c r="N442" s="8"/>
    </row>
    <row r="443" spans="12:14" ht="16.5" customHeight="1" x14ac:dyDescent="0.25">
      <c r="L443" s="6"/>
      <c r="M443" s="8"/>
      <c r="N443" s="8"/>
    </row>
    <row r="444" spans="12:14" ht="16.5" customHeight="1" x14ac:dyDescent="0.25">
      <c r="L444" s="6"/>
      <c r="M444" s="8"/>
      <c r="N444" s="8"/>
    </row>
    <row r="445" spans="12:14" ht="16.5" customHeight="1" x14ac:dyDescent="0.25">
      <c r="L445" s="6"/>
      <c r="M445" s="8"/>
      <c r="N445" s="8"/>
    </row>
    <row r="446" spans="12:14" ht="16.5" customHeight="1" x14ac:dyDescent="0.25">
      <c r="L446" s="6"/>
      <c r="M446" s="8"/>
      <c r="N446" s="8"/>
    </row>
    <row r="447" spans="12:14" ht="16.5" customHeight="1" x14ac:dyDescent="0.25">
      <c r="L447" s="6"/>
      <c r="M447" s="8"/>
      <c r="N447" s="8"/>
    </row>
    <row r="448" spans="12:14" ht="16.5" customHeight="1" x14ac:dyDescent="0.25">
      <c r="L448" s="6"/>
      <c r="M448" s="8"/>
      <c r="N448" s="8"/>
    </row>
    <row r="449" spans="12:14" ht="16.5" customHeight="1" x14ac:dyDescent="0.25">
      <c r="L449" s="6"/>
      <c r="M449" s="8"/>
      <c r="N449" s="8"/>
    </row>
    <row r="450" spans="12:14" ht="16.5" customHeight="1" x14ac:dyDescent="0.25">
      <c r="L450" s="6"/>
      <c r="M450" s="8"/>
      <c r="N450" s="8"/>
    </row>
    <row r="451" spans="12:14" ht="16.5" customHeight="1" x14ac:dyDescent="0.25">
      <c r="L451" s="6"/>
      <c r="M451" s="8"/>
      <c r="N451" s="8"/>
    </row>
    <row r="452" spans="12:14" ht="16.5" customHeight="1" x14ac:dyDescent="0.25">
      <c r="L452" s="6"/>
      <c r="M452" s="8"/>
      <c r="N452" s="8"/>
    </row>
    <row r="453" spans="12:14" ht="16.5" customHeight="1" x14ac:dyDescent="0.25">
      <c r="L453" s="6"/>
      <c r="M453" s="8"/>
      <c r="N453" s="8"/>
    </row>
    <row r="454" spans="12:14" ht="16.5" customHeight="1" x14ac:dyDescent="0.25">
      <c r="L454" s="6"/>
      <c r="M454" s="8"/>
      <c r="N454" s="8"/>
    </row>
    <row r="455" spans="12:14" ht="16.5" customHeight="1" x14ac:dyDescent="0.25">
      <c r="L455" s="6"/>
      <c r="M455" s="8"/>
      <c r="N455" s="8"/>
    </row>
    <row r="456" spans="12:14" ht="16.5" customHeight="1" x14ac:dyDescent="0.25">
      <c r="L456" s="6"/>
      <c r="M456" s="8"/>
      <c r="N456" s="8"/>
    </row>
    <row r="457" spans="12:14" ht="16.5" customHeight="1" x14ac:dyDescent="0.25">
      <c r="L457" s="6"/>
      <c r="M457" s="8"/>
      <c r="N457" s="8"/>
    </row>
    <row r="458" spans="12:14" ht="16.5" customHeight="1" x14ac:dyDescent="0.25">
      <c r="L458" s="6"/>
      <c r="M458" s="8"/>
      <c r="N458" s="8"/>
    </row>
    <row r="459" spans="12:14" ht="16.5" customHeight="1" x14ac:dyDescent="0.25">
      <c r="L459" s="6"/>
      <c r="M459" s="8"/>
      <c r="N459" s="8"/>
    </row>
    <row r="460" spans="12:14" ht="16.5" customHeight="1" x14ac:dyDescent="0.25">
      <c r="L460" s="6"/>
      <c r="M460" s="8"/>
      <c r="N460" s="8"/>
    </row>
    <row r="461" spans="12:14" ht="16.5" customHeight="1" x14ac:dyDescent="0.25">
      <c r="L461" s="6"/>
      <c r="M461" s="8"/>
      <c r="N461" s="8"/>
    </row>
    <row r="462" spans="12:14" ht="16.5" customHeight="1" x14ac:dyDescent="0.25">
      <c r="L462" s="6"/>
      <c r="M462" s="8"/>
      <c r="N462" s="8"/>
    </row>
    <row r="463" spans="12:14" ht="16.5" customHeight="1" x14ac:dyDescent="0.25">
      <c r="L463" s="6"/>
      <c r="M463" s="8"/>
      <c r="N463" s="8"/>
    </row>
    <row r="464" spans="12:14" ht="16.5" customHeight="1" x14ac:dyDescent="0.25">
      <c r="L464" s="6"/>
      <c r="M464" s="8"/>
      <c r="N464" s="8"/>
    </row>
    <row r="465" spans="12:14" ht="16.5" customHeight="1" x14ac:dyDescent="0.25">
      <c r="L465" s="6"/>
      <c r="M465" s="8"/>
      <c r="N465" s="8"/>
    </row>
    <row r="466" spans="12:14" ht="16.5" customHeight="1" x14ac:dyDescent="0.25">
      <c r="L466" s="6"/>
      <c r="M466" s="8"/>
      <c r="N466" s="8"/>
    </row>
    <row r="467" spans="12:14" ht="16.5" customHeight="1" x14ac:dyDescent="0.25">
      <c r="L467" s="6"/>
      <c r="M467" s="8"/>
      <c r="N467" s="8"/>
    </row>
    <row r="468" spans="12:14" ht="16.5" customHeight="1" x14ac:dyDescent="0.25">
      <c r="L468" s="6"/>
      <c r="M468" s="8"/>
      <c r="N468" s="8"/>
    </row>
    <row r="469" spans="12:14" ht="16.5" customHeight="1" x14ac:dyDescent="0.25">
      <c r="L469" s="6"/>
      <c r="M469" s="8"/>
      <c r="N469" s="8"/>
    </row>
    <row r="470" spans="12:14" ht="16.5" customHeight="1" x14ac:dyDescent="0.25">
      <c r="L470" s="6"/>
      <c r="M470" s="8"/>
      <c r="N470" s="8"/>
    </row>
    <row r="471" spans="12:14" ht="16.5" customHeight="1" x14ac:dyDescent="0.25">
      <c r="L471" s="6"/>
      <c r="M471" s="8"/>
      <c r="N471" s="8"/>
    </row>
    <row r="472" spans="12:14" ht="16.5" customHeight="1" x14ac:dyDescent="0.25">
      <c r="L472" s="6"/>
      <c r="M472" s="8"/>
      <c r="N472" s="8"/>
    </row>
    <row r="473" spans="12:14" ht="16.5" customHeight="1" x14ac:dyDescent="0.25">
      <c r="L473" s="6"/>
      <c r="M473" s="8"/>
      <c r="N473" s="8"/>
    </row>
    <row r="474" spans="12:14" ht="16.5" customHeight="1" x14ac:dyDescent="0.25">
      <c r="L474" s="6"/>
      <c r="M474" s="8"/>
      <c r="N474" s="8"/>
    </row>
    <row r="475" spans="12:14" ht="16.5" customHeight="1" x14ac:dyDescent="0.25">
      <c r="L475" s="6"/>
      <c r="M475" s="8"/>
      <c r="N475" s="8"/>
    </row>
    <row r="476" spans="12:14" ht="16.5" customHeight="1" x14ac:dyDescent="0.25">
      <c r="L476" s="6"/>
      <c r="M476" s="8"/>
      <c r="N476" s="8"/>
    </row>
    <row r="477" spans="12:14" ht="16.5" customHeight="1" x14ac:dyDescent="0.25">
      <c r="L477" s="6"/>
      <c r="M477" s="8"/>
      <c r="N477" s="8"/>
    </row>
    <row r="478" spans="12:14" ht="16.5" customHeight="1" x14ac:dyDescent="0.25">
      <c r="L478" s="6"/>
      <c r="M478" s="8"/>
      <c r="N478" s="8"/>
    </row>
    <row r="479" spans="12:14" ht="16.5" customHeight="1" x14ac:dyDescent="0.25">
      <c r="L479" s="6"/>
      <c r="M479" s="8"/>
      <c r="N479" s="8"/>
    </row>
    <row r="480" spans="12:14" ht="16.5" customHeight="1" x14ac:dyDescent="0.25">
      <c r="L480" s="6"/>
      <c r="M480" s="8"/>
      <c r="N480" s="8"/>
    </row>
    <row r="481" spans="12:14" ht="16.5" customHeight="1" x14ac:dyDescent="0.25">
      <c r="L481" s="6"/>
      <c r="M481" s="8"/>
      <c r="N481" s="8"/>
    </row>
    <row r="482" spans="12:14" ht="16.5" customHeight="1" x14ac:dyDescent="0.25">
      <c r="L482" s="6"/>
      <c r="M482" s="8"/>
      <c r="N482" s="8"/>
    </row>
    <row r="483" spans="12:14" ht="16.5" customHeight="1" x14ac:dyDescent="0.25">
      <c r="L483" s="6"/>
      <c r="M483" s="8"/>
      <c r="N483" s="8"/>
    </row>
    <row r="484" spans="12:14" ht="16.5" customHeight="1" x14ac:dyDescent="0.25">
      <c r="L484" s="6"/>
      <c r="M484" s="8"/>
      <c r="N484" s="8"/>
    </row>
    <row r="485" spans="12:14" ht="16.5" customHeight="1" x14ac:dyDescent="0.25">
      <c r="L485" s="6"/>
      <c r="M485" s="8"/>
      <c r="N485" s="8"/>
    </row>
    <row r="486" spans="12:14" ht="16.5" customHeight="1" x14ac:dyDescent="0.25">
      <c r="L486" s="6"/>
      <c r="M486" s="8"/>
      <c r="N486" s="8"/>
    </row>
    <row r="487" spans="12:14" ht="16.5" customHeight="1" x14ac:dyDescent="0.25">
      <c r="L487" s="6"/>
      <c r="M487" s="8"/>
      <c r="N487" s="8"/>
    </row>
    <row r="488" spans="12:14" ht="16.5" customHeight="1" x14ac:dyDescent="0.25">
      <c r="L488" s="6"/>
      <c r="M488" s="8"/>
      <c r="N488" s="8"/>
    </row>
    <row r="489" spans="12:14" ht="16.5" customHeight="1" x14ac:dyDescent="0.25">
      <c r="L489" s="6"/>
      <c r="M489" s="8"/>
      <c r="N489" s="8"/>
    </row>
    <row r="490" spans="12:14" ht="16.5" customHeight="1" x14ac:dyDescent="0.25">
      <c r="L490" s="6"/>
      <c r="M490" s="8"/>
      <c r="N490" s="8"/>
    </row>
    <row r="491" spans="12:14" ht="16.5" customHeight="1" x14ac:dyDescent="0.25">
      <c r="L491" s="6"/>
      <c r="M491" s="8"/>
      <c r="N491" s="8"/>
    </row>
    <row r="492" spans="12:14" ht="16.5" customHeight="1" x14ac:dyDescent="0.25">
      <c r="L492" s="6"/>
      <c r="M492" s="8"/>
      <c r="N492" s="8"/>
    </row>
    <row r="493" spans="12:14" ht="16.5" customHeight="1" x14ac:dyDescent="0.25">
      <c r="L493" s="6"/>
      <c r="M493" s="8"/>
      <c r="N493" s="8"/>
    </row>
    <row r="494" spans="12:14" ht="16.5" customHeight="1" x14ac:dyDescent="0.25">
      <c r="L494" s="6"/>
      <c r="M494" s="8"/>
      <c r="N494" s="8"/>
    </row>
    <row r="495" spans="12:14" ht="16.5" customHeight="1" x14ac:dyDescent="0.25">
      <c r="L495" s="6"/>
      <c r="M495" s="8"/>
      <c r="N495" s="8"/>
    </row>
    <row r="496" spans="12:14" ht="16.5" customHeight="1" x14ac:dyDescent="0.25">
      <c r="L496" s="6"/>
      <c r="M496" s="8"/>
      <c r="N496" s="8"/>
    </row>
    <row r="497" spans="12:14" ht="16.5" customHeight="1" x14ac:dyDescent="0.25">
      <c r="L497" s="6"/>
      <c r="M497" s="8"/>
      <c r="N497" s="8"/>
    </row>
    <row r="498" spans="12:14" ht="16.5" customHeight="1" x14ac:dyDescent="0.25">
      <c r="L498" s="6"/>
      <c r="M498" s="8"/>
      <c r="N498" s="8"/>
    </row>
    <row r="499" spans="12:14" ht="16.5" customHeight="1" x14ac:dyDescent="0.25">
      <c r="L499" s="6"/>
      <c r="M499" s="8"/>
      <c r="N499" s="8"/>
    </row>
    <row r="500" spans="12:14" ht="16.5" customHeight="1" x14ac:dyDescent="0.25">
      <c r="L500" s="6"/>
      <c r="M500" s="8"/>
      <c r="N500" s="8"/>
    </row>
    <row r="501" spans="12:14" ht="16.5" customHeight="1" x14ac:dyDescent="0.25">
      <c r="L501" s="6"/>
      <c r="M501" s="8"/>
      <c r="N501" s="8"/>
    </row>
    <row r="502" spans="12:14" ht="16.5" customHeight="1" x14ac:dyDescent="0.25">
      <c r="L502" s="6"/>
      <c r="M502" s="8"/>
      <c r="N502" s="8"/>
    </row>
    <row r="503" spans="12:14" ht="16.5" customHeight="1" x14ac:dyDescent="0.25">
      <c r="L503" s="6"/>
      <c r="M503" s="8"/>
      <c r="N503" s="8"/>
    </row>
    <row r="504" spans="12:14" ht="16.5" customHeight="1" x14ac:dyDescent="0.25">
      <c r="L504" s="6"/>
      <c r="M504" s="8"/>
      <c r="N504" s="8"/>
    </row>
    <row r="505" spans="12:14" ht="16.5" customHeight="1" x14ac:dyDescent="0.25">
      <c r="L505" s="6"/>
      <c r="M505" s="8"/>
      <c r="N505" s="8"/>
    </row>
    <row r="506" spans="12:14" ht="16.5" customHeight="1" x14ac:dyDescent="0.25">
      <c r="L506" s="6"/>
      <c r="M506" s="8"/>
      <c r="N506" s="8"/>
    </row>
    <row r="507" spans="12:14" ht="16.5" customHeight="1" x14ac:dyDescent="0.25">
      <c r="L507" s="6"/>
      <c r="M507" s="8"/>
      <c r="N507" s="8"/>
    </row>
    <row r="508" spans="12:14" ht="16.5" customHeight="1" x14ac:dyDescent="0.25">
      <c r="L508" s="6"/>
      <c r="M508" s="8"/>
      <c r="N508" s="8"/>
    </row>
    <row r="509" spans="12:14" ht="16.5" customHeight="1" x14ac:dyDescent="0.25">
      <c r="L509" s="6"/>
      <c r="M509" s="8"/>
      <c r="N509" s="8"/>
    </row>
    <row r="510" spans="12:14" ht="16.5" customHeight="1" x14ac:dyDescent="0.25">
      <c r="L510" s="6"/>
      <c r="M510" s="8"/>
      <c r="N510" s="8"/>
    </row>
    <row r="511" spans="12:14" ht="16.5" customHeight="1" x14ac:dyDescent="0.25">
      <c r="L511" s="6"/>
      <c r="M511" s="8"/>
      <c r="N511" s="8"/>
    </row>
    <row r="512" spans="12:14" ht="16.5" customHeight="1" x14ac:dyDescent="0.25">
      <c r="L512" s="6"/>
      <c r="M512" s="8"/>
      <c r="N512" s="8"/>
    </row>
    <row r="513" spans="12:14" ht="16.5" customHeight="1" x14ac:dyDescent="0.25">
      <c r="L513" s="6"/>
      <c r="M513" s="8"/>
      <c r="N513" s="8"/>
    </row>
    <row r="514" spans="12:14" ht="16.5" customHeight="1" x14ac:dyDescent="0.25">
      <c r="L514" s="6"/>
      <c r="M514" s="8"/>
      <c r="N514" s="8"/>
    </row>
    <row r="515" spans="12:14" ht="16.5" customHeight="1" x14ac:dyDescent="0.25">
      <c r="L515" s="6"/>
      <c r="M515" s="8"/>
      <c r="N515" s="8"/>
    </row>
    <row r="516" spans="12:14" ht="16.5" customHeight="1" x14ac:dyDescent="0.25">
      <c r="L516" s="6"/>
      <c r="M516" s="8"/>
      <c r="N516" s="8"/>
    </row>
    <row r="517" spans="12:14" ht="16.5" customHeight="1" x14ac:dyDescent="0.25">
      <c r="L517" s="6"/>
      <c r="M517" s="8"/>
      <c r="N517" s="8"/>
    </row>
    <row r="518" spans="12:14" ht="16.5" customHeight="1" x14ac:dyDescent="0.25">
      <c r="L518" s="6"/>
      <c r="M518" s="8"/>
      <c r="N518" s="8"/>
    </row>
    <row r="519" spans="12:14" ht="16.5" customHeight="1" x14ac:dyDescent="0.25">
      <c r="L519" s="6"/>
      <c r="M519" s="8"/>
      <c r="N519" s="8"/>
    </row>
    <row r="520" spans="12:14" ht="16.5" customHeight="1" x14ac:dyDescent="0.25">
      <c r="L520" s="6"/>
      <c r="M520" s="8"/>
      <c r="N520" s="8"/>
    </row>
    <row r="521" spans="12:14" ht="16.5" customHeight="1" x14ac:dyDescent="0.25">
      <c r="L521" s="6"/>
      <c r="M521" s="8"/>
      <c r="N521" s="8"/>
    </row>
    <row r="522" spans="12:14" ht="16.5" customHeight="1" x14ac:dyDescent="0.25">
      <c r="L522" s="6"/>
      <c r="M522" s="8"/>
      <c r="N522" s="8"/>
    </row>
    <row r="523" spans="12:14" ht="16.5" customHeight="1" x14ac:dyDescent="0.25">
      <c r="L523" s="6"/>
      <c r="M523" s="8"/>
      <c r="N523" s="8"/>
    </row>
    <row r="524" spans="12:14" ht="16.5" customHeight="1" x14ac:dyDescent="0.25">
      <c r="L524" s="6"/>
      <c r="M524" s="8"/>
      <c r="N524" s="8"/>
    </row>
    <row r="525" spans="12:14" ht="16.5" customHeight="1" x14ac:dyDescent="0.25">
      <c r="L525" s="6"/>
      <c r="M525" s="8"/>
      <c r="N525" s="8"/>
    </row>
    <row r="526" spans="12:14" ht="16.5" customHeight="1" x14ac:dyDescent="0.25">
      <c r="L526" s="6"/>
      <c r="M526" s="8"/>
      <c r="N526" s="8"/>
    </row>
    <row r="527" spans="12:14" ht="16.5" customHeight="1" x14ac:dyDescent="0.25">
      <c r="L527" s="6"/>
      <c r="M527" s="8"/>
      <c r="N527" s="8"/>
    </row>
    <row r="528" spans="12:14" ht="16.5" customHeight="1" x14ac:dyDescent="0.25">
      <c r="L528" s="6"/>
      <c r="M528" s="8"/>
      <c r="N528" s="8"/>
    </row>
    <row r="529" spans="12:14" ht="16.5" customHeight="1" x14ac:dyDescent="0.25">
      <c r="L529" s="6"/>
      <c r="M529" s="8"/>
      <c r="N529" s="8"/>
    </row>
    <row r="530" spans="12:14" ht="16.5" customHeight="1" x14ac:dyDescent="0.25">
      <c r="L530" s="6"/>
      <c r="M530" s="8"/>
      <c r="N530" s="8"/>
    </row>
    <row r="531" spans="12:14" ht="16.5" customHeight="1" x14ac:dyDescent="0.25">
      <c r="L531" s="6"/>
      <c r="M531" s="8"/>
      <c r="N531" s="8"/>
    </row>
    <row r="532" spans="12:14" ht="16.5" customHeight="1" x14ac:dyDescent="0.25">
      <c r="L532" s="6"/>
      <c r="M532" s="8"/>
      <c r="N532" s="8"/>
    </row>
    <row r="533" spans="12:14" ht="16.5" customHeight="1" x14ac:dyDescent="0.25">
      <c r="L533" s="6"/>
      <c r="M533" s="8"/>
      <c r="N533" s="8"/>
    </row>
    <row r="534" spans="12:14" ht="16.5" customHeight="1" x14ac:dyDescent="0.25">
      <c r="L534" s="6"/>
      <c r="M534" s="8"/>
      <c r="N534" s="8"/>
    </row>
    <row r="535" spans="12:14" ht="16.5" customHeight="1" x14ac:dyDescent="0.25">
      <c r="L535" s="6"/>
      <c r="M535" s="8"/>
      <c r="N535" s="8"/>
    </row>
    <row r="536" spans="12:14" ht="16.5" customHeight="1" x14ac:dyDescent="0.25">
      <c r="L536" s="6"/>
      <c r="M536" s="8"/>
      <c r="N536" s="8"/>
    </row>
    <row r="537" spans="12:14" ht="16.5" customHeight="1" x14ac:dyDescent="0.25">
      <c r="L537" s="6"/>
      <c r="M537" s="8"/>
      <c r="N537" s="8"/>
    </row>
    <row r="538" spans="12:14" ht="16.5" customHeight="1" x14ac:dyDescent="0.25">
      <c r="L538" s="6"/>
      <c r="M538" s="8"/>
      <c r="N538" s="8"/>
    </row>
    <row r="539" spans="12:14" ht="16.5" customHeight="1" x14ac:dyDescent="0.25">
      <c r="L539" s="6"/>
      <c r="M539" s="8"/>
      <c r="N539" s="8"/>
    </row>
    <row r="540" spans="12:14" ht="16.5" customHeight="1" x14ac:dyDescent="0.25">
      <c r="L540" s="6"/>
      <c r="M540" s="8"/>
      <c r="N540" s="8"/>
    </row>
    <row r="541" spans="12:14" ht="16.5" customHeight="1" x14ac:dyDescent="0.25">
      <c r="L541" s="6"/>
      <c r="M541" s="8"/>
      <c r="N541" s="8"/>
    </row>
    <row r="542" spans="12:14" ht="16.5" customHeight="1" x14ac:dyDescent="0.25">
      <c r="L542" s="6"/>
      <c r="M542" s="8"/>
      <c r="N542" s="8"/>
    </row>
    <row r="543" spans="12:14" ht="16.5" customHeight="1" x14ac:dyDescent="0.25">
      <c r="L543" s="6"/>
      <c r="M543" s="8"/>
      <c r="N543" s="8"/>
    </row>
    <row r="544" spans="12:14" ht="16.5" customHeight="1" x14ac:dyDescent="0.25">
      <c r="L544" s="6"/>
      <c r="M544" s="8"/>
      <c r="N544" s="8"/>
    </row>
    <row r="545" spans="12:14" ht="16.5" customHeight="1" x14ac:dyDescent="0.25">
      <c r="L545" s="6"/>
      <c r="M545" s="8"/>
      <c r="N545" s="8"/>
    </row>
    <row r="546" spans="12:14" ht="16.5" customHeight="1" x14ac:dyDescent="0.25">
      <c r="L546" s="6"/>
      <c r="M546" s="8"/>
      <c r="N546" s="8"/>
    </row>
    <row r="547" spans="12:14" ht="16.5" customHeight="1" x14ac:dyDescent="0.25">
      <c r="L547" s="6"/>
      <c r="M547" s="8"/>
      <c r="N547" s="8"/>
    </row>
    <row r="548" spans="12:14" ht="16.5" customHeight="1" x14ac:dyDescent="0.25">
      <c r="L548" s="6"/>
      <c r="M548" s="8"/>
      <c r="N548" s="8"/>
    </row>
    <row r="549" spans="12:14" ht="16.5" customHeight="1" x14ac:dyDescent="0.25">
      <c r="L549" s="6"/>
      <c r="M549" s="8"/>
      <c r="N549" s="8"/>
    </row>
    <row r="550" spans="12:14" ht="16.5" customHeight="1" x14ac:dyDescent="0.25">
      <c r="L550" s="6"/>
      <c r="M550" s="8"/>
      <c r="N550" s="8"/>
    </row>
    <row r="551" spans="12:14" ht="16.5" customHeight="1" x14ac:dyDescent="0.25">
      <c r="L551" s="6"/>
      <c r="M551" s="8"/>
      <c r="N551" s="8"/>
    </row>
    <row r="552" spans="12:14" ht="16.5" customHeight="1" x14ac:dyDescent="0.25">
      <c r="L552" s="6"/>
      <c r="M552" s="8"/>
      <c r="N552" s="8"/>
    </row>
    <row r="553" spans="12:14" ht="16.5" customHeight="1" x14ac:dyDescent="0.25">
      <c r="L553" s="6"/>
      <c r="M553" s="8"/>
      <c r="N553" s="8"/>
    </row>
    <row r="554" spans="12:14" ht="16.5" customHeight="1" x14ac:dyDescent="0.25">
      <c r="L554" s="6"/>
      <c r="M554" s="8"/>
      <c r="N554" s="8"/>
    </row>
    <row r="555" spans="12:14" ht="16.5" customHeight="1" x14ac:dyDescent="0.25">
      <c r="L555" s="6"/>
      <c r="M555" s="8"/>
      <c r="N555" s="8"/>
    </row>
    <row r="556" spans="12:14" ht="16.5" customHeight="1" x14ac:dyDescent="0.25">
      <c r="L556" s="6"/>
      <c r="M556" s="8"/>
      <c r="N556" s="8"/>
    </row>
    <row r="557" spans="12:14" ht="16.5" customHeight="1" x14ac:dyDescent="0.25">
      <c r="L557" s="6"/>
      <c r="M557" s="8"/>
      <c r="N557" s="8"/>
    </row>
    <row r="558" spans="12:14" ht="16.5" customHeight="1" x14ac:dyDescent="0.25">
      <c r="L558" s="6"/>
      <c r="M558" s="8"/>
      <c r="N558" s="8"/>
    </row>
    <row r="559" spans="12:14" ht="16.5" customHeight="1" x14ac:dyDescent="0.25">
      <c r="L559" s="6"/>
      <c r="M559" s="8"/>
      <c r="N559" s="8"/>
    </row>
    <row r="560" spans="12:14" ht="16.5" customHeight="1" x14ac:dyDescent="0.25">
      <c r="L560" s="6"/>
      <c r="M560" s="8"/>
      <c r="N560" s="8"/>
    </row>
    <row r="561" spans="12:14" ht="16.5" customHeight="1" x14ac:dyDescent="0.25">
      <c r="L561" s="6"/>
      <c r="M561" s="8"/>
      <c r="N561" s="8"/>
    </row>
    <row r="562" spans="12:14" ht="16.5" customHeight="1" x14ac:dyDescent="0.25">
      <c r="L562" s="6"/>
      <c r="M562" s="8"/>
      <c r="N562" s="8"/>
    </row>
    <row r="563" spans="12:14" ht="16.5" customHeight="1" x14ac:dyDescent="0.25">
      <c r="L563" s="6"/>
      <c r="M563" s="8"/>
      <c r="N563" s="8"/>
    </row>
    <row r="564" spans="12:14" ht="16.5" customHeight="1" x14ac:dyDescent="0.25">
      <c r="L564" s="6"/>
      <c r="M564" s="8"/>
      <c r="N564" s="8"/>
    </row>
    <row r="565" spans="12:14" ht="16.5" customHeight="1" x14ac:dyDescent="0.25">
      <c r="L565" s="6"/>
      <c r="M565" s="8"/>
      <c r="N565" s="8"/>
    </row>
    <row r="566" spans="12:14" ht="16.5" customHeight="1" x14ac:dyDescent="0.25">
      <c r="L566" s="6"/>
      <c r="M566" s="8"/>
      <c r="N566" s="8"/>
    </row>
    <row r="567" spans="12:14" ht="16.5" customHeight="1" x14ac:dyDescent="0.25">
      <c r="L567" s="6"/>
      <c r="M567" s="8"/>
      <c r="N567" s="8"/>
    </row>
    <row r="568" spans="12:14" ht="16.5" customHeight="1" x14ac:dyDescent="0.25">
      <c r="L568" s="6"/>
      <c r="M568" s="8"/>
      <c r="N568" s="8"/>
    </row>
    <row r="569" spans="12:14" ht="16.5" customHeight="1" x14ac:dyDescent="0.25">
      <c r="L569" s="6"/>
      <c r="M569" s="8"/>
      <c r="N569" s="8"/>
    </row>
    <row r="570" spans="12:14" ht="16.5" customHeight="1" x14ac:dyDescent="0.25">
      <c r="L570" s="6"/>
      <c r="M570" s="8"/>
      <c r="N570" s="8"/>
    </row>
    <row r="571" spans="12:14" ht="16.5" customHeight="1" x14ac:dyDescent="0.25">
      <c r="L571" s="6"/>
      <c r="M571" s="8"/>
      <c r="N571" s="8"/>
    </row>
    <row r="572" spans="12:14" ht="16.5" customHeight="1" x14ac:dyDescent="0.25">
      <c r="L572" s="6"/>
      <c r="M572" s="8"/>
      <c r="N572" s="8"/>
    </row>
    <row r="573" spans="12:14" ht="16.5" customHeight="1" x14ac:dyDescent="0.25">
      <c r="L573" s="6"/>
      <c r="M573" s="8"/>
      <c r="N573" s="8"/>
    </row>
    <row r="574" spans="12:14" ht="16.5" customHeight="1" x14ac:dyDescent="0.25">
      <c r="L574" s="6"/>
      <c r="M574" s="8"/>
      <c r="N574" s="8"/>
    </row>
    <row r="575" spans="12:14" ht="16.5" customHeight="1" x14ac:dyDescent="0.25">
      <c r="L575" s="6"/>
      <c r="M575" s="8"/>
      <c r="N575" s="8"/>
    </row>
    <row r="576" spans="12:14" ht="16.5" customHeight="1" x14ac:dyDescent="0.25">
      <c r="L576" s="6"/>
      <c r="M576" s="8"/>
      <c r="N576" s="8"/>
    </row>
    <row r="577" spans="12:14" ht="16.5" customHeight="1" x14ac:dyDescent="0.25">
      <c r="L577" s="6"/>
      <c r="M577" s="8"/>
      <c r="N577" s="8"/>
    </row>
    <row r="578" spans="12:14" ht="16.5" customHeight="1" x14ac:dyDescent="0.25">
      <c r="L578" s="6"/>
      <c r="M578" s="8"/>
      <c r="N578" s="8"/>
    </row>
    <row r="579" spans="12:14" ht="16.5" customHeight="1" x14ac:dyDescent="0.25">
      <c r="L579" s="6"/>
      <c r="M579" s="8"/>
      <c r="N579" s="8"/>
    </row>
    <row r="580" spans="12:14" ht="16.5" customHeight="1" x14ac:dyDescent="0.25">
      <c r="L580" s="6"/>
      <c r="M580" s="8"/>
      <c r="N580" s="8"/>
    </row>
    <row r="581" spans="12:14" ht="16.5" customHeight="1" x14ac:dyDescent="0.25">
      <c r="L581" s="6"/>
      <c r="M581" s="8"/>
      <c r="N581" s="8"/>
    </row>
    <row r="582" spans="12:14" ht="16.5" customHeight="1" x14ac:dyDescent="0.25">
      <c r="L582" s="6"/>
      <c r="M582" s="8"/>
      <c r="N582" s="8"/>
    </row>
    <row r="583" spans="12:14" ht="16.5" customHeight="1" x14ac:dyDescent="0.25">
      <c r="L583" s="6"/>
      <c r="M583" s="8"/>
      <c r="N583" s="8"/>
    </row>
    <row r="584" spans="12:14" ht="16.5" customHeight="1" x14ac:dyDescent="0.25">
      <c r="L584" s="6"/>
      <c r="M584" s="8"/>
      <c r="N584" s="8"/>
    </row>
    <row r="585" spans="12:14" ht="16.5" customHeight="1" x14ac:dyDescent="0.25">
      <c r="L585" s="6"/>
      <c r="M585" s="8"/>
      <c r="N585" s="8"/>
    </row>
    <row r="586" spans="12:14" ht="16.5" customHeight="1" x14ac:dyDescent="0.25">
      <c r="L586" s="6"/>
      <c r="M586" s="8"/>
      <c r="N586" s="8"/>
    </row>
    <row r="587" spans="12:14" ht="16.5" customHeight="1" x14ac:dyDescent="0.25">
      <c r="L587" s="6"/>
      <c r="M587" s="8"/>
      <c r="N587" s="8"/>
    </row>
    <row r="588" spans="12:14" ht="16.5" customHeight="1" x14ac:dyDescent="0.25">
      <c r="L588" s="6"/>
      <c r="M588" s="8"/>
      <c r="N588" s="8"/>
    </row>
    <row r="589" spans="12:14" ht="16.5" customHeight="1" x14ac:dyDescent="0.25">
      <c r="L589" s="6"/>
      <c r="M589" s="8"/>
      <c r="N589" s="8"/>
    </row>
    <row r="590" spans="12:14" ht="16.5" customHeight="1" x14ac:dyDescent="0.25">
      <c r="L590" s="6"/>
      <c r="M590" s="8"/>
      <c r="N590" s="8"/>
    </row>
    <row r="591" spans="12:14" ht="16.5" customHeight="1" x14ac:dyDescent="0.25">
      <c r="L591" s="6"/>
      <c r="M591" s="8"/>
      <c r="N591" s="8"/>
    </row>
    <row r="592" spans="12:14" ht="16.5" customHeight="1" x14ac:dyDescent="0.25">
      <c r="L592" s="6"/>
      <c r="M592" s="8"/>
      <c r="N592" s="8"/>
    </row>
    <row r="593" spans="12:14" ht="16.5" customHeight="1" x14ac:dyDescent="0.25">
      <c r="L593" s="6"/>
      <c r="M593" s="8"/>
      <c r="N593" s="8"/>
    </row>
    <row r="594" spans="12:14" ht="16.5" customHeight="1" x14ac:dyDescent="0.25">
      <c r="L594" s="6"/>
      <c r="M594" s="8"/>
      <c r="N594" s="8"/>
    </row>
    <row r="595" spans="12:14" ht="16.5" customHeight="1" x14ac:dyDescent="0.25">
      <c r="L595" s="6"/>
      <c r="M595" s="8"/>
      <c r="N595" s="8"/>
    </row>
    <row r="596" spans="12:14" ht="16.5" customHeight="1" x14ac:dyDescent="0.25">
      <c r="L596" s="6"/>
      <c r="M596" s="8"/>
      <c r="N596" s="8"/>
    </row>
    <row r="597" spans="12:14" ht="16.5" customHeight="1" x14ac:dyDescent="0.25">
      <c r="L597" s="6"/>
      <c r="M597" s="8"/>
      <c r="N597" s="8"/>
    </row>
    <row r="598" spans="12:14" ht="16.5" customHeight="1" x14ac:dyDescent="0.25">
      <c r="L598" s="6"/>
      <c r="M598" s="8"/>
      <c r="N598" s="8"/>
    </row>
    <row r="599" spans="12:14" ht="16.5" customHeight="1" x14ac:dyDescent="0.25">
      <c r="L599" s="6"/>
      <c r="M599" s="8"/>
      <c r="N599" s="8"/>
    </row>
    <row r="600" spans="12:14" ht="16.5" customHeight="1" x14ac:dyDescent="0.25">
      <c r="L600" s="6"/>
      <c r="M600" s="8"/>
      <c r="N600" s="8"/>
    </row>
    <row r="601" spans="12:14" ht="16.5" customHeight="1" x14ac:dyDescent="0.25">
      <c r="L601" s="6"/>
      <c r="M601" s="8"/>
      <c r="N601" s="8"/>
    </row>
    <row r="602" spans="12:14" ht="16.5" customHeight="1" x14ac:dyDescent="0.25">
      <c r="L602" s="6"/>
      <c r="M602" s="8"/>
      <c r="N602" s="8"/>
    </row>
    <row r="603" spans="12:14" ht="16.5" customHeight="1" x14ac:dyDescent="0.25">
      <c r="L603" s="6"/>
      <c r="M603" s="8"/>
      <c r="N603" s="8"/>
    </row>
    <row r="604" spans="12:14" ht="16.5" customHeight="1" x14ac:dyDescent="0.25">
      <c r="L604" s="6"/>
      <c r="M604" s="8"/>
      <c r="N604" s="8"/>
    </row>
    <row r="605" spans="12:14" ht="16.5" customHeight="1" x14ac:dyDescent="0.25">
      <c r="L605" s="6"/>
      <c r="M605" s="8"/>
      <c r="N605" s="8"/>
    </row>
    <row r="606" spans="12:14" ht="16.5" customHeight="1" x14ac:dyDescent="0.25">
      <c r="L606" s="6"/>
      <c r="M606" s="8"/>
      <c r="N606" s="8"/>
    </row>
    <row r="607" spans="12:14" ht="16.5" customHeight="1" x14ac:dyDescent="0.25">
      <c r="L607" s="6"/>
      <c r="M607" s="8"/>
      <c r="N607" s="8"/>
    </row>
    <row r="608" spans="12:14" ht="16.5" customHeight="1" x14ac:dyDescent="0.25">
      <c r="L608" s="6"/>
      <c r="M608" s="8"/>
      <c r="N608" s="8"/>
    </row>
    <row r="609" spans="12:14" ht="16.5" customHeight="1" x14ac:dyDescent="0.25">
      <c r="L609" s="6"/>
      <c r="M609" s="8"/>
      <c r="N609" s="8"/>
    </row>
    <row r="610" spans="12:14" ht="16.5" customHeight="1" x14ac:dyDescent="0.25">
      <c r="L610" s="6"/>
      <c r="M610" s="8"/>
      <c r="N610" s="8"/>
    </row>
    <row r="611" spans="12:14" ht="16.5" customHeight="1" x14ac:dyDescent="0.25">
      <c r="L611" s="6"/>
      <c r="M611" s="8"/>
      <c r="N611" s="8"/>
    </row>
    <row r="612" spans="12:14" ht="16.5" customHeight="1" x14ac:dyDescent="0.25">
      <c r="L612" s="6"/>
      <c r="M612" s="8"/>
      <c r="N612" s="8"/>
    </row>
    <row r="613" spans="12:14" ht="16.5" customHeight="1" x14ac:dyDescent="0.25">
      <c r="L613" s="6"/>
      <c r="M613" s="8"/>
      <c r="N613" s="8"/>
    </row>
    <row r="614" spans="12:14" ht="16.5" customHeight="1" x14ac:dyDescent="0.25">
      <c r="L614" s="6"/>
      <c r="M614" s="8"/>
      <c r="N614" s="8"/>
    </row>
    <row r="615" spans="12:14" ht="16.5" customHeight="1" x14ac:dyDescent="0.25">
      <c r="L615" s="6"/>
      <c r="M615" s="8"/>
      <c r="N615" s="8"/>
    </row>
    <row r="616" spans="12:14" ht="16.5" customHeight="1" x14ac:dyDescent="0.25">
      <c r="L616" s="6"/>
      <c r="M616" s="8"/>
      <c r="N616" s="8"/>
    </row>
    <row r="617" spans="12:14" ht="16.5" customHeight="1" x14ac:dyDescent="0.25">
      <c r="L617" s="6"/>
      <c r="M617" s="8"/>
      <c r="N617" s="8"/>
    </row>
    <row r="618" spans="12:14" ht="16.5" customHeight="1" x14ac:dyDescent="0.25">
      <c r="L618" s="6"/>
      <c r="M618" s="8"/>
      <c r="N618" s="8"/>
    </row>
    <row r="619" spans="12:14" ht="16.5" customHeight="1" x14ac:dyDescent="0.25">
      <c r="L619" s="6"/>
      <c r="M619" s="8"/>
      <c r="N619" s="8"/>
    </row>
    <row r="620" spans="12:14" ht="16.5" customHeight="1" x14ac:dyDescent="0.25">
      <c r="L620" s="6"/>
      <c r="M620" s="8"/>
      <c r="N620" s="8"/>
    </row>
    <row r="621" spans="12:14" ht="16.5" customHeight="1" x14ac:dyDescent="0.25">
      <c r="L621" s="6"/>
      <c r="M621" s="8"/>
      <c r="N621" s="8"/>
    </row>
    <row r="622" spans="12:14" ht="16.5" customHeight="1" x14ac:dyDescent="0.25">
      <c r="L622" s="6"/>
      <c r="M622" s="8"/>
      <c r="N622" s="8"/>
    </row>
    <row r="623" spans="12:14" ht="16.5" customHeight="1" x14ac:dyDescent="0.25">
      <c r="L623" s="6"/>
      <c r="M623" s="8"/>
      <c r="N623" s="8"/>
    </row>
    <row r="624" spans="12:14" ht="16.5" customHeight="1" x14ac:dyDescent="0.25">
      <c r="L624" s="6"/>
      <c r="M624" s="8"/>
      <c r="N624" s="8"/>
    </row>
    <row r="625" spans="12:14" ht="16.5" customHeight="1" x14ac:dyDescent="0.25">
      <c r="L625" s="6"/>
      <c r="M625" s="8"/>
      <c r="N625" s="8"/>
    </row>
    <row r="626" spans="12:14" ht="16.5" customHeight="1" x14ac:dyDescent="0.25">
      <c r="L626" s="6"/>
      <c r="M626" s="8"/>
      <c r="N626" s="8"/>
    </row>
    <row r="627" spans="12:14" ht="16.5" customHeight="1" x14ac:dyDescent="0.25">
      <c r="L627" s="6"/>
      <c r="M627" s="8"/>
      <c r="N627" s="8"/>
    </row>
    <row r="628" spans="12:14" ht="16.5" customHeight="1" x14ac:dyDescent="0.25">
      <c r="L628" s="6"/>
      <c r="M628" s="8"/>
      <c r="N628" s="8"/>
    </row>
    <row r="629" spans="12:14" ht="16.5" customHeight="1" x14ac:dyDescent="0.25">
      <c r="L629" s="6"/>
      <c r="M629" s="8"/>
      <c r="N629" s="8"/>
    </row>
    <row r="630" spans="12:14" ht="16.5" customHeight="1" x14ac:dyDescent="0.25">
      <c r="L630" s="6"/>
      <c r="M630" s="8"/>
      <c r="N630" s="8"/>
    </row>
    <row r="631" spans="12:14" ht="16.5" customHeight="1" x14ac:dyDescent="0.25">
      <c r="L631" s="6"/>
      <c r="M631" s="8"/>
      <c r="N631" s="8"/>
    </row>
    <row r="632" spans="12:14" ht="16.5" customHeight="1" x14ac:dyDescent="0.25">
      <c r="L632" s="6"/>
      <c r="M632" s="8"/>
      <c r="N632" s="8"/>
    </row>
    <row r="633" spans="12:14" ht="16.5" customHeight="1" x14ac:dyDescent="0.25">
      <c r="L633" s="6"/>
      <c r="M633" s="8"/>
      <c r="N633" s="8"/>
    </row>
    <row r="634" spans="12:14" ht="16.5" customHeight="1" x14ac:dyDescent="0.25">
      <c r="L634" s="6"/>
      <c r="M634" s="8"/>
      <c r="N634" s="8"/>
    </row>
    <row r="635" spans="12:14" ht="16.5" customHeight="1" x14ac:dyDescent="0.25">
      <c r="L635" s="6"/>
      <c r="M635" s="8"/>
      <c r="N635" s="8"/>
    </row>
    <row r="636" spans="12:14" ht="16.5" customHeight="1" x14ac:dyDescent="0.25">
      <c r="L636" s="6"/>
      <c r="M636" s="8"/>
      <c r="N636" s="8"/>
    </row>
    <row r="637" spans="12:14" ht="16.5" customHeight="1" x14ac:dyDescent="0.25">
      <c r="L637" s="6"/>
      <c r="M637" s="8"/>
      <c r="N637" s="8"/>
    </row>
    <row r="638" spans="12:14" ht="16.5" customHeight="1" x14ac:dyDescent="0.25">
      <c r="L638" s="6"/>
      <c r="M638" s="8"/>
      <c r="N638" s="8"/>
    </row>
    <row r="639" spans="12:14" ht="16.5" customHeight="1" x14ac:dyDescent="0.25">
      <c r="L639" s="6"/>
      <c r="M639" s="8"/>
      <c r="N639" s="8"/>
    </row>
    <row r="640" spans="12:14" ht="16.5" customHeight="1" x14ac:dyDescent="0.25">
      <c r="L640" s="6"/>
      <c r="M640" s="8"/>
      <c r="N640" s="8"/>
    </row>
    <row r="641" spans="12:14" ht="16.5" customHeight="1" x14ac:dyDescent="0.25">
      <c r="L641" s="6"/>
      <c r="M641" s="8"/>
      <c r="N641" s="8"/>
    </row>
    <row r="642" spans="12:14" ht="16.5" customHeight="1" x14ac:dyDescent="0.25">
      <c r="L642" s="6"/>
      <c r="M642" s="8"/>
      <c r="N642" s="8"/>
    </row>
    <row r="643" spans="12:14" ht="16.5" customHeight="1" x14ac:dyDescent="0.25">
      <c r="L643" s="6"/>
      <c r="M643" s="8"/>
      <c r="N643" s="8"/>
    </row>
    <row r="644" spans="12:14" ht="16.5" customHeight="1" x14ac:dyDescent="0.25">
      <c r="L644" s="6"/>
      <c r="M644" s="8"/>
      <c r="N644" s="8"/>
    </row>
    <row r="645" spans="12:14" ht="16.5" customHeight="1" x14ac:dyDescent="0.25">
      <c r="L645" s="6"/>
      <c r="M645" s="8"/>
      <c r="N645" s="8"/>
    </row>
    <row r="646" spans="12:14" ht="16.5" customHeight="1" x14ac:dyDescent="0.25">
      <c r="L646" s="6"/>
      <c r="M646" s="8"/>
      <c r="N646" s="8"/>
    </row>
    <row r="647" spans="12:14" ht="16.5" customHeight="1" x14ac:dyDescent="0.25">
      <c r="L647" s="6"/>
      <c r="M647" s="8"/>
      <c r="N647" s="8"/>
    </row>
    <row r="648" spans="12:14" ht="16.5" customHeight="1" x14ac:dyDescent="0.25">
      <c r="L648" s="6"/>
      <c r="M648" s="8"/>
      <c r="N648" s="8"/>
    </row>
    <row r="649" spans="12:14" ht="16.5" customHeight="1" x14ac:dyDescent="0.25">
      <c r="L649" s="6"/>
      <c r="M649" s="8"/>
      <c r="N649" s="8"/>
    </row>
    <row r="650" spans="12:14" ht="16.5" customHeight="1" x14ac:dyDescent="0.25">
      <c r="L650" s="6"/>
      <c r="M650" s="8"/>
      <c r="N650" s="8"/>
    </row>
    <row r="651" spans="12:14" ht="16.5" customHeight="1" x14ac:dyDescent="0.25">
      <c r="L651" s="6"/>
      <c r="M651" s="8"/>
      <c r="N651" s="8"/>
    </row>
    <row r="652" spans="12:14" ht="16.5" customHeight="1" x14ac:dyDescent="0.25">
      <c r="L652" s="6"/>
      <c r="M652" s="8"/>
      <c r="N652" s="8"/>
    </row>
    <row r="653" spans="12:14" ht="16.5" customHeight="1" x14ac:dyDescent="0.25">
      <c r="L653" s="6"/>
      <c r="M653" s="8"/>
      <c r="N653" s="8"/>
    </row>
    <row r="654" spans="12:14" ht="16.5" customHeight="1" x14ac:dyDescent="0.25">
      <c r="L654" s="6"/>
      <c r="M654" s="8"/>
      <c r="N654" s="8"/>
    </row>
    <row r="655" spans="12:14" ht="16.5" customHeight="1" x14ac:dyDescent="0.25">
      <c r="L655" s="6"/>
      <c r="M655" s="8"/>
      <c r="N655" s="8"/>
    </row>
    <row r="656" spans="12:14" ht="16.5" customHeight="1" x14ac:dyDescent="0.25">
      <c r="L656" s="6"/>
      <c r="M656" s="8"/>
      <c r="N656" s="8"/>
    </row>
    <row r="657" spans="12:14" ht="16.5" customHeight="1" x14ac:dyDescent="0.25">
      <c r="L657" s="6"/>
      <c r="M657" s="8"/>
      <c r="N657" s="8"/>
    </row>
    <row r="658" spans="12:14" ht="16.5" customHeight="1" x14ac:dyDescent="0.25">
      <c r="L658" s="6"/>
      <c r="M658" s="8"/>
      <c r="N658" s="8"/>
    </row>
    <row r="659" spans="12:14" ht="16.5" customHeight="1" x14ac:dyDescent="0.25">
      <c r="L659" s="6"/>
      <c r="M659" s="8"/>
      <c r="N659" s="8"/>
    </row>
    <row r="660" spans="12:14" ht="16.5" customHeight="1" x14ac:dyDescent="0.25">
      <c r="L660" s="6"/>
      <c r="M660" s="8"/>
      <c r="N660" s="8"/>
    </row>
    <row r="661" spans="12:14" ht="16.5" customHeight="1" x14ac:dyDescent="0.25">
      <c r="L661" s="6"/>
      <c r="M661" s="8"/>
      <c r="N661" s="8"/>
    </row>
    <row r="662" spans="12:14" ht="16.5" customHeight="1" x14ac:dyDescent="0.25">
      <c r="L662" s="6"/>
      <c r="M662" s="8"/>
      <c r="N662" s="8"/>
    </row>
    <row r="663" spans="12:14" ht="16.5" customHeight="1" x14ac:dyDescent="0.25">
      <c r="L663" s="6"/>
      <c r="M663" s="8"/>
      <c r="N663" s="8"/>
    </row>
    <row r="664" spans="12:14" ht="16.5" customHeight="1" x14ac:dyDescent="0.25">
      <c r="L664" s="6"/>
      <c r="M664" s="8"/>
      <c r="N664" s="8"/>
    </row>
    <row r="665" spans="12:14" ht="16.5" customHeight="1" x14ac:dyDescent="0.25">
      <c r="L665" s="6"/>
      <c r="M665" s="8"/>
      <c r="N665" s="8"/>
    </row>
    <row r="666" spans="12:14" ht="16.5" customHeight="1" x14ac:dyDescent="0.25">
      <c r="L666" s="6"/>
      <c r="M666" s="8"/>
      <c r="N666" s="8"/>
    </row>
    <row r="667" spans="12:14" ht="16.5" customHeight="1" x14ac:dyDescent="0.25">
      <c r="L667" s="6"/>
      <c r="M667" s="8"/>
      <c r="N667" s="8"/>
    </row>
    <row r="668" spans="12:14" ht="16.5" customHeight="1" x14ac:dyDescent="0.25">
      <c r="L668" s="6"/>
      <c r="M668" s="8"/>
      <c r="N668" s="8"/>
    </row>
    <row r="669" spans="12:14" ht="16.5" customHeight="1" x14ac:dyDescent="0.25">
      <c r="L669" s="6"/>
      <c r="M669" s="8"/>
      <c r="N669" s="8"/>
    </row>
    <row r="670" spans="12:14" ht="16.5" customHeight="1" x14ac:dyDescent="0.25">
      <c r="L670" s="6"/>
      <c r="M670" s="8"/>
      <c r="N670" s="8"/>
    </row>
    <row r="671" spans="12:14" ht="16.5" customHeight="1" x14ac:dyDescent="0.25">
      <c r="L671" s="6"/>
      <c r="M671" s="8"/>
      <c r="N671" s="8"/>
    </row>
    <row r="672" spans="12:14" ht="16.5" customHeight="1" x14ac:dyDescent="0.25">
      <c r="L672" s="6"/>
      <c r="M672" s="8"/>
      <c r="N672" s="8"/>
    </row>
    <row r="673" spans="12:14" ht="16.5" customHeight="1" x14ac:dyDescent="0.25">
      <c r="L673" s="6"/>
      <c r="M673" s="8"/>
      <c r="N673" s="8"/>
    </row>
    <row r="674" spans="12:14" ht="16.5" customHeight="1" x14ac:dyDescent="0.25">
      <c r="L674" s="6"/>
      <c r="M674" s="8"/>
      <c r="N674" s="8"/>
    </row>
    <row r="675" spans="12:14" ht="16.5" customHeight="1" x14ac:dyDescent="0.25">
      <c r="L675" s="6"/>
      <c r="M675" s="8"/>
      <c r="N675" s="8"/>
    </row>
    <row r="676" spans="12:14" ht="16.5" customHeight="1" x14ac:dyDescent="0.25">
      <c r="L676" s="6"/>
      <c r="M676" s="8"/>
      <c r="N676" s="8"/>
    </row>
    <row r="677" spans="12:14" ht="16.5" customHeight="1" x14ac:dyDescent="0.25">
      <c r="L677" s="6"/>
      <c r="M677" s="8"/>
      <c r="N677" s="8"/>
    </row>
    <row r="678" spans="12:14" ht="16.5" customHeight="1" x14ac:dyDescent="0.25">
      <c r="L678" s="6"/>
      <c r="M678" s="8"/>
      <c r="N678" s="8"/>
    </row>
    <row r="679" spans="12:14" ht="16.5" customHeight="1" x14ac:dyDescent="0.25">
      <c r="L679" s="6"/>
      <c r="M679" s="8"/>
      <c r="N679" s="8"/>
    </row>
    <row r="680" spans="12:14" ht="16.5" customHeight="1" x14ac:dyDescent="0.25">
      <c r="L680" s="6"/>
      <c r="M680" s="8"/>
      <c r="N680" s="8"/>
    </row>
    <row r="681" spans="12:14" ht="16.5" customHeight="1" x14ac:dyDescent="0.25">
      <c r="L681" s="6"/>
      <c r="M681" s="8"/>
      <c r="N681" s="8"/>
    </row>
    <row r="682" spans="12:14" ht="16.5" customHeight="1" x14ac:dyDescent="0.25">
      <c r="L682" s="6"/>
      <c r="M682" s="8"/>
      <c r="N682" s="8"/>
    </row>
    <row r="683" spans="12:14" ht="16.5" customHeight="1" x14ac:dyDescent="0.25">
      <c r="L683" s="6"/>
      <c r="M683" s="8"/>
      <c r="N683" s="8"/>
    </row>
    <row r="684" spans="12:14" ht="16.5" customHeight="1" x14ac:dyDescent="0.25">
      <c r="L684" s="6"/>
      <c r="M684" s="8"/>
      <c r="N684" s="8"/>
    </row>
    <row r="685" spans="12:14" ht="16.5" customHeight="1" x14ac:dyDescent="0.25">
      <c r="L685" s="6"/>
      <c r="M685" s="8"/>
      <c r="N685" s="8"/>
    </row>
    <row r="686" spans="12:14" ht="16.5" customHeight="1" x14ac:dyDescent="0.25">
      <c r="L686" s="6"/>
      <c r="M686" s="8"/>
      <c r="N686" s="8"/>
    </row>
    <row r="687" spans="12:14" ht="16.5" customHeight="1" x14ac:dyDescent="0.25">
      <c r="L687" s="6"/>
      <c r="M687" s="8"/>
      <c r="N687" s="8"/>
    </row>
    <row r="688" spans="12:14" ht="16.5" customHeight="1" x14ac:dyDescent="0.25">
      <c r="L688" s="6"/>
      <c r="M688" s="8"/>
      <c r="N688" s="8"/>
    </row>
    <row r="689" spans="12:14" ht="16.5" customHeight="1" x14ac:dyDescent="0.25">
      <c r="L689" s="6"/>
      <c r="M689" s="8"/>
      <c r="N689" s="8"/>
    </row>
    <row r="690" spans="12:14" ht="16.5" customHeight="1" x14ac:dyDescent="0.25">
      <c r="L690" s="6"/>
      <c r="M690" s="8"/>
      <c r="N690" s="8"/>
    </row>
    <row r="691" spans="12:14" ht="16.5" customHeight="1" x14ac:dyDescent="0.25">
      <c r="L691" s="6"/>
      <c r="M691" s="8"/>
      <c r="N691" s="8"/>
    </row>
    <row r="692" spans="12:14" ht="16.5" customHeight="1" x14ac:dyDescent="0.25">
      <c r="L692" s="6"/>
      <c r="M692" s="8"/>
      <c r="N692" s="8"/>
    </row>
    <row r="693" spans="12:14" ht="16.5" customHeight="1" x14ac:dyDescent="0.25">
      <c r="L693" s="6"/>
      <c r="M693" s="8"/>
      <c r="N693" s="8"/>
    </row>
    <row r="694" spans="12:14" ht="16.5" customHeight="1" x14ac:dyDescent="0.25">
      <c r="L694" s="6"/>
      <c r="M694" s="8"/>
      <c r="N694" s="8"/>
    </row>
    <row r="695" spans="12:14" ht="16.5" customHeight="1" x14ac:dyDescent="0.25">
      <c r="L695" s="6"/>
      <c r="M695" s="8"/>
      <c r="N695" s="8"/>
    </row>
    <row r="696" spans="12:14" ht="16.5" customHeight="1" x14ac:dyDescent="0.25">
      <c r="L696" s="6"/>
      <c r="M696" s="8"/>
      <c r="N696" s="8"/>
    </row>
    <row r="697" spans="12:14" ht="16.5" customHeight="1" x14ac:dyDescent="0.25">
      <c r="L697" s="6"/>
      <c r="M697" s="8"/>
      <c r="N697" s="8"/>
    </row>
    <row r="698" spans="12:14" ht="16.5" customHeight="1" x14ac:dyDescent="0.25">
      <c r="L698" s="6"/>
      <c r="M698" s="8"/>
      <c r="N698" s="8"/>
    </row>
    <row r="699" spans="12:14" ht="16.5" customHeight="1" x14ac:dyDescent="0.25">
      <c r="L699" s="6"/>
      <c r="M699" s="8"/>
      <c r="N699" s="8"/>
    </row>
    <row r="700" spans="12:14" ht="16.5" customHeight="1" x14ac:dyDescent="0.25">
      <c r="L700" s="6"/>
      <c r="M700" s="8"/>
      <c r="N700" s="8"/>
    </row>
    <row r="701" spans="12:14" ht="16.5" customHeight="1" x14ac:dyDescent="0.25">
      <c r="L701" s="6"/>
      <c r="M701" s="8"/>
      <c r="N701" s="8"/>
    </row>
    <row r="702" spans="12:14" ht="16.5" customHeight="1" x14ac:dyDescent="0.25">
      <c r="L702" s="6"/>
      <c r="M702" s="8"/>
      <c r="N702" s="8"/>
    </row>
    <row r="703" spans="12:14" ht="16.5" customHeight="1" x14ac:dyDescent="0.25">
      <c r="L703" s="6"/>
      <c r="M703" s="8"/>
      <c r="N703" s="8"/>
    </row>
    <row r="704" spans="12:14" ht="16.5" customHeight="1" x14ac:dyDescent="0.25">
      <c r="L704" s="6"/>
      <c r="M704" s="8"/>
      <c r="N704" s="8"/>
    </row>
    <row r="705" spans="12:14" ht="16.5" customHeight="1" x14ac:dyDescent="0.25">
      <c r="L705" s="6"/>
      <c r="M705" s="8"/>
      <c r="N705" s="8"/>
    </row>
    <row r="706" spans="12:14" ht="16.5" customHeight="1" x14ac:dyDescent="0.25">
      <c r="L706" s="6"/>
      <c r="M706" s="8"/>
      <c r="N706" s="8"/>
    </row>
    <row r="707" spans="12:14" ht="16.5" customHeight="1" x14ac:dyDescent="0.25">
      <c r="L707" s="6"/>
      <c r="M707" s="8"/>
      <c r="N707" s="8"/>
    </row>
    <row r="708" spans="12:14" ht="16.5" customHeight="1" x14ac:dyDescent="0.25">
      <c r="L708" s="6"/>
      <c r="M708" s="8"/>
      <c r="N708" s="8"/>
    </row>
    <row r="709" spans="12:14" ht="16.5" customHeight="1" x14ac:dyDescent="0.25">
      <c r="L709" s="6"/>
      <c r="M709" s="8"/>
      <c r="N709" s="8"/>
    </row>
    <row r="710" spans="12:14" ht="16.5" customHeight="1" x14ac:dyDescent="0.25">
      <c r="L710" s="6"/>
      <c r="M710" s="8"/>
      <c r="N710" s="8"/>
    </row>
    <row r="711" spans="12:14" ht="16.5" customHeight="1" x14ac:dyDescent="0.25">
      <c r="L711" s="6"/>
      <c r="M711" s="8"/>
      <c r="N711" s="8"/>
    </row>
    <row r="712" spans="12:14" ht="16.5" customHeight="1" x14ac:dyDescent="0.25">
      <c r="L712" s="6"/>
      <c r="M712" s="8"/>
      <c r="N712" s="8"/>
    </row>
    <row r="713" spans="12:14" ht="16.5" customHeight="1" x14ac:dyDescent="0.25">
      <c r="L713" s="6"/>
      <c r="M713" s="8"/>
      <c r="N713" s="8"/>
    </row>
    <row r="714" spans="12:14" ht="16.5" customHeight="1" x14ac:dyDescent="0.25">
      <c r="L714" s="6"/>
      <c r="M714" s="8"/>
      <c r="N714" s="8"/>
    </row>
    <row r="715" spans="12:14" ht="16.5" customHeight="1" x14ac:dyDescent="0.25">
      <c r="L715" s="6"/>
      <c r="M715" s="8"/>
      <c r="N715" s="8"/>
    </row>
    <row r="716" spans="12:14" ht="16.5" customHeight="1" x14ac:dyDescent="0.25">
      <c r="L716" s="6"/>
      <c r="M716" s="8"/>
      <c r="N716" s="8"/>
    </row>
    <row r="717" spans="12:14" ht="16.5" customHeight="1" x14ac:dyDescent="0.25">
      <c r="L717" s="6"/>
      <c r="M717" s="8"/>
      <c r="N717" s="8"/>
    </row>
    <row r="718" spans="12:14" ht="16.5" customHeight="1" x14ac:dyDescent="0.25">
      <c r="L718" s="6"/>
      <c r="M718" s="8"/>
      <c r="N718" s="8"/>
    </row>
    <row r="719" spans="12:14" ht="16.5" customHeight="1" x14ac:dyDescent="0.25">
      <c r="L719" s="6"/>
      <c r="M719" s="8"/>
      <c r="N719" s="8"/>
    </row>
    <row r="720" spans="12:14" ht="16.5" customHeight="1" x14ac:dyDescent="0.25">
      <c r="L720" s="6"/>
      <c r="M720" s="8"/>
      <c r="N720" s="8"/>
    </row>
    <row r="721" spans="12:14" ht="16.5" customHeight="1" x14ac:dyDescent="0.25">
      <c r="L721" s="6"/>
      <c r="M721" s="8"/>
      <c r="N721" s="8"/>
    </row>
    <row r="722" spans="12:14" ht="16.5" customHeight="1" x14ac:dyDescent="0.25">
      <c r="L722" s="6"/>
      <c r="M722" s="8"/>
      <c r="N722" s="8"/>
    </row>
    <row r="723" spans="12:14" ht="16.5" customHeight="1" x14ac:dyDescent="0.25">
      <c r="L723" s="6"/>
      <c r="M723" s="8"/>
      <c r="N723" s="8"/>
    </row>
    <row r="724" spans="12:14" ht="16.5" customHeight="1" x14ac:dyDescent="0.25">
      <c r="L724" s="6"/>
      <c r="M724" s="8"/>
      <c r="N724" s="8"/>
    </row>
    <row r="725" spans="12:14" ht="16.5" customHeight="1" x14ac:dyDescent="0.25">
      <c r="L725" s="6"/>
      <c r="M725" s="8"/>
      <c r="N725" s="8"/>
    </row>
    <row r="726" spans="12:14" ht="16.5" customHeight="1" x14ac:dyDescent="0.25">
      <c r="L726" s="6"/>
      <c r="M726" s="8"/>
      <c r="N726" s="8"/>
    </row>
    <row r="727" spans="12:14" ht="16.5" customHeight="1" x14ac:dyDescent="0.25">
      <c r="L727" s="6"/>
      <c r="M727" s="8"/>
      <c r="N727" s="8"/>
    </row>
    <row r="728" spans="12:14" ht="16.5" customHeight="1" x14ac:dyDescent="0.25">
      <c r="L728" s="6"/>
      <c r="M728" s="8"/>
      <c r="N728" s="8"/>
    </row>
    <row r="729" spans="12:14" ht="16.5" customHeight="1" x14ac:dyDescent="0.25">
      <c r="L729" s="6"/>
      <c r="M729" s="8"/>
      <c r="N729" s="8"/>
    </row>
    <row r="730" spans="12:14" ht="16.5" customHeight="1" x14ac:dyDescent="0.25">
      <c r="L730" s="6"/>
      <c r="M730" s="8"/>
      <c r="N730" s="8"/>
    </row>
    <row r="731" spans="12:14" ht="16.5" customHeight="1" x14ac:dyDescent="0.25">
      <c r="L731" s="6"/>
      <c r="M731" s="8"/>
      <c r="N731" s="8"/>
    </row>
    <row r="732" spans="12:14" ht="16.5" customHeight="1" x14ac:dyDescent="0.25">
      <c r="L732" s="6"/>
      <c r="M732" s="8"/>
      <c r="N732" s="8"/>
    </row>
    <row r="733" spans="12:14" ht="16.5" customHeight="1" x14ac:dyDescent="0.25">
      <c r="L733" s="6"/>
      <c r="M733" s="8"/>
      <c r="N733" s="8"/>
    </row>
    <row r="734" spans="12:14" ht="16.5" customHeight="1" x14ac:dyDescent="0.25">
      <c r="L734" s="6"/>
      <c r="M734" s="8"/>
      <c r="N734" s="8"/>
    </row>
    <row r="735" spans="12:14" ht="16.5" customHeight="1" x14ac:dyDescent="0.25">
      <c r="L735" s="6"/>
      <c r="M735" s="8"/>
      <c r="N735" s="8"/>
    </row>
    <row r="736" spans="12:14" ht="16.5" customHeight="1" x14ac:dyDescent="0.25">
      <c r="L736" s="6"/>
      <c r="M736" s="8"/>
      <c r="N736" s="8"/>
    </row>
    <row r="737" spans="12:14" ht="16.5" customHeight="1" x14ac:dyDescent="0.25">
      <c r="L737" s="6"/>
      <c r="M737" s="8"/>
      <c r="N737" s="8"/>
    </row>
    <row r="738" spans="12:14" ht="16.5" customHeight="1" x14ac:dyDescent="0.25">
      <c r="L738" s="6"/>
      <c r="M738" s="8"/>
      <c r="N738" s="8"/>
    </row>
    <row r="739" spans="12:14" ht="16.5" customHeight="1" x14ac:dyDescent="0.25">
      <c r="L739" s="6"/>
      <c r="M739" s="8"/>
      <c r="N739" s="8"/>
    </row>
    <row r="740" spans="12:14" ht="16.5" customHeight="1" x14ac:dyDescent="0.25">
      <c r="L740" s="6"/>
      <c r="M740" s="8"/>
      <c r="N740" s="8"/>
    </row>
    <row r="741" spans="12:14" ht="16.5" customHeight="1" x14ac:dyDescent="0.25">
      <c r="L741" s="6"/>
      <c r="M741" s="8"/>
      <c r="N741" s="8"/>
    </row>
    <row r="742" spans="12:14" ht="16.5" customHeight="1" x14ac:dyDescent="0.25">
      <c r="L742" s="6"/>
      <c r="M742" s="8"/>
      <c r="N742" s="8"/>
    </row>
    <row r="743" spans="12:14" ht="16.5" customHeight="1" x14ac:dyDescent="0.25">
      <c r="L743" s="6"/>
      <c r="M743" s="8"/>
      <c r="N743" s="8"/>
    </row>
    <row r="744" spans="12:14" ht="16.5" customHeight="1" x14ac:dyDescent="0.25">
      <c r="L744" s="6"/>
      <c r="M744" s="8"/>
      <c r="N744" s="8"/>
    </row>
    <row r="745" spans="12:14" ht="16.5" customHeight="1" x14ac:dyDescent="0.25">
      <c r="L745" s="6"/>
      <c r="M745" s="8"/>
      <c r="N745" s="8"/>
    </row>
    <row r="746" spans="12:14" ht="16.5" customHeight="1" x14ac:dyDescent="0.25">
      <c r="L746" s="6"/>
      <c r="M746" s="8"/>
      <c r="N746" s="8"/>
    </row>
    <row r="747" spans="12:14" ht="16.5" customHeight="1" x14ac:dyDescent="0.25">
      <c r="L747" s="6"/>
      <c r="M747" s="8"/>
      <c r="N747" s="8"/>
    </row>
    <row r="748" spans="12:14" ht="16.5" customHeight="1" x14ac:dyDescent="0.25">
      <c r="L748" s="6"/>
      <c r="M748" s="8"/>
      <c r="N748" s="8"/>
    </row>
    <row r="749" spans="12:14" ht="16.5" customHeight="1" x14ac:dyDescent="0.25">
      <c r="L749" s="6"/>
      <c r="M749" s="8"/>
      <c r="N749" s="8"/>
    </row>
    <row r="750" spans="12:14" ht="16.5" customHeight="1" x14ac:dyDescent="0.25">
      <c r="L750" s="6"/>
      <c r="M750" s="8"/>
      <c r="N750" s="8"/>
    </row>
    <row r="751" spans="12:14" ht="16.5" customHeight="1" x14ac:dyDescent="0.25">
      <c r="L751" s="6"/>
      <c r="M751" s="8"/>
      <c r="N751" s="8"/>
    </row>
    <row r="752" spans="12:14" ht="16.5" customHeight="1" x14ac:dyDescent="0.25">
      <c r="L752" s="6"/>
      <c r="M752" s="8"/>
      <c r="N752" s="8"/>
    </row>
    <row r="753" spans="12:14" ht="16.5" customHeight="1" x14ac:dyDescent="0.25">
      <c r="L753" s="6"/>
      <c r="M753" s="8"/>
      <c r="N753" s="8"/>
    </row>
    <row r="754" spans="12:14" ht="16.5" customHeight="1" x14ac:dyDescent="0.25">
      <c r="L754" s="6"/>
      <c r="M754" s="8"/>
      <c r="N754" s="8"/>
    </row>
    <row r="755" spans="12:14" ht="16.5" customHeight="1" x14ac:dyDescent="0.25">
      <c r="L755" s="6"/>
      <c r="M755" s="8"/>
      <c r="N755" s="8"/>
    </row>
    <row r="756" spans="12:14" ht="16.5" customHeight="1" x14ac:dyDescent="0.25">
      <c r="L756" s="6"/>
      <c r="M756" s="8"/>
      <c r="N756" s="8"/>
    </row>
    <row r="757" spans="12:14" ht="16.5" customHeight="1" x14ac:dyDescent="0.25">
      <c r="L757" s="6"/>
      <c r="M757" s="8"/>
      <c r="N757" s="8"/>
    </row>
    <row r="758" spans="12:14" ht="16.5" customHeight="1" x14ac:dyDescent="0.25">
      <c r="L758" s="6"/>
      <c r="M758" s="8"/>
      <c r="N758" s="8"/>
    </row>
    <row r="759" spans="12:14" ht="16.5" customHeight="1" x14ac:dyDescent="0.25">
      <c r="L759" s="6"/>
      <c r="M759" s="8"/>
      <c r="N759" s="8"/>
    </row>
    <row r="760" spans="12:14" ht="16.5" customHeight="1" x14ac:dyDescent="0.25">
      <c r="L760" s="6"/>
      <c r="M760" s="8"/>
      <c r="N760" s="8"/>
    </row>
    <row r="761" spans="12:14" ht="16.5" customHeight="1" x14ac:dyDescent="0.25">
      <c r="L761" s="6"/>
      <c r="M761" s="8"/>
      <c r="N761" s="8"/>
    </row>
    <row r="762" spans="12:14" ht="16.5" customHeight="1" x14ac:dyDescent="0.25">
      <c r="L762" s="6"/>
      <c r="M762" s="8"/>
      <c r="N762" s="8"/>
    </row>
    <row r="763" spans="12:14" ht="16.5" customHeight="1" x14ac:dyDescent="0.25">
      <c r="L763" s="6"/>
      <c r="M763" s="8"/>
      <c r="N763" s="8"/>
    </row>
    <row r="764" spans="12:14" ht="16.5" customHeight="1" x14ac:dyDescent="0.25">
      <c r="L764" s="6"/>
      <c r="M764" s="8"/>
      <c r="N764" s="8"/>
    </row>
    <row r="765" spans="12:14" ht="16.5" customHeight="1" x14ac:dyDescent="0.25">
      <c r="L765" s="6"/>
      <c r="M765" s="8"/>
      <c r="N765" s="8"/>
    </row>
    <row r="766" spans="12:14" ht="16.5" customHeight="1" x14ac:dyDescent="0.25">
      <c r="L766" s="6"/>
      <c r="M766" s="8"/>
      <c r="N766" s="8"/>
    </row>
    <row r="767" spans="12:14" ht="16.5" customHeight="1" x14ac:dyDescent="0.25">
      <c r="L767" s="6"/>
      <c r="M767" s="8"/>
      <c r="N767" s="8"/>
    </row>
    <row r="768" spans="12:14" ht="16.5" customHeight="1" x14ac:dyDescent="0.25">
      <c r="L768" s="6"/>
      <c r="M768" s="8"/>
      <c r="N768" s="8"/>
    </row>
    <row r="769" spans="12:14" ht="16.5" customHeight="1" x14ac:dyDescent="0.25">
      <c r="L769" s="6"/>
      <c r="M769" s="8"/>
      <c r="N769" s="8"/>
    </row>
    <row r="770" spans="12:14" ht="16.5" customHeight="1" x14ac:dyDescent="0.25">
      <c r="L770" s="6"/>
      <c r="M770" s="8"/>
      <c r="N770" s="8"/>
    </row>
    <row r="771" spans="12:14" ht="16.5" customHeight="1" x14ac:dyDescent="0.25">
      <c r="L771" s="6"/>
      <c r="M771" s="8"/>
      <c r="N771" s="8"/>
    </row>
    <row r="772" spans="12:14" ht="16.5" customHeight="1" x14ac:dyDescent="0.25">
      <c r="L772" s="6"/>
      <c r="M772" s="8"/>
      <c r="N772" s="8"/>
    </row>
    <row r="773" spans="12:14" ht="16.5" customHeight="1" x14ac:dyDescent="0.25">
      <c r="L773" s="6"/>
      <c r="M773" s="8"/>
      <c r="N773" s="8"/>
    </row>
    <row r="774" spans="12:14" ht="16.5" customHeight="1" x14ac:dyDescent="0.25">
      <c r="L774" s="6"/>
      <c r="M774" s="8"/>
      <c r="N774" s="8"/>
    </row>
    <row r="775" spans="12:14" ht="16.5" customHeight="1" x14ac:dyDescent="0.25">
      <c r="L775" s="6"/>
      <c r="M775" s="8"/>
      <c r="N775" s="8"/>
    </row>
    <row r="776" spans="12:14" ht="16.5" customHeight="1" x14ac:dyDescent="0.25">
      <c r="L776" s="6"/>
      <c r="M776" s="8"/>
      <c r="N776" s="8"/>
    </row>
    <row r="777" spans="12:14" ht="16.5" customHeight="1" x14ac:dyDescent="0.25">
      <c r="L777" s="6"/>
      <c r="M777" s="8"/>
      <c r="N777" s="8"/>
    </row>
    <row r="778" spans="12:14" ht="16.5" customHeight="1" x14ac:dyDescent="0.25">
      <c r="L778" s="6"/>
      <c r="M778" s="8"/>
      <c r="N778" s="8"/>
    </row>
    <row r="779" spans="12:14" ht="16.5" customHeight="1" x14ac:dyDescent="0.25">
      <c r="L779" s="6"/>
      <c r="M779" s="8"/>
      <c r="N779" s="8"/>
    </row>
    <row r="780" spans="12:14" ht="16.5" customHeight="1" x14ac:dyDescent="0.25">
      <c r="L780" s="6"/>
      <c r="M780" s="8"/>
      <c r="N780" s="8"/>
    </row>
    <row r="781" spans="12:14" ht="16.5" customHeight="1" x14ac:dyDescent="0.25">
      <c r="L781" s="6"/>
      <c r="M781" s="8"/>
      <c r="N781" s="8"/>
    </row>
    <row r="782" spans="12:14" ht="16.5" customHeight="1" x14ac:dyDescent="0.25">
      <c r="L782" s="6"/>
      <c r="M782" s="8"/>
      <c r="N782" s="8"/>
    </row>
    <row r="783" spans="12:14" ht="16.5" customHeight="1" x14ac:dyDescent="0.25">
      <c r="L783" s="6"/>
      <c r="M783" s="8"/>
      <c r="N783" s="8"/>
    </row>
    <row r="784" spans="12:14" ht="16.5" customHeight="1" x14ac:dyDescent="0.25">
      <c r="L784" s="6"/>
      <c r="M784" s="8"/>
      <c r="N784" s="8"/>
    </row>
    <row r="785" spans="12:14" ht="16.5" customHeight="1" x14ac:dyDescent="0.25">
      <c r="L785" s="6"/>
      <c r="M785" s="8"/>
      <c r="N785" s="8"/>
    </row>
    <row r="786" spans="12:14" ht="16.5" customHeight="1" x14ac:dyDescent="0.25">
      <c r="L786" s="6"/>
      <c r="M786" s="8"/>
      <c r="N786" s="8"/>
    </row>
    <row r="787" spans="12:14" ht="16.5" customHeight="1" x14ac:dyDescent="0.25">
      <c r="L787" s="6"/>
      <c r="M787" s="8"/>
      <c r="N787" s="8"/>
    </row>
    <row r="788" spans="12:14" ht="16.5" customHeight="1" x14ac:dyDescent="0.25">
      <c r="L788" s="6"/>
      <c r="M788" s="8"/>
      <c r="N788" s="8"/>
    </row>
    <row r="789" spans="12:14" ht="16.5" customHeight="1" x14ac:dyDescent="0.25">
      <c r="L789" s="6"/>
      <c r="M789" s="8"/>
      <c r="N789" s="8"/>
    </row>
    <row r="790" spans="12:14" ht="16.5" customHeight="1" x14ac:dyDescent="0.25">
      <c r="L790" s="6"/>
      <c r="M790" s="8"/>
      <c r="N790" s="8"/>
    </row>
    <row r="791" spans="12:14" ht="16.5" customHeight="1" x14ac:dyDescent="0.25">
      <c r="L791" s="6"/>
      <c r="M791" s="8"/>
      <c r="N791" s="8"/>
    </row>
    <row r="792" spans="12:14" ht="16.5" customHeight="1" x14ac:dyDescent="0.25">
      <c r="L792" s="6"/>
      <c r="M792" s="8"/>
      <c r="N792" s="8"/>
    </row>
    <row r="793" spans="12:14" ht="16.5" customHeight="1" x14ac:dyDescent="0.25">
      <c r="L793" s="6"/>
      <c r="M793" s="8"/>
      <c r="N793" s="8"/>
    </row>
    <row r="794" spans="12:14" ht="16.5" customHeight="1" x14ac:dyDescent="0.25">
      <c r="L794" s="6"/>
      <c r="M794" s="8"/>
      <c r="N794" s="8"/>
    </row>
    <row r="795" spans="12:14" ht="16.5" customHeight="1" x14ac:dyDescent="0.25">
      <c r="L795" s="6"/>
      <c r="M795" s="8"/>
      <c r="N795" s="8"/>
    </row>
    <row r="796" spans="12:14" ht="16.5" customHeight="1" x14ac:dyDescent="0.25">
      <c r="L796" s="6"/>
      <c r="M796" s="8"/>
      <c r="N796" s="8"/>
    </row>
    <row r="797" spans="12:14" ht="16.5" customHeight="1" x14ac:dyDescent="0.25">
      <c r="L797" s="6"/>
      <c r="M797" s="8"/>
      <c r="N797" s="8"/>
    </row>
    <row r="798" spans="12:14" ht="16.5" customHeight="1" x14ac:dyDescent="0.25">
      <c r="L798" s="6"/>
      <c r="M798" s="8"/>
      <c r="N798" s="8"/>
    </row>
    <row r="799" spans="12:14" ht="16.5" customHeight="1" x14ac:dyDescent="0.25">
      <c r="L799" s="6"/>
      <c r="M799" s="8"/>
      <c r="N799" s="8"/>
    </row>
    <row r="800" spans="12:14" ht="16.5" customHeight="1" x14ac:dyDescent="0.25">
      <c r="L800" s="6"/>
      <c r="M800" s="8"/>
      <c r="N800" s="8"/>
    </row>
    <row r="801" spans="12:14" ht="16.5" customHeight="1" x14ac:dyDescent="0.25">
      <c r="L801" s="6"/>
      <c r="M801" s="8"/>
      <c r="N801" s="8"/>
    </row>
    <row r="802" spans="12:14" ht="16.5" customHeight="1" x14ac:dyDescent="0.25">
      <c r="L802" s="6"/>
      <c r="M802" s="8"/>
      <c r="N802" s="8"/>
    </row>
    <row r="803" spans="12:14" ht="16.5" customHeight="1" x14ac:dyDescent="0.25">
      <c r="L803" s="6"/>
      <c r="M803" s="8"/>
      <c r="N803" s="8"/>
    </row>
    <row r="804" spans="12:14" ht="16.5" customHeight="1" x14ac:dyDescent="0.25">
      <c r="L804" s="6"/>
      <c r="M804" s="8"/>
      <c r="N804" s="8"/>
    </row>
    <row r="805" spans="12:14" ht="16.5" customHeight="1" x14ac:dyDescent="0.25">
      <c r="L805" s="6"/>
      <c r="M805" s="8"/>
      <c r="N805" s="8"/>
    </row>
    <row r="806" spans="12:14" ht="16.5" customHeight="1" x14ac:dyDescent="0.25">
      <c r="L806" s="6"/>
      <c r="M806" s="8"/>
      <c r="N806" s="8"/>
    </row>
    <row r="807" spans="12:14" ht="16.5" customHeight="1" x14ac:dyDescent="0.25">
      <c r="L807" s="6"/>
      <c r="M807" s="8"/>
      <c r="N807" s="8"/>
    </row>
    <row r="808" spans="12:14" ht="16.5" customHeight="1" x14ac:dyDescent="0.25">
      <c r="L808" s="6"/>
      <c r="M808" s="8"/>
      <c r="N808" s="8"/>
    </row>
    <row r="809" spans="12:14" ht="16.5" customHeight="1" x14ac:dyDescent="0.25">
      <c r="L809" s="6"/>
      <c r="M809" s="8"/>
      <c r="N809" s="8"/>
    </row>
    <row r="810" spans="12:14" ht="16.5" customHeight="1" x14ac:dyDescent="0.25">
      <c r="L810" s="6"/>
      <c r="M810" s="8"/>
      <c r="N810" s="8"/>
    </row>
    <row r="811" spans="12:14" ht="16.5" customHeight="1" x14ac:dyDescent="0.25">
      <c r="L811" s="6"/>
      <c r="M811" s="8"/>
      <c r="N811" s="8"/>
    </row>
    <row r="812" spans="12:14" ht="16.5" customHeight="1" x14ac:dyDescent="0.25">
      <c r="L812" s="6"/>
      <c r="M812" s="8"/>
      <c r="N812" s="8"/>
    </row>
    <row r="813" spans="12:14" ht="16.5" customHeight="1" x14ac:dyDescent="0.25">
      <c r="L813" s="6"/>
      <c r="M813" s="8"/>
      <c r="N813" s="8"/>
    </row>
    <row r="814" spans="12:14" ht="16.5" customHeight="1" x14ac:dyDescent="0.25">
      <c r="L814" s="6"/>
      <c r="M814" s="8"/>
      <c r="N814" s="8"/>
    </row>
    <row r="815" spans="12:14" ht="16.5" customHeight="1" x14ac:dyDescent="0.25">
      <c r="L815" s="6"/>
      <c r="M815" s="8"/>
      <c r="N815" s="8"/>
    </row>
    <row r="816" spans="12:14" ht="16.5" customHeight="1" x14ac:dyDescent="0.25">
      <c r="L816" s="6"/>
      <c r="M816" s="8"/>
      <c r="N816" s="8"/>
    </row>
    <row r="817" spans="12:14" ht="16.5" customHeight="1" x14ac:dyDescent="0.25">
      <c r="L817" s="6"/>
      <c r="M817" s="8"/>
      <c r="N817" s="8"/>
    </row>
    <row r="818" spans="12:14" ht="16.5" customHeight="1" x14ac:dyDescent="0.25">
      <c r="L818" s="6"/>
      <c r="M818" s="8"/>
      <c r="N818" s="8"/>
    </row>
    <row r="819" spans="12:14" ht="16.5" customHeight="1" x14ac:dyDescent="0.25">
      <c r="L819" s="6"/>
      <c r="M819" s="8"/>
      <c r="N819" s="8"/>
    </row>
    <row r="820" spans="12:14" ht="16.5" customHeight="1" x14ac:dyDescent="0.25">
      <c r="L820" s="6"/>
      <c r="M820" s="8"/>
      <c r="N820" s="8"/>
    </row>
    <row r="821" spans="12:14" ht="16.5" customHeight="1" x14ac:dyDescent="0.25">
      <c r="L821" s="6"/>
      <c r="M821" s="8"/>
      <c r="N821" s="8"/>
    </row>
    <row r="822" spans="12:14" ht="16.5" customHeight="1" x14ac:dyDescent="0.25">
      <c r="L822" s="6"/>
      <c r="M822" s="8"/>
      <c r="N822" s="8"/>
    </row>
    <row r="823" spans="12:14" ht="16.5" customHeight="1" x14ac:dyDescent="0.25">
      <c r="L823" s="6"/>
      <c r="M823" s="8"/>
      <c r="N823" s="8"/>
    </row>
    <row r="824" spans="12:14" ht="16.5" customHeight="1" x14ac:dyDescent="0.25">
      <c r="L824" s="6"/>
      <c r="M824" s="8"/>
      <c r="N824" s="8"/>
    </row>
    <row r="825" spans="12:14" ht="16.5" customHeight="1" x14ac:dyDescent="0.25">
      <c r="L825" s="6"/>
      <c r="M825" s="8"/>
      <c r="N825" s="8"/>
    </row>
    <row r="826" spans="12:14" ht="16.5" customHeight="1" x14ac:dyDescent="0.25">
      <c r="L826" s="6"/>
      <c r="M826" s="8"/>
      <c r="N826" s="8"/>
    </row>
    <row r="827" spans="12:14" ht="16.5" customHeight="1" x14ac:dyDescent="0.25">
      <c r="L827" s="6"/>
      <c r="M827" s="8"/>
      <c r="N827" s="8"/>
    </row>
    <row r="828" spans="12:14" ht="16.5" customHeight="1" x14ac:dyDescent="0.25">
      <c r="L828" s="6"/>
      <c r="M828" s="8"/>
      <c r="N828" s="8"/>
    </row>
    <row r="829" spans="12:14" ht="16.5" customHeight="1" x14ac:dyDescent="0.25">
      <c r="L829" s="6"/>
      <c r="M829" s="8"/>
      <c r="N829" s="8"/>
    </row>
    <row r="830" spans="12:14" ht="16.5" customHeight="1" x14ac:dyDescent="0.25">
      <c r="L830" s="6"/>
      <c r="M830" s="8"/>
      <c r="N830" s="8"/>
    </row>
    <row r="831" spans="12:14" ht="16.5" customHeight="1" x14ac:dyDescent="0.25">
      <c r="L831" s="6"/>
      <c r="M831" s="8"/>
      <c r="N831" s="8"/>
    </row>
    <row r="832" spans="12:14" ht="16.5" customHeight="1" x14ac:dyDescent="0.25">
      <c r="L832" s="6"/>
      <c r="M832" s="8"/>
      <c r="N832" s="8"/>
    </row>
    <row r="833" spans="12:14" ht="16.5" customHeight="1" x14ac:dyDescent="0.25">
      <c r="L833" s="6"/>
      <c r="M833" s="8"/>
      <c r="N833" s="8"/>
    </row>
    <row r="834" spans="12:14" ht="16.5" customHeight="1" x14ac:dyDescent="0.25">
      <c r="L834" s="6"/>
      <c r="M834" s="8"/>
      <c r="N834" s="8"/>
    </row>
    <row r="835" spans="12:14" ht="16.5" customHeight="1" x14ac:dyDescent="0.25">
      <c r="L835" s="6"/>
      <c r="M835" s="8"/>
      <c r="N835" s="8"/>
    </row>
    <row r="836" spans="12:14" ht="16.5" customHeight="1" x14ac:dyDescent="0.25">
      <c r="L836" s="6"/>
      <c r="M836" s="8"/>
      <c r="N836" s="8"/>
    </row>
    <row r="837" spans="12:14" ht="16.5" customHeight="1" x14ac:dyDescent="0.25">
      <c r="L837" s="6"/>
      <c r="M837" s="8"/>
      <c r="N837" s="8"/>
    </row>
    <row r="838" spans="12:14" ht="16.5" customHeight="1" x14ac:dyDescent="0.25">
      <c r="L838" s="6"/>
      <c r="M838" s="8"/>
      <c r="N838" s="8"/>
    </row>
    <row r="839" spans="12:14" ht="16.5" customHeight="1" x14ac:dyDescent="0.25">
      <c r="L839" s="6"/>
      <c r="M839" s="8"/>
      <c r="N839" s="8"/>
    </row>
    <row r="840" spans="12:14" ht="16.5" customHeight="1" x14ac:dyDescent="0.25">
      <c r="L840" s="6"/>
      <c r="M840" s="8"/>
      <c r="N840" s="8"/>
    </row>
    <row r="841" spans="12:14" ht="16.5" customHeight="1" x14ac:dyDescent="0.25">
      <c r="L841" s="6"/>
      <c r="M841" s="8"/>
      <c r="N841" s="8"/>
    </row>
    <row r="842" spans="12:14" ht="16.5" customHeight="1" x14ac:dyDescent="0.25">
      <c r="L842" s="6"/>
      <c r="M842" s="8"/>
      <c r="N842" s="8"/>
    </row>
    <row r="843" spans="12:14" ht="16.5" customHeight="1" x14ac:dyDescent="0.25">
      <c r="L843" s="6"/>
      <c r="M843" s="8"/>
      <c r="N843" s="8"/>
    </row>
    <row r="844" spans="12:14" ht="16.5" customHeight="1" x14ac:dyDescent="0.25">
      <c r="L844" s="6"/>
      <c r="M844" s="8"/>
      <c r="N844" s="8"/>
    </row>
    <row r="845" spans="12:14" ht="16.5" customHeight="1" x14ac:dyDescent="0.25">
      <c r="L845" s="6"/>
      <c r="M845" s="8"/>
      <c r="N845" s="8"/>
    </row>
    <row r="846" spans="12:14" ht="16.5" customHeight="1" x14ac:dyDescent="0.25">
      <c r="L846" s="6"/>
      <c r="M846" s="8"/>
      <c r="N846" s="8"/>
    </row>
    <row r="847" spans="12:14" ht="16.5" customHeight="1" x14ac:dyDescent="0.25">
      <c r="L847" s="6"/>
      <c r="M847" s="8"/>
      <c r="N847" s="8"/>
    </row>
    <row r="848" spans="12:14" ht="16.5" customHeight="1" x14ac:dyDescent="0.25">
      <c r="L848" s="6"/>
      <c r="M848" s="8"/>
      <c r="N848" s="8"/>
    </row>
    <row r="849" spans="12:14" ht="16.5" customHeight="1" x14ac:dyDescent="0.25">
      <c r="L849" s="6"/>
      <c r="M849" s="8"/>
      <c r="N849" s="8"/>
    </row>
    <row r="850" spans="12:14" ht="16.5" customHeight="1" x14ac:dyDescent="0.25">
      <c r="L850" s="6"/>
      <c r="M850" s="8"/>
      <c r="N850" s="8"/>
    </row>
    <row r="851" spans="12:14" ht="16.5" customHeight="1" x14ac:dyDescent="0.25">
      <c r="L851" s="6"/>
      <c r="M851" s="8"/>
      <c r="N851" s="8"/>
    </row>
    <row r="852" spans="12:14" ht="16.5" customHeight="1" x14ac:dyDescent="0.25">
      <c r="L852" s="6"/>
      <c r="M852" s="8"/>
      <c r="N852" s="8"/>
    </row>
    <row r="853" spans="12:14" ht="16.5" customHeight="1" x14ac:dyDescent="0.25">
      <c r="L853" s="6"/>
      <c r="M853" s="8"/>
      <c r="N853" s="8"/>
    </row>
    <row r="854" spans="12:14" ht="16.5" customHeight="1" x14ac:dyDescent="0.25">
      <c r="L854" s="6"/>
      <c r="M854" s="8"/>
      <c r="N854" s="8"/>
    </row>
    <row r="855" spans="12:14" ht="16.5" customHeight="1" x14ac:dyDescent="0.25">
      <c r="L855" s="6"/>
      <c r="M855" s="8"/>
      <c r="N855" s="8"/>
    </row>
    <row r="856" spans="12:14" ht="16.5" customHeight="1" x14ac:dyDescent="0.25">
      <c r="L856" s="6"/>
      <c r="M856" s="8"/>
      <c r="N856" s="8"/>
    </row>
    <row r="857" spans="12:14" ht="16.5" customHeight="1" x14ac:dyDescent="0.25">
      <c r="L857" s="6"/>
      <c r="M857" s="8"/>
      <c r="N857" s="8"/>
    </row>
    <row r="858" spans="12:14" ht="16.5" customHeight="1" x14ac:dyDescent="0.25">
      <c r="L858" s="6"/>
      <c r="M858" s="8"/>
      <c r="N858" s="8"/>
    </row>
    <row r="859" spans="12:14" ht="16.5" customHeight="1" x14ac:dyDescent="0.25">
      <c r="L859" s="6"/>
      <c r="M859" s="8"/>
      <c r="N859" s="8"/>
    </row>
    <row r="860" spans="12:14" ht="16.5" customHeight="1" x14ac:dyDescent="0.25">
      <c r="L860" s="6"/>
      <c r="M860" s="8"/>
      <c r="N860" s="8"/>
    </row>
    <row r="861" spans="12:14" ht="16.5" customHeight="1" x14ac:dyDescent="0.25">
      <c r="L861" s="6"/>
      <c r="M861" s="8"/>
      <c r="N861" s="8"/>
    </row>
    <row r="862" spans="12:14" ht="16.5" customHeight="1" x14ac:dyDescent="0.25">
      <c r="L862" s="6"/>
      <c r="M862" s="8"/>
      <c r="N862" s="8"/>
    </row>
    <row r="863" spans="12:14" ht="16.5" customHeight="1" x14ac:dyDescent="0.25">
      <c r="L863" s="6"/>
      <c r="M863" s="8"/>
      <c r="N863" s="8"/>
    </row>
    <row r="864" spans="12:14" ht="16.5" customHeight="1" x14ac:dyDescent="0.25">
      <c r="L864" s="6"/>
      <c r="M864" s="8"/>
      <c r="N864" s="8"/>
    </row>
    <row r="865" spans="12:14" ht="16.5" customHeight="1" x14ac:dyDescent="0.25">
      <c r="L865" s="6"/>
      <c r="M865" s="8"/>
      <c r="N865" s="8"/>
    </row>
    <row r="866" spans="12:14" ht="16.5" customHeight="1" x14ac:dyDescent="0.25">
      <c r="L866" s="6"/>
      <c r="M866" s="8"/>
      <c r="N866" s="8"/>
    </row>
    <row r="867" spans="12:14" ht="16.5" customHeight="1" x14ac:dyDescent="0.25">
      <c r="L867" s="6"/>
      <c r="M867" s="8"/>
      <c r="N867" s="8"/>
    </row>
    <row r="868" spans="12:14" ht="16.5" customHeight="1" x14ac:dyDescent="0.25">
      <c r="L868" s="6"/>
      <c r="M868" s="8"/>
      <c r="N868" s="8"/>
    </row>
    <row r="869" spans="12:14" ht="16.5" customHeight="1" x14ac:dyDescent="0.25">
      <c r="L869" s="6"/>
      <c r="M869" s="8"/>
      <c r="N869" s="8"/>
    </row>
    <row r="870" spans="12:14" ht="16.5" customHeight="1" x14ac:dyDescent="0.25">
      <c r="L870" s="6"/>
      <c r="M870" s="8"/>
      <c r="N870" s="8"/>
    </row>
    <row r="871" spans="12:14" ht="16.5" customHeight="1" x14ac:dyDescent="0.25">
      <c r="L871" s="6"/>
      <c r="M871" s="8"/>
      <c r="N871" s="8"/>
    </row>
    <row r="872" spans="12:14" ht="16.5" customHeight="1" x14ac:dyDescent="0.25">
      <c r="L872" s="6"/>
      <c r="M872" s="8"/>
      <c r="N872" s="8"/>
    </row>
    <row r="873" spans="12:14" ht="16.5" customHeight="1" x14ac:dyDescent="0.25">
      <c r="L873" s="6"/>
      <c r="M873" s="8"/>
      <c r="N873" s="8"/>
    </row>
    <row r="874" spans="12:14" ht="16.5" customHeight="1" x14ac:dyDescent="0.25">
      <c r="L874" s="6"/>
      <c r="M874" s="8"/>
      <c r="N874" s="8"/>
    </row>
    <row r="875" spans="12:14" ht="16.5" customHeight="1" x14ac:dyDescent="0.25">
      <c r="L875" s="6"/>
      <c r="M875" s="8"/>
      <c r="N875" s="8"/>
    </row>
    <row r="876" spans="12:14" ht="16.5" customHeight="1" x14ac:dyDescent="0.25">
      <c r="L876" s="6"/>
      <c r="M876" s="8"/>
      <c r="N876" s="8"/>
    </row>
    <row r="877" spans="12:14" ht="16.5" customHeight="1" x14ac:dyDescent="0.25">
      <c r="L877" s="6"/>
      <c r="M877" s="8"/>
      <c r="N877" s="8"/>
    </row>
    <row r="878" spans="12:14" ht="16.5" customHeight="1" x14ac:dyDescent="0.25">
      <c r="L878" s="6"/>
      <c r="M878" s="8"/>
      <c r="N878" s="8"/>
    </row>
    <row r="879" spans="12:14" ht="16.5" customHeight="1" x14ac:dyDescent="0.25">
      <c r="L879" s="6"/>
      <c r="M879" s="8"/>
      <c r="N879" s="8"/>
    </row>
    <row r="880" spans="12:14" ht="16.5" customHeight="1" x14ac:dyDescent="0.25">
      <c r="L880" s="6"/>
      <c r="M880" s="8"/>
      <c r="N880" s="8"/>
    </row>
    <row r="881" spans="12:14" ht="16.5" customHeight="1" x14ac:dyDescent="0.25">
      <c r="L881" s="6"/>
      <c r="M881" s="8"/>
      <c r="N881" s="8"/>
    </row>
    <row r="882" spans="12:14" ht="16.5" customHeight="1" x14ac:dyDescent="0.25">
      <c r="L882" s="6"/>
      <c r="M882" s="8"/>
      <c r="N882" s="8"/>
    </row>
    <row r="883" spans="12:14" ht="16.5" customHeight="1" x14ac:dyDescent="0.25">
      <c r="L883" s="6"/>
      <c r="M883" s="8"/>
      <c r="N883" s="8"/>
    </row>
    <row r="884" spans="12:14" ht="16.5" customHeight="1" x14ac:dyDescent="0.25">
      <c r="L884" s="6"/>
      <c r="M884" s="8"/>
      <c r="N884" s="8"/>
    </row>
    <row r="885" spans="12:14" ht="16.5" customHeight="1" x14ac:dyDescent="0.25">
      <c r="L885" s="6"/>
      <c r="M885" s="8"/>
      <c r="N885" s="8"/>
    </row>
    <row r="886" spans="12:14" ht="16.5" customHeight="1" x14ac:dyDescent="0.25">
      <c r="L886" s="6"/>
      <c r="M886" s="8"/>
      <c r="N886" s="8"/>
    </row>
    <row r="887" spans="12:14" ht="16.5" customHeight="1" x14ac:dyDescent="0.25">
      <c r="L887" s="6"/>
      <c r="M887" s="8"/>
      <c r="N887" s="8"/>
    </row>
    <row r="888" spans="12:14" ht="16.5" customHeight="1" x14ac:dyDescent="0.25">
      <c r="L888" s="6"/>
      <c r="M888" s="8"/>
      <c r="N888" s="8"/>
    </row>
    <row r="889" spans="12:14" ht="16.5" customHeight="1" x14ac:dyDescent="0.25">
      <c r="L889" s="6"/>
      <c r="M889" s="8"/>
      <c r="N889" s="8"/>
    </row>
    <row r="890" spans="12:14" ht="16.5" customHeight="1" x14ac:dyDescent="0.25">
      <c r="L890" s="6"/>
      <c r="M890" s="8"/>
      <c r="N890" s="8"/>
    </row>
    <row r="891" spans="12:14" ht="16.5" customHeight="1" x14ac:dyDescent="0.25">
      <c r="L891" s="6"/>
      <c r="M891" s="8"/>
      <c r="N891" s="8"/>
    </row>
    <row r="892" spans="12:14" ht="16.5" customHeight="1" x14ac:dyDescent="0.25">
      <c r="L892" s="6"/>
      <c r="M892" s="8"/>
      <c r="N892" s="8"/>
    </row>
    <row r="893" spans="12:14" ht="16.5" customHeight="1" x14ac:dyDescent="0.25">
      <c r="L893" s="6"/>
      <c r="M893" s="8"/>
      <c r="N893" s="8"/>
    </row>
    <row r="894" spans="12:14" ht="16.5" customHeight="1" x14ac:dyDescent="0.25">
      <c r="L894" s="6"/>
      <c r="M894" s="8"/>
      <c r="N894" s="8"/>
    </row>
    <row r="895" spans="12:14" ht="16.5" customHeight="1" x14ac:dyDescent="0.25">
      <c r="L895" s="6"/>
      <c r="M895" s="8"/>
      <c r="N895" s="8"/>
    </row>
    <row r="896" spans="12:14" ht="16.5" customHeight="1" x14ac:dyDescent="0.25">
      <c r="L896" s="6"/>
      <c r="M896" s="8"/>
      <c r="N896" s="8"/>
    </row>
    <row r="897" spans="12:14" ht="16.5" customHeight="1" x14ac:dyDescent="0.25">
      <c r="L897" s="6"/>
      <c r="M897" s="8"/>
      <c r="N897" s="8"/>
    </row>
    <row r="898" spans="12:14" ht="16.5" customHeight="1" x14ac:dyDescent="0.25">
      <c r="L898" s="6"/>
      <c r="M898" s="8"/>
      <c r="N898" s="8"/>
    </row>
    <row r="899" spans="12:14" ht="16.5" customHeight="1" x14ac:dyDescent="0.25">
      <c r="L899" s="6"/>
      <c r="M899" s="8"/>
      <c r="N899" s="8"/>
    </row>
    <row r="900" spans="12:14" ht="16.5" customHeight="1" x14ac:dyDescent="0.25">
      <c r="L900" s="6"/>
      <c r="M900" s="8"/>
      <c r="N900" s="8"/>
    </row>
    <row r="901" spans="12:14" ht="16.5" customHeight="1" x14ac:dyDescent="0.25">
      <c r="L901" s="6"/>
      <c r="M901" s="8"/>
      <c r="N901" s="8"/>
    </row>
    <row r="902" spans="12:14" ht="16.5" customHeight="1" x14ac:dyDescent="0.25">
      <c r="L902" s="6"/>
      <c r="M902" s="8"/>
      <c r="N902" s="8"/>
    </row>
    <row r="903" spans="12:14" ht="16.5" customHeight="1" x14ac:dyDescent="0.25">
      <c r="L903" s="6"/>
      <c r="M903" s="8"/>
      <c r="N903" s="8"/>
    </row>
    <row r="904" spans="12:14" ht="16.5" customHeight="1" x14ac:dyDescent="0.25">
      <c r="L904" s="6"/>
      <c r="M904" s="8"/>
      <c r="N904" s="8"/>
    </row>
    <row r="905" spans="12:14" ht="16.5" customHeight="1" x14ac:dyDescent="0.25">
      <c r="L905" s="6"/>
      <c r="M905" s="8"/>
      <c r="N905" s="8"/>
    </row>
    <row r="906" spans="12:14" ht="16.5" customHeight="1" x14ac:dyDescent="0.25">
      <c r="L906" s="6"/>
      <c r="M906" s="8"/>
      <c r="N906" s="8"/>
    </row>
    <row r="907" spans="12:14" ht="16.5" customHeight="1" x14ac:dyDescent="0.25">
      <c r="L907" s="6"/>
      <c r="M907" s="8"/>
      <c r="N907" s="8"/>
    </row>
    <row r="908" spans="12:14" ht="16.5" customHeight="1" x14ac:dyDescent="0.25">
      <c r="L908" s="6"/>
      <c r="M908" s="8"/>
      <c r="N908" s="8"/>
    </row>
    <row r="909" spans="12:14" ht="16.5" customHeight="1" x14ac:dyDescent="0.25">
      <c r="L909" s="6"/>
      <c r="M909" s="8"/>
      <c r="N909" s="8"/>
    </row>
    <row r="910" spans="12:14" ht="16.5" customHeight="1" x14ac:dyDescent="0.25">
      <c r="L910" s="6"/>
      <c r="M910" s="8"/>
      <c r="N910" s="8"/>
    </row>
    <row r="911" spans="12:14" ht="16.5" customHeight="1" x14ac:dyDescent="0.25">
      <c r="L911" s="6"/>
      <c r="M911" s="8"/>
      <c r="N911" s="8"/>
    </row>
    <row r="912" spans="12:14" ht="16.5" customHeight="1" x14ac:dyDescent="0.25">
      <c r="L912" s="6"/>
      <c r="M912" s="8"/>
      <c r="N912" s="8"/>
    </row>
    <row r="913" spans="12:14" ht="16.5" customHeight="1" x14ac:dyDescent="0.25">
      <c r="L913" s="6"/>
      <c r="M913" s="8"/>
      <c r="N913" s="8"/>
    </row>
    <row r="914" spans="12:14" ht="16.5" customHeight="1" x14ac:dyDescent="0.25">
      <c r="L914" s="6"/>
      <c r="M914" s="8"/>
      <c r="N914" s="8"/>
    </row>
    <row r="915" spans="12:14" ht="16.5" customHeight="1" x14ac:dyDescent="0.25">
      <c r="L915" s="6"/>
      <c r="M915" s="8"/>
      <c r="N915" s="8"/>
    </row>
    <row r="916" spans="12:14" ht="16.5" customHeight="1" x14ac:dyDescent="0.25">
      <c r="L916" s="6"/>
      <c r="M916" s="8"/>
      <c r="N916" s="8"/>
    </row>
    <row r="917" spans="12:14" ht="16.5" customHeight="1" x14ac:dyDescent="0.25">
      <c r="L917" s="6"/>
      <c r="M917" s="8"/>
      <c r="N917" s="8"/>
    </row>
    <row r="918" spans="12:14" ht="16.5" customHeight="1" x14ac:dyDescent="0.25">
      <c r="L918" s="6"/>
      <c r="M918" s="8"/>
      <c r="N918" s="8"/>
    </row>
    <row r="919" spans="12:14" ht="16.5" customHeight="1" x14ac:dyDescent="0.25">
      <c r="L919" s="6"/>
      <c r="M919" s="8"/>
      <c r="N919" s="8"/>
    </row>
    <row r="920" spans="12:14" ht="16.5" customHeight="1" x14ac:dyDescent="0.25">
      <c r="L920" s="6"/>
      <c r="M920" s="8"/>
      <c r="N920" s="8"/>
    </row>
    <row r="921" spans="12:14" ht="16.5" customHeight="1" x14ac:dyDescent="0.25">
      <c r="L921" s="6"/>
      <c r="M921" s="8"/>
      <c r="N921" s="8"/>
    </row>
    <row r="922" spans="12:14" ht="16.5" customHeight="1" x14ac:dyDescent="0.25">
      <c r="L922" s="6"/>
      <c r="M922" s="8"/>
      <c r="N922" s="8"/>
    </row>
    <row r="923" spans="12:14" ht="16.5" customHeight="1" x14ac:dyDescent="0.25">
      <c r="L923" s="6"/>
      <c r="M923" s="8"/>
      <c r="N923" s="8"/>
    </row>
    <row r="924" spans="12:14" ht="16.5" customHeight="1" x14ac:dyDescent="0.25">
      <c r="L924" s="6"/>
      <c r="M924" s="8"/>
      <c r="N924" s="8"/>
    </row>
    <row r="925" spans="12:14" ht="16.5" customHeight="1" x14ac:dyDescent="0.25">
      <c r="L925" s="6"/>
      <c r="M925" s="8"/>
      <c r="N925" s="8"/>
    </row>
    <row r="926" spans="12:14" ht="16.5" customHeight="1" x14ac:dyDescent="0.25">
      <c r="L926" s="6"/>
      <c r="M926" s="8"/>
      <c r="N926" s="8"/>
    </row>
    <row r="927" spans="12:14" ht="16.5" customHeight="1" x14ac:dyDescent="0.25">
      <c r="L927" s="6"/>
      <c r="M927" s="8"/>
      <c r="N927" s="8"/>
    </row>
    <row r="928" spans="12:14" ht="16.5" customHeight="1" x14ac:dyDescent="0.25">
      <c r="L928" s="6"/>
      <c r="M928" s="8"/>
      <c r="N928" s="8"/>
    </row>
    <row r="929" spans="12:14" ht="16.5" customHeight="1" x14ac:dyDescent="0.25">
      <c r="L929" s="6"/>
      <c r="M929" s="8"/>
      <c r="N929" s="8"/>
    </row>
    <row r="930" spans="12:14" ht="16.5" customHeight="1" x14ac:dyDescent="0.25">
      <c r="L930" s="6"/>
      <c r="M930" s="8"/>
      <c r="N930" s="8"/>
    </row>
    <row r="931" spans="12:14" ht="16.5" customHeight="1" x14ac:dyDescent="0.25">
      <c r="L931" s="6"/>
      <c r="M931" s="8"/>
      <c r="N931" s="8"/>
    </row>
    <row r="932" spans="12:14" ht="16.5" customHeight="1" x14ac:dyDescent="0.25">
      <c r="L932" s="6"/>
      <c r="M932" s="8"/>
      <c r="N932" s="8"/>
    </row>
    <row r="933" spans="12:14" ht="16.5" customHeight="1" x14ac:dyDescent="0.25">
      <c r="L933" s="6"/>
      <c r="M933" s="8"/>
      <c r="N933" s="8"/>
    </row>
    <row r="934" spans="12:14" ht="16.5" customHeight="1" x14ac:dyDescent="0.25">
      <c r="L934" s="6"/>
      <c r="M934" s="8"/>
      <c r="N934" s="8"/>
    </row>
    <row r="935" spans="12:14" ht="16.5" customHeight="1" x14ac:dyDescent="0.25">
      <c r="L935" s="6"/>
      <c r="M935" s="8"/>
      <c r="N935" s="8"/>
    </row>
    <row r="936" spans="12:14" ht="16.5" customHeight="1" x14ac:dyDescent="0.25">
      <c r="L936" s="6"/>
      <c r="M936" s="8"/>
      <c r="N936" s="8"/>
    </row>
    <row r="937" spans="12:14" ht="16.5" customHeight="1" x14ac:dyDescent="0.25">
      <c r="L937" s="6"/>
      <c r="M937" s="8"/>
      <c r="N937" s="8"/>
    </row>
    <row r="938" spans="12:14" ht="16.5" customHeight="1" x14ac:dyDescent="0.25">
      <c r="L938" s="6"/>
      <c r="M938" s="8"/>
      <c r="N938" s="8"/>
    </row>
    <row r="939" spans="12:14" ht="16.5" customHeight="1" x14ac:dyDescent="0.25">
      <c r="L939" s="6"/>
      <c r="M939" s="8"/>
      <c r="N939" s="8"/>
    </row>
    <row r="940" spans="12:14" ht="16.5" customHeight="1" x14ac:dyDescent="0.25">
      <c r="L940" s="6"/>
      <c r="M940" s="8"/>
      <c r="N940" s="8"/>
    </row>
    <row r="941" spans="12:14" ht="16.5" customHeight="1" x14ac:dyDescent="0.25">
      <c r="L941" s="6"/>
      <c r="M941" s="8"/>
      <c r="N941" s="8"/>
    </row>
    <row r="942" spans="12:14" ht="16.5" customHeight="1" x14ac:dyDescent="0.25">
      <c r="L942" s="6"/>
      <c r="M942" s="8"/>
      <c r="N942" s="8"/>
    </row>
    <row r="943" spans="12:14" ht="16.5" customHeight="1" x14ac:dyDescent="0.25">
      <c r="L943" s="6"/>
      <c r="M943" s="8"/>
      <c r="N943" s="8"/>
    </row>
    <row r="944" spans="12:14" ht="16.5" customHeight="1" x14ac:dyDescent="0.25">
      <c r="L944" s="6"/>
      <c r="M944" s="8"/>
      <c r="N944" s="8"/>
    </row>
    <row r="945" spans="12:14" ht="16.5" customHeight="1" x14ac:dyDescent="0.25">
      <c r="L945" s="6"/>
      <c r="M945" s="8"/>
      <c r="N945" s="8"/>
    </row>
    <row r="946" spans="12:14" ht="16.5" customHeight="1" x14ac:dyDescent="0.25">
      <c r="L946" s="6"/>
      <c r="M946" s="8"/>
      <c r="N946" s="8"/>
    </row>
    <row r="947" spans="12:14" ht="16.5" customHeight="1" x14ac:dyDescent="0.25">
      <c r="L947" s="6"/>
      <c r="M947" s="8"/>
      <c r="N947" s="8"/>
    </row>
    <row r="948" spans="12:14" ht="16.5" customHeight="1" x14ac:dyDescent="0.25">
      <c r="L948" s="6"/>
      <c r="M948" s="8"/>
      <c r="N948" s="8"/>
    </row>
    <row r="949" spans="12:14" ht="16.5" customHeight="1" x14ac:dyDescent="0.25">
      <c r="L949" s="6"/>
      <c r="M949" s="8"/>
      <c r="N949" s="8"/>
    </row>
    <row r="950" spans="12:14" ht="16.5" customHeight="1" x14ac:dyDescent="0.25">
      <c r="L950" s="6"/>
      <c r="M950" s="8"/>
      <c r="N950" s="8"/>
    </row>
    <row r="951" spans="12:14" ht="16.5" customHeight="1" x14ac:dyDescent="0.25">
      <c r="L951" s="6"/>
      <c r="M951" s="8"/>
      <c r="N951" s="8"/>
    </row>
    <row r="952" spans="12:14" ht="16.5" customHeight="1" x14ac:dyDescent="0.25">
      <c r="L952" s="6"/>
      <c r="M952" s="8"/>
      <c r="N952" s="8"/>
    </row>
    <row r="953" spans="12:14" ht="16.5" customHeight="1" x14ac:dyDescent="0.25">
      <c r="L953" s="6"/>
      <c r="M953" s="8"/>
      <c r="N953" s="8"/>
    </row>
    <row r="954" spans="12:14" ht="16.5" customHeight="1" x14ac:dyDescent="0.25">
      <c r="L954" s="6"/>
      <c r="M954" s="8"/>
      <c r="N954" s="8"/>
    </row>
    <row r="955" spans="12:14" ht="16.5" customHeight="1" x14ac:dyDescent="0.25">
      <c r="L955" s="6"/>
      <c r="M955" s="8"/>
      <c r="N955" s="8"/>
    </row>
    <row r="956" spans="12:14" ht="16.5" customHeight="1" x14ac:dyDescent="0.25">
      <c r="L956" s="6"/>
      <c r="M956" s="8"/>
      <c r="N956" s="8"/>
    </row>
    <row r="957" spans="12:14" ht="16.5" customHeight="1" x14ac:dyDescent="0.25">
      <c r="L957" s="6"/>
      <c r="M957" s="8"/>
      <c r="N957" s="8"/>
    </row>
    <row r="958" spans="12:14" ht="16.5" customHeight="1" x14ac:dyDescent="0.25">
      <c r="L958" s="6"/>
      <c r="M958" s="8"/>
      <c r="N958" s="8"/>
    </row>
    <row r="959" spans="12:14" ht="16.5" customHeight="1" x14ac:dyDescent="0.25">
      <c r="L959" s="6"/>
      <c r="M959" s="8"/>
      <c r="N959" s="8"/>
    </row>
    <row r="960" spans="12:14" ht="16.5" customHeight="1" x14ac:dyDescent="0.25">
      <c r="L960" s="6"/>
      <c r="M960" s="8"/>
      <c r="N960" s="8"/>
    </row>
    <row r="961" spans="12:14" ht="16.5" customHeight="1" x14ac:dyDescent="0.25">
      <c r="L961" s="6"/>
      <c r="M961" s="8"/>
      <c r="N961" s="8"/>
    </row>
    <row r="962" spans="12:14" ht="16.5" customHeight="1" x14ac:dyDescent="0.25">
      <c r="L962" s="6"/>
      <c r="M962" s="8"/>
      <c r="N962" s="8"/>
    </row>
    <row r="963" spans="12:14" ht="16.5" customHeight="1" x14ac:dyDescent="0.25">
      <c r="L963" s="6"/>
      <c r="M963" s="8"/>
      <c r="N963" s="8"/>
    </row>
    <row r="964" spans="12:14" ht="16.5" customHeight="1" x14ac:dyDescent="0.25">
      <c r="L964" s="6"/>
      <c r="M964" s="8"/>
      <c r="N964" s="8"/>
    </row>
    <row r="965" spans="12:14" ht="16.5" customHeight="1" x14ac:dyDescent="0.25">
      <c r="L965" s="6"/>
      <c r="M965" s="8"/>
      <c r="N965" s="8"/>
    </row>
    <row r="966" spans="12:14" ht="16.5" customHeight="1" x14ac:dyDescent="0.25">
      <c r="L966" s="6"/>
      <c r="M966" s="8"/>
      <c r="N966" s="8"/>
    </row>
    <row r="967" spans="12:14" ht="16.5" customHeight="1" x14ac:dyDescent="0.25">
      <c r="L967" s="6"/>
      <c r="M967" s="8"/>
      <c r="N967" s="8"/>
    </row>
    <row r="968" spans="12:14" ht="16.5" customHeight="1" x14ac:dyDescent="0.25">
      <c r="L968" s="6"/>
      <c r="M968" s="8"/>
      <c r="N968" s="8"/>
    </row>
    <row r="969" spans="12:14" ht="16.5" customHeight="1" x14ac:dyDescent="0.25">
      <c r="L969" s="6"/>
      <c r="M969" s="8"/>
      <c r="N969" s="8"/>
    </row>
    <row r="970" spans="12:14" ht="16.5" customHeight="1" x14ac:dyDescent="0.25">
      <c r="L970" s="6"/>
      <c r="M970" s="8"/>
      <c r="N970" s="8"/>
    </row>
    <row r="971" spans="12:14" ht="16.5" customHeight="1" x14ac:dyDescent="0.25">
      <c r="L971" s="6"/>
      <c r="M971" s="8"/>
      <c r="N971" s="8"/>
    </row>
    <row r="972" spans="12:14" ht="16.5" customHeight="1" x14ac:dyDescent="0.25">
      <c r="L972" s="6"/>
      <c r="M972" s="8"/>
      <c r="N972" s="8"/>
    </row>
    <row r="973" spans="12:14" ht="16.5" customHeight="1" x14ac:dyDescent="0.25">
      <c r="L973" s="6"/>
      <c r="M973" s="8"/>
      <c r="N973" s="8"/>
    </row>
    <row r="974" spans="12:14" ht="16.5" customHeight="1" x14ac:dyDescent="0.25">
      <c r="L974" s="6"/>
      <c r="M974" s="8"/>
      <c r="N974" s="8"/>
    </row>
    <row r="975" spans="12:14" ht="16.5" customHeight="1" x14ac:dyDescent="0.25">
      <c r="L975" s="6"/>
      <c r="M975" s="8"/>
      <c r="N975" s="8"/>
    </row>
    <row r="976" spans="12:14" ht="16.5" customHeight="1" x14ac:dyDescent="0.25">
      <c r="L976" s="6"/>
      <c r="M976" s="8"/>
      <c r="N976" s="8"/>
    </row>
    <row r="977" spans="12:14" ht="16.5" customHeight="1" x14ac:dyDescent="0.25">
      <c r="L977" s="6"/>
      <c r="M977" s="8"/>
      <c r="N977" s="8"/>
    </row>
    <row r="978" spans="12:14" ht="16.5" customHeight="1" x14ac:dyDescent="0.25">
      <c r="L978" s="6"/>
      <c r="M978" s="8"/>
      <c r="N978" s="8"/>
    </row>
    <row r="979" spans="12:14" ht="16.5" customHeight="1" x14ac:dyDescent="0.25">
      <c r="L979" s="6"/>
      <c r="M979" s="8"/>
      <c r="N979" s="8"/>
    </row>
    <row r="980" spans="12:14" ht="16.5" customHeight="1" x14ac:dyDescent="0.25">
      <c r="L980" s="6"/>
      <c r="M980" s="8"/>
      <c r="N980" s="8"/>
    </row>
    <row r="981" spans="12:14" ht="16.5" customHeight="1" x14ac:dyDescent="0.25">
      <c r="L981" s="6"/>
      <c r="M981" s="8"/>
      <c r="N981" s="8"/>
    </row>
    <row r="982" spans="12:14" ht="16.5" customHeight="1" x14ac:dyDescent="0.25">
      <c r="L982" s="6"/>
      <c r="M982" s="8"/>
      <c r="N982" s="8"/>
    </row>
    <row r="983" spans="12:14" ht="16.5" customHeight="1" x14ac:dyDescent="0.25">
      <c r="L983" s="6"/>
      <c r="M983" s="8"/>
      <c r="N983" s="8"/>
    </row>
    <row r="984" spans="12:14" ht="16.5" customHeight="1" x14ac:dyDescent="0.25">
      <c r="L984" s="6"/>
      <c r="M984" s="8"/>
      <c r="N984" s="8"/>
    </row>
    <row r="985" spans="12:14" ht="16.5" customHeight="1" x14ac:dyDescent="0.25">
      <c r="L985" s="6"/>
      <c r="M985" s="8"/>
      <c r="N985" s="8"/>
    </row>
    <row r="986" spans="12:14" ht="16.5" customHeight="1" x14ac:dyDescent="0.25">
      <c r="L986" s="6"/>
      <c r="M986" s="8"/>
      <c r="N986" s="8"/>
    </row>
    <row r="987" spans="12:14" ht="16.5" customHeight="1" x14ac:dyDescent="0.25">
      <c r="L987" s="6"/>
      <c r="M987" s="8"/>
      <c r="N987" s="8"/>
    </row>
    <row r="988" spans="12:14" ht="16.5" customHeight="1" x14ac:dyDescent="0.25">
      <c r="L988" s="6"/>
      <c r="M988" s="8"/>
      <c r="N988" s="8"/>
    </row>
    <row r="989" spans="12:14" ht="16.5" customHeight="1" x14ac:dyDescent="0.25">
      <c r="L989" s="6"/>
      <c r="M989" s="8"/>
      <c r="N989" s="8"/>
    </row>
    <row r="990" spans="12:14" ht="16.5" customHeight="1" x14ac:dyDescent="0.25">
      <c r="L990" s="6"/>
      <c r="M990" s="8"/>
      <c r="N990" s="8"/>
    </row>
    <row r="991" spans="12:14" ht="16.5" customHeight="1" x14ac:dyDescent="0.25">
      <c r="L991" s="6"/>
      <c r="M991" s="8"/>
      <c r="N991" s="8"/>
    </row>
    <row r="992" spans="12:14" ht="16.5" customHeight="1" x14ac:dyDescent="0.25">
      <c r="L992" s="6"/>
      <c r="M992" s="8"/>
      <c r="N992" s="8"/>
    </row>
    <row r="993" spans="12:14" ht="16.5" customHeight="1" x14ac:dyDescent="0.25">
      <c r="L993" s="6"/>
      <c r="M993" s="8"/>
      <c r="N993" s="8"/>
    </row>
    <row r="994" spans="12:14" ht="16.5" customHeight="1" x14ac:dyDescent="0.25">
      <c r="L994" s="6"/>
      <c r="M994" s="8"/>
      <c r="N994" s="8"/>
    </row>
    <row r="995" spans="12:14" ht="16.5" customHeight="1" x14ac:dyDescent="0.25">
      <c r="L995" s="6"/>
      <c r="M995" s="8"/>
      <c r="N995" s="8"/>
    </row>
    <row r="996" spans="12:14" ht="16.5" customHeight="1" x14ac:dyDescent="0.25">
      <c r="L996" s="6"/>
      <c r="M996" s="8"/>
      <c r="N996" s="8"/>
    </row>
    <row r="997" spans="12:14" ht="16.5" customHeight="1" x14ac:dyDescent="0.25">
      <c r="L997" s="6"/>
      <c r="M997" s="8"/>
      <c r="N997" s="8"/>
    </row>
    <row r="998" spans="12:14" ht="16.5" customHeight="1" x14ac:dyDescent="0.25">
      <c r="L998" s="6"/>
      <c r="M998" s="8"/>
      <c r="N998" s="8"/>
    </row>
    <row r="999" spans="12:14" ht="16.5" customHeight="1" x14ac:dyDescent="0.25">
      <c r="L999" s="6"/>
      <c r="M999" s="8"/>
      <c r="N999" s="8"/>
    </row>
    <row r="1000" spans="12:14" ht="16.5" customHeight="1" x14ac:dyDescent="0.25">
      <c r="L1000" s="6"/>
      <c r="M1000" s="8"/>
      <c r="N1000" s="8"/>
    </row>
  </sheetData>
  <mergeCells count="458">
    <mergeCell ref="I362:J362"/>
    <mergeCell ref="B371:K371"/>
    <mergeCell ref="C372:G372"/>
    <mergeCell ref="I372:J372"/>
    <mergeCell ref="C373:G373"/>
    <mergeCell ref="I373:J373"/>
    <mergeCell ref="B374:J374"/>
    <mergeCell ref="B377:J377"/>
    <mergeCell ref="B362:F362"/>
    <mergeCell ref="B363:F363"/>
    <mergeCell ref="I363:J363"/>
    <mergeCell ref="B364:F364"/>
    <mergeCell ref="I364:J364"/>
    <mergeCell ref="B365:J365"/>
    <mergeCell ref="B368:J368"/>
    <mergeCell ref="B353:F353"/>
    <mergeCell ref="I353:J353"/>
    <mergeCell ref="B354:F354"/>
    <mergeCell ref="I354:J354"/>
    <mergeCell ref="B355:K355"/>
    <mergeCell ref="B356:J356"/>
    <mergeCell ref="B359:K359"/>
    <mergeCell ref="B360:K360"/>
    <mergeCell ref="B361:F361"/>
    <mergeCell ref="I361:J361"/>
    <mergeCell ref="B348:F348"/>
    <mergeCell ref="I348:J348"/>
    <mergeCell ref="B349:F349"/>
    <mergeCell ref="I349:J349"/>
    <mergeCell ref="B350:F350"/>
    <mergeCell ref="I350:J350"/>
    <mergeCell ref="I351:J351"/>
    <mergeCell ref="B351:F351"/>
    <mergeCell ref="B352:F352"/>
    <mergeCell ref="I352:J352"/>
    <mergeCell ref="I346:J346"/>
    <mergeCell ref="I347:J347"/>
    <mergeCell ref="B343:K343"/>
    <mergeCell ref="B344:F344"/>
    <mergeCell ref="I344:J344"/>
    <mergeCell ref="B345:F345"/>
    <mergeCell ref="I345:J345"/>
    <mergeCell ref="B346:F346"/>
    <mergeCell ref="B347:F347"/>
    <mergeCell ref="B331:K331"/>
    <mergeCell ref="B332:K332"/>
    <mergeCell ref="B333:K333"/>
    <mergeCell ref="I334:J334"/>
    <mergeCell ref="I337:J337"/>
    <mergeCell ref="I338:J338"/>
    <mergeCell ref="B334:F334"/>
    <mergeCell ref="B335:F335"/>
    <mergeCell ref="I335:J335"/>
    <mergeCell ref="B336:F336"/>
    <mergeCell ref="I336:J336"/>
    <mergeCell ref="B337:F337"/>
    <mergeCell ref="B338:F338"/>
    <mergeCell ref="B326:F326"/>
    <mergeCell ref="I326:J326"/>
    <mergeCell ref="B327:F327"/>
    <mergeCell ref="I327:J327"/>
    <mergeCell ref="B328:F328"/>
    <mergeCell ref="I328:J328"/>
    <mergeCell ref="I329:J329"/>
    <mergeCell ref="B329:F329"/>
    <mergeCell ref="B330:F330"/>
    <mergeCell ref="I330:J330"/>
    <mergeCell ref="I271:J271"/>
    <mergeCell ref="I272:J272"/>
    <mergeCell ref="I303:J303"/>
    <mergeCell ref="I304:J304"/>
    <mergeCell ref="B305:F305"/>
    <mergeCell ref="I305:J305"/>
    <mergeCell ref="B306:K306"/>
    <mergeCell ref="B307:K307"/>
    <mergeCell ref="B308:K308"/>
    <mergeCell ref="I255:J255"/>
    <mergeCell ref="B256:F256"/>
    <mergeCell ref="I256:J256"/>
    <mergeCell ref="B257:F257"/>
    <mergeCell ref="B258:F258"/>
    <mergeCell ref="I263:J263"/>
    <mergeCell ref="I264:J264"/>
    <mergeCell ref="B260:K260"/>
    <mergeCell ref="B261:F261"/>
    <mergeCell ref="I261:J261"/>
    <mergeCell ref="B262:F262"/>
    <mergeCell ref="I262:J262"/>
    <mergeCell ref="B263:F263"/>
    <mergeCell ref="B264:F264"/>
    <mergeCell ref="B290:K290"/>
    <mergeCell ref="I291:J291"/>
    <mergeCell ref="I294:J294"/>
    <mergeCell ref="I295:J295"/>
    <mergeCell ref="B291:F291"/>
    <mergeCell ref="B292:F292"/>
    <mergeCell ref="I292:J292"/>
    <mergeCell ref="B293:F293"/>
    <mergeCell ref="I293:J293"/>
    <mergeCell ref="B294:F294"/>
    <mergeCell ref="B295:F295"/>
    <mergeCell ref="I279:J279"/>
    <mergeCell ref="B280:F280"/>
    <mergeCell ref="I280:J280"/>
    <mergeCell ref="I281:J281"/>
    <mergeCell ref="B281:F281"/>
    <mergeCell ref="B283:J283"/>
    <mergeCell ref="B286:K286"/>
    <mergeCell ref="B288:K288"/>
    <mergeCell ref="B289:K289"/>
    <mergeCell ref="B339:F339"/>
    <mergeCell ref="I339:J339"/>
    <mergeCell ref="B340:F340"/>
    <mergeCell ref="I340:J340"/>
    <mergeCell ref="B341:F341"/>
    <mergeCell ref="I341:J341"/>
    <mergeCell ref="B342:K342"/>
    <mergeCell ref="B265:F265"/>
    <mergeCell ref="I265:J265"/>
    <mergeCell ref="B266:F266"/>
    <mergeCell ref="I266:J266"/>
    <mergeCell ref="B267:F267"/>
    <mergeCell ref="I267:J267"/>
    <mergeCell ref="I268:J268"/>
    <mergeCell ref="B268:F268"/>
    <mergeCell ref="B269:F269"/>
    <mergeCell ref="I269:J269"/>
    <mergeCell ref="B270:F270"/>
    <mergeCell ref="I270:J270"/>
    <mergeCell ref="B271:F271"/>
    <mergeCell ref="B272:F272"/>
    <mergeCell ref="B278:F278"/>
    <mergeCell ref="I278:J278"/>
    <mergeCell ref="B279:F279"/>
    <mergeCell ref="B317:K317"/>
    <mergeCell ref="B318:K318"/>
    <mergeCell ref="B319:F319"/>
    <mergeCell ref="I319:J319"/>
    <mergeCell ref="B320:F320"/>
    <mergeCell ref="I320:J320"/>
    <mergeCell ref="I321:J321"/>
    <mergeCell ref="I324:J324"/>
    <mergeCell ref="I325:J325"/>
    <mergeCell ref="B321:F321"/>
    <mergeCell ref="B322:F322"/>
    <mergeCell ref="I322:J322"/>
    <mergeCell ref="B323:F323"/>
    <mergeCell ref="I323:J323"/>
    <mergeCell ref="B324:F324"/>
    <mergeCell ref="B325:F325"/>
    <mergeCell ref="B316:F316"/>
    <mergeCell ref="I316:J316"/>
    <mergeCell ref="B300:F300"/>
    <mergeCell ref="B301:F301"/>
    <mergeCell ref="I301:J301"/>
    <mergeCell ref="B302:F302"/>
    <mergeCell ref="I302:J302"/>
    <mergeCell ref="B303:F303"/>
    <mergeCell ref="L308:L316"/>
    <mergeCell ref="B311:F311"/>
    <mergeCell ref="I311:J311"/>
    <mergeCell ref="B312:F312"/>
    <mergeCell ref="I312:J312"/>
    <mergeCell ref="B313:F313"/>
    <mergeCell ref="I313:J313"/>
    <mergeCell ref="B314:F314"/>
    <mergeCell ref="I314:J314"/>
    <mergeCell ref="B315:F315"/>
    <mergeCell ref="I315:J315"/>
    <mergeCell ref="B296:F296"/>
    <mergeCell ref="I296:J296"/>
    <mergeCell ref="B297:F297"/>
    <mergeCell ref="I297:J297"/>
    <mergeCell ref="B298:K298"/>
    <mergeCell ref="B299:K299"/>
    <mergeCell ref="I300:J300"/>
    <mergeCell ref="I309:J309"/>
    <mergeCell ref="B310:F310"/>
    <mergeCell ref="I310:J310"/>
    <mergeCell ref="B304:F304"/>
    <mergeCell ref="B309:F309"/>
    <mergeCell ref="C175:G175"/>
    <mergeCell ref="C176:G176"/>
    <mergeCell ref="C179:G179"/>
    <mergeCell ref="C180:I180"/>
    <mergeCell ref="I276:J276"/>
    <mergeCell ref="I277:J277"/>
    <mergeCell ref="B273:K273"/>
    <mergeCell ref="B274:F274"/>
    <mergeCell ref="I274:J274"/>
    <mergeCell ref="B275:F275"/>
    <mergeCell ref="I275:J275"/>
    <mergeCell ref="B276:F276"/>
    <mergeCell ref="B277:F277"/>
    <mergeCell ref="B251:F251"/>
    <mergeCell ref="I251:J251"/>
    <mergeCell ref="B252:F252"/>
    <mergeCell ref="I252:J252"/>
    <mergeCell ref="B253:F253"/>
    <mergeCell ref="I253:J253"/>
    <mergeCell ref="I254:J254"/>
    <mergeCell ref="I257:J257"/>
    <mergeCell ref="I258:J258"/>
    <mergeCell ref="B254:F254"/>
    <mergeCell ref="B255:F255"/>
    <mergeCell ref="C132:G132"/>
    <mergeCell ref="C135:G135"/>
    <mergeCell ref="C136:I136"/>
    <mergeCell ref="C137:I137"/>
    <mergeCell ref="C138:I138"/>
    <mergeCell ref="C139:I139"/>
    <mergeCell ref="B171:J171"/>
    <mergeCell ref="B172:J172"/>
    <mergeCell ref="B174:K174"/>
    <mergeCell ref="C168:G168"/>
    <mergeCell ref="C169:G169"/>
    <mergeCell ref="C170:I170"/>
    <mergeCell ref="C90:G90"/>
    <mergeCell ref="C93:G93"/>
    <mergeCell ref="C94:I94"/>
    <mergeCell ref="C95:I95"/>
    <mergeCell ref="C96:I96"/>
    <mergeCell ref="C97:I97"/>
    <mergeCell ref="C98:I98"/>
    <mergeCell ref="C99:I99"/>
    <mergeCell ref="C100:I100"/>
    <mergeCell ref="C101:G101"/>
    <mergeCell ref="C102:G102"/>
    <mergeCell ref="C103:G103"/>
    <mergeCell ref="C104:G104"/>
    <mergeCell ref="C105:I105"/>
    <mergeCell ref="B106:J106"/>
    <mergeCell ref="B107:J107"/>
    <mergeCell ref="B109:K109"/>
    <mergeCell ref="C110:G110"/>
    <mergeCell ref="C111:G111"/>
    <mergeCell ref="C114:G114"/>
    <mergeCell ref="C115:I115"/>
    <mergeCell ref="C159:I159"/>
    <mergeCell ref="C160:I160"/>
    <mergeCell ref="C161:I161"/>
    <mergeCell ref="C162:I162"/>
    <mergeCell ref="C163:I163"/>
    <mergeCell ref="C164:I164"/>
    <mergeCell ref="C165:G165"/>
    <mergeCell ref="C166:G166"/>
    <mergeCell ref="C167:G167"/>
    <mergeCell ref="C147:G147"/>
    <mergeCell ref="C148:I148"/>
    <mergeCell ref="B149:J149"/>
    <mergeCell ref="B150:J150"/>
    <mergeCell ref="B152:K152"/>
    <mergeCell ref="C153:G153"/>
    <mergeCell ref="C154:G154"/>
    <mergeCell ref="C157:G157"/>
    <mergeCell ref="C158:I158"/>
    <mergeCell ref="B88:K88"/>
    <mergeCell ref="C89:G89"/>
    <mergeCell ref="C140:I140"/>
    <mergeCell ref="C141:I141"/>
    <mergeCell ref="C142:I142"/>
    <mergeCell ref="C143:G143"/>
    <mergeCell ref="C144:G144"/>
    <mergeCell ref="C145:G145"/>
    <mergeCell ref="C146:G146"/>
    <mergeCell ref="C116:I116"/>
    <mergeCell ref="C117:I117"/>
    <mergeCell ref="C118:I118"/>
    <mergeCell ref="C119:I119"/>
    <mergeCell ref="C120:I120"/>
    <mergeCell ref="C121:I121"/>
    <mergeCell ref="C122:G122"/>
    <mergeCell ref="C123:G123"/>
    <mergeCell ref="C124:G124"/>
    <mergeCell ref="C125:G125"/>
    <mergeCell ref="C126:I126"/>
    <mergeCell ref="B127:J127"/>
    <mergeCell ref="B128:J128"/>
    <mergeCell ref="B130:K130"/>
    <mergeCell ref="C131:G131"/>
    <mergeCell ref="C78:I78"/>
    <mergeCell ref="C79:G79"/>
    <mergeCell ref="C80:G80"/>
    <mergeCell ref="C81:G81"/>
    <mergeCell ref="C82:G82"/>
    <mergeCell ref="C83:G83"/>
    <mergeCell ref="C84:I84"/>
    <mergeCell ref="B85:J85"/>
    <mergeCell ref="B86:J86"/>
    <mergeCell ref="B69:K69"/>
    <mergeCell ref="C70:I70"/>
    <mergeCell ref="C71:I71"/>
    <mergeCell ref="C72:I72"/>
    <mergeCell ref="C73:I73"/>
    <mergeCell ref="C74:I74"/>
    <mergeCell ref="C75:I75"/>
    <mergeCell ref="C76:I76"/>
    <mergeCell ref="C77:I77"/>
    <mergeCell ref="C59:I59"/>
    <mergeCell ref="C60:I60"/>
    <mergeCell ref="C61:G61"/>
    <mergeCell ref="C62:G62"/>
    <mergeCell ref="C63:G63"/>
    <mergeCell ref="C64:G64"/>
    <mergeCell ref="C65:I65"/>
    <mergeCell ref="B66:J66"/>
    <mergeCell ref="B67:J67"/>
    <mergeCell ref="B48:K48"/>
    <mergeCell ref="C49:G49"/>
    <mergeCell ref="C50:G50"/>
    <mergeCell ref="C53:G53"/>
    <mergeCell ref="C54:I54"/>
    <mergeCell ref="C55:I55"/>
    <mergeCell ref="C56:I56"/>
    <mergeCell ref="C57:I57"/>
    <mergeCell ref="C58:I58"/>
    <mergeCell ref="C38:I38"/>
    <mergeCell ref="C39:I39"/>
    <mergeCell ref="C40:G40"/>
    <mergeCell ref="C41:G41"/>
    <mergeCell ref="C42:G42"/>
    <mergeCell ref="C43:G43"/>
    <mergeCell ref="C44:I44"/>
    <mergeCell ref="B45:J45"/>
    <mergeCell ref="B46:J46"/>
    <mergeCell ref="B29:K29"/>
    <mergeCell ref="B30:K30"/>
    <mergeCell ref="C31:I31"/>
    <mergeCell ref="C32:I32"/>
    <mergeCell ref="C33:I33"/>
    <mergeCell ref="C34:I34"/>
    <mergeCell ref="C35:I35"/>
    <mergeCell ref="C36:I36"/>
    <mergeCell ref="C37:I37"/>
    <mergeCell ref="C14:G14"/>
    <mergeCell ref="I14:J14"/>
    <mergeCell ref="I15:J15"/>
    <mergeCell ref="I18:J18"/>
    <mergeCell ref="I19:J19"/>
    <mergeCell ref="C15:G15"/>
    <mergeCell ref="C16:G16"/>
    <mergeCell ref="I16:J16"/>
    <mergeCell ref="C17:G17"/>
    <mergeCell ref="I17:J17"/>
    <mergeCell ref="C18:G18"/>
    <mergeCell ref="C19:G19"/>
    <mergeCell ref="C25:G25"/>
    <mergeCell ref="I25:J25"/>
    <mergeCell ref="B26:J26"/>
    <mergeCell ref="B28:K28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  <mergeCell ref="C12:G12"/>
    <mergeCell ref="I12:J12"/>
    <mergeCell ref="C13:G13"/>
    <mergeCell ref="I13:J13"/>
    <mergeCell ref="C20:G20"/>
    <mergeCell ref="I20:J20"/>
    <mergeCell ref="C21:G21"/>
    <mergeCell ref="I21:J21"/>
    <mergeCell ref="C22:G22"/>
    <mergeCell ref="I22:J22"/>
    <mergeCell ref="I23:J23"/>
    <mergeCell ref="C23:G23"/>
    <mergeCell ref="C24:G24"/>
    <mergeCell ref="I24:J24"/>
    <mergeCell ref="I249:J249"/>
    <mergeCell ref="I250:J250"/>
    <mergeCell ref="B246:K246"/>
    <mergeCell ref="B247:F247"/>
    <mergeCell ref="I247:J247"/>
    <mergeCell ref="B248:F248"/>
    <mergeCell ref="I248:J248"/>
    <mergeCell ref="B249:F249"/>
    <mergeCell ref="B250:F250"/>
    <mergeCell ref="B237:F237"/>
    <mergeCell ref="I237:J237"/>
    <mergeCell ref="B238:F238"/>
    <mergeCell ref="I238:J238"/>
    <mergeCell ref="B239:F239"/>
    <mergeCell ref="I239:J239"/>
    <mergeCell ref="I240:J240"/>
    <mergeCell ref="I243:J243"/>
    <mergeCell ref="I244:J244"/>
    <mergeCell ref="B240:F240"/>
    <mergeCell ref="B241:F241"/>
    <mergeCell ref="I241:J241"/>
    <mergeCell ref="B242:F242"/>
    <mergeCell ref="I242:J242"/>
    <mergeCell ref="B243:F243"/>
    <mergeCell ref="B244:F244"/>
    <mergeCell ref="I235:J235"/>
    <mergeCell ref="I236:J236"/>
    <mergeCell ref="B231:F231"/>
    <mergeCell ref="I231:J231"/>
    <mergeCell ref="B232:F232"/>
    <mergeCell ref="I232:J232"/>
    <mergeCell ref="B234:K234"/>
    <mergeCell ref="B235:F235"/>
    <mergeCell ref="B236:F236"/>
    <mergeCell ref="C214:G214"/>
    <mergeCell ref="C215:G215"/>
    <mergeCell ref="C216:G216"/>
    <mergeCell ref="C217:G217"/>
    <mergeCell ref="C218:I218"/>
    <mergeCell ref="B219:J219"/>
    <mergeCell ref="B220:J220"/>
    <mergeCell ref="I229:J229"/>
    <mergeCell ref="I230:J230"/>
    <mergeCell ref="B222:J222"/>
    <mergeCell ref="B225:K225"/>
    <mergeCell ref="B227:K227"/>
    <mergeCell ref="B228:F228"/>
    <mergeCell ref="I228:J228"/>
    <mergeCell ref="B229:F229"/>
    <mergeCell ref="B230:F230"/>
    <mergeCell ref="C205:G205"/>
    <mergeCell ref="C206:I206"/>
    <mergeCell ref="C207:I207"/>
    <mergeCell ref="C208:I208"/>
    <mergeCell ref="C209:I209"/>
    <mergeCell ref="C210:I210"/>
    <mergeCell ref="C211:I211"/>
    <mergeCell ref="C212:I212"/>
    <mergeCell ref="C213:G213"/>
    <mergeCell ref="C190:G190"/>
    <mergeCell ref="C191:G191"/>
    <mergeCell ref="C192:I192"/>
    <mergeCell ref="B193:J193"/>
    <mergeCell ref="B194:J194"/>
    <mergeCell ref="B196:K196"/>
    <mergeCell ref="C197:G197"/>
    <mergeCell ref="C198:G198"/>
    <mergeCell ref="B199:B200"/>
    <mergeCell ref="C199:G200"/>
    <mergeCell ref="C181:I181"/>
    <mergeCell ref="C182:I182"/>
    <mergeCell ref="C183:I183"/>
    <mergeCell ref="C184:I184"/>
    <mergeCell ref="C185:I185"/>
    <mergeCell ref="C186:I186"/>
    <mergeCell ref="C187:G187"/>
    <mergeCell ref="C188:G188"/>
    <mergeCell ref="C189:G189"/>
  </mergeCells>
  <pageMargins left="0.78749999999999998" right="0.78749999999999998" top="1.05277777777778" bottom="1.05277777777778" header="0" footer="0"/>
  <pageSetup paperSize="9" orientation="portrait"/>
  <headerFooter>
    <oddHeader>&amp;Cffffff&amp;A</oddHeader>
    <oddFooter>&amp;CffffffPágina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AD1000"/>
  <sheetViews>
    <sheetView showGridLines="0" workbookViewId="0"/>
  </sheetViews>
  <sheetFormatPr defaultColWidth="14.42578125" defaultRowHeight="15" customHeight="1" x14ac:dyDescent="0.25"/>
  <cols>
    <col min="1" max="1" width="24.140625" customWidth="1"/>
    <col min="2" max="2" width="8.7109375" customWidth="1"/>
    <col min="3" max="3" width="9" customWidth="1"/>
    <col min="4" max="4" width="8.7109375" customWidth="1"/>
    <col min="5" max="5" width="9.7109375" customWidth="1"/>
    <col min="6" max="6" width="12.85546875" customWidth="1"/>
    <col min="7" max="7" width="13.140625" customWidth="1"/>
    <col min="8" max="8" width="13.5703125" customWidth="1"/>
    <col min="9" max="9" width="9.85546875" customWidth="1"/>
    <col min="10" max="10" width="11.42578125" customWidth="1"/>
    <col min="11" max="11" width="18.7109375" customWidth="1"/>
    <col min="12" max="12" width="8.7109375" customWidth="1"/>
    <col min="13" max="13" width="40.5703125" customWidth="1"/>
    <col min="14" max="14" width="11.7109375" customWidth="1"/>
    <col min="15" max="15" width="11.140625" customWidth="1"/>
    <col min="16" max="17" width="8.7109375" customWidth="1"/>
    <col min="18" max="18" width="11.42578125" customWidth="1"/>
    <col min="19" max="30" width="8.7109375" customWidth="1"/>
  </cols>
  <sheetData>
    <row r="1" spans="2:13" x14ac:dyDescent="0.25">
      <c r="L1" s="6"/>
      <c r="M1" s="6"/>
    </row>
    <row r="2" spans="2:13" ht="15.75" x14ac:dyDescent="0.25">
      <c r="B2" s="531" t="s">
        <v>650</v>
      </c>
      <c r="C2" s="532"/>
      <c r="D2" s="532"/>
      <c r="E2" s="532"/>
      <c r="F2" s="532"/>
      <c r="G2" s="532"/>
      <c r="H2" s="532"/>
      <c r="I2" s="532"/>
      <c r="J2" s="532"/>
      <c r="K2" s="533"/>
      <c r="L2" s="12"/>
      <c r="M2" s="12"/>
    </row>
    <row r="3" spans="2:13" x14ac:dyDescent="0.25">
      <c r="L3" s="6"/>
      <c r="M3" s="6"/>
    </row>
    <row r="4" spans="2:13" x14ac:dyDescent="0.25">
      <c r="B4" s="551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6"/>
    </row>
    <row r="5" spans="2:13" ht="33" customHeight="1" x14ac:dyDescent="0.25">
      <c r="B5" s="552" t="s">
        <v>31</v>
      </c>
      <c r="C5" s="537"/>
      <c r="D5" s="537"/>
      <c r="E5" s="537"/>
      <c r="F5" s="537"/>
      <c r="G5" s="538"/>
      <c r="H5" s="17" t="s">
        <v>32</v>
      </c>
      <c r="I5" s="553" t="s">
        <v>33</v>
      </c>
      <c r="J5" s="538"/>
      <c r="K5" s="18" t="s">
        <v>34</v>
      </c>
      <c r="L5" s="6"/>
      <c r="M5" s="6"/>
    </row>
    <row r="6" spans="2:13" x14ac:dyDescent="0.25">
      <c r="B6" s="19" t="s">
        <v>651</v>
      </c>
      <c r="C6" s="554" t="s">
        <v>36</v>
      </c>
      <c r="D6" s="537"/>
      <c r="E6" s="537"/>
      <c r="F6" s="537"/>
      <c r="G6" s="538"/>
      <c r="H6" s="23">
        <f>SUM(H7:H8)</f>
        <v>23</v>
      </c>
      <c r="I6" s="555"/>
      <c r="J6" s="538"/>
      <c r="K6" s="25">
        <f>SUM(K7:K8)</f>
        <v>157416.70737692426</v>
      </c>
      <c r="L6" s="6"/>
      <c r="M6" s="6"/>
    </row>
    <row r="7" spans="2:13" x14ac:dyDescent="0.25">
      <c r="B7" s="26" t="s">
        <v>652</v>
      </c>
      <c r="C7" s="545" t="s">
        <v>43</v>
      </c>
      <c r="D7" s="537"/>
      <c r="E7" s="537"/>
      <c r="F7" s="537"/>
      <c r="G7" s="538"/>
      <c r="H7" s="3">
        <v>15</v>
      </c>
      <c r="I7" s="590">
        <f>K44</f>
        <v>6465.5533496361713</v>
      </c>
      <c r="J7" s="538"/>
      <c r="K7" s="31">
        <f t="shared" ref="K7:K8" si="0">I7*H7</f>
        <v>96983.300244542566</v>
      </c>
      <c r="L7" s="6"/>
      <c r="M7" s="6"/>
    </row>
    <row r="8" spans="2:13" x14ac:dyDescent="0.25">
      <c r="B8" s="26" t="s">
        <v>653</v>
      </c>
      <c r="C8" s="545" t="s">
        <v>52</v>
      </c>
      <c r="D8" s="537"/>
      <c r="E8" s="537"/>
      <c r="F8" s="537"/>
      <c r="G8" s="538"/>
      <c r="H8" s="3">
        <v>8</v>
      </c>
      <c r="I8" s="590">
        <f>K65</f>
        <v>7554.1758915477112</v>
      </c>
      <c r="J8" s="538"/>
      <c r="K8" s="31">
        <f t="shared" si="0"/>
        <v>60433.40713238169</v>
      </c>
      <c r="L8" s="6"/>
      <c r="M8" s="6"/>
    </row>
    <row r="9" spans="2:13" x14ac:dyDescent="0.25">
      <c r="B9" s="19" t="s">
        <v>655</v>
      </c>
      <c r="C9" s="555" t="s">
        <v>58</v>
      </c>
      <c r="D9" s="537"/>
      <c r="E9" s="537"/>
      <c r="F9" s="537"/>
      <c r="G9" s="538"/>
      <c r="H9" s="23">
        <f>SUM(H10:H11)</f>
        <v>23</v>
      </c>
      <c r="I9" s="555"/>
      <c r="J9" s="538"/>
      <c r="K9" s="25">
        <f>SUM(K10:K11)</f>
        <v>5357.9266666666663</v>
      </c>
      <c r="L9" s="6"/>
      <c r="M9" s="6"/>
    </row>
    <row r="10" spans="2:13" x14ac:dyDescent="0.25">
      <c r="B10" s="55" t="s">
        <v>657</v>
      </c>
      <c r="C10" s="545" t="s">
        <v>62</v>
      </c>
      <c r="D10" s="537"/>
      <c r="E10" s="537"/>
      <c r="F10" s="537"/>
      <c r="G10" s="538"/>
      <c r="H10" s="3">
        <f>G88</f>
        <v>15</v>
      </c>
      <c r="I10" s="602">
        <f>K87</f>
        <v>306.61111111111109</v>
      </c>
      <c r="J10" s="538"/>
      <c r="K10" s="45">
        <f t="shared" ref="K10:K11" si="1">I10*H10</f>
        <v>4599.1666666666661</v>
      </c>
      <c r="L10" s="6"/>
      <c r="M10" s="6"/>
    </row>
    <row r="11" spans="2:13" ht="15" customHeight="1" x14ac:dyDescent="0.25">
      <c r="B11" s="55" t="s">
        <v>658</v>
      </c>
      <c r="C11" s="561" t="s">
        <v>66</v>
      </c>
      <c r="D11" s="537"/>
      <c r="E11" s="537"/>
      <c r="F11" s="537"/>
      <c r="G11" s="538"/>
      <c r="H11" s="3">
        <f>G101</f>
        <v>8</v>
      </c>
      <c r="I11" s="602">
        <f>K100</f>
        <v>94.844999999999999</v>
      </c>
      <c r="J11" s="538"/>
      <c r="K11" s="45">
        <f t="shared" si="1"/>
        <v>758.76</v>
      </c>
      <c r="L11" s="6"/>
      <c r="M11" s="6"/>
    </row>
    <row r="12" spans="2:13" x14ac:dyDescent="0.25">
      <c r="B12" s="19" t="s">
        <v>659</v>
      </c>
      <c r="C12" s="555" t="s">
        <v>70</v>
      </c>
      <c r="D12" s="537"/>
      <c r="E12" s="537"/>
      <c r="F12" s="537"/>
      <c r="G12" s="538"/>
      <c r="H12" s="23">
        <f>SUM(H13:H14)</f>
        <v>7</v>
      </c>
      <c r="I12" s="555"/>
      <c r="J12" s="538"/>
      <c r="K12" s="25">
        <f>SUM(K13:K14)</f>
        <v>135657.00516311856</v>
      </c>
      <c r="L12" s="6"/>
      <c r="M12" s="6"/>
    </row>
    <row r="13" spans="2:13" x14ac:dyDescent="0.25">
      <c r="B13" s="26" t="s">
        <v>660</v>
      </c>
      <c r="C13" s="545" t="s">
        <v>661</v>
      </c>
      <c r="D13" s="537"/>
      <c r="E13" s="537"/>
      <c r="F13" s="537"/>
      <c r="G13" s="538"/>
      <c r="H13" s="3">
        <v>6</v>
      </c>
      <c r="I13" s="602">
        <f>I110</f>
        <v>20674.440563562093</v>
      </c>
      <c r="J13" s="538"/>
      <c r="K13" s="31">
        <f>K110</f>
        <v>124046.64338137255</v>
      </c>
      <c r="L13" s="6"/>
      <c r="M13" s="6"/>
    </row>
    <row r="14" spans="2:13" x14ac:dyDescent="0.25">
      <c r="B14" s="26" t="s">
        <v>662</v>
      </c>
      <c r="C14" s="545" t="s">
        <v>663</v>
      </c>
      <c r="D14" s="537"/>
      <c r="E14" s="537"/>
      <c r="F14" s="537"/>
      <c r="G14" s="538"/>
      <c r="H14" s="3">
        <v>1</v>
      </c>
      <c r="I14" s="602">
        <f>I118</f>
        <v>11610.361781746031</v>
      </c>
      <c r="J14" s="538"/>
      <c r="K14" s="31">
        <f>K118</f>
        <v>11610.361781746031</v>
      </c>
      <c r="L14" s="6"/>
      <c r="M14" s="6"/>
    </row>
    <row r="15" spans="2:13" x14ac:dyDescent="0.25">
      <c r="B15" s="19" t="s">
        <v>665</v>
      </c>
      <c r="C15" s="554" t="s">
        <v>92</v>
      </c>
      <c r="D15" s="537"/>
      <c r="E15" s="537"/>
      <c r="F15" s="537"/>
      <c r="G15" s="538"/>
      <c r="H15" s="48"/>
      <c r="I15" s="664"/>
      <c r="J15" s="538"/>
      <c r="K15" s="25">
        <f>K314</f>
        <v>1907.4672499999999</v>
      </c>
      <c r="L15" s="6"/>
      <c r="M15" s="6"/>
    </row>
    <row r="16" spans="2:13" x14ac:dyDescent="0.25">
      <c r="B16" s="19" t="s">
        <v>666</v>
      </c>
      <c r="C16" s="555" t="s">
        <v>215</v>
      </c>
      <c r="D16" s="537"/>
      <c r="E16" s="537"/>
      <c r="F16" s="537"/>
      <c r="G16" s="538"/>
      <c r="H16" s="23"/>
      <c r="I16" s="555"/>
      <c r="J16" s="538"/>
      <c r="K16" s="25">
        <f>SUM(K17:K18)</f>
        <v>197163.96918833163</v>
      </c>
      <c r="L16" s="6"/>
      <c r="M16" s="6"/>
    </row>
    <row r="17" spans="2:13" x14ac:dyDescent="0.25">
      <c r="B17" s="26" t="s">
        <v>667</v>
      </c>
      <c r="C17" s="559" t="s">
        <v>99</v>
      </c>
      <c r="D17" s="537"/>
      <c r="E17" s="537"/>
      <c r="F17" s="537"/>
      <c r="G17" s="538"/>
      <c r="H17" s="3">
        <v>1</v>
      </c>
      <c r="I17" s="590">
        <f t="shared" ref="I17:I18" si="2">K323</f>
        <v>114000.38898303383</v>
      </c>
      <c r="J17" s="538"/>
      <c r="K17" s="31">
        <f t="shared" ref="K17:K18" si="3">I17*H17</f>
        <v>114000.38898303383</v>
      </c>
      <c r="L17" s="6"/>
      <c r="M17" s="6"/>
    </row>
    <row r="18" spans="2:13" x14ac:dyDescent="0.25">
      <c r="B18" s="26" t="s">
        <v>668</v>
      </c>
      <c r="C18" s="559" t="s">
        <v>102</v>
      </c>
      <c r="D18" s="537"/>
      <c r="E18" s="537"/>
      <c r="F18" s="537"/>
      <c r="G18" s="538"/>
      <c r="H18" s="3">
        <v>1</v>
      </c>
      <c r="I18" s="590">
        <f t="shared" si="2"/>
        <v>83163.580205297782</v>
      </c>
      <c r="J18" s="538"/>
      <c r="K18" s="31">
        <f t="shared" si="3"/>
        <v>83163.580205297782</v>
      </c>
      <c r="L18" s="6"/>
      <c r="M18" s="6"/>
    </row>
    <row r="19" spans="2:13" x14ac:dyDescent="0.25">
      <c r="B19" s="551" t="s">
        <v>105</v>
      </c>
      <c r="C19" s="537"/>
      <c r="D19" s="537"/>
      <c r="E19" s="537"/>
      <c r="F19" s="537"/>
      <c r="G19" s="537"/>
      <c r="H19" s="537"/>
      <c r="I19" s="537"/>
      <c r="J19" s="538"/>
      <c r="K19" s="51">
        <f>K16+K12+K9+K6+K15</f>
        <v>497503.07564504107</v>
      </c>
      <c r="L19" s="6"/>
      <c r="M19" s="6"/>
    </row>
    <row r="20" spans="2:13" x14ac:dyDescent="0.25">
      <c r="B20" s="551" t="s">
        <v>669</v>
      </c>
      <c r="C20" s="537"/>
      <c r="D20" s="537"/>
      <c r="E20" s="537"/>
      <c r="F20" s="537"/>
      <c r="G20" s="537"/>
      <c r="H20" s="537"/>
      <c r="I20" s="537"/>
      <c r="J20" s="538"/>
      <c r="K20" s="51">
        <f>K19*6</f>
        <v>2985018.4538702462</v>
      </c>
      <c r="L20" s="6"/>
      <c r="M20" s="6"/>
    </row>
    <row r="21" spans="2:13" ht="15.75" customHeight="1" x14ac:dyDescent="0.25">
      <c r="B21" s="661" t="s">
        <v>670</v>
      </c>
      <c r="C21" s="537"/>
      <c r="D21" s="537"/>
      <c r="E21" s="537"/>
      <c r="F21" s="537"/>
      <c r="G21" s="538"/>
      <c r="H21" s="53">
        <v>7</v>
      </c>
      <c r="I21" s="661" t="s">
        <v>671</v>
      </c>
      <c r="J21" s="538"/>
      <c r="K21" s="54">
        <f>K19/H21</f>
        <v>71071.867949291583</v>
      </c>
      <c r="L21" s="6"/>
      <c r="M21" s="6"/>
    </row>
    <row r="22" spans="2:13" ht="15.75" customHeight="1" x14ac:dyDescent="0.25">
      <c r="L22" s="6"/>
      <c r="M22" s="6"/>
    </row>
    <row r="23" spans="2:13" ht="15" customHeight="1" x14ac:dyDescent="0.25">
      <c r="B23" s="566" t="s">
        <v>672</v>
      </c>
      <c r="C23" s="537"/>
      <c r="D23" s="537"/>
      <c r="E23" s="537"/>
      <c r="F23" s="537"/>
      <c r="G23" s="537"/>
      <c r="H23" s="537"/>
      <c r="I23" s="537"/>
      <c r="J23" s="537"/>
      <c r="K23" s="538"/>
      <c r="L23" s="6"/>
      <c r="M23" s="6"/>
    </row>
    <row r="24" spans="2:13" ht="15.75" customHeight="1" x14ac:dyDescent="0.25">
      <c r="B24" s="662"/>
      <c r="C24" s="625"/>
      <c r="D24" s="625"/>
      <c r="E24" s="625"/>
      <c r="F24" s="625"/>
      <c r="G24" s="625"/>
      <c r="H24" s="625"/>
      <c r="I24" s="625"/>
      <c r="J24" s="625"/>
      <c r="K24" s="625"/>
      <c r="L24" s="6"/>
      <c r="M24" s="6"/>
    </row>
    <row r="25" spans="2:13" ht="15.75" customHeight="1" x14ac:dyDescent="0.25">
      <c r="B25" s="568" t="s">
        <v>675</v>
      </c>
      <c r="C25" s="537"/>
      <c r="D25" s="537"/>
      <c r="E25" s="537"/>
      <c r="F25" s="537"/>
      <c r="G25" s="537"/>
      <c r="H25" s="537"/>
      <c r="I25" s="537"/>
      <c r="J25" s="537"/>
      <c r="K25" s="538"/>
      <c r="L25" s="6"/>
      <c r="M25" s="6"/>
    </row>
    <row r="26" spans="2:13" ht="15.75" customHeight="1" x14ac:dyDescent="0.25">
      <c r="B26" s="58" t="s">
        <v>116</v>
      </c>
      <c r="C26" s="569" t="s">
        <v>117</v>
      </c>
      <c r="D26" s="537"/>
      <c r="E26" s="537"/>
      <c r="F26" s="537"/>
      <c r="G26" s="538"/>
      <c r="H26" s="59" t="s">
        <v>118</v>
      </c>
      <c r="I26" s="105" t="s">
        <v>119</v>
      </c>
      <c r="J26" s="61" t="s">
        <v>120</v>
      </c>
      <c r="K26" s="61" t="s">
        <v>121</v>
      </c>
      <c r="L26" s="6"/>
      <c r="M26" s="6"/>
    </row>
    <row r="27" spans="2:13" ht="15.75" customHeight="1" x14ac:dyDescent="0.25">
      <c r="B27" s="14" t="s">
        <v>122</v>
      </c>
      <c r="C27" s="571" t="s">
        <v>123</v>
      </c>
      <c r="D27" s="537"/>
      <c r="E27" s="537"/>
      <c r="F27" s="537"/>
      <c r="G27" s="538"/>
      <c r="H27" s="3">
        <v>220</v>
      </c>
      <c r="I27" s="14" t="s">
        <v>126</v>
      </c>
      <c r="J27" s="66">
        <f>K27/H27</f>
        <v>9.4650454545454537</v>
      </c>
      <c r="K27" s="67">
        <f>'6 - DADOS CC MO'!E10</f>
        <v>2082.31</v>
      </c>
      <c r="L27" s="6"/>
      <c r="M27" s="6"/>
    </row>
    <row r="28" spans="2:13" ht="15.75" customHeight="1" x14ac:dyDescent="0.25">
      <c r="B28" s="14" t="s">
        <v>195</v>
      </c>
      <c r="C28" s="63" t="s">
        <v>130</v>
      </c>
      <c r="D28" s="68"/>
      <c r="E28" s="68"/>
      <c r="F28" s="68"/>
      <c r="G28" s="69"/>
      <c r="H28" s="71">
        <f>7+1/3</f>
        <v>7.333333333333333</v>
      </c>
      <c r="I28" s="14" t="s">
        <v>126</v>
      </c>
      <c r="J28" s="66">
        <f>J27*2</f>
        <v>18.930090909090907</v>
      </c>
      <c r="K28" s="67">
        <f>H28*J28</f>
        <v>138.82066666666665</v>
      </c>
      <c r="L28" s="6"/>
      <c r="M28" s="6"/>
    </row>
    <row r="29" spans="2:13" ht="15.75" customHeight="1" x14ac:dyDescent="0.25">
      <c r="B29" s="14" t="s">
        <v>198</v>
      </c>
      <c r="C29" s="63" t="s">
        <v>135</v>
      </c>
      <c r="D29" s="68"/>
      <c r="E29" s="68"/>
      <c r="F29" s="68"/>
      <c r="G29" s="69"/>
      <c r="H29" s="71"/>
      <c r="I29" s="14"/>
      <c r="J29" s="66">
        <f>61/304*(SUM(K28))</f>
        <v>27.855462719298245</v>
      </c>
      <c r="K29" s="67">
        <f>J29</f>
        <v>27.855462719298245</v>
      </c>
      <c r="L29" s="6"/>
      <c r="M29" s="6"/>
    </row>
    <row r="30" spans="2:13" ht="15.75" customHeight="1" x14ac:dyDescent="0.25">
      <c r="B30" s="14" t="s">
        <v>129</v>
      </c>
      <c r="C30" s="571" t="s">
        <v>139</v>
      </c>
      <c r="D30" s="537"/>
      <c r="E30" s="537"/>
      <c r="F30" s="537"/>
      <c r="G30" s="538"/>
      <c r="H30" s="3">
        <v>40</v>
      </c>
      <c r="I30" s="14" t="s">
        <v>141</v>
      </c>
      <c r="J30" s="74"/>
      <c r="K30" s="67">
        <f>K27*40%</f>
        <v>832.92399999999998</v>
      </c>
      <c r="L30" s="6"/>
      <c r="M30" s="6"/>
    </row>
    <row r="31" spans="2:13" ht="15.75" customHeight="1" x14ac:dyDescent="0.25">
      <c r="B31" s="3"/>
      <c r="C31" s="570" t="s">
        <v>142</v>
      </c>
      <c r="D31" s="537"/>
      <c r="E31" s="537"/>
      <c r="F31" s="537"/>
      <c r="G31" s="537"/>
      <c r="H31" s="537"/>
      <c r="I31" s="538"/>
      <c r="J31" s="75"/>
      <c r="K31" s="76">
        <f>SUM(K27:K30)</f>
        <v>3081.9101293859649</v>
      </c>
      <c r="L31" s="6"/>
      <c r="M31" s="6"/>
    </row>
    <row r="32" spans="2:13" ht="15.75" customHeight="1" x14ac:dyDescent="0.25">
      <c r="B32" s="61" t="s">
        <v>145</v>
      </c>
      <c r="C32" s="569" t="s">
        <v>146</v>
      </c>
      <c r="D32" s="537"/>
      <c r="E32" s="537"/>
      <c r="F32" s="537"/>
      <c r="G32" s="537"/>
      <c r="H32" s="537"/>
      <c r="I32" s="538"/>
      <c r="J32" s="61" t="s">
        <v>141</v>
      </c>
      <c r="K32" s="61" t="s">
        <v>121</v>
      </c>
      <c r="L32" s="6"/>
      <c r="M32" s="6"/>
    </row>
    <row r="33" spans="2:13" ht="15.75" customHeight="1" x14ac:dyDescent="0.25">
      <c r="B33" s="14" t="s">
        <v>147</v>
      </c>
      <c r="C33" s="571" t="s">
        <v>148</v>
      </c>
      <c r="D33" s="537"/>
      <c r="E33" s="537"/>
      <c r="F33" s="537"/>
      <c r="G33" s="537"/>
      <c r="H33" s="537"/>
      <c r="I33" s="538"/>
      <c r="J33" s="78">
        <f>'7 - ENCARGOS SOCIAIS'!$D$13</f>
        <v>0.36800000000000005</v>
      </c>
      <c r="K33" s="67">
        <f t="shared" ref="K33:K36" si="4">J33*$K$31</f>
        <v>1134.1429276140352</v>
      </c>
      <c r="L33" s="6"/>
      <c r="M33" s="6"/>
    </row>
    <row r="34" spans="2:13" ht="15.75" customHeight="1" x14ac:dyDescent="0.25">
      <c r="B34" s="14" t="s">
        <v>150</v>
      </c>
      <c r="C34" s="571" t="s">
        <v>151</v>
      </c>
      <c r="D34" s="537"/>
      <c r="E34" s="537"/>
      <c r="F34" s="537"/>
      <c r="G34" s="537"/>
      <c r="H34" s="537"/>
      <c r="I34" s="538"/>
      <c r="J34" s="78">
        <f>'7 - ENCARGOS SOCIAIS'!$D$21</f>
        <v>0.15387245147090212</v>
      </c>
      <c r="K34" s="67">
        <f t="shared" si="4"/>
        <v>474.22106682162354</v>
      </c>
      <c r="L34" s="6"/>
      <c r="M34" s="6"/>
    </row>
    <row r="35" spans="2:13" ht="15.75" customHeight="1" x14ac:dyDescent="0.25">
      <c r="B35" s="14" t="s">
        <v>152</v>
      </c>
      <c r="C35" s="571" t="s">
        <v>153</v>
      </c>
      <c r="D35" s="537"/>
      <c r="E35" s="537"/>
      <c r="F35" s="537"/>
      <c r="G35" s="537"/>
      <c r="H35" s="537"/>
      <c r="I35" s="538"/>
      <c r="J35" s="78">
        <f>'7 - ENCARGOS SOCIAIS'!$D$28</f>
        <v>0.12666581537651095</v>
      </c>
      <c r="K35" s="67">
        <f t="shared" si="4"/>
        <v>390.37265945580157</v>
      </c>
      <c r="L35" s="6"/>
      <c r="M35" s="6"/>
    </row>
    <row r="36" spans="2:13" ht="15.75" customHeight="1" x14ac:dyDescent="0.25">
      <c r="B36" s="14" t="s">
        <v>155</v>
      </c>
      <c r="C36" s="571" t="s">
        <v>156</v>
      </c>
      <c r="D36" s="537"/>
      <c r="E36" s="537"/>
      <c r="F36" s="537"/>
      <c r="G36" s="537"/>
      <c r="H36" s="537"/>
      <c r="I36" s="538"/>
      <c r="J36" s="78">
        <f>'7 - ENCARGOS SOCIAIS'!$D$32</f>
        <v>5.9231502118822603E-2</v>
      </c>
      <c r="K36" s="67">
        <f t="shared" si="4"/>
        <v>182.54616635874561</v>
      </c>
      <c r="L36" s="6"/>
      <c r="M36" s="6"/>
    </row>
    <row r="37" spans="2:13" ht="15.75" customHeight="1" x14ac:dyDescent="0.25">
      <c r="B37" s="17"/>
      <c r="C37" s="552" t="s">
        <v>157</v>
      </c>
      <c r="D37" s="537"/>
      <c r="E37" s="537"/>
      <c r="F37" s="537"/>
      <c r="G37" s="537"/>
      <c r="H37" s="537"/>
      <c r="I37" s="538"/>
      <c r="J37" s="83">
        <f t="shared" ref="J37:K37" si="5">SUM(J33:J36)</f>
        <v>0.70776976896623567</v>
      </c>
      <c r="K37" s="84">
        <f t="shared" si="5"/>
        <v>2181.282820250206</v>
      </c>
      <c r="L37" s="6"/>
      <c r="M37" s="6"/>
    </row>
    <row r="38" spans="2:13" ht="33" customHeight="1" x14ac:dyDescent="0.25">
      <c r="B38" s="61" t="s">
        <v>158</v>
      </c>
      <c r="C38" s="572" t="s">
        <v>159</v>
      </c>
      <c r="D38" s="537"/>
      <c r="E38" s="537"/>
      <c r="F38" s="537"/>
      <c r="G38" s="538"/>
      <c r="H38" s="59" t="s">
        <v>160</v>
      </c>
      <c r="I38" s="61" t="s">
        <v>120</v>
      </c>
      <c r="J38" s="61" t="s">
        <v>161</v>
      </c>
      <c r="K38" s="61" t="s">
        <v>121</v>
      </c>
      <c r="L38" s="6"/>
      <c r="M38" s="6"/>
    </row>
    <row r="39" spans="2:13" ht="15" customHeight="1" x14ac:dyDescent="0.25">
      <c r="B39" s="14" t="s">
        <v>162</v>
      </c>
      <c r="C39" s="561" t="s">
        <v>163</v>
      </c>
      <c r="D39" s="537"/>
      <c r="E39" s="537"/>
      <c r="F39" s="537"/>
      <c r="G39" s="538"/>
      <c r="H39" s="14">
        <v>26</v>
      </c>
      <c r="I39" s="88">
        <v>27.15</v>
      </c>
      <c r="J39" s="89">
        <v>0.19</v>
      </c>
      <c r="K39" s="31">
        <f>(H39*I39)-((H39*I39)*J39)</f>
        <v>571.779</v>
      </c>
      <c r="L39" s="6"/>
      <c r="M39" s="6"/>
    </row>
    <row r="40" spans="2:13" ht="15.75" customHeight="1" x14ac:dyDescent="0.25">
      <c r="B40" s="14" t="s">
        <v>164</v>
      </c>
      <c r="C40" s="571" t="s">
        <v>165</v>
      </c>
      <c r="D40" s="537"/>
      <c r="E40" s="537"/>
      <c r="F40" s="537"/>
      <c r="G40" s="538"/>
      <c r="H40" s="14">
        <f>H39*4</f>
        <v>104</v>
      </c>
      <c r="I40" s="93">
        <v>6.25</v>
      </c>
      <c r="J40" s="89">
        <v>0.06</v>
      </c>
      <c r="K40" s="31">
        <f>(H40*I40)-(K27*J40)</f>
        <v>525.06140000000005</v>
      </c>
      <c r="L40" s="6"/>
      <c r="M40" s="6"/>
    </row>
    <row r="41" spans="2:13" ht="15.75" customHeight="1" x14ac:dyDescent="0.25">
      <c r="B41" s="14" t="s">
        <v>166</v>
      </c>
      <c r="C41" s="571" t="s">
        <v>167</v>
      </c>
      <c r="D41" s="537"/>
      <c r="E41" s="537"/>
      <c r="F41" s="537"/>
      <c r="G41" s="538"/>
      <c r="H41" s="3">
        <v>1</v>
      </c>
      <c r="I41" s="88">
        <v>25.52</v>
      </c>
      <c r="J41" s="26"/>
      <c r="K41" s="94">
        <f t="shared" ref="K41:K42" si="6">I41</f>
        <v>25.52</v>
      </c>
      <c r="L41" s="6"/>
      <c r="M41" s="6"/>
    </row>
    <row r="42" spans="2:13" ht="15.75" customHeight="1" x14ac:dyDescent="0.25">
      <c r="B42" s="14" t="s">
        <v>168</v>
      </c>
      <c r="C42" s="571" t="s">
        <v>169</v>
      </c>
      <c r="D42" s="537"/>
      <c r="E42" s="537"/>
      <c r="F42" s="537"/>
      <c r="G42" s="538"/>
      <c r="H42" s="3">
        <v>1</v>
      </c>
      <c r="I42" s="88">
        <v>80</v>
      </c>
      <c r="J42" s="26"/>
      <c r="K42" s="94">
        <f t="shared" si="6"/>
        <v>80</v>
      </c>
      <c r="L42" s="6"/>
      <c r="M42" s="6"/>
    </row>
    <row r="43" spans="2:13" ht="15.75" customHeight="1" x14ac:dyDescent="0.25">
      <c r="B43" s="26"/>
      <c r="C43" s="570" t="s">
        <v>170</v>
      </c>
      <c r="D43" s="537"/>
      <c r="E43" s="537"/>
      <c r="F43" s="537"/>
      <c r="G43" s="537"/>
      <c r="H43" s="537"/>
      <c r="I43" s="538"/>
      <c r="J43" s="75"/>
      <c r="K43" s="45">
        <f>SUM(K39:K42)</f>
        <v>1202.3604</v>
      </c>
      <c r="L43" s="6"/>
      <c r="M43" s="6"/>
    </row>
    <row r="44" spans="2:13" ht="15" customHeight="1" x14ac:dyDescent="0.25">
      <c r="B44" s="563" t="s">
        <v>171</v>
      </c>
      <c r="C44" s="564"/>
      <c r="D44" s="564"/>
      <c r="E44" s="564"/>
      <c r="F44" s="564"/>
      <c r="G44" s="564"/>
      <c r="H44" s="564"/>
      <c r="I44" s="564"/>
      <c r="J44" s="565"/>
      <c r="K44" s="95">
        <f>K43+K37+K31</f>
        <v>6465.5533496361713</v>
      </c>
      <c r="L44" s="6"/>
      <c r="M44" s="6"/>
    </row>
    <row r="45" spans="2:13" ht="15.75" customHeight="1" x14ac:dyDescent="0.25">
      <c r="B45" s="776" t="s">
        <v>172</v>
      </c>
      <c r="C45" s="611"/>
      <c r="D45" s="611"/>
      <c r="E45" s="611"/>
      <c r="F45" s="611"/>
      <c r="G45" s="611"/>
      <c r="H45" s="777"/>
      <c r="I45" s="99">
        <f>H7</f>
        <v>15</v>
      </c>
      <c r="J45" s="99" t="s">
        <v>173</v>
      </c>
      <c r="K45" s="101">
        <f>K44*I45</f>
        <v>96983.300244542566</v>
      </c>
      <c r="L45" s="6"/>
      <c r="M45" s="6"/>
    </row>
    <row r="46" spans="2:13" ht="15.75" customHeight="1" x14ac:dyDescent="0.25">
      <c r="L46" s="6"/>
      <c r="M46" s="6"/>
    </row>
    <row r="47" spans="2:13" ht="15.75" customHeight="1" x14ac:dyDescent="0.25">
      <c r="B47" s="568" t="s">
        <v>690</v>
      </c>
      <c r="C47" s="537"/>
      <c r="D47" s="537"/>
      <c r="E47" s="537"/>
      <c r="F47" s="537"/>
      <c r="G47" s="537"/>
      <c r="H47" s="537"/>
      <c r="I47" s="537"/>
      <c r="J47" s="537"/>
      <c r="K47" s="538"/>
      <c r="L47" s="6"/>
      <c r="M47" s="6"/>
    </row>
    <row r="48" spans="2:13" ht="15.75" customHeight="1" x14ac:dyDescent="0.25">
      <c r="B48" s="58" t="s">
        <v>116</v>
      </c>
      <c r="C48" s="569" t="s">
        <v>117</v>
      </c>
      <c r="D48" s="537"/>
      <c r="E48" s="537"/>
      <c r="F48" s="537"/>
      <c r="G48" s="538"/>
      <c r="H48" s="59" t="s">
        <v>118</v>
      </c>
      <c r="I48" s="105" t="s">
        <v>119</v>
      </c>
      <c r="J48" s="61" t="s">
        <v>120</v>
      </c>
      <c r="K48" s="61" t="s">
        <v>121</v>
      </c>
      <c r="L48" s="6"/>
      <c r="M48" s="6"/>
    </row>
    <row r="49" spans="2:13" ht="15.75" customHeight="1" x14ac:dyDescent="0.25">
      <c r="B49" s="14" t="s">
        <v>122</v>
      </c>
      <c r="C49" s="571" t="s">
        <v>123</v>
      </c>
      <c r="D49" s="537"/>
      <c r="E49" s="537"/>
      <c r="F49" s="537"/>
      <c r="G49" s="538"/>
      <c r="H49" s="3">
        <v>220</v>
      </c>
      <c r="I49" s="14" t="s">
        <v>126</v>
      </c>
      <c r="J49" s="66">
        <f>K49/H49</f>
        <v>11.441227272727273</v>
      </c>
      <c r="K49" s="67">
        <f>'6 - DADOS CC MO'!E22</f>
        <v>2517.0700000000002</v>
      </c>
      <c r="L49" s="6"/>
      <c r="M49" s="6"/>
    </row>
    <row r="50" spans="2:13" ht="15.75" customHeight="1" x14ac:dyDescent="0.25">
      <c r="B50" s="14" t="s">
        <v>195</v>
      </c>
      <c r="C50" s="63" t="s">
        <v>130</v>
      </c>
      <c r="D50" s="68"/>
      <c r="E50" s="68"/>
      <c r="F50" s="68"/>
      <c r="G50" s="69"/>
      <c r="H50" s="71">
        <f>7+1/3</f>
        <v>7.333333333333333</v>
      </c>
      <c r="I50" s="14" t="s">
        <v>126</v>
      </c>
      <c r="J50" s="66">
        <f>J49*2</f>
        <v>22.882454545454546</v>
      </c>
      <c r="K50" s="67">
        <f>H50*J50</f>
        <v>167.80466666666666</v>
      </c>
      <c r="L50" s="6"/>
      <c r="M50" s="6"/>
    </row>
    <row r="51" spans="2:13" ht="15.75" customHeight="1" x14ac:dyDescent="0.25">
      <c r="B51" s="14" t="s">
        <v>198</v>
      </c>
      <c r="C51" s="63" t="s">
        <v>135</v>
      </c>
      <c r="D51" s="68"/>
      <c r="E51" s="68"/>
      <c r="F51" s="68"/>
      <c r="G51" s="69"/>
      <c r="H51" s="71"/>
      <c r="I51" s="14"/>
      <c r="J51" s="66">
        <f>61/304*(SUM(K50))</f>
        <v>33.67133114035088</v>
      </c>
      <c r="K51" s="67">
        <f>J51</f>
        <v>33.67133114035088</v>
      </c>
      <c r="L51" s="6"/>
      <c r="M51" s="6"/>
    </row>
    <row r="52" spans="2:13" ht="15.75" customHeight="1" x14ac:dyDescent="0.25">
      <c r="B52" s="14" t="s">
        <v>129</v>
      </c>
      <c r="C52" s="571" t="s">
        <v>139</v>
      </c>
      <c r="D52" s="537"/>
      <c r="E52" s="537"/>
      <c r="F52" s="537"/>
      <c r="G52" s="538"/>
      <c r="H52" s="3">
        <v>40</v>
      </c>
      <c r="I52" s="14" t="s">
        <v>141</v>
      </c>
      <c r="J52" s="74"/>
      <c r="K52" s="67">
        <f>K49*40%</f>
        <v>1006.8280000000001</v>
      </c>
      <c r="L52" s="6"/>
      <c r="M52" s="6"/>
    </row>
    <row r="53" spans="2:13" ht="15.75" customHeight="1" x14ac:dyDescent="0.25">
      <c r="B53" s="3"/>
      <c r="C53" s="570" t="s">
        <v>142</v>
      </c>
      <c r="D53" s="537"/>
      <c r="E53" s="537"/>
      <c r="F53" s="537"/>
      <c r="G53" s="537"/>
      <c r="H53" s="537"/>
      <c r="I53" s="538"/>
      <c r="J53" s="75"/>
      <c r="K53" s="76">
        <f>SUM(K49:K52)</f>
        <v>3725.3739978070175</v>
      </c>
      <c r="L53" s="6"/>
      <c r="M53" s="6"/>
    </row>
    <row r="54" spans="2:13" ht="15.75" customHeight="1" x14ac:dyDescent="0.25">
      <c r="B54" s="61" t="s">
        <v>145</v>
      </c>
      <c r="C54" s="569" t="s">
        <v>146</v>
      </c>
      <c r="D54" s="537"/>
      <c r="E54" s="537"/>
      <c r="F54" s="537"/>
      <c r="G54" s="537"/>
      <c r="H54" s="537"/>
      <c r="I54" s="538"/>
      <c r="J54" s="61" t="s">
        <v>141</v>
      </c>
      <c r="K54" s="61" t="s">
        <v>121</v>
      </c>
      <c r="L54" s="6"/>
      <c r="M54" s="6"/>
    </row>
    <row r="55" spans="2:13" ht="15.75" customHeight="1" x14ac:dyDescent="0.25">
      <c r="B55" s="14" t="s">
        <v>147</v>
      </c>
      <c r="C55" s="571" t="s">
        <v>148</v>
      </c>
      <c r="D55" s="537"/>
      <c r="E55" s="537"/>
      <c r="F55" s="537"/>
      <c r="G55" s="537"/>
      <c r="H55" s="537"/>
      <c r="I55" s="538"/>
      <c r="J55" s="78">
        <f>'7 - ENCARGOS SOCIAIS'!$D$13</f>
        <v>0.36800000000000005</v>
      </c>
      <c r="K55" s="67">
        <f t="shared" ref="K55:K58" si="7">J55*$K$53</f>
        <v>1370.9376311929827</v>
      </c>
      <c r="L55" s="6"/>
      <c r="M55" s="6"/>
    </row>
    <row r="56" spans="2:13" ht="15.75" customHeight="1" x14ac:dyDescent="0.25">
      <c r="B56" s="14" t="s">
        <v>150</v>
      </c>
      <c r="C56" s="571" t="s">
        <v>151</v>
      </c>
      <c r="D56" s="537"/>
      <c r="E56" s="537"/>
      <c r="F56" s="537"/>
      <c r="G56" s="537"/>
      <c r="H56" s="537"/>
      <c r="I56" s="538"/>
      <c r="J56" s="78">
        <f>'7 - ENCARGOS SOCIAIS'!$D$21</f>
        <v>0.15387245147090212</v>
      </c>
      <c r="K56" s="67">
        <f t="shared" si="7"/>
        <v>573.23242968852094</v>
      </c>
      <c r="L56" s="6"/>
      <c r="M56" s="6"/>
    </row>
    <row r="57" spans="2:13" ht="15.75" customHeight="1" x14ac:dyDescent="0.25">
      <c r="B57" s="14" t="s">
        <v>152</v>
      </c>
      <c r="C57" s="571" t="s">
        <v>153</v>
      </c>
      <c r="D57" s="537"/>
      <c r="E57" s="537"/>
      <c r="F57" s="537"/>
      <c r="G57" s="537"/>
      <c r="H57" s="537"/>
      <c r="I57" s="538"/>
      <c r="J57" s="78">
        <f>'7 - ENCARGOS SOCIAIS'!$D$28</f>
        <v>0.12666581537651095</v>
      </c>
      <c r="K57" s="67">
        <f t="shared" si="7"/>
        <v>471.87753501467819</v>
      </c>
      <c r="L57" s="6"/>
      <c r="M57" s="6"/>
    </row>
    <row r="58" spans="2:13" ht="15.75" customHeight="1" x14ac:dyDescent="0.25">
      <c r="B58" s="14" t="s">
        <v>155</v>
      </c>
      <c r="C58" s="571" t="s">
        <v>156</v>
      </c>
      <c r="D58" s="537"/>
      <c r="E58" s="537"/>
      <c r="F58" s="537"/>
      <c r="G58" s="537"/>
      <c r="H58" s="537"/>
      <c r="I58" s="538"/>
      <c r="J58" s="78">
        <f>'7 - ENCARGOS SOCIAIS'!$D$32</f>
        <v>5.9231502118822603E-2</v>
      </c>
      <c r="K58" s="67">
        <f t="shared" si="7"/>
        <v>220.659497844513</v>
      </c>
      <c r="L58" s="6"/>
      <c r="M58" s="6"/>
    </row>
    <row r="59" spans="2:13" ht="15.75" customHeight="1" x14ac:dyDescent="0.25">
      <c r="B59" s="17"/>
      <c r="C59" s="552" t="s">
        <v>157</v>
      </c>
      <c r="D59" s="537"/>
      <c r="E59" s="537"/>
      <c r="F59" s="537"/>
      <c r="G59" s="537"/>
      <c r="H59" s="537"/>
      <c r="I59" s="538"/>
      <c r="J59" s="83">
        <f t="shared" ref="J59:K59" si="8">SUM(J55:J58)</f>
        <v>0.70776976896623567</v>
      </c>
      <c r="K59" s="84">
        <f t="shared" si="8"/>
        <v>2636.7070937406943</v>
      </c>
      <c r="L59" s="6"/>
      <c r="M59" s="6"/>
    </row>
    <row r="60" spans="2:13" ht="24.75" customHeight="1" x14ac:dyDescent="0.25">
      <c r="B60" s="61" t="s">
        <v>158</v>
      </c>
      <c r="C60" s="572" t="s">
        <v>159</v>
      </c>
      <c r="D60" s="537"/>
      <c r="E60" s="537"/>
      <c r="F60" s="537"/>
      <c r="G60" s="538"/>
      <c r="H60" s="59" t="s">
        <v>160</v>
      </c>
      <c r="I60" s="61" t="s">
        <v>120</v>
      </c>
      <c r="J60" s="61" t="s">
        <v>161</v>
      </c>
      <c r="K60" s="61" t="s">
        <v>121</v>
      </c>
      <c r="L60" s="6"/>
      <c r="M60" s="6"/>
    </row>
    <row r="61" spans="2:13" ht="15" customHeight="1" x14ac:dyDescent="0.25">
      <c r="B61" s="14" t="s">
        <v>162</v>
      </c>
      <c r="C61" s="571" t="s">
        <v>174</v>
      </c>
      <c r="D61" s="537"/>
      <c r="E61" s="537"/>
      <c r="F61" s="537"/>
      <c r="G61" s="538"/>
      <c r="H61" s="14">
        <v>26</v>
      </c>
      <c r="I61" s="88">
        <v>27.15</v>
      </c>
      <c r="J61" s="89">
        <v>0.19</v>
      </c>
      <c r="K61" s="31">
        <f>(H61*I61)-((H61*I61)*J61)</f>
        <v>571.779</v>
      </c>
      <c r="L61" s="6"/>
      <c r="M61" s="6"/>
    </row>
    <row r="62" spans="2:13" ht="15" customHeight="1" x14ac:dyDescent="0.25">
      <c r="B62" s="14" t="s">
        <v>164</v>
      </c>
      <c r="C62" s="571" t="s">
        <v>176</v>
      </c>
      <c r="D62" s="537"/>
      <c r="E62" s="537"/>
      <c r="F62" s="537"/>
      <c r="G62" s="538"/>
      <c r="H62" s="14">
        <f>H61*4</f>
        <v>104</v>
      </c>
      <c r="I62" s="93">
        <v>6.25</v>
      </c>
      <c r="J62" s="89">
        <v>0.06</v>
      </c>
      <c r="K62" s="31">
        <f>(H62*I62)-(K49*J62)</f>
        <v>498.97579999999999</v>
      </c>
      <c r="L62" s="6"/>
      <c r="M62" s="6"/>
    </row>
    <row r="63" spans="2:13" ht="15" customHeight="1" x14ac:dyDescent="0.25">
      <c r="B63" s="14" t="s">
        <v>166</v>
      </c>
      <c r="C63" s="571" t="s">
        <v>225</v>
      </c>
      <c r="D63" s="537"/>
      <c r="E63" s="537"/>
      <c r="F63" s="537"/>
      <c r="G63" s="538"/>
      <c r="H63" s="14">
        <v>1</v>
      </c>
      <c r="I63" s="93">
        <v>121.34</v>
      </c>
      <c r="J63" s="89"/>
      <c r="K63" s="31">
        <f>I63</f>
        <v>121.34</v>
      </c>
      <c r="L63" s="6"/>
      <c r="M63" s="6"/>
    </row>
    <row r="64" spans="2:13" ht="15" customHeight="1" x14ac:dyDescent="0.25">
      <c r="B64" s="26"/>
      <c r="C64" s="570" t="s">
        <v>170</v>
      </c>
      <c r="D64" s="537"/>
      <c r="E64" s="537"/>
      <c r="F64" s="537"/>
      <c r="G64" s="537"/>
      <c r="H64" s="537"/>
      <c r="I64" s="538"/>
      <c r="J64" s="75"/>
      <c r="K64" s="45">
        <f>SUM(K61:K63)</f>
        <v>1192.0947999999999</v>
      </c>
      <c r="L64" s="6"/>
      <c r="M64" s="6"/>
    </row>
    <row r="65" spans="2:13" ht="15.75" customHeight="1" x14ac:dyDescent="0.25">
      <c r="B65" s="563" t="s">
        <v>226</v>
      </c>
      <c r="C65" s="564"/>
      <c r="D65" s="564"/>
      <c r="E65" s="564"/>
      <c r="F65" s="564"/>
      <c r="G65" s="564"/>
      <c r="H65" s="564"/>
      <c r="I65" s="564"/>
      <c r="J65" s="565"/>
      <c r="K65" s="95">
        <f>K64+K59+K53</f>
        <v>7554.1758915477112</v>
      </c>
      <c r="L65" s="6"/>
      <c r="M65" s="6"/>
    </row>
    <row r="66" spans="2:13" ht="15" customHeight="1" x14ac:dyDescent="0.25">
      <c r="B66" s="574" t="s">
        <v>172</v>
      </c>
      <c r="C66" s="535"/>
      <c r="D66" s="535"/>
      <c r="E66" s="535"/>
      <c r="F66" s="535"/>
      <c r="G66" s="535"/>
      <c r="H66" s="575"/>
      <c r="I66" s="99">
        <f>H8</f>
        <v>8</v>
      </c>
      <c r="J66" s="99" t="s">
        <v>173</v>
      </c>
      <c r="K66" s="101">
        <f>K65*I66</f>
        <v>60433.40713238169</v>
      </c>
      <c r="L66" s="6"/>
      <c r="M66" s="6"/>
    </row>
    <row r="67" spans="2:13" ht="15.75" customHeight="1" x14ac:dyDescent="0.25">
      <c r="L67" s="6"/>
      <c r="M67" s="6"/>
    </row>
    <row r="68" spans="2:13" ht="15" customHeight="1" x14ac:dyDescent="0.25">
      <c r="B68" s="589" t="s">
        <v>236</v>
      </c>
      <c r="C68" s="537"/>
      <c r="D68" s="537"/>
      <c r="E68" s="537"/>
      <c r="F68" s="537"/>
      <c r="G68" s="537"/>
      <c r="H68" s="537"/>
      <c r="I68" s="537"/>
      <c r="J68" s="538"/>
      <c r="K68" s="135">
        <f>K66+K45</f>
        <v>157416.70737692426</v>
      </c>
      <c r="L68" s="6"/>
      <c r="M68" s="6"/>
    </row>
    <row r="69" spans="2:13" ht="15.75" customHeight="1" x14ac:dyDescent="0.25">
      <c r="L69" s="6"/>
      <c r="M69" s="6"/>
    </row>
    <row r="70" spans="2:13" ht="15.75" customHeight="1" x14ac:dyDescent="0.25">
      <c r="L70" s="6"/>
      <c r="M70" s="6"/>
    </row>
    <row r="71" spans="2:13" ht="15.75" customHeight="1" x14ac:dyDescent="0.25">
      <c r="B71" s="566" t="s">
        <v>707</v>
      </c>
      <c r="C71" s="537"/>
      <c r="D71" s="537"/>
      <c r="E71" s="537"/>
      <c r="F71" s="537"/>
      <c r="G71" s="537"/>
      <c r="H71" s="537"/>
      <c r="I71" s="537"/>
      <c r="J71" s="537"/>
      <c r="K71" s="538"/>
      <c r="L71" s="6"/>
      <c r="M71" s="6"/>
    </row>
    <row r="72" spans="2:13" ht="15.75" customHeight="1" x14ac:dyDescent="0.25">
      <c r="L72" s="6"/>
      <c r="M72" s="6"/>
    </row>
    <row r="73" spans="2:13" ht="15.75" customHeight="1" x14ac:dyDescent="0.25">
      <c r="B73" s="568" t="s">
        <v>709</v>
      </c>
      <c r="C73" s="537"/>
      <c r="D73" s="537"/>
      <c r="E73" s="537"/>
      <c r="F73" s="537"/>
      <c r="G73" s="537"/>
      <c r="H73" s="537"/>
      <c r="I73" s="537"/>
      <c r="J73" s="537"/>
      <c r="K73" s="538"/>
      <c r="L73" s="6"/>
      <c r="M73" s="6"/>
    </row>
    <row r="74" spans="2:13" ht="36" customHeight="1" x14ac:dyDescent="0.25">
      <c r="B74" s="552" t="s">
        <v>239</v>
      </c>
      <c r="C74" s="537"/>
      <c r="D74" s="537"/>
      <c r="E74" s="537"/>
      <c r="F74" s="538"/>
      <c r="G74" s="18" t="s">
        <v>318</v>
      </c>
      <c r="H74" s="18" t="s">
        <v>241</v>
      </c>
      <c r="I74" s="553" t="s">
        <v>242</v>
      </c>
      <c r="J74" s="538"/>
      <c r="K74" s="17" t="s">
        <v>243</v>
      </c>
      <c r="L74" s="6"/>
      <c r="M74" s="6"/>
    </row>
    <row r="75" spans="2:13" ht="15.75" customHeight="1" x14ac:dyDescent="0.25">
      <c r="B75" s="545" t="s">
        <v>244</v>
      </c>
      <c r="C75" s="537"/>
      <c r="D75" s="537"/>
      <c r="E75" s="537"/>
      <c r="F75" s="538"/>
      <c r="G75" s="3">
        <v>3</v>
      </c>
      <c r="H75" s="31">
        <f>'10 - CUSTOS UN'!J39</f>
        <v>42.74</v>
      </c>
      <c r="I75" s="602">
        <f t="shared" ref="I75:I86" si="9">H75/6</f>
        <v>7.123333333333334</v>
      </c>
      <c r="J75" s="538"/>
      <c r="K75" s="31">
        <f t="shared" ref="K75:K86" si="10">I75*G75</f>
        <v>21.37</v>
      </c>
      <c r="L75" s="6"/>
      <c r="M75" s="199"/>
    </row>
    <row r="76" spans="2:13" ht="15.75" customHeight="1" x14ac:dyDescent="0.25">
      <c r="B76" s="545" t="s">
        <v>245</v>
      </c>
      <c r="C76" s="537"/>
      <c r="D76" s="537"/>
      <c r="E76" s="537"/>
      <c r="F76" s="538"/>
      <c r="G76" s="3">
        <v>3</v>
      </c>
      <c r="H76" s="31">
        <f>'10 - CUSTOS UN'!J33</f>
        <v>44.47</v>
      </c>
      <c r="I76" s="602">
        <f t="shared" si="9"/>
        <v>7.4116666666666662</v>
      </c>
      <c r="J76" s="538"/>
      <c r="K76" s="31">
        <f t="shared" si="10"/>
        <v>22.234999999999999</v>
      </c>
      <c r="L76" s="6"/>
      <c r="M76" s="6"/>
    </row>
    <row r="77" spans="2:13" ht="15.75" customHeight="1" x14ac:dyDescent="0.25">
      <c r="B77" s="545" t="s">
        <v>246</v>
      </c>
      <c r="C77" s="537"/>
      <c r="D77" s="537"/>
      <c r="E77" s="537"/>
      <c r="F77" s="538"/>
      <c r="G77" s="3">
        <v>2</v>
      </c>
      <c r="H77" s="31">
        <f>'10 - CUSTOS UN'!J24</f>
        <v>55.079999999999991</v>
      </c>
      <c r="I77" s="602">
        <f t="shared" si="9"/>
        <v>9.1799999999999979</v>
      </c>
      <c r="J77" s="538"/>
      <c r="K77" s="31">
        <f t="shared" si="10"/>
        <v>18.359999999999996</v>
      </c>
      <c r="L77" s="6"/>
      <c r="M77" s="6"/>
    </row>
    <row r="78" spans="2:13" ht="15.75" customHeight="1" x14ac:dyDescent="0.25">
      <c r="B78" s="545" t="s">
        <v>247</v>
      </c>
      <c r="C78" s="537"/>
      <c r="D78" s="537"/>
      <c r="E78" s="537"/>
      <c r="F78" s="538"/>
      <c r="G78" s="3">
        <v>3</v>
      </c>
      <c r="H78" s="31">
        <f>'10 - CUSTOS UN'!J15</f>
        <v>44.393333333333338</v>
      </c>
      <c r="I78" s="602">
        <f t="shared" si="9"/>
        <v>7.39888888888889</v>
      </c>
      <c r="J78" s="538"/>
      <c r="K78" s="31">
        <f t="shared" si="10"/>
        <v>22.196666666666669</v>
      </c>
      <c r="L78" s="6"/>
      <c r="M78" s="6"/>
    </row>
    <row r="79" spans="2:13" ht="15.75" customHeight="1" x14ac:dyDescent="0.25">
      <c r="B79" s="545" t="s">
        <v>248</v>
      </c>
      <c r="C79" s="537"/>
      <c r="D79" s="537"/>
      <c r="E79" s="537"/>
      <c r="F79" s="538"/>
      <c r="G79" s="3">
        <v>6</v>
      </c>
      <c r="H79" s="31">
        <f>'10 - CUSTOS UN'!J84</f>
        <v>17.73</v>
      </c>
      <c r="I79" s="602">
        <f t="shared" si="9"/>
        <v>2.9550000000000001</v>
      </c>
      <c r="J79" s="538"/>
      <c r="K79" s="31">
        <f t="shared" si="10"/>
        <v>17.73</v>
      </c>
      <c r="L79" s="6"/>
      <c r="M79" s="6"/>
    </row>
    <row r="80" spans="2:13" ht="15.75" customHeight="1" x14ac:dyDescent="0.25">
      <c r="B80" s="545" t="s">
        <v>249</v>
      </c>
      <c r="C80" s="537"/>
      <c r="D80" s="537"/>
      <c r="E80" s="537"/>
      <c r="F80" s="538"/>
      <c r="G80" s="3">
        <v>2</v>
      </c>
      <c r="H80" s="31">
        <f>'10 - CUSTOS UN'!J21</f>
        <v>9.2099999999999991</v>
      </c>
      <c r="I80" s="602">
        <f t="shared" si="9"/>
        <v>1.5349999999999999</v>
      </c>
      <c r="J80" s="538"/>
      <c r="K80" s="31">
        <f t="shared" si="10"/>
        <v>3.07</v>
      </c>
      <c r="L80" s="6"/>
      <c r="M80" s="6"/>
    </row>
    <row r="81" spans="2:13" ht="15.75" customHeight="1" x14ac:dyDescent="0.25">
      <c r="B81" s="545" t="s">
        <v>250</v>
      </c>
      <c r="C81" s="537"/>
      <c r="D81" s="537"/>
      <c r="E81" s="537"/>
      <c r="F81" s="538"/>
      <c r="G81" s="3">
        <v>1</v>
      </c>
      <c r="H81" s="31">
        <f>'10 - CUSTOS UN'!J66</f>
        <v>156.05666666666664</v>
      </c>
      <c r="I81" s="602">
        <f t="shared" si="9"/>
        <v>26.009444444444441</v>
      </c>
      <c r="J81" s="538"/>
      <c r="K81" s="31">
        <f t="shared" si="10"/>
        <v>26.009444444444441</v>
      </c>
      <c r="L81" s="6"/>
      <c r="M81" s="6"/>
    </row>
    <row r="82" spans="2:13" ht="15.75" customHeight="1" x14ac:dyDescent="0.25">
      <c r="B82" s="545" t="s">
        <v>252</v>
      </c>
      <c r="C82" s="537"/>
      <c r="D82" s="537"/>
      <c r="E82" s="537"/>
      <c r="F82" s="538"/>
      <c r="G82" s="3">
        <v>3</v>
      </c>
      <c r="H82" s="31">
        <f>'10 - CUSTOS UN'!J111</f>
        <v>116.83</v>
      </c>
      <c r="I82" s="602">
        <f t="shared" si="9"/>
        <v>19.471666666666668</v>
      </c>
      <c r="J82" s="538"/>
      <c r="K82" s="31">
        <f t="shared" si="10"/>
        <v>58.415000000000006</v>
      </c>
      <c r="L82" s="6"/>
      <c r="M82" s="6"/>
    </row>
    <row r="83" spans="2:13" ht="15" customHeight="1" x14ac:dyDescent="0.25">
      <c r="B83" s="545" t="s">
        <v>254</v>
      </c>
      <c r="C83" s="537"/>
      <c r="D83" s="537"/>
      <c r="E83" s="537"/>
      <c r="F83" s="538"/>
      <c r="G83" s="140">
        <v>1</v>
      </c>
      <c r="H83" s="141">
        <f>'10 - CUSTOS UN'!J87</f>
        <v>4.7966666666666669</v>
      </c>
      <c r="I83" s="602">
        <f t="shared" si="9"/>
        <v>0.79944444444444451</v>
      </c>
      <c r="J83" s="538"/>
      <c r="K83" s="31">
        <f t="shared" si="10"/>
        <v>0.79944444444444451</v>
      </c>
      <c r="L83" s="6"/>
      <c r="M83" s="6"/>
    </row>
    <row r="84" spans="2:13" ht="15.75" customHeight="1" x14ac:dyDescent="0.25">
      <c r="B84" s="545" t="s">
        <v>256</v>
      </c>
      <c r="C84" s="537"/>
      <c r="D84" s="537"/>
      <c r="E84" s="537"/>
      <c r="F84" s="538"/>
      <c r="G84" s="140">
        <v>1</v>
      </c>
      <c r="H84" s="141">
        <f>'10 - CUSTOS UN'!J51</f>
        <v>212.1933333333333</v>
      </c>
      <c r="I84" s="602">
        <f t="shared" si="9"/>
        <v>35.365555555555552</v>
      </c>
      <c r="J84" s="538"/>
      <c r="K84" s="31">
        <f t="shared" si="10"/>
        <v>35.365555555555552</v>
      </c>
      <c r="L84" s="6"/>
      <c r="M84" s="6"/>
    </row>
    <row r="85" spans="2:13" ht="15.75" customHeight="1" x14ac:dyDescent="0.25">
      <c r="B85" s="545" t="s">
        <v>258</v>
      </c>
      <c r="C85" s="537"/>
      <c r="D85" s="537"/>
      <c r="E85" s="537"/>
      <c r="F85" s="538"/>
      <c r="G85" s="140">
        <v>48</v>
      </c>
      <c r="H85" s="141">
        <f>'10 - CUSTOS UN'!J72</f>
        <v>8.2700000000000014</v>
      </c>
      <c r="I85" s="602">
        <f t="shared" si="9"/>
        <v>1.3783333333333336</v>
      </c>
      <c r="J85" s="538"/>
      <c r="K85" s="31">
        <f t="shared" si="10"/>
        <v>66.160000000000011</v>
      </c>
      <c r="L85" s="6"/>
      <c r="M85" s="6"/>
    </row>
    <row r="86" spans="2:13" ht="15.75" customHeight="1" x14ac:dyDescent="0.25">
      <c r="B86" s="591" t="s">
        <v>259</v>
      </c>
      <c r="C86" s="564"/>
      <c r="D86" s="564"/>
      <c r="E86" s="564"/>
      <c r="F86" s="565"/>
      <c r="G86" s="142">
        <v>6</v>
      </c>
      <c r="H86" s="143">
        <f>'10 - CUSTOS UN'!J99</f>
        <v>14.9</v>
      </c>
      <c r="I86" s="778">
        <f t="shared" si="9"/>
        <v>2.4833333333333334</v>
      </c>
      <c r="J86" s="565"/>
      <c r="K86" s="143">
        <f t="shared" si="10"/>
        <v>14.9</v>
      </c>
      <c r="L86" s="6"/>
      <c r="M86" s="6"/>
    </row>
    <row r="87" spans="2:13" ht="15.75" customHeight="1" x14ac:dyDescent="0.25">
      <c r="B87" s="603" t="s">
        <v>260</v>
      </c>
      <c r="C87" s="544"/>
      <c r="D87" s="544"/>
      <c r="E87" s="544"/>
      <c r="F87" s="579"/>
      <c r="G87" s="145"/>
      <c r="H87" s="145"/>
      <c r="I87" s="594"/>
      <c r="J87" s="575"/>
      <c r="K87" s="146">
        <f>SUM(K75:K86)</f>
        <v>306.61111111111109</v>
      </c>
      <c r="L87" s="6"/>
      <c r="M87" s="6"/>
    </row>
    <row r="88" spans="2:13" ht="15.75" customHeight="1" x14ac:dyDescent="0.25">
      <c r="B88" s="570" t="s">
        <v>261</v>
      </c>
      <c r="C88" s="537"/>
      <c r="D88" s="537"/>
      <c r="E88" s="537"/>
      <c r="F88" s="538"/>
      <c r="G88" s="3">
        <f>I45</f>
        <v>15</v>
      </c>
      <c r="H88" s="3" t="s">
        <v>173</v>
      </c>
      <c r="I88" s="602">
        <f>K87</f>
        <v>306.61111111111109</v>
      </c>
      <c r="J88" s="538"/>
      <c r="K88" s="45">
        <f>K87*G88</f>
        <v>4599.1666666666661</v>
      </c>
      <c r="L88" s="6"/>
      <c r="M88" s="6"/>
    </row>
    <row r="89" spans="2:13" ht="15.75" customHeight="1" x14ac:dyDescent="0.25">
      <c r="B89" s="1"/>
      <c r="C89" s="1"/>
      <c r="D89" s="1"/>
      <c r="E89" s="1"/>
      <c r="F89" s="1"/>
      <c r="L89" s="6"/>
      <c r="M89" s="6"/>
    </row>
    <row r="90" spans="2:13" ht="15.75" customHeight="1" x14ac:dyDescent="0.25">
      <c r="B90" s="568" t="s">
        <v>715</v>
      </c>
      <c r="C90" s="537"/>
      <c r="D90" s="537"/>
      <c r="E90" s="537"/>
      <c r="F90" s="537"/>
      <c r="G90" s="537"/>
      <c r="H90" s="537"/>
      <c r="I90" s="537"/>
      <c r="J90" s="537"/>
      <c r="K90" s="538"/>
      <c r="L90" s="6"/>
      <c r="M90" s="6"/>
    </row>
    <row r="91" spans="2:13" ht="35.25" customHeight="1" x14ac:dyDescent="0.25">
      <c r="B91" s="552" t="s">
        <v>239</v>
      </c>
      <c r="C91" s="537"/>
      <c r="D91" s="537"/>
      <c r="E91" s="537"/>
      <c r="F91" s="538"/>
      <c r="G91" s="18" t="s">
        <v>717</v>
      </c>
      <c r="H91" s="18" t="s">
        <v>241</v>
      </c>
      <c r="I91" s="553" t="s">
        <v>242</v>
      </c>
      <c r="J91" s="538"/>
      <c r="K91" s="17" t="s">
        <v>243</v>
      </c>
      <c r="L91" s="6"/>
      <c r="M91" s="6"/>
    </row>
    <row r="92" spans="2:13" ht="19.5" customHeight="1" x14ac:dyDescent="0.25">
      <c r="B92" s="545" t="s">
        <v>263</v>
      </c>
      <c r="C92" s="537"/>
      <c r="D92" s="537"/>
      <c r="E92" s="537"/>
      <c r="F92" s="538"/>
      <c r="G92" s="3">
        <v>3</v>
      </c>
      <c r="H92" s="31">
        <f>'10 - CUSTOS UN'!J36</f>
        <v>21.349999999999998</v>
      </c>
      <c r="I92" s="602">
        <f t="shared" ref="I92:I99" si="11">H92/6</f>
        <v>3.5583333333333331</v>
      </c>
      <c r="J92" s="538"/>
      <c r="K92" s="31">
        <f t="shared" ref="K92:K99" si="12">I92*G92</f>
        <v>10.674999999999999</v>
      </c>
      <c r="L92" s="6"/>
      <c r="M92" s="199"/>
    </row>
    <row r="93" spans="2:13" ht="15.75" customHeight="1" x14ac:dyDescent="0.25">
      <c r="B93" s="545" t="s">
        <v>264</v>
      </c>
      <c r="C93" s="537"/>
      <c r="D93" s="537"/>
      <c r="E93" s="537"/>
      <c r="F93" s="538"/>
      <c r="G93" s="3">
        <v>2</v>
      </c>
      <c r="H93" s="31">
        <f>'10 - CUSTOS UN'!J27</f>
        <v>67.736666666666665</v>
      </c>
      <c r="I93" s="602">
        <f t="shared" si="11"/>
        <v>11.289444444444444</v>
      </c>
      <c r="J93" s="538"/>
      <c r="K93" s="31">
        <f t="shared" si="12"/>
        <v>22.578888888888887</v>
      </c>
      <c r="L93" s="6"/>
      <c r="M93" s="6"/>
    </row>
    <row r="94" spans="2:13" ht="15.75" customHeight="1" x14ac:dyDescent="0.25">
      <c r="B94" s="545" t="s">
        <v>250</v>
      </c>
      <c r="C94" s="537"/>
      <c r="D94" s="537"/>
      <c r="E94" s="537"/>
      <c r="F94" s="538"/>
      <c r="G94" s="3">
        <v>1</v>
      </c>
      <c r="H94" s="31">
        <f>'10 - CUSTOS UN'!J66</f>
        <v>156.05666666666664</v>
      </c>
      <c r="I94" s="602">
        <f t="shared" si="11"/>
        <v>26.009444444444441</v>
      </c>
      <c r="J94" s="538"/>
      <c r="K94" s="31">
        <f t="shared" si="12"/>
        <v>26.009444444444441</v>
      </c>
      <c r="L94" s="6"/>
      <c r="M94" s="6"/>
    </row>
    <row r="95" spans="2:13" ht="15.75" customHeight="1" x14ac:dyDescent="0.25">
      <c r="B95" s="545" t="s">
        <v>265</v>
      </c>
      <c r="C95" s="537"/>
      <c r="D95" s="537"/>
      <c r="E95" s="537"/>
      <c r="F95" s="538"/>
      <c r="G95" s="3">
        <v>1</v>
      </c>
      <c r="H95" s="31">
        <f>'10 - CUSTOS UN'!J30</f>
        <v>84.38</v>
      </c>
      <c r="I95" s="602">
        <f t="shared" si="11"/>
        <v>14.063333333333333</v>
      </c>
      <c r="J95" s="538"/>
      <c r="K95" s="31">
        <f t="shared" si="12"/>
        <v>14.063333333333333</v>
      </c>
      <c r="L95" s="6"/>
      <c r="M95" s="6"/>
    </row>
    <row r="96" spans="2:13" ht="15.75" customHeight="1" x14ac:dyDescent="0.25">
      <c r="B96" s="545" t="s">
        <v>254</v>
      </c>
      <c r="C96" s="537"/>
      <c r="D96" s="537"/>
      <c r="E96" s="537"/>
      <c r="F96" s="538"/>
      <c r="G96" s="3">
        <v>1</v>
      </c>
      <c r="H96" s="31">
        <f>'10 - CUSTOS UN'!J87</f>
        <v>4.7966666666666669</v>
      </c>
      <c r="I96" s="602">
        <f t="shared" si="11"/>
        <v>0.79944444444444451</v>
      </c>
      <c r="J96" s="538"/>
      <c r="K96" s="31">
        <f t="shared" si="12"/>
        <v>0.79944444444444451</v>
      </c>
      <c r="L96" s="6"/>
      <c r="M96" s="6"/>
    </row>
    <row r="97" spans="2:23" ht="15" customHeight="1" x14ac:dyDescent="0.25">
      <c r="B97" s="545" t="s">
        <v>266</v>
      </c>
      <c r="C97" s="537"/>
      <c r="D97" s="537"/>
      <c r="E97" s="537"/>
      <c r="F97" s="538"/>
      <c r="G97" s="3">
        <v>1</v>
      </c>
      <c r="H97" s="31">
        <f>'10 - CUSTOS UN'!J42</f>
        <v>16.393333333333334</v>
      </c>
      <c r="I97" s="602">
        <f t="shared" si="11"/>
        <v>2.7322222222222226</v>
      </c>
      <c r="J97" s="538"/>
      <c r="K97" s="31">
        <f t="shared" si="12"/>
        <v>2.7322222222222226</v>
      </c>
      <c r="L97" s="6"/>
      <c r="M97" s="6"/>
    </row>
    <row r="98" spans="2:23" ht="15" customHeight="1" x14ac:dyDescent="0.25">
      <c r="B98" s="545" t="s">
        <v>259</v>
      </c>
      <c r="C98" s="537"/>
      <c r="D98" s="537"/>
      <c r="E98" s="537"/>
      <c r="F98" s="538"/>
      <c r="G98" s="3">
        <v>6</v>
      </c>
      <c r="H98" s="31">
        <f>'10 - CUSTOS UN'!J99</f>
        <v>14.9</v>
      </c>
      <c r="I98" s="602">
        <f t="shared" si="11"/>
        <v>2.4833333333333334</v>
      </c>
      <c r="J98" s="538"/>
      <c r="K98" s="31">
        <f t="shared" si="12"/>
        <v>14.9</v>
      </c>
      <c r="L98" s="6"/>
      <c r="M98" s="6"/>
    </row>
    <row r="99" spans="2:23" ht="15" customHeight="1" x14ac:dyDescent="0.25">
      <c r="B99" s="666" t="s">
        <v>267</v>
      </c>
      <c r="C99" s="667"/>
      <c r="D99" s="667"/>
      <c r="E99" s="667"/>
      <c r="F99" s="668"/>
      <c r="G99" s="142">
        <v>1</v>
      </c>
      <c r="H99" s="143">
        <f>'10 - CUSTOS UN'!J48</f>
        <v>18.52</v>
      </c>
      <c r="I99" s="592">
        <f t="shared" si="11"/>
        <v>3.0866666666666664</v>
      </c>
      <c r="J99" s="565"/>
      <c r="K99" s="143">
        <f t="shared" si="12"/>
        <v>3.0866666666666664</v>
      </c>
      <c r="L99" s="6"/>
      <c r="M99" s="6"/>
    </row>
    <row r="100" spans="2:23" ht="15.75" customHeight="1" x14ac:dyDescent="0.25">
      <c r="B100" s="603" t="s">
        <v>260</v>
      </c>
      <c r="C100" s="544"/>
      <c r="D100" s="544"/>
      <c r="E100" s="544"/>
      <c r="F100" s="579"/>
      <c r="G100" s="145"/>
      <c r="H100" s="145"/>
      <c r="I100" s="621"/>
      <c r="J100" s="579"/>
      <c r="K100" s="146">
        <f>SUM(K92:K99)</f>
        <v>94.844999999999999</v>
      </c>
      <c r="L100" s="6"/>
      <c r="M100" s="6"/>
    </row>
    <row r="101" spans="2:23" ht="15" customHeight="1" x14ac:dyDescent="0.25">
      <c r="B101" s="570" t="s">
        <v>261</v>
      </c>
      <c r="C101" s="537"/>
      <c r="D101" s="537"/>
      <c r="E101" s="537"/>
      <c r="F101" s="538"/>
      <c r="G101" s="3">
        <f>I66</f>
        <v>8</v>
      </c>
      <c r="H101" s="3" t="s">
        <v>173</v>
      </c>
      <c r="I101" s="602">
        <f>K100</f>
        <v>94.844999999999999</v>
      </c>
      <c r="J101" s="538"/>
      <c r="K101" s="45">
        <f>I101*G101</f>
        <v>758.76</v>
      </c>
      <c r="L101" s="6"/>
      <c r="M101" s="6"/>
    </row>
    <row r="102" spans="2:23" ht="15.75" customHeight="1" x14ac:dyDescent="0.25">
      <c r="B102" s="669"/>
      <c r="C102" s="625"/>
      <c r="D102" s="625"/>
      <c r="E102" s="625"/>
      <c r="F102" s="625"/>
      <c r="I102" s="669"/>
      <c r="J102" s="625"/>
      <c r="L102" s="6"/>
      <c r="M102" s="64"/>
      <c r="N102" s="148"/>
      <c r="O102" s="148"/>
      <c r="P102" s="148"/>
      <c r="Q102" s="148"/>
      <c r="R102" s="148"/>
      <c r="S102" s="148"/>
      <c r="T102" s="148"/>
      <c r="U102" s="148"/>
      <c r="V102" s="148"/>
      <c r="W102" s="148"/>
    </row>
    <row r="103" spans="2:23" ht="15" customHeight="1" x14ac:dyDescent="0.25">
      <c r="B103" s="589" t="s">
        <v>270</v>
      </c>
      <c r="C103" s="537"/>
      <c r="D103" s="537"/>
      <c r="E103" s="537"/>
      <c r="F103" s="537"/>
      <c r="G103" s="537"/>
      <c r="H103" s="537"/>
      <c r="I103" s="537"/>
      <c r="J103" s="538"/>
      <c r="K103" s="352">
        <f>K101+K88</f>
        <v>5357.9266666666663</v>
      </c>
      <c r="L103" s="6"/>
      <c r="M103" s="64"/>
      <c r="N103" s="148"/>
      <c r="O103" s="148"/>
      <c r="P103" s="148"/>
      <c r="Q103" s="148"/>
      <c r="R103" s="148"/>
      <c r="S103" s="148"/>
      <c r="T103" s="148"/>
      <c r="U103" s="148"/>
      <c r="V103" s="148"/>
      <c r="W103" s="148"/>
    </row>
    <row r="104" spans="2:23" ht="15.75" customHeight="1" x14ac:dyDescent="0.25">
      <c r="L104" s="6"/>
      <c r="M104" s="6"/>
      <c r="T104" s="149"/>
      <c r="U104" s="149"/>
      <c r="V104" s="21"/>
      <c r="W104" s="21"/>
    </row>
    <row r="105" spans="2:23" ht="15.75" customHeight="1" x14ac:dyDescent="0.25">
      <c r="L105" s="6"/>
      <c r="M105" s="6"/>
      <c r="T105" s="149"/>
      <c r="U105" s="149"/>
      <c r="V105" s="21"/>
      <c r="W105" s="21"/>
    </row>
    <row r="106" spans="2:23" ht="15.75" customHeight="1" x14ac:dyDescent="0.25">
      <c r="B106" s="566" t="s">
        <v>719</v>
      </c>
      <c r="C106" s="537"/>
      <c r="D106" s="537"/>
      <c r="E106" s="537"/>
      <c r="F106" s="537"/>
      <c r="G106" s="537"/>
      <c r="H106" s="537"/>
      <c r="I106" s="537"/>
      <c r="J106" s="537"/>
      <c r="K106" s="538"/>
      <c r="L106" s="6"/>
      <c r="M106" s="6"/>
    </row>
    <row r="107" spans="2:23" ht="15.75" customHeight="1" x14ac:dyDescent="0.25">
      <c r="L107" s="6"/>
      <c r="M107" s="6"/>
      <c r="N107" s="151"/>
      <c r="O107" s="151"/>
      <c r="P107" s="151"/>
      <c r="Q107" s="151"/>
      <c r="V107" s="21"/>
      <c r="W107" s="21"/>
    </row>
    <row r="108" spans="2:23" ht="15" customHeight="1" x14ac:dyDescent="0.25">
      <c r="B108" s="604" t="s">
        <v>272</v>
      </c>
      <c r="C108" s="537"/>
      <c r="D108" s="537"/>
      <c r="E108" s="537"/>
      <c r="F108" s="537"/>
      <c r="G108" s="537"/>
      <c r="H108" s="537"/>
      <c r="I108" s="537"/>
      <c r="J108" s="537"/>
      <c r="K108" s="538"/>
      <c r="L108" s="6"/>
      <c r="M108" s="6"/>
    </row>
    <row r="109" spans="2:23" ht="24.75" customHeight="1" x14ac:dyDescent="0.25">
      <c r="B109" s="155" t="s">
        <v>273</v>
      </c>
      <c r="C109" s="637" t="s">
        <v>239</v>
      </c>
      <c r="D109" s="564"/>
      <c r="E109" s="564"/>
      <c r="F109" s="564"/>
      <c r="G109" s="564"/>
      <c r="H109" s="565"/>
      <c r="I109" s="654" t="s">
        <v>274</v>
      </c>
      <c r="J109" s="565"/>
      <c r="K109" s="182" t="s">
        <v>275</v>
      </c>
      <c r="L109" s="6"/>
      <c r="M109" s="64"/>
      <c r="N109" s="148"/>
      <c r="O109" s="148"/>
      <c r="P109" s="148"/>
      <c r="Q109" s="148"/>
      <c r="R109" s="148"/>
      <c r="S109" s="148"/>
      <c r="T109" s="148"/>
      <c r="U109" s="148"/>
      <c r="V109" s="148"/>
      <c r="W109" s="148"/>
    </row>
    <row r="110" spans="2:23" ht="15.75" customHeight="1" x14ac:dyDescent="0.25">
      <c r="B110" s="156" t="s">
        <v>660</v>
      </c>
      <c r="C110" s="655" t="s">
        <v>720</v>
      </c>
      <c r="D110" s="535"/>
      <c r="E110" s="535"/>
      <c r="F110" s="535"/>
      <c r="G110" s="535"/>
      <c r="H110" s="575"/>
      <c r="I110" s="656">
        <f>K213</f>
        <v>20674.440563562093</v>
      </c>
      <c r="J110" s="575"/>
      <c r="K110" s="157">
        <f>K214</f>
        <v>124046.64338137255</v>
      </c>
      <c r="L110" s="6"/>
      <c r="M110" s="64"/>
      <c r="N110" s="148"/>
      <c r="O110" s="148"/>
      <c r="P110" s="148"/>
      <c r="Q110" s="148"/>
      <c r="R110" s="148"/>
      <c r="S110" s="148"/>
      <c r="T110" s="148"/>
      <c r="U110" s="148"/>
      <c r="V110" s="148"/>
      <c r="W110" s="148"/>
    </row>
    <row r="111" spans="2:23" ht="15.75" customHeight="1" x14ac:dyDescent="0.25">
      <c r="B111" s="26" t="s">
        <v>721</v>
      </c>
      <c r="C111" s="545" t="s">
        <v>278</v>
      </c>
      <c r="D111" s="537"/>
      <c r="E111" s="537"/>
      <c r="F111" s="537"/>
      <c r="G111" s="537"/>
      <c r="H111" s="538"/>
      <c r="I111" s="602">
        <f>I144</f>
        <v>4099.892919893884</v>
      </c>
      <c r="J111" s="538"/>
      <c r="K111" s="159">
        <f>K144</f>
        <v>24599.357519363304</v>
      </c>
      <c r="L111" s="6"/>
      <c r="M111" s="6"/>
      <c r="N111" s="151"/>
      <c r="O111" s="151"/>
      <c r="P111" s="151"/>
      <c r="Q111" s="151"/>
      <c r="R111" s="151"/>
      <c r="S111" s="151"/>
      <c r="T111" s="152"/>
      <c r="U111" s="152"/>
      <c r="V111" s="152"/>
      <c r="W111" s="152"/>
    </row>
    <row r="112" spans="2:23" ht="15.75" customHeight="1" x14ac:dyDescent="0.25">
      <c r="B112" s="26" t="s">
        <v>722</v>
      </c>
      <c r="C112" s="545" t="s">
        <v>281</v>
      </c>
      <c r="D112" s="537"/>
      <c r="E112" s="537"/>
      <c r="F112" s="537"/>
      <c r="G112" s="537"/>
      <c r="H112" s="538"/>
      <c r="I112" s="602">
        <f>I159</f>
        <v>1550.2720103348749</v>
      </c>
      <c r="J112" s="538"/>
      <c r="K112" s="159">
        <f>K159</f>
        <v>9301.6320620092501</v>
      </c>
      <c r="L112" s="6"/>
      <c r="M112" s="6"/>
    </row>
    <row r="113" spans="2:23" ht="15.75" customHeight="1" x14ac:dyDescent="0.25">
      <c r="B113" s="26" t="s">
        <v>723</v>
      </c>
      <c r="C113" s="545" t="s">
        <v>283</v>
      </c>
      <c r="D113" s="537"/>
      <c r="E113" s="537"/>
      <c r="F113" s="537"/>
      <c r="G113" s="537"/>
      <c r="H113" s="538"/>
      <c r="I113" s="602">
        <f>I171</f>
        <v>525.39638888888896</v>
      </c>
      <c r="J113" s="538"/>
      <c r="K113" s="159">
        <f>K171</f>
        <v>3152.378333333334</v>
      </c>
      <c r="L113" s="6"/>
      <c r="M113" s="6"/>
    </row>
    <row r="114" spans="2:23" ht="15.75" customHeight="1" x14ac:dyDescent="0.25">
      <c r="B114" s="26" t="s">
        <v>724</v>
      </c>
      <c r="C114" s="545" t="s">
        <v>286</v>
      </c>
      <c r="D114" s="537"/>
      <c r="E114" s="537"/>
      <c r="F114" s="537"/>
      <c r="G114" s="537"/>
      <c r="H114" s="538"/>
      <c r="I114" s="602">
        <f>I179</f>
        <v>9724</v>
      </c>
      <c r="J114" s="538"/>
      <c r="K114" s="159">
        <f>K179</f>
        <v>58344</v>
      </c>
      <c r="L114" s="6"/>
      <c r="M114" s="6"/>
      <c r="T114" s="21"/>
      <c r="U114" s="21"/>
      <c r="V114" s="21"/>
      <c r="W114" s="21"/>
    </row>
    <row r="115" spans="2:23" ht="15.75" customHeight="1" x14ac:dyDescent="0.25">
      <c r="B115" s="26" t="s">
        <v>725</v>
      </c>
      <c r="C115" s="545" t="s">
        <v>288</v>
      </c>
      <c r="D115" s="537"/>
      <c r="E115" s="537"/>
      <c r="F115" s="537"/>
      <c r="G115" s="537"/>
      <c r="H115" s="538"/>
      <c r="I115" s="602">
        <f>I192</f>
        <v>808.51544444444448</v>
      </c>
      <c r="J115" s="538"/>
      <c r="K115" s="159">
        <f>K192</f>
        <v>4851.0926666666674</v>
      </c>
      <c r="L115" s="6"/>
      <c r="M115" s="6"/>
      <c r="T115" s="21"/>
      <c r="U115" s="21"/>
      <c r="V115" s="152"/>
      <c r="W115" s="152"/>
    </row>
    <row r="116" spans="2:23" ht="15.75" customHeight="1" x14ac:dyDescent="0.25">
      <c r="B116" s="26" t="s">
        <v>726</v>
      </c>
      <c r="C116" s="545" t="s">
        <v>290</v>
      </c>
      <c r="D116" s="537"/>
      <c r="E116" s="537"/>
      <c r="F116" s="537"/>
      <c r="G116" s="537"/>
      <c r="H116" s="538"/>
      <c r="I116" s="602">
        <f>I203</f>
        <v>898.36379999999997</v>
      </c>
      <c r="J116" s="538"/>
      <c r="K116" s="159">
        <f>K203</f>
        <v>5390.1827999999996</v>
      </c>
      <c r="L116" s="6"/>
      <c r="M116" s="6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</row>
    <row r="117" spans="2:23" ht="15.75" customHeight="1" x14ac:dyDescent="0.25">
      <c r="B117" s="26" t="s">
        <v>728</v>
      </c>
      <c r="C117" s="545" t="s">
        <v>292</v>
      </c>
      <c r="D117" s="537"/>
      <c r="E117" s="537"/>
      <c r="F117" s="537"/>
      <c r="G117" s="537"/>
      <c r="H117" s="538"/>
      <c r="I117" s="602">
        <f>I208</f>
        <v>3068</v>
      </c>
      <c r="J117" s="538"/>
      <c r="K117" s="159">
        <f>K208</f>
        <v>18408</v>
      </c>
      <c r="L117" s="6"/>
      <c r="M117" s="6"/>
    </row>
    <row r="118" spans="2:23" ht="15.75" customHeight="1" x14ac:dyDescent="0.25">
      <c r="B118" s="156" t="s">
        <v>662</v>
      </c>
      <c r="C118" s="671" t="s">
        <v>729</v>
      </c>
      <c r="D118" s="537"/>
      <c r="E118" s="537"/>
      <c r="F118" s="537"/>
      <c r="G118" s="537"/>
      <c r="H118" s="538"/>
      <c r="I118" s="672">
        <f>K294</f>
        <v>11610.361781746031</v>
      </c>
      <c r="J118" s="538"/>
      <c r="K118" s="157">
        <f>K295</f>
        <v>11610.361781746031</v>
      </c>
      <c r="L118" s="6"/>
      <c r="M118" s="6"/>
    </row>
    <row r="119" spans="2:23" ht="15.75" customHeight="1" x14ac:dyDescent="0.25">
      <c r="B119" s="26" t="s">
        <v>730</v>
      </c>
      <c r="C119" s="545" t="s">
        <v>278</v>
      </c>
      <c r="D119" s="537"/>
      <c r="E119" s="537"/>
      <c r="F119" s="537"/>
      <c r="G119" s="537"/>
      <c r="H119" s="538"/>
      <c r="I119" s="602">
        <f>I231</f>
        <v>2914.609523809524</v>
      </c>
      <c r="J119" s="538"/>
      <c r="K119" s="159">
        <f>K231</f>
        <v>2914.609523809524</v>
      </c>
      <c r="L119" s="6"/>
      <c r="M119" s="6"/>
    </row>
    <row r="120" spans="2:23" ht="15.75" customHeight="1" x14ac:dyDescent="0.25">
      <c r="B120" s="26" t="s">
        <v>731</v>
      </c>
      <c r="C120" s="545" t="s">
        <v>281</v>
      </c>
      <c r="D120" s="537"/>
      <c r="E120" s="537"/>
      <c r="F120" s="537"/>
      <c r="G120" s="537"/>
      <c r="H120" s="538"/>
      <c r="I120" s="602">
        <f>I246</f>
        <v>1219.943869047619</v>
      </c>
      <c r="J120" s="538"/>
      <c r="K120" s="159">
        <f>K246</f>
        <v>1219.943869047619</v>
      </c>
      <c r="L120" s="6"/>
      <c r="M120" s="6"/>
    </row>
    <row r="121" spans="2:23" ht="15.75" customHeight="1" x14ac:dyDescent="0.25">
      <c r="B121" s="26" t="s">
        <v>732</v>
      </c>
      <c r="C121" s="545" t="s">
        <v>283</v>
      </c>
      <c r="D121" s="537"/>
      <c r="E121" s="537"/>
      <c r="F121" s="537"/>
      <c r="G121" s="537"/>
      <c r="H121" s="538"/>
      <c r="I121" s="602">
        <f>I255</f>
        <v>525.39638888888885</v>
      </c>
      <c r="J121" s="538"/>
      <c r="K121" s="159">
        <f>K255</f>
        <v>525.39638888888885</v>
      </c>
      <c r="L121" s="6"/>
      <c r="M121" s="6"/>
    </row>
    <row r="122" spans="2:23" ht="15.75" customHeight="1" x14ac:dyDescent="0.25">
      <c r="B122" s="26" t="s">
        <v>733</v>
      </c>
      <c r="C122" s="545" t="s">
        <v>286</v>
      </c>
      <c r="D122" s="537"/>
      <c r="E122" s="537"/>
      <c r="F122" s="537"/>
      <c r="G122" s="537"/>
      <c r="H122" s="538"/>
      <c r="I122" s="602">
        <f>I263</f>
        <v>3889.6000000000004</v>
      </c>
      <c r="J122" s="538"/>
      <c r="K122" s="159">
        <f>K263</f>
        <v>3889.6000000000004</v>
      </c>
      <c r="L122" s="6"/>
      <c r="M122" s="6"/>
    </row>
    <row r="123" spans="2:23" ht="15.75" customHeight="1" x14ac:dyDescent="0.25">
      <c r="B123" s="26" t="s">
        <v>734</v>
      </c>
      <c r="C123" s="545" t="s">
        <v>288</v>
      </c>
      <c r="D123" s="537"/>
      <c r="E123" s="537"/>
      <c r="F123" s="537"/>
      <c r="G123" s="537"/>
      <c r="H123" s="538"/>
      <c r="I123" s="602">
        <f>I276</f>
        <v>313.7173866666667</v>
      </c>
      <c r="J123" s="538"/>
      <c r="K123" s="159">
        <f>K276</f>
        <v>313.7173866666667</v>
      </c>
      <c r="L123" s="6"/>
      <c r="M123" s="6"/>
    </row>
    <row r="124" spans="2:23" ht="15.75" customHeight="1" x14ac:dyDescent="0.25">
      <c r="B124" s="26" t="s">
        <v>735</v>
      </c>
      <c r="C124" s="545" t="s">
        <v>290</v>
      </c>
      <c r="D124" s="537"/>
      <c r="E124" s="537"/>
      <c r="F124" s="537"/>
      <c r="G124" s="537"/>
      <c r="H124" s="538"/>
      <c r="I124" s="602">
        <f>I287</f>
        <v>292.69461333333328</v>
      </c>
      <c r="J124" s="538"/>
      <c r="K124" s="159">
        <f>K287</f>
        <v>292.69461333333328</v>
      </c>
      <c r="L124" s="6"/>
      <c r="M124" s="6"/>
    </row>
    <row r="125" spans="2:23" ht="15.75" customHeight="1" x14ac:dyDescent="0.25">
      <c r="B125" s="26" t="s">
        <v>736</v>
      </c>
      <c r="C125" s="545" t="s">
        <v>292</v>
      </c>
      <c r="D125" s="537"/>
      <c r="E125" s="537"/>
      <c r="F125" s="537"/>
      <c r="G125" s="537"/>
      <c r="H125" s="538"/>
      <c r="I125" s="602">
        <f>I292</f>
        <v>2454.4</v>
      </c>
      <c r="J125" s="538"/>
      <c r="K125" s="159">
        <f>K292</f>
        <v>2454.4</v>
      </c>
      <c r="L125" s="6"/>
      <c r="M125" s="6"/>
    </row>
    <row r="126" spans="2:23" ht="15.75" customHeight="1" x14ac:dyDescent="0.25">
      <c r="B126" s="167"/>
      <c r="C126" s="595" t="s">
        <v>312</v>
      </c>
      <c r="D126" s="537"/>
      <c r="E126" s="537"/>
      <c r="F126" s="537"/>
      <c r="G126" s="537"/>
      <c r="H126" s="538"/>
      <c r="I126" s="595"/>
      <c r="J126" s="538"/>
      <c r="K126" s="168">
        <f>SUM(K118,K110)</f>
        <v>135657.00516311856</v>
      </c>
      <c r="L126" s="6"/>
      <c r="M126" s="6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</row>
    <row r="127" spans="2:23" ht="15.75" customHeight="1" x14ac:dyDescent="0.25">
      <c r="C127" s="169"/>
      <c r="D127" s="169"/>
      <c r="E127" s="169"/>
      <c r="F127" s="169"/>
      <c r="G127" s="169"/>
      <c r="H127" s="169"/>
      <c r="I127" s="169"/>
      <c r="J127" s="169"/>
      <c r="K127" s="169"/>
      <c r="L127" s="6"/>
      <c r="M127" s="6"/>
    </row>
    <row r="128" spans="2:23" ht="15.75" customHeight="1" x14ac:dyDescent="0.25">
      <c r="L128" s="6"/>
      <c r="M128" s="64"/>
      <c r="N128" s="148"/>
      <c r="O128" s="148"/>
      <c r="P128" s="148"/>
      <c r="Q128" s="148"/>
      <c r="R128" s="148"/>
      <c r="S128" s="148"/>
      <c r="T128" s="148"/>
      <c r="U128" s="148"/>
      <c r="V128" s="148"/>
      <c r="W128" s="148"/>
    </row>
    <row r="129" spans="2:23" ht="15.75" customHeight="1" x14ac:dyDescent="0.25">
      <c r="B129" s="596" t="s">
        <v>737</v>
      </c>
      <c r="C129" s="537"/>
      <c r="D129" s="537"/>
      <c r="E129" s="537"/>
      <c r="F129" s="537"/>
      <c r="G129" s="537"/>
      <c r="H129" s="537"/>
      <c r="I129" s="537"/>
      <c r="J129" s="537"/>
      <c r="K129" s="538"/>
      <c r="L129" s="6"/>
      <c r="M129" s="64"/>
      <c r="N129" s="148"/>
      <c r="O129" s="148"/>
      <c r="P129" s="148"/>
      <c r="Q129" s="148"/>
      <c r="R129" s="148"/>
      <c r="S129" s="148"/>
      <c r="T129" s="148"/>
      <c r="U129" s="148"/>
      <c r="V129" s="148"/>
      <c r="W129" s="148"/>
    </row>
    <row r="130" spans="2:23" ht="15.75" customHeight="1" x14ac:dyDescent="0.25">
      <c r="L130" s="6"/>
      <c r="M130" s="6"/>
      <c r="N130" s="151"/>
      <c r="O130" s="151"/>
      <c r="P130" s="151"/>
      <c r="Q130" s="151"/>
      <c r="R130" s="151"/>
      <c r="S130" s="151"/>
      <c r="T130" s="152"/>
      <c r="U130" s="151"/>
      <c r="V130" s="152"/>
      <c r="W130" s="151"/>
    </row>
    <row r="131" spans="2:23" ht="15.75" customHeight="1" x14ac:dyDescent="0.25">
      <c r="B131" s="598" t="s">
        <v>738</v>
      </c>
      <c r="C131" s="537"/>
      <c r="D131" s="537"/>
      <c r="E131" s="537"/>
      <c r="F131" s="537"/>
      <c r="G131" s="537"/>
      <c r="H131" s="537"/>
      <c r="I131" s="537"/>
      <c r="J131" s="537"/>
      <c r="K131" s="538"/>
      <c r="L131" s="6"/>
      <c r="M131" s="6"/>
      <c r="T131" s="21"/>
    </row>
    <row r="132" spans="2:23" ht="15.75" customHeight="1" x14ac:dyDescent="0.25">
      <c r="B132" s="170" t="s">
        <v>239</v>
      </c>
      <c r="C132" s="208"/>
      <c r="D132" s="208"/>
      <c r="E132" s="208"/>
      <c r="F132" s="210"/>
      <c r="G132" s="170" t="s">
        <v>118</v>
      </c>
      <c r="H132" s="155" t="s">
        <v>119</v>
      </c>
      <c r="I132" s="637" t="s">
        <v>319</v>
      </c>
      <c r="J132" s="565"/>
      <c r="K132" s="155" t="s">
        <v>320</v>
      </c>
      <c r="L132" s="6"/>
      <c r="M132" s="6"/>
      <c r="S132" s="38"/>
    </row>
    <row r="133" spans="2:23" ht="15.75" customHeight="1" x14ac:dyDescent="0.25">
      <c r="B133" s="675" t="s">
        <v>522</v>
      </c>
      <c r="C133" s="535"/>
      <c r="D133" s="535"/>
      <c r="E133" s="535"/>
      <c r="F133" s="575"/>
      <c r="G133" s="253">
        <f>H13</f>
        <v>6</v>
      </c>
      <c r="H133" s="171" t="s">
        <v>119</v>
      </c>
      <c r="I133" s="676">
        <v>276034</v>
      </c>
      <c r="J133" s="575"/>
      <c r="K133" s="172">
        <f>I133*G133</f>
        <v>1656204</v>
      </c>
      <c r="L133" s="6"/>
      <c r="M133" s="6"/>
      <c r="T133" s="21"/>
    </row>
    <row r="134" spans="2:23" ht="15.75" customHeight="1" x14ac:dyDescent="0.25">
      <c r="B134" s="571" t="s">
        <v>322</v>
      </c>
      <c r="C134" s="537"/>
      <c r="D134" s="537"/>
      <c r="E134" s="537"/>
      <c r="F134" s="538"/>
      <c r="G134" s="14">
        <v>7</v>
      </c>
      <c r="H134" s="14" t="s">
        <v>323</v>
      </c>
      <c r="I134" s="617"/>
      <c r="J134" s="538"/>
      <c r="K134" s="173"/>
      <c r="L134" s="6"/>
      <c r="M134" s="6"/>
      <c r="T134" s="21"/>
      <c r="V134" s="21"/>
    </row>
    <row r="135" spans="2:23" ht="15.75" customHeight="1" x14ac:dyDescent="0.25">
      <c r="B135" s="571" t="s">
        <v>324</v>
      </c>
      <c r="C135" s="537"/>
      <c r="D135" s="537"/>
      <c r="E135" s="537"/>
      <c r="F135" s="538"/>
      <c r="G135" s="14">
        <v>6</v>
      </c>
      <c r="H135" s="14" t="s">
        <v>323</v>
      </c>
      <c r="I135" s="617"/>
      <c r="J135" s="538"/>
      <c r="K135" s="173"/>
      <c r="L135" s="6"/>
      <c r="M135" s="6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</row>
    <row r="136" spans="2:23" ht="15.75" customHeight="1" x14ac:dyDescent="0.25">
      <c r="B136" s="605" t="s">
        <v>325</v>
      </c>
      <c r="C136" s="537"/>
      <c r="D136" s="537"/>
      <c r="E136" s="537"/>
      <c r="F136" s="538"/>
      <c r="G136" s="14">
        <v>80</v>
      </c>
      <c r="H136" s="14" t="s">
        <v>141</v>
      </c>
      <c r="I136" s="556">
        <f>I133</f>
        <v>276034</v>
      </c>
      <c r="J136" s="538"/>
      <c r="K136" s="60">
        <f>I136*G136/100</f>
        <v>220827.2</v>
      </c>
      <c r="L136" s="6"/>
      <c r="M136" s="6"/>
    </row>
    <row r="137" spans="2:23" ht="15.75" customHeight="1" x14ac:dyDescent="0.25">
      <c r="B137" s="608" t="s">
        <v>326</v>
      </c>
      <c r="C137" s="564"/>
      <c r="D137" s="564"/>
      <c r="E137" s="564"/>
      <c r="F137" s="565"/>
      <c r="G137" s="174">
        <f>G134*12</f>
        <v>84</v>
      </c>
      <c r="H137" s="174" t="s">
        <v>327</v>
      </c>
      <c r="I137" s="657">
        <f>K136</f>
        <v>220827.2</v>
      </c>
      <c r="J137" s="565"/>
      <c r="K137" s="175">
        <f>I137/G137</f>
        <v>2628.8952380952383</v>
      </c>
      <c r="L137" s="6"/>
      <c r="M137" s="6"/>
    </row>
    <row r="138" spans="2:23" ht="15.75" customHeight="1" x14ac:dyDescent="0.25">
      <c r="B138" s="675" t="s">
        <v>740</v>
      </c>
      <c r="C138" s="535"/>
      <c r="D138" s="535"/>
      <c r="E138" s="535"/>
      <c r="F138" s="575"/>
      <c r="G138" s="171">
        <f>G133</f>
        <v>6</v>
      </c>
      <c r="H138" s="171" t="s">
        <v>119</v>
      </c>
      <c r="I138" s="676">
        <f>I133/426344*238560.68</f>
        <v>154454.75658885782</v>
      </c>
      <c r="J138" s="575"/>
      <c r="K138" s="172">
        <f>I138*G138</f>
        <v>926728.53953314689</v>
      </c>
      <c r="L138" s="6"/>
      <c r="M138" s="6"/>
    </row>
    <row r="139" spans="2:23" ht="15.75" customHeight="1" x14ac:dyDescent="0.25">
      <c r="B139" s="571" t="s">
        <v>329</v>
      </c>
      <c r="C139" s="537"/>
      <c r="D139" s="537"/>
      <c r="E139" s="537"/>
      <c r="F139" s="538"/>
      <c r="G139" s="14">
        <v>7</v>
      </c>
      <c r="H139" s="14" t="s">
        <v>323</v>
      </c>
      <c r="I139" s="617"/>
      <c r="J139" s="538"/>
      <c r="K139" s="173"/>
      <c r="L139" s="6"/>
      <c r="M139" s="6"/>
    </row>
    <row r="140" spans="2:23" ht="15.75" customHeight="1" x14ac:dyDescent="0.25">
      <c r="B140" s="571" t="s">
        <v>330</v>
      </c>
      <c r="C140" s="537"/>
      <c r="D140" s="537"/>
      <c r="E140" s="537"/>
      <c r="F140" s="538"/>
      <c r="G140" s="14">
        <v>6</v>
      </c>
      <c r="H140" s="14" t="s">
        <v>323</v>
      </c>
      <c r="I140" s="617"/>
      <c r="J140" s="538"/>
      <c r="K140" s="173"/>
      <c r="L140" s="6"/>
      <c r="M140" s="6"/>
    </row>
    <row r="141" spans="2:23" ht="15.75" customHeight="1" x14ac:dyDescent="0.25">
      <c r="B141" s="605" t="s">
        <v>331</v>
      </c>
      <c r="C141" s="537"/>
      <c r="D141" s="537"/>
      <c r="E141" s="537"/>
      <c r="F141" s="538"/>
      <c r="G141" s="14">
        <v>80</v>
      </c>
      <c r="H141" s="14" t="s">
        <v>141</v>
      </c>
      <c r="I141" s="556">
        <f>I138</f>
        <v>154454.75658885782</v>
      </c>
      <c r="J141" s="538"/>
      <c r="K141" s="60">
        <f>I141*G141/100</f>
        <v>123563.80527108627</v>
      </c>
      <c r="L141" s="6"/>
      <c r="M141" s="6"/>
    </row>
    <row r="142" spans="2:23" ht="15.75" customHeight="1" x14ac:dyDescent="0.25">
      <c r="B142" s="608" t="s">
        <v>332</v>
      </c>
      <c r="C142" s="564"/>
      <c r="D142" s="564"/>
      <c r="E142" s="564"/>
      <c r="F142" s="565"/>
      <c r="G142" s="174">
        <f>G139*12</f>
        <v>84</v>
      </c>
      <c r="H142" s="174" t="s">
        <v>327</v>
      </c>
      <c r="I142" s="657">
        <f>K141</f>
        <v>123563.80527108627</v>
      </c>
      <c r="J142" s="565"/>
      <c r="K142" s="175">
        <f>I142/G142</f>
        <v>1470.997681798646</v>
      </c>
      <c r="L142" s="6"/>
      <c r="M142" s="6"/>
    </row>
    <row r="143" spans="2:23" ht="15.75" customHeight="1" x14ac:dyDescent="0.25">
      <c r="B143" s="677" t="s">
        <v>333</v>
      </c>
      <c r="C143" s="535"/>
      <c r="D143" s="535"/>
      <c r="E143" s="535"/>
      <c r="F143" s="575"/>
      <c r="G143" s="176"/>
      <c r="H143" s="176"/>
      <c r="I143" s="593"/>
      <c r="J143" s="575"/>
      <c r="K143" s="177">
        <f>SUM(K137+K142)</f>
        <v>4099.892919893884</v>
      </c>
      <c r="L143" s="6"/>
      <c r="M143" s="6"/>
    </row>
    <row r="144" spans="2:23" ht="15.75" customHeight="1" x14ac:dyDescent="0.25">
      <c r="B144" s="658" t="s">
        <v>334</v>
      </c>
      <c r="C144" s="537"/>
      <c r="D144" s="537"/>
      <c r="E144" s="537"/>
      <c r="F144" s="538"/>
      <c r="G144" s="61">
        <f>G133</f>
        <v>6</v>
      </c>
      <c r="H144" s="61" t="s">
        <v>335</v>
      </c>
      <c r="I144" s="659">
        <f>K143</f>
        <v>4099.892919893884</v>
      </c>
      <c r="J144" s="538"/>
      <c r="K144" s="51">
        <f>I144*G144</f>
        <v>24599.357519363304</v>
      </c>
      <c r="L144" s="6"/>
      <c r="M144" s="6"/>
    </row>
    <row r="145" spans="2:23" ht="15.75" customHeight="1" x14ac:dyDescent="0.25">
      <c r="L145" s="6"/>
      <c r="M145" s="6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</row>
    <row r="146" spans="2:23" ht="15.75" customHeight="1" x14ac:dyDescent="0.25">
      <c r="B146" s="598" t="s">
        <v>741</v>
      </c>
      <c r="C146" s="537"/>
      <c r="D146" s="537"/>
      <c r="E146" s="537"/>
      <c r="F146" s="537"/>
      <c r="G146" s="537"/>
      <c r="H146" s="537"/>
      <c r="I146" s="537"/>
      <c r="J146" s="537"/>
      <c r="K146" s="538"/>
      <c r="L146" s="6"/>
      <c r="M146" s="6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</row>
    <row r="147" spans="2:23" ht="15" customHeight="1" x14ac:dyDescent="0.25">
      <c r="B147" s="569" t="s">
        <v>239</v>
      </c>
      <c r="C147" s="537"/>
      <c r="D147" s="537"/>
      <c r="E147" s="537"/>
      <c r="F147" s="538"/>
      <c r="G147" s="105" t="s">
        <v>118</v>
      </c>
      <c r="H147" s="61" t="s">
        <v>119</v>
      </c>
      <c r="I147" s="569" t="s">
        <v>319</v>
      </c>
      <c r="J147" s="538"/>
      <c r="K147" s="61" t="s">
        <v>320</v>
      </c>
      <c r="L147" s="6"/>
      <c r="M147" s="6"/>
    </row>
    <row r="148" spans="2:23" ht="15.75" customHeight="1" x14ac:dyDescent="0.25">
      <c r="B148" s="605" t="s">
        <v>549</v>
      </c>
      <c r="C148" s="537"/>
      <c r="D148" s="537"/>
      <c r="E148" s="537"/>
      <c r="F148" s="538"/>
      <c r="G148" s="14">
        <f>G133</f>
        <v>6</v>
      </c>
      <c r="H148" s="14" t="s">
        <v>335</v>
      </c>
      <c r="I148" s="556">
        <f>I133</f>
        <v>276034</v>
      </c>
      <c r="J148" s="538"/>
      <c r="K148" s="60">
        <f>I148*G148</f>
        <v>1656204</v>
      </c>
      <c r="L148" s="6"/>
      <c r="M148" s="64"/>
      <c r="N148" s="148"/>
      <c r="O148" s="148"/>
      <c r="P148" s="148"/>
      <c r="Q148" s="148"/>
      <c r="R148" s="148"/>
      <c r="S148" s="148"/>
      <c r="T148" s="148"/>
      <c r="U148" s="148"/>
      <c r="V148" s="148"/>
      <c r="W148" s="148"/>
    </row>
    <row r="149" spans="2:23" ht="15.75" customHeight="1" x14ac:dyDescent="0.25">
      <c r="B149" s="605" t="s">
        <v>338</v>
      </c>
      <c r="C149" s="537"/>
      <c r="D149" s="537"/>
      <c r="E149" s="537"/>
      <c r="F149" s="538"/>
      <c r="G149" s="73">
        <v>13.75</v>
      </c>
      <c r="H149" s="14" t="s">
        <v>141</v>
      </c>
      <c r="I149" s="617"/>
      <c r="J149" s="538"/>
      <c r="K149" s="60"/>
      <c r="L149" s="6"/>
      <c r="M149" s="64"/>
      <c r="N149" s="148"/>
      <c r="O149" s="148"/>
      <c r="P149" s="148"/>
      <c r="Q149" s="148"/>
      <c r="R149" s="148"/>
      <c r="S149" s="148"/>
      <c r="T149" s="148"/>
      <c r="U149" s="148"/>
      <c r="V149" s="148"/>
      <c r="W149" s="148"/>
    </row>
    <row r="150" spans="2:23" ht="15" customHeight="1" x14ac:dyDescent="0.25">
      <c r="B150" s="605" t="s">
        <v>742</v>
      </c>
      <c r="C150" s="537"/>
      <c r="D150" s="537"/>
      <c r="E150" s="537"/>
      <c r="F150" s="538"/>
      <c r="G150" s="14"/>
      <c r="H150" s="14"/>
      <c r="I150" s="556">
        <f>IFERROR(IF(G135&lt;=G134,I133-(G136/(100*G134)*G135)*I133,I133-K136),0)</f>
        <v>86753.542857142864</v>
      </c>
      <c r="J150" s="538"/>
      <c r="K150" s="60"/>
      <c r="L150" s="6"/>
      <c r="M150" s="64"/>
      <c r="N150" s="148"/>
      <c r="O150" s="148"/>
      <c r="P150" s="148"/>
      <c r="Q150" s="148"/>
      <c r="R150" s="148"/>
      <c r="S150" s="148"/>
      <c r="T150" s="148"/>
      <c r="U150" s="148"/>
      <c r="V150" s="148"/>
      <c r="W150" s="148"/>
    </row>
    <row r="151" spans="2:23" ht="15" customHeight="1" x14ac:dyDescent="0.25">
      <c r="B151" s="605" t="s">
        <v>744</v>
      </c>
      <c r="C151" s="537"/>
      <c r="D151" s="537"/>
      <c r="E151" s="537"/>
      <c r="F151" s="538"/>
      <c r="G151" s="14"/>
      <c r="H151" s="14"/>
      <c r="I151" s="556">
        <f>IFERROR(IF(G135&gt;=G134,I150,((((I150)-(I133-K136))*(((G134-G135)+1)/(2*(G134-G135))))+(I133-K136))),0)</f>
        <v>86753.542857142864</v>
      </c>
      <c r="J151" s="538"/>
      <c r="K151" s="60"/>
      <c r="L151" s="6"/>
      <c r="M151" s="64"/>
      <c r="N151" s="148"/>
      <c r="O151" s="148"/>
      <c r="P151" s="148"/>
      <c r="Q151" s="148"/>
      <c r="R151" s="148"/>
      <c r="S151" s="148"/>
      <c r="T151" s="148"/>
      <c r="U151" s="148"/>
      <c r="V151" s="148"/>
      <c r="W151" s="148"/>
    </row>
    <row r="152" spans="2:23" ht="15" customHeight="1" x14ac:dyDescent="0.25">
      <c r="B152" s="608" t="s">
        <v>747</v>
      </c>
      <c r="C152" s="564"/>
      <c r="D152" s="564"/>
      <c r="E152" s="564"/>
      <c r="F152" s="565"/>
      <c r="G152" s="178"/>
      <c r="H152" s="178"/>
      <c r="I152" s="657">
        <f>G149*I151/12/100</f>
        <v>994.05101190476194</v>
      </c>
      <c r="J152" s="565"/>
      <c r="K152" s="175">
        <f>I152</f>
        <v>994.05101190476194</v>
      </c>
      <c r="L152" s="6"/>
      <c r="M152" s="64"/>
      <c r="N152" s="148"/>
      <c r="O152" s="148"/>
      <c r="P152" s="148"/>
      <c r="Q152" s="148"/>
      <c r="R152" s="148"/>
      <c r="S152" s="148"/>
      <c r="T152" s="148"/>
      <c r="U152" s="148"/>
      <c r="V152" s="148"/>
      <c r="W152" s="148"/>
    </row>
    <row r="153" spans="2:23" ht="15" customHeight="1" x14ac:dyDescent="0.25">
      <c r="B153" s="678" t="s">
        <v>749</v>
      </c>
      <c r="C153" s="544"/>
      <c r="D153" s="544"/>
      <c r="E153" s="544"/>
      <c r="F153" s="579"/>
      <c r="G153" s="171">
        <f>G148</f>
        <v>6</v>
      </c>
      <c r="H153" s="171" t="s">
        <v>335</v>
      </c>
      <c r="I153" s="676">
        <f>I138</f>
        <v>154454.75658885782</v>
      </c>
      <c r="J153" s="575"/>
      <c r="K153" s="172">
        <f>I153*G153</f>
        <v>926728.53953314689</v>
      </c>
      <c r="L153" s="6"/>
      <c r="M153" s="64"/>
      <c r="N153" s="148"/>
      <c r="O153" s="148"/>
      <c r="P153" s="148"/>
      <c r="Q153" s="148"/>
      <c r="R153" s="148"/>
      <c r="S153" s="148"/>
      <c r="T153" s="148"/>
      <c r="U153" s="148"/>
      <c r="V153" s="148"/>
      <c r="W153" s="148"/>
    </row>
    <row r="154" spans="2:23" ht="15" customHeight="1" x14ac:dyDescent="0.25">
      <c r="B154" s="605" t="s">
        <v>338</v>
      </c>
      <c r="C154" s="537"/>
      <c r="D154" s="537"/>
      <c r="E154" s="537"/>
      <c r="F154" s="538"/>
      <c r="G154" s="73">
        <v>13.75</v>
      </c>
      <c r="H154" s="14" t="s">
        <v>141</v>
      </c>
      <c r="I154" s="617"/>
      <c r="J154" s="538"/>
      <c r="K154" s="60"/>
      <c r="L154" s="6"/>
      <c r="M154" s="64"/>
      <c r="N154" s="148"/>
      <c r="O154" s="148"/>
      <c r="P154" s="148"/>
      <c r="Q154" s="148"/>
      <c r="R154" s="148"/>
      <c r="S154" s="148"/>
      <c r="T154" s="148"/>
      <c r="U154" s="148"/>
      <c r="V154" s="148"/>
      <c r="W154" s="148"/>
    </row>
    <row r="155" spans="2:23" ht="15" customHeight="1" x14ac:dyDescent="0.25">
      <c r="B155" s="605" t="s">
        <v>751</v>
      </c>
      <c r="C155" s="537"/>
      <c r="D155" s="537"/>
      <c r="E155" s="537"/>
      <c r="F155" s="538"/>
      <c r="G155" s="14"/>
      <c r="H155" s="14"/>
      <c r="I155" s="556">
        <f>IFERROR(IF(G140&lt;=G139,I138-(G141/(100*G139)*G140)*I138,I138-K141),0)</f>
        <v>48542.923499355311</v>
      </c>
      <c r="J155" s="538"/>
      <c r="K155" s="60"/>
      <c r="L155" s="6"/>
      <c r="M155" s="64"/>
      <c r="N155" s="148"/>
      <c r="O155" s="148"/>
      <c r="P155" s="148"/>
      <c r="Q155" s="148"/>
      <c r="R155" s="148"/>
      <c r="S155" s="148"/>
      <c r="T155" s="148"/>
      <c r="U155" s="148"/>
      <c r="V155" s="148"/>
      <c r="W155" s="148"/>
    </row>
    <row r="156" spans="2:23" ht="15" customHeight="1" x14ac:dyDescent="0.25">
      <c r="B156" s="605" t="s">
        <v>754</v>
      </c>
      <c r="C156" s="537"/>
      <c r="D156" s="537"/>
      <c r="E156" s="537"/>
      <c r="F156" s="538"/>
      <c r="G156" s="14"/>
      <c r="H156" s="14"/>
      <c r="I156" s="556">
        <f>IFERROR(IF(G140&gt;=G139,I155,((((I155)-(I138-K141))*(((G139-G140)+1)/(2*(G139-G140))))+(I138-K141))),0)</f>
        <v>48542.923499355311</v>
      </c>
      <c r="J156" s="538"/>
      <c r="K156" s="60"/>
      <c r="L156" s="6"/>
      <c r="M156" s="64"/>
      <c r="N156" s="148"/>
      <c r="O156" s="148"/>
      <c r="P156" s="148"/>
      <c r="Q156" s="148"/>
      <c r="R156" s="148"/>
      <c r="S156" s="148"/>
      <c r="T156" s="148"/>
      <c r="U156" s="148"/>
      <c r="V156" s="148"/>
      <c r="W156" s="148"/>
    </row>
    <row r="157" spans="2:23" ht="15" customHeight="1" x14ac:dyDescent="0.25">
      <c r="B157" s="608" t="s">
        <v>756</v>
      </c>
      <c r="C157" s="564"/>
      <c r="D157" s="564"/>
      <c r="E157" s="564"/>
      <c r="F157" s="565"/>
      <c r="G157" s="178"/>
      <c r="H157" s="178"/>
      <c r="I157" s="657">
        <f>G154*I156/12/100</f>
        <v>556.22099843011301</v>
      </c>
      <c r="J157" s="565"/>
      <c r="K157" s="175">
        <f>I157</f>
        <v>556.22099843011301</v>
      </c>
      <c r="L157" s="6"/>
      <c r="M157" s="64"/>
      <c r="N157" s="148"/>
      <c r="O157" s="148"/>
      <c r="P157" s="148"/>
      <c r="Q157" s="148"/>
      <c r="R157" s="148"/>
      <c r="S157" s="148"/>
      <c r="T157" s="148"/>
      <c r="U157" s="148"/>
      <c r="V157" s="148"/>
      <c r="W157" s="148"/>
    </row>
    <row r="158" spans="2:23" ht="15" customHeight="1" x14ac:dyDescent="0.25">
      <c r="B158" s="677" t="s">
        <v>348</v>
      </c>
      <c r="C158" s="535"/>
      <c r="D158" s="535"/>
      <c r="E158" s="535"/>
      <c r="F158" s="575"/>
      <c r="G158" s="176"/>
      <c r="H158" s="176"/>
      <c r="I158" s="593"/>
      <c r="J158" s="575"/>
      <c r="K158" s="177">
        <f>SUM(K152+K157)</f>
        <v>1550.2720103348749</v>
      </c>
      <c r="L158" s="6"/>
      <c r="M158" s="64"/>
      <c r="N158" s="148"/>
      <c r="O158" s="148"/>
      <c r="P158" s="148"/>
      <c r="Q158" s="148"/>
      <c r="R158" s="148"/>
      <c r="S158" s="148"/>
      <c r="T158" s="148"/>
      <c r="U158" s="148"/>
      <c r="V158" s="148"/>
      <c r="W158" s="148"/>
    </row>
    <row r="159" spans="2:23" ht="15" customHeight="1" x14ac:dyDescent="0.25">
      <c r="B159" s="658" t="s">
        <v>349</v>
      </c>
      <c r="C159" s="537"/>
      <c r="D159" s="537"/>
      <c r="E159" s="537"/>
      <c r="F159" s="538"/>
      <c r="G159" s="61">
        <f>G148</f>
        <v>6</v>
      </c>
      <c r="H159" s="61" t="s">
        <v>335</v>
      </c>
      <c r="I159" s="659">
        <f>K158</f>
        <v>1550.2720103348749</v>
      </c>
      <c r="J159" s="538"/>
      <c r="K159" s="51">
        <f>I159*G159</f>
        <v>9301.6320620092501</v>
      </c>
      <c r="L159" s="6"/>
      <c r="M159" s="64"/>
      <c r="N159" s="148"/>
      <c r="O159" s="148"/>
      <c r="P159" s="148"/>
      <c r="Q159" s="148"/>
      <c r="R159" s="148"/>
      <c r="S159" s="148"/>
      <c r="T159" s="148"/>
      <c r="U159" s="148"/>
      <c r="V159" s="148"/>
      <c r="W159" s="148"/>
    </row>
    <row r="160" spans="2:23" ht="15" customHeight="1" x14ac:dyDescent="0.25">
      <c r="B160" s="623" t="s">
        <v>762</v>
      </c>
      <c r="C160" s="542"/>
      <c r="D160" s="542"/>
      <c r="E160" s="542"/>
      <c r="F160" s="542"/>
      <c r="G160" s="542"/>
      <c r="H160" s="542"/>
      <c r="I160" s="542"/>
      <c r="J160" s="542"/>
      <c r="K160" s="577"/>
      <c r="L160" s="6"/>
      <c r="M160" s="64"/>
      <c r="N160" s="148"/>
      <c r="O160" s="148"/>
      <c r="P160" s="148"/>
      <c r="Q160" s="148"/>
      <c r="R160" s="148"/>
      <c r="S160" s="148"/>
      <c r="T160" s="148"/>
      <c r="U160" s="148"/>
      <c r="V160" s="148"/>
      <c r="W160" s="148"/>
    </row>
    <row r="161" spans="2:23" ht="15" customHeight="1" x14ac:dyDescent="0.25">
      <c r="B161" s="624"/>
      <c r="C161" s="625"/>
      <c r="D161" s="625"/>
      <c r="E161" s="625"/>
      <c r="F161" s="625"/>
      <c r="G161" s="625"/>
      <c r="H161" s="625"/>
      <c r="I161" s="625"/>
      <c r="J161" s="625"/>
      <c r="K161" s="626"/>
      <c r="L161" s="6"/>
      <c r="M161" s="64"/>
      <c r="N161" s="148"/>
      <c r="O161" s="148"/>
      <c r="P161" s="148"/>
      <c r="Q161" s="148"/>
      <c r="R161" s="148"/>
      <c r="S161" s="148"/>
      <c r="T161" s="148"/>
      <c r="U161" s="148"/>
      <c r="V161" s="148"/>
      <c r="W161" s="148"/>
    </row>
    <row r="162" spans="2:23" ht="15" customHeight="1" x14ac:dyDescent="0.25">
      <c r="B162" s="578"/>
      <c r="C162" s="544"/>
      <c r="D162" s="544"/>
      <c r="E162" s="544"/>
      <c r="F162" s="544"/>
      <c r="G162" s="544"/>
      <c r="H162" s="544"/>
      <c r="I162" s="544"/>
      <c r="J162" s="544"/>
      <c r="K162" s="579"/>
      <c r="L162" s="6"/>
      <c r="M162" s="64"/>
      <c r="N162" s="148"/>
      <c r="O162" s="148"/>
      <c r="P162" s="148"/>
      <c r="Q162" s="148"/>
      <c r="R162" s="148"/>
      <c r="S162" s="148"/>
      <c r="T162" s="148"/>
      <c r="U162" s="148"/>
      <c r="V162" s="148"/>
      <c r="W162" s="148"/>
    </row>
    <row r="163" spans="2:23" ht="15.75" customHeight="1" x14ac:dyDescent="0.25">
      <c r="B163" s="179"/>
      <c r="C163" s="179"/>
      <c r="D163" s="179"/>
      <c r="E163" s="179"/>
      <c r="F163" s="179"/>
      <c r="G163" s="38"/>
      <c r="H163" s="38"/>
      <c r="I163" s="38"/>
      <c r="J163" s="38"/>
      <c r="K163" s="169"/>
      <c r="L163" s="6"/>
      <c r="M163" s="64"/>
      <c r="N163" s="148"/>
      <c r="O163" s="148"/>
      <c r="P163" s="148"/>
      <c r="Q163" s="148"/>
      <c r="R163" s="148"/>
      <c r="S163" s="148"/>
      <c r="T163" s="148"/>
      <c r="U163" s="148"/>
      <c r="V163" s="148"/>
      <c r="W163" s="148"/>
    </row>
    <row r="164" spans="2:23" ht="15" customHeight="1" x14ac:dyDescent="0.25">
      <c r="B164" s="598" t="s">
        <v>764</v>
      </c>
      <c r="C164" s="537"/>
      <c r="D164" s="537"/>
      <c r="E164" s="537"/>
      <c r="F164" s="537"/>
      <c r="G164" s="537"/>
      <c r="H164" s="537"/>
      <c r="I164" s="537"/>
      <c r="J164" s="537"/>
      <c r="K164" s="538"/>
      <c r="L164" s="6"/>
      <c r="M164" s="599"/>
      <c r="N164" s="148"/>
      <c r="O164" s="148"/>
      <c r="P164" s="148"/>
      <c r="Q164" s="148"/>
      <c r="R164" s="148"/>
      <c r="S164" s="148"/>
      <c r="T164" s="148"/>
      <c r="U164" s="148"/>
      <c r="V164" s="148"/>
      <c r="W164" s="148"/>
    </row>
    <row r="165" spans="2:23" ht="15" customHeight="1" x14ac:dyDescent="0.25">
      <c r="B165" s="569" t="s">
        <v>239</v>
      </c>
      <c r="C165" s="537"/>
      <c r="D165" s="537"/>
      <c r="E165" s="537"/>
      <c r="F165" s="538"/>
      <c r="G165" s="105" t="s">
        <v>118</v>
      </c>
      <c r="H165" s="61" t="s">
        <v>119</v>
      </c>
      <c r="I165" s="569" t="s">
        <v>319</v>
      </c>
      <c r="J165" s="538"/>
      <c r="K165" s="61" t="s">
        <v>354</v>
      </c>
      <c r="L165" s="6"/>
      <c r="M165" s="600"/>
      <c r="N165" s="148"/>
      <c r="O165" s="148"/>
      <c r="P165" s="148"/>
      <c r="Q165" s="148"/>
      <c r="R165" s="148"/>
      <c r="S165" s="148"/>
      <c r="T165" s="148"/>
      <c r="U165" s="148"/>
      <c r="V165" s="148"/>
      <c r="W165" s="148"/>
    </row>
    <row r="166" spans="2:23" ht="15" customHeight="1" x14ac:dyDescent="0.25">
      <c r="B166" s="571" t="s">
        <v>355</v>
      </c>
      <c r="C166" s="537"/>
      <c r="D166" s="537"/>
      <c r="E166" s="537"/>
      <c r="F166" s="538"/>
      <c r="G166" s="14">
        <f>G159</f>
        <v>6</v>
      </c>
      <c r="H166" s="14" t="s">
        <v>335</v>
      </c>
      <c r="I166" s="556">
        <f>I133*0.01</f>
        <v>2760.34</v>
      </c>
      <c r="J166" s="538"/>
      <c r="K166" s="60">
        <f t="shared" ref="K166:K167" si="13">(I166*G166)/12</f>
        <v>1380.17</v>
      </c>
      <c r="L166" s="6"/>
      <c r="M166" s="600"/>
      <c r="N166" s="148"/>
      <c r="O166" s="148"/>
      <c r="P166" s="148"/>
      <c r="Q166" s="148"/>
      <c r="R166" s="148"/>
      <c r="S166" s="148"/>
      <c r="T166" s="148"/>
      <c r="U166" s="148"/>
      <c r="V166" s="148"/>
      <c r="W166" s="148"/>
    </row>
    <row r="167" spans="2:23" ht="15.75" customHeight="1" x14ac:dyDescent="0.25">
      <c r="B167" s="571" t="s">
        <v>356</v>
      </c>
      <c r="C167" s="537"/>
      <c r="D167" s="537"/>
      <c r="E167" s="537"/>
      <c r="F167" s="538"/>
      <c r="G167" s="14">
        <f t="shared" ref="G167:G171" si="14">G166</f>
        <v>6</v>
      </c>
      <c r="H167" s="14" t="s">
        <v>335</v>
      </c>
      <c r="I167" s="556">
        <v>109.27</v>
      </c>
      <c r="J167" s="538"/>
      <c r="K167" s="60">
        <f t="shared" si="13"/>
        <v>54.634999999999998</v>
      </c>
      <c r="L167" s="6"/>
      <c r="M167" s="600"/>
    </row>
    <row r="168" spans="2:23" ht="15.75" customHeight="1" x14ac:dyDescent="0.25">
      <c r="B168" s="605" t="s">
        <v>524</v>
      </c>
      <c r="C168" s="537"/>
      <c r="D168" s="537"/>
      <c r="E168" s="537"/>
      <c r="F168" s="538"/>
      <c r="G168" s="14">
        <f t="shared" si="14"/>
        <v>6</v>
      </c>
      <c r="H168" s="14" t="s">
        <v>335</v>
      </c>
      <c r="I168" s="556">
        <v>0</v>
      </c>
      <c r="J168" s="538"/>
      <c r="K168" s="60">
        <f>(I168*G168)/60</f>
        <v>0</v>
      </c>
      <c r="L168" s="6"/>
      <c r="M168" s="600"/>
      <c r="N168" s="148"/>
      <c r="O168" s="148"/>
      <c r="P168" s="148"/>
      <c r="Q168" s="148"/>
      <c r="R168" s="148"/>
      <c r="S168" s="148"/>
      <c r="T168" s="148"/>
      <c r="U168" s="148"/>
      <c r="V168" s="148"/>
      <c r="W168" s="148"/>
    </row>
    <row r="169" spans="2:23" ht="15.75" customHeight="1" x14ac:dyDescent="0.25">
      <c r="B169" s="571" t="s">
        <v>358</v>
      </c>
      <c r="C169" s="537"/>
      <c r="D169" s="537"/>
      <c r="E169" s="537"/>
      <c r="F169" s="538"/>
      <c r="G169" s="14">
        <f t="shared" si="14"/>
        <v>6</v>
      </c>
      <c r="H169" s="14" t="s">
        <v>335</v>
      </c>
      <c r="I169" s="556">
        <f>'10 - CUSTOS UN'!$J$255</f>
        <v>2750.0266666666666</v>
      </c>
      <c r="J169" s="538"/>
      <c r="K169" s="60">
        <f>(I169/12)*G169</f>
        <v>1375.0133333333333</v>
      </c>
      <c r="L169" s="6"/>
      <c r="M169" s="600"/>
      <c r="N169" s="148"/>
      <c r="O169" s="148"/>
      <c r="P169" s="148"/>
      <c r="Q169" s="148"/>
      <c r="R169" s="148"/>
      <c r="S169" s="148"/>
      <c r="T169" s="148"/>
      <c r="U169" s="148"/>
      <c r="V169" s="148"/>
      <c r="W169" s="148"/>
    </row>
    <row r="170" spans="2:23" ht="15.75" customHeight="1" x14ac:dyDescent="0.25">
      <c r="B170" s="571" t="s">
        <v>359</v>
      </c>
      <c r="C170" s="537"/>
      <c r="D170" s="537"/>
      <c r="E170" s="537"/>
      <c r="F170" s="538"/>
      <c r="G170" s="14">
        <f t="shared" si="14"/>
        <v>6</v>
      </c>
      <c r="H170" s="14" t="s">
        <v>335</v>
      </c>
      <c r="I170" s="556">
        <f>'10 - CUSTOS UN'!$J$233</f>
        <v>57.093333333333334</v>
      </c>
      <c r="J170" s="538"/>
      <c r="K170" s="60">
        <f t="shared" ref="K170:K171" si="15">I170*G170</f>
        <v>342.56</v>
      </c>
      <c r="L170" s="6"/>
      <c r="M170" s="600"/>
      <c r="N170" s="65"/>
      <c r="O170" s="65"/>
      <c r="P170" s="65"/>
      <c r="Q170" s="65"/>
      <c r="R170" s="148"/>
      <c r="S170" s="148"/>
      <c r="T170" s="148"/>
      <c r="U170" s="148"/>
      <c r="V170" s="148"/>
      <c r="W170" s="148"/>
    </row>
    <row r="171" spans="2:23" ht="15.75" customHeight="1" x14ac:dyDescent="0.25">
      <c r="B171" s="628" t="s">
        <v>360</v>
      </c>
      <c r="C171" s="611"/>
      <c r="D171" s="611"/>
      <c r="E171" s="611"/>
      <c r="F171" s="612"/>
      <c r="G171" s="181">
        <f t="shared" si="14"/>
        <v>6</v>
      </c>
      <c r="H171" s="181" t="s">
        <v>119</v>
      </c>
      <c r="I171" s="629">
        <f>SUM(K166:K170)/G171</f>
        <v>525.39638888888896</v>
      </c>
      <c r="J171" s="612"/>
      <c r="K171" s="184">
        <f t="shared" si="15"/>
        <v>3152.378333333334</v>
      </c>
      <c r="L171" s="6"/>
      <c r="M171" s="60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</row>
    <row r="172" spans="2:23" ht="15.75" customHeight="1" x14ac:dyDescent="0.25">
      <c r="L172" s="6"/>
      <c r="M172" s="6"/>
    </row>
    <row r="173" spans="2:23" ht="15.75" customHeight="1" x14ac:dyDescent="0.25">
      <c r="B173" s="598" t="s">
        <v>769</v>
      </c>
      <c r="C173" s="537"/>
      <c r="D173" s="537"/>
      <c r="E173" s="537"/>
      <c r="F173" s="537"/>
      <c r="G173" s="537"/>
      <c r="H173" s="537"/>
      <c r="I173" s="537"/>
      <c r="J173" s="537"/>
      <c r="K173" s="538"/>
      <c r="L173" s="6"/>
      <c r="M173" s="6"/>
      <c r="T173" s="151"/>
      <c r="U173" s="151"/>
      <c r="V173" s="151"/>
      <c r="W173" s="151"/>
    </row>
    <row r="174" spans="2:23" ht="15.75" customHeight="1" x14ac:dyDescent="0.25">
      <c r="B174" s="637" t="s">
        <v>239</v>
      </c>
      <c r="C174" s="564"/>
      <c r="D174" s="564"/>
      <c r="E174" s="564"/>
      <c r="F174" s="565"/>
      <c r="G174" s="170" t="s">
        <v>118</v>
      </c>
      <c r="H174" s="155" t="s">
        <v>119</v>
      </c>
      <c r="I174" s="637" t="s">
        <v>319</v>
      </c>
      <c r="J174" s="565"/>
      <c r="K174" s="155" t="s">
        <v>275</v>
      </c>
      <c r="L174" s="6"/>
      <c r="M174" s="6"/>
    </row>
    <row r="175" spans="2:23" ht="15.75" customHeight="1" x14ac:dyDescent="0.25">
      <c r="B175" s="675" t="s">
        <v>363</v>
      </c>
      <c r="C175" s="535"/>
      <c r="D175" s="535"/>
      <c r="E175" s="535"/>
      <c r="F175" s="575"/>
      <c r="G175" s="186">
        <f>15600/6</f>
        <v>2600</v>
      </c>
      <c r="H175" s="14" t="s">
        <v>364</v>
      </c>
      <c r="I175" s="681"/>
      <c r="J175" s="575"/>
      <c r="K175" s="16"/>
      <c r="L175" s="6"/>
      <c r="M175" s="6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</row>
    <row r="176" spans="2:23" ht="15.75" customHeight="1" x14ac:dyDescent="0.25">
      <c r="B176" s="571" t="s">
        <v>365</v>
      </c>
      <c r="C176" s="537"/>
      <c r="D176" s="537"/>
      <c r="E176" s="537"/>
      <c r="F176" s="538"/>
      <c r="G176" s="14">
        <v>2</v>
      </c>
      <c r="H176" s="14" t="s">
        <v>367</v>
      </c>
      <c r="I176" s="682"/>
      <c r="J176" s="538"/>
      <c r="K176" s="187"/>
      <c r="L176" s="6"/>
      <c r="M176" s="6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</row>
    <row r="177" spans="2:23" ht="15.75" customHeight="1" x14ac:dyDescent="0.25">
      <c r="B177" s="571" t="s">
        <v>770</v>
      </c>
      <c r="C177" s="537"/>
      <c r="D177" s="537"/>
      <c r="E177" s="537"/>
      <c r="F177" s="538"/>
      <c r="G177" s="14">
        <v>1</v>
      </c>
      <c r="H177" s="14" t="s">
        <v>369</v>
      </c>
      <c r="I177" s="556">
        <v>7.48</v>
      </c>
      <c r="J177" s="538"/>
      <c r="K177" s="60"/>
      <c r="L177" s="6"/>
      <c r="M177" s="6"/>
    </row>
    <row r="178" spans="2:23" ht="15.75" customHeight="1" x14ac:dyDescent="0.25">
      <c r="B178" s="684" t="s">
        <v>371</v>
      </c>
      <c r="C178" s="564"/>
      <c r="D178" s="564"/>
      <c r="E178" s="564"/>
      <c r="F178" s="565"/>
      <c r="G178" s="188">
        <f>G175/G176</f>
        <v>1300</v>
      </c>
      <c r="H178" s="174" t="s">
        <v>372</v>
      </c>
      <c r="I178" s="657">
        <f>I177</f>
        <v>7.48</v>
      </c>
      <c r="J178" s="565"/>
      <c r="K178" s="175">
        <f t="shared" ref="K178:K179" si="16">I178*G178</f>
        <v>9724</v>
      </c>
      <c r="L178" s="6"/>
      <c r="M178" s="6"/>
      <c r="T178" s="151"/>
      <c r="U178" s="151"/>
      <c r="V178" s="151"/>
      <c r="W178" s="151"/>
    </row>
    <row r="179" spans="2:23" ht="15.75" customHeight="1" x14ac:dyDescent="0.25">
      <c r="B179" s="628" t="s">
        <v>374</v>
      </c>
      <c r="C179" s="611"/>
      <c r="D179" s="611"/>
      <c r="E179" s="611"/>
      <c r="F179" s="612"/>
      <c r="G179" s="181">
        <f>G171</f>
        <v>6</v>
      </c>
      <c r="H179" s="181" t="s">
        <v>119</v>
      </c>
      <c r="I179" s="629">
        <f>K178</f>
        <v>9724</v>
      </c>
      <c r="J179" s="612"/>
      <c r="K179" s="184">
        <f t="shared" si="16"/>
        <v>58344</v>
      </c>
      <c r="L179" s="6"/>
      <c r="M179" s="6"/>
    </row>
    <row r="180" spans="2:23" ht="15" customHeight="1" x14ac:dyDescent="0.25">
      <c r="B180" s="685" t="s">
        <v>376</v>
      </c>
      <c r="C180" s="537"/>
      <c r="D180" s="537"/>
      <c r="E180" s="537"/>
      <c r="F180" s="537"/>
      <c r="G180" s="537"/>
      <c r="H180" s="537"/>
      <c r="I180" s="537"/>
      <c r="J180" s="537"/>
      <c r="K180" s="538"/>
      <c r="L180" s="6"/>
      <c r="M180" s="6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</row>
    <row r="181" spans="2:23" ht="15.75" customHeight="1" x14ac:dyDescent="0.25">
      <c r="B181" s="151"/>
      <c r="C181" s="151"/>
      <c r="D181" s="151"/>
      <c r="E181" s="151"/>
      <c r="F181" s="151"/>
      <c r="G181" s="1"/>
      <c r="H181" s="1"/>
      <c r="I181" s="152"/>
      <c r="J181" s="152"/>
      <c r="K181" s="189"/>
      <c r="L181" s="6"/>
      <c r="M181" s="6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</row>
    <row r="182" spans="2:23" ht="15.75" customHeight="1" x14ac:dyDescent="0.25">
      <c r="B182" s="598" t="s">
        <v>771</v>
      </c>
      <c r="C182" s="537"/>
      <c r="D182" s="537"/>
      <c r="E182" s="537"/>
      <c r="F182" s="537"/>
      <c r="G182" s="537"/>
      <c r="H182" s="537"/>
      <c r="I182" s="537"/>
      <c r="J182" s="537"/>
      <c r="K182" s="538"/>
      <c r="L182" s="6"/>
      <c r="M182" s="6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</row>
    <row r="183" spans="2:23" ht="15.75" customHeight="1" x14ac:dyDescent="0.25">
      <c r="B183" s="637" t="s">
        <v>239</v>
      </c>
      <c r="C183" s="564"/>
      <c r="D183" s="564"/>
      <c r="E183" s="564"/>
      <c r="F183" s="565"/>
      <c r="G183" s="170" t="s">
        <v>118</v>
      </c>
      <c r="H183" s="155" t="s">
        <v>119</v>
      </c>
      <c r="I183" s="637" t="s">
        <v>319</v>
      </c>
      <c r="J183" s="565"/>
      <c r="K183" s="155" t="s">
        <v>320</v>
      </c>
      <c r="L183" s="6"/>
      <c r="M183" s="6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</row>
    <row r="184" spans="2:23" ht="15.75" customHeight="1" x14ac:dyDescent="0.25">
      <c r="B184" s="675" t="s">
        <v>381</v>
      </c>
      <c r="C184" s="535"/>
      <c r="D184" s="535"/>
      <c r="E184" s="535"/>
      <c r="F184" s="575"/>
      <c r="G184" s="14">
        <v>2</v>
      </c>
      <c r="H184" s="14" t="s">
        <v>382</v>
      </c>
      <c r="I184" s="676">
        <f>'10 - CUSTOS UN'!$J$216</f>
        <v>20.973333333333333</v>
      </c>
      <c r="J184" s="575"/>
      <c r="K184" s="60">
        <f t="shared" ref="K184:K185" si="17">I184*G184</f>
        <v>41.946666666666665</v>
      </c>
      <c r="L184" s="6"/>
      <c r="M184" s="6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</row>
    <row r="185" spans="2:23" ht="15.75" customHeight="1" x14ac:dyDescent="0.25">
      <c r="B185" s="679" t="s">
        <v>384</v>
      </c>
      <c r="C185" s="537"/>
      <c r="D185" s="537"/>
      <c r="E185" s="537"/>
      <c r="F185" s="538"/>
      <c r="G185" s="192">
        <f>G175</f>
        <v>2600</v>
      </c>
      <c r="H185" s="17" t="s">
        <v>364</v>
      </c>
      <c r="I185" s="680">
        <f>K184/1000</f>
        <v>4.1946666666666667E-2</v>
      </c>
      <c r="J185" s="538"/>
      <c r="K185" s="193">
        <f t="shared" si="17"/>
        <v>109.06133333333334</v>
      </c>
      <c r="L185" s="6"/>
      <c r="M185" s="6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</row>
    <row r="186" spans="2:23" ht="15.75" customHeight="1" x14ac:dyDescent="0.25">
      <c r="B186" s="571" t="s">
        <v>387</v>
      </c>
      <c r="C186" s="537"/>
      <c r="D186" s="537"/>
      <c r="E186" s="537"/>
      <c r="F186" s="538"/>
      <c r="G186" s="171">
        <v>0.5</v>
      </c>
      <c r="H186" s="14" t="s">
        <v>382</v>
      </c>
      <c r="I186" s="556">
        <f>'10 - CUSTOS UN'!$J$219</f>
        <v>34.336666666666666</v>
      </c>
      <c r="J186" s="538"/>
      <c r="K186" s="60">
        <f>G186*I186</f>
        <v>17.168333333333333</v>
      </c>
      <c r="L186" s="6"/>
      <c r="M186" s="6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</row>
    <row r="187" spans="2:23" ht="15.75" customHeight="1" x14ac:dyDescent="0.25">
      <c r="B187" s="679" t="s">
        <v>390</v>
      </c>
      <c r="C187" s="537"/>
      <c r="D187" s="537"/>
      <c r="E187" s="537"/>
      <c r="F187" s="538"/>
      <c r="G187" s="192">
        <f>G175</f>
        <v>2600</v>
      </c>
      <c r="H187" s="17" t="s">
        <v>364</v>
      </c>
      <c r="I187" s="680">
        <f>K186/1000</f>
        <v>1.7168333333333334E-2</v>
      </c>
      <c r="J187" s="538"/>
      <c r="K187" s="193">
        <f t="shared" ref="K187:K188" si="18">I187*G187</f>
        <v>44.637666666666668</v>
      </c>
      <c r="L187" s="6"/>
      <c r="M187" s="6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</row>
    <row r="188" spans="2:23" ht="15.75" customHeight="1" x14ac:dyDescent="0.25">
      <c r="B188" s="571" t="s">
        <v>392</v>
      </c>
      <c r="C188" s="537"/>
      <c r="D188" s="537"/>
      <c r="E188" s="537"/>
      <c r="F188" s="538"/>
      <c r="G188" s="200">
        <f>I189/I188*1000</f>
        <v>6.4102564102564106</v>
      </c>
      <c r="H188" s="14" t="s">
        <v>382</v>
      </c>
      <c r="I188" s="556">
        <f>'10 - CUSTOS UN'!$J$225</f>
        <v>25.786666666666665</v>
      </c>
      <c r="J188" s="538"/>
      <c r="K188" s="60">
        <f t="shared" si="18"/>
        <v>165.29914529914529</v>
      </c>
      <c r="L188" s="6"/>
      <c r="M188" s="6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</row>
    <row r="189" spans="2:23" ht="15.75" customHeight="1" x14ac:dyDescent="0.25">
      <c r="B189" s="679" t="s">
        <v>395</v>
      </c>
      <c r="C189" s="537"/>
      <c r="D189" s="537"/>
      <c r="E189" s="537"/>
      <c r="F189" s="538"/>
      <c r="G189" s="192">
        <f>G175</f>
        <v>2600</v>
      </c>
      <c r="H189" s="17" t="s">
        <v>364</v>
      </c>
      <c r="I189" s="680">
        <f>K189/G189</f>
        <v>0.1652991452991453</v>
      </c>
      <c r="J189" s="538"/>
      <c r="K189" s="193">
        <f>200/12*I188</f>
        <v>429.77777777777777</v>
      </c>
      <c r="L189" s="6"/>
      <c r="M189" s="64"/>
      <c r="N189" s="148"/>
      <c r="O189" s="148"/>
      <c r="P189" s="148"/>
      <c r="Q189" s="148"/>
      <c r="R189" s="148"/>
      <c r="S189" s="148"/>
      <c r="T189" s="148"/>
      <c r="U189" s="148"/>
      <c r="V189" s="148"/>
      <c r="W189" s="148"/>
    </row>
    <row r="190" spans="2:23" ht="15.75" customHeight="1" x14ac:dyDescent="0.25">
      <c r="B190" s="571" t="s">
        <v>397</v>
      </c>
      <c r="C190" s="537"/>
      <c r="D190" s="537"/>
      <c r="E190" s="537"/>
      <c r="F190" s="538"/>
      <c r="G190" s="14">
        <v>2</v>
      </c>
      <c r="H190" s="14" t="s">
        <v>398</v>
      </c>
      <c r="I190" s="556">
        <f>'10 - CUSTOS UN'!$J$228</f>
        <v>43.276666666666664</v>
      </c>
      <c r="J190" s="538"/>
      <c r="K190" s="60">
        <f t="shared" ref="K190:K192" si="19">I190*G190</f>
        <v>86.553333333333327</v>
      </c>
      <c r="L190" s="6"/>
      <c r="M190" s="64"/>
      <c r="N190" s="65"/>
      <c r="O190" s="65"/>
      <c r="P190" s="65"/>
      <c r="Q190" s="65"/>
      <c r="R190" s="148"/>
      <c r="S190" s="148"/>
      <c r="T190" s="148"/>
      <c r="U190" s="148"/>
      <c r="V190" s="148"/>
      <c r="W190" s="148"/>
    </row>
    <row r="191" spans="2:23" ht="15.75" customHeight="1" x14ac:dyDescent="0.25">
      <c r="B191" s="684" t="s">
        <v>399</v>
      </c>
      <c r="C191" s="564"/>
      <c r="D191" s="564"/>
      <c r="E191" s="564"/>
      <c r="F191" s="565"/>
      <c r="G191" s="188">
        <f>G175</f>
        <v>2600</v>
      </c>
      <c r="H191" s="174" t="s">
        <v>364</v>
      </c>
      <c r="I191" s="657">
        <f>K190/1000</f>
        <v>8.6553333333333329E-2</v>
      </c>
      <c r="J191" s="565"/>
      <c r="K191" s="175">
        <f t="shared" si="19"/>
        <v>225.03866666666664</v>
      </c>
      <c r="L191" s="6"/>
      <c r="M191" s="6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</row>
    <row r="192" spans="2:23" ht="15.75" customHeight="1" x14ac:dyDescent="0.25">
      <c r="B192" s="628" t="s">
        <v>401</v>
      </c>
      <c r="C192" s="611"/>
      <c r="D192" s="611"/>
      <c r="E192" s="611"/>
      <c r="F192" s="612"/>
      <c r="G192" s="181">
        <f>G179</f>
        <v>6</v>
      </c>
      <c r="H192" s="181" t="s">
        <v>119</v>
      </c>
      <c r="I192" s="629">
        <f>SUM(K185,K187,K189,K191)</f>
        <v>808.51544444444448</v>
      </c>
      <c r="J192" s="612"/>
      <c r="K192" s="184">
        <f t="shared" si="19"/>
        <v>4851.0926666666674</v>
      </c>
      <c r="L192" s="6"/>
      <c r="M192" s="6"/>
    </row>
    <row r="193" spans="2:23" ht="15.75" customHeight="1" x14ac:dyDescent="0.25">
      <c r="B193" s="148"/>
      <c r="C193" s="148"/>
      <c r="D193" s="148"/>
      <c r="E193" s="148"/>
      <c r="F193" s="148"/>
      <c r="G193" s="148"/>
      <c r="H193" s="148"/>
      <c r="I193" s="148"/>
      <c r="J193" s="148"/>
      <c r="K193" s="148"/>
      <c r="L193" s="6"/>
      <c r="M193" s="6"/>
      <c r="N193" s="151"/>
      <c r="O193" s="151"/>
      <c r="P193" s="151"/>
      <c r="Q193" s="151"/>
      <c r="R193" s="151"/>
      <c r="S193" s="151"/>
      <c r="T193" s="151"/>
      <c r="U193" s="151"/>
      <c r="V193" s="151"/>
      <c r="W193" s="151"/>
    </row>
    <row r="194" spans="2:23" ht="15.75" customHeight="1" x14ac:dyDescent="0.25">
      <c r="B194" s="598" t="s">
        <v>773</v>
      </c>
      <c r="C194" s="537"/>
      <c r="D194" s="537"/>
      <c r="E194" s="537"/>
      <c r="F194" s="537"/>
      <c r="G194" s="537"/>
      <c r="H194" s="537"/>
      <c r="I194" s="537"/>
      <c r="J194" s="537"/>
      <c r="K194" s="538"/>
      <c r="L194" s="6"/>
      <c r="M194" s="6"/>
    </row>
    <row r="195" spans="2:23" ht="15.75" customHeight="1" x14ac:dyDescent="0.25">
      <c r="B195" s="637" t="s">
        <v>239</v>
      </c>
      <c r="C195" s="564"/>
      <c r="D195" s="564"/>
      <c r="E195" s="564"/>
      <c r="F195" s="565"/>
      <c r="G195" s="170" t="s">
        <v>118</v>
      </c>
      <c r="H195" s="155" t="s">
        <v>119</v>
      </c>
      <c r="I195" s="637" t="s">
        <v>319</v>
      </c>
      <c r="J195" s="565"/>
      <c r="K195" s="155" t="s">
        <v>320</v>
      </c>
      <c r="L195" s="6"/>
      <c r="M195" s="6"/>
      <c r="N195" s="151"/>
      <c r="O195" s="151"/>
      <c r="P195" s="151"/>
      <c r="Q195" s="151"/>
      <c r="R195" s="151"/>
      <c r="S195" s="151"/>
      <c r="T195" s="151"/>
      <c r="U195" s="151"/>
      <c r="V195" s="151"/>
      <c r="W195" s="151"/>
    </row>
    <row r="196" spans="2:23" ht="15.75" customHeight="1" x14ac:dyDescent="0.25">
      <c r="B196" s="675" t="s">
        <v>775</v>
      </c>
      <c r="C196" s="535"/>
      <c r="D196" s="535"/>
      <c r="E196" s="535"/>
      <c r="F196" s="575"/>
      <c r="G196" s="14">
        <v>6</v>
      </c>
      <c r="H196" s="14" t="s">
        <v>335</v>
      </c>
      <c r="I196" s="686">
        <f>'10 - CUSTOS UN'!J207</f>
        <v>2090.67</v>
      </c>
      <c r="J196" s="575"/>
      <c r="K196" s="86">
        <f>I196*G196</f>
        <v>12544.02</v>
      </c>
      <c r="L196" s="6"/>
      <c r="M196" s="6"/>
      <c r="R196" s="151"/>
      <c r="T196" s="151"/>
      <c r="U196" s="151"/>
      <c r="V196" s="151"/>
      <c r="W196" s="151"/>
    </row>
    <row r="197" spans="2:23" ht="15.75" customHeight="1" x14ac:dyDescent="0.25">
      <c r="B197" s="571" t="s">
        <v>407</v>
      </c>
      <c r="C197" s="537"/>
      <c r="D197" s="537"/>
      <c r="E197" s="537"/>
      <c r="F197" s="538"/>
      <c r="G197" s="14">
        <v>3</v>
      </c>
      <c r="H197" s="14" t="s">
        <v>335</v>
      </c>
      <c r="I197" s="617"/>
      <c r="J197" s="538"/>
      <c r="K197" s="173"/>
      <c r="L197" s="6"/>
      <c r="M197" s="6"/>
      <c r="N197" s="151"/>
      <c r="O197" s="151"/>
      <c r="P197" s="151"/>
      <c r="Q197" s="151"/>
      <c r="S197" s="151"/>
    </row>
    <row r="198" spans="2:23" ht="15.75" customHeight="1" x14ac:dyDescent="0.25">
      <c r="B198" s="571" t="s">
        <v>408</v>
      </c>
      <c r="C198" s="537"/>
      <c r="D198" s="537"/>
      <c r="E198" s="537"/>
      <c r="F198" s="538"/>
      <c r="G198" s="14">
        <f>G197*G196</f>
        <v>18</v>
      </c>
      <c r="H198" s="14" t="s">
        <v>335</v>
      </c>
      <c r="I198" s="556">
        <f>'10 - CUSTOS UN'!J258</f>
        <v>550.83750000000009</v>
      </c>
      <c r="J198" s="538"/>
      <c r="K198" s="60">
        <f>I198*G198</f>
        <v>9915.0750000000007</v>
      </c>
      <c r="L198" s="6"/>
      <c r="M198" s="6"/>
    </row>
    <row r="199" spans="2:23" ht="15.75" customHeight="1" x14ac:dyDescent="0.25">
      <c r="B199" s="571" t="s">
        <v>411</v>
      </c>
      <c r="C199" s="537"/>
      <c r="D199" s="537"/>
      <c r="E199" s="537"/>
      <c r="F199" s="538"/>
      <c r="G199" s="15">
        <v>20000</v>
      </c>
      <c r="H199" s="14" t="s">
        <v>413</v>
      </c>
      <c r="I199" s="617"/>
      <c r="J199" s="538"/>
      <c r="K199" s="173"/>
      <c r="L199" s="6"/>
      <c r="M199" s="6"/>
      <c r="N199" s="151"/>
      <c r="O199" s="151"/>
      <c r="P199" s="151"/>
      <c r="Q199" s="151"/>
      <c r="S199" s="151"/>
    </row>
    <row r="200" spans="2:23" ht="15.75" customHeight="1" x14ac:dyDescent="0.25">
      <c r="B200" s="571" t="s">
        <v>414</v>
      </c>
      <c r="C200" s="537"/>
      <c r="D200" s="537"/>
      <c r="E200" s="537"/>
      <c r="F200" s="538"/>
      <c r="G200" s="15">
        <v>15000</v>
      </c>
      <c r="H200" s="14" t="s">
        <v>413</v>
      </c>
      <c r="I200" s="617"/>
      <c r="J200" s="538"/>
      <c r="K200" s="173"/>
      <c r="L200" s="6"/>
      <c r="M200" s="6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</row>
    <row r="201" spans="2:23" ht="15.75" customHeight="1" x14ac:dyDescent="0.25">
      <c r="B201" s="571" t="s">
        <v>415</v>
      </c>
      <c r="C201" s="537"/>
      <c r="D201" s="537"/>
      <c r="E201" s="537"/>
      <c r="F201" s="538"/>
      <c r="G201" s="15">
        <f>G199+G200*G197</f>
        <v>65000</v>
      </c>
      <c r="H201" s="14" t="s">
        <v>417</v>
      </c>
      <c r="I201" s="556">
        <f>K198+K196</f>
        <v>22459.095000000001</v>
      </c>
      <c r="J201" s="538"/>
      <c r="K201" s="60">
        <f>I201/G201</f>
        <v>0.34552453846153847</v>
      </c>
      <c r="L201" s="6"/>
      <c r="M201" s="6"/>
    </row>
    <row r="202" spans="2:23" ht="15.75" customHeight="1" x14ac:dyDescent="0.25">
      <c r="B202" s="684" t="s">
        <v>418</v>
      </c>
      <c r="C202" s="564"/>
      <c r="D202" s="564"/>
      <c r="E202" s="564"/>
      <c r="F202" s="565"/>
      <c r="G202" s="188">
        <f>G175</f>
        <v>2600</v>
      </c>
      <c r="H202" s="174" t="s">
        <v>413</v>
      </c>
      <c r="I202" s="657">
        <f t="shared" ref="I202:I203" si="20">K201</f>
        <v>0.34552453846153847</v>
      </c>
      <c r="J202" s="565"/>
      <c r="K202" s="175">
        <f t="shared" ref="K202:K203" si="21">I202*G202</f>
        <v>898.36379999999997</v>
      </c>
      <c r="L202" s="6"/>
      <c r="M202" s="6"/>
      <c r="N202" s="151"/>
      <c r="O202" s="151"/>
      <c r="P202" s="151"/>
      <c r="Q202" s="151"/>
      <c r="R202" s="151"/>
      <c r="S202" s="151"/>
      <c r="T202" s="151"/>
      <c r="U202" s="151"/>
      <c r="V202" s="151"/>
      <c r="W202" s="151"/>
    </row>
    <row r="203" spans="2:23" ht="15.75" customHeight="1" x14ac:dyDescent="0.25">
      <c r="B203" s="628" t="s">
        <v>420</v>
      </c>
      <c r="C203" s="611"/>
      <c r="D203" s="611"/>
      <c r="E203" s="611"/>
      <c r="F203" s="612"/>
      <c r="G203" s="181">
        <f>G192</f>
        <v>6</v>
      </c>
      <c r="H203" s="181" t="s">
        <v>119</v>
      </c>
      <c r="I203" s="629">
        <f t="shared" si="20"/>
        <v>898.36379999999997</v>
      </c>
      <c r="J203" s="612"/>
      <c r="K203" s="184">
        <f t="shared" si="21"/>
        <v>5390.1827999999996</v>
      </c>
      <c r="L203" s="6"/>
      <c r="M203" s="6"/>
    </row>
    <row r="204" spans="2:23" ht="15.75" customHeight="1" x14ac:dyDescent="0.25">
      <c r="B204" s="151"/>
      <c r="C204" s="151"/>
      <c r="D204" s="151"/>
      <c r="E204" s="151"/>
      <c r="F204" s="151"/>
      <c r="G204" s="1"/>
      <c r="H204" s="1"/>
      <c r="I204" s="152"/>
      <c r="J204" s="152"/>
      <c r="K204" s="189"/>
      <c r="L204" s="6"/>
      <c r="M204" s="6"/>
      <c r="N204" s="151"/>
      <c r="O204" s="151"/>
      <c r="P204" s="151"/>
      <c r="Q204" s="151"/>
      <c r="R204" s="151"/>
      <c r="S204" s="151"/>
      <c r="T204" s="151"/>
      <c r="U204" s="151"/>
      <c r="V204" s="151"/>
      <c r="W204" s="151"/>
    </row>
    <row r="205" spans="2:23" ht="15.75" customHeight="1" x14ac:dyDescent="0.25">
      <c r="B205" s="598" t="s">
        <v>808</v>
      </c>
      <c r="C205" s="537"/>
      <c r="D205" s="537"/>
      <c r="E205" s="537"/>
      <c r="F205" s="537"/>
      <c r="G205" s="537"/>
      <c r="H205" s="537"/>
      <c r="I205" s="537"/>
      <c r="J205" s="537"/>
      <c r="K205" s="538"/>
      <c r="L205" s="6"/>
      <c r="M205" s="6"/>
      <c r="R205" s="151"/>
      <c r="T205" s="151"/>
      <c r="U205" s="151"/>
      <c r="V205" s="151"/>
      <c r="W205" s="151"/>
    </row>
    <row r="206" spans="2:23" ht="15.75" customHeight="1" x14ac:dyDescent="0.25">
      <c r="B206" s="637" t="s">
        <v>239</v>
      </c>
      <c r="C206" s="564"/>
      <c r="D206" s="564"/>
      <c r="E206" s="564"/>
      <c r="F206" s="565"/>
      <c r="G206" s="170" t="s">
        <v>118</v>
      </c>
      <c r="H206" s="155" t="s">
        <v>119</v>
      </c>
      <c r="I206" s="637" t="s">
        <v>319</v>
      </c>
      <c r="J206" s="565"/>
      <c r="K206" s="155" t="s">
        <v>275</v>
      </c>
      <c r="L206" s="6"/>
      <c r="M206" s="6"/>
      <c r="N206" s="151"/>
      <c r="O206" s="151"/>
      <c r="P206" s="151"/>
      <c r="Q206" s="151"/>
      <c r="S206" s="151"/>
    </row>
    <row r="207" spans="2:23" ht="15.75" customHeight="1" x14ac:dyDescent="0.25">
      <c r="B207" s="687" t="s">
        <v>811</v>
      </c>
      <c r="C207" s="532"/>
      <c r="D207" s="532"/>
      <c r="E207" s="532"/>
      <c r="F207" s="688"/>
      <c r="G207" s="364">
        <f>G175</f>
        <v>2600</v>
      </c>
      <c r="H207" s="365" t="s">
        <v>364</v>
      </c>
      <c r="I207" s="780">
        <v>1.18</v>
      </c>
      <c r="J207" s="781"/>
      <c r="K207" s="205">
        <f t="shared" ref="K207:K208" si="22">I207*G207</f>
        <v>3068</v>
      </c>
      <c r="L207" s="6"/>
      <c r="M207" s="6"/>
    </row>
    <row r="208" spans="2:23" ht="15.75" customHeight="1" x14ac:dyDescent="0.25">
      <c r="B208" s="628" t="s">
        <v>427</v>
      </c>
      <c r="C208" s="611"/>
      <c r="D208" s="611"/>
      <c r="E208" s="611"/>
      <c r="F208" s="612"/>
      <c r="G208" s="181">
        <f>G203</f>
        <v>6</v>
      </c>
      <c r="H208" s="181" t="s">
        <v>119</v>
      </c>
      <c r="I208" s="629">
        <f>K207</f>
        <v>3068</v>
      </c>
      <c r="J208" s="612"/>
      <c r="K208" s="184">
        <f t="shared" si="22"/>
        <v>18408</v>
      </c>
      <c r="L208" s="6"/>
      <c r="M208" s="6"/>
      <c r="N208" s="151"/>
      <c r="O208" s="151"/>
      <c r="P208" s="151"/>
      <c r="Q208" s="151"/>
      <c r="S208" s="151"/>
    </row>
    <row r="209" spans="2:30" ht="15" customHeight="1" x14ac:dyDescent="0.25">
      <c r="B209" s="623" t="s">
        <v>429</v>
      </c>
      <c r="C209" s="542"/>
      <c r="D209" s="542"/>
      <c r="E209" s="542"/>
      <c r="F209" s="542"/>
      <c r="G209" s="542"/>
      <c r="H209" s="542"/>
      <c r="I209" s="542"/>
      <c r="J209" s="542"/>
      <c r="K209" s="577"/>
      <c r="L209" s="6"/>
      <c r="M209" s="6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</row>
    <row r="210" spans="2:30" ht="15.75" customHeight="1" x14ac:dyDescent="0.25">
      <c r="B210" s="624"/>
      <c r="C210" s="625"/>
      <c r="D210" s="625"/>
      <c r="E210" s="625"/>
      <c r="F210" s="625"/>
      <c r="G210" s="625"/>
      <c r="H210" s="625"/>
      <c r="I210" s="625"/>
      <c r="J210" s="625"/>
      <c r="K210" s="626"/>
      <c r="L210" s="6"/>
      <c r="M210" s="64"/>
      <c r="N210" s="148"/>
      <c r="O210" s="148"/>
      <c r="P210" s="148"/>
      <c r="Q210" s="148"/>
      <c r="R210" s="148"/>
      <c r="S210" s="148"/>
      <c r="T210" s="148"/>
      <c r="U210" s="148"/>
      <c r="V210" s="148"/>
      <c r="W210" s="148"/>
    </row>
    <row r="211" spans="2:30" ht="15.75" customHeight="1" x14ac:dyDescent="0.25">
      <c r="B211" s="578"/>
      <c r="C211" s="544"/>
      <c r="D211" s="544"/>
      <c r="E211" s="544"/>
      <c r="F211" s="544"/>
      <c r="G211" s="544"/>
      <c r="H211" s="544"/>
      <c r="I211" s="544"/>
      <c r="J211" s="544"/>
      <c r="K211" s="579"/>
      <c r="L211" s="6"/>
      <c r="M211" s="64"/>
      <c r="N211" s="148"/>
      <c r="O211" s="148"/>
      <c r="P211" s="148"/>
      <c r="Q211" s="148"/>
      <c r="R211" s="148"/>
      <c r="S211" s="148"/>
      <c r="T211" s="148"/>
      <c r="U211" s="148"/>
      <c r="V211" s="148"/>
      <c r="W211" s="148"/>
    </row>
    <row r="212" spans="2:30" ht="15.75" customHeight="1" x14ac:dyDescent="0.25">
      <c r="B212" s="148"/>
      <c r="C212" s="148"/>
      <c r="D212" s="148"/>
      <c r="E212" s="148"/>
      <c r="F212" s="148"/>
      <c r="G212" s="148"/>
      <c r="H212" s="148"/>
      <c r="I212" s="148"/>
      <c r="J212" s="148"/>
      <c r="K212" s="148"/>
      <c r="L212" s="6"/>
      <c r="M212" s="6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</row>
    <row r="213" spans="2:30" ht="15.75" customHeight="1" x14ac:dyDescent="0.25">
      <c r="B213" s="552" t="s">
        <v>822</v>
      </c>
      <c r="C213" s="537"/>
      <c r="D213" s="537"/>
      <c r="E213" s="537"/>
      <c r="F213" s="537"/>
      <c r="G213" s="537"/>
      <c r="H213" s="537"/>
      <c r="I213" s="537"/>
      <c r="J213" s="538"/>
      <c r="K213" s="209">
        <f>SUM(I208,K202,I192,I179,I171,K158,K143)</f>
        <v>20674.440563562093</v>
      </c>
      <c r="L213" s="6"/>
      <c r="M213" s="6"/>
    </row>
    <row r="214" spans="2:30" ht="15.75" customHeight="1" x14ac:dyDescent="0.25">
      <c r="B214" s="552" t="s">
        <v>433</v>
      </c>
      <c r="C214" s="537"/>
      <c r="D214" s="537"/>
      <c r="E214" s="537"/>
      <c r="F214" s="537"/>
      <c r="G214" s="537"/>
      <c r="H214" s="537"/>
      <c r="I214" s="537"/>
      <c r="J214" s="538"/>
      <c r="K214" s="209">
        <f>SUM(K208,K203,K192,K179,K171,K159,K144)</f>
        <v>124046.64338137255</v>
      </c>
      <c r="L214" s="6"/>
      <c r="M214" s="6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AD214" s="29"/>
    </row>
    <row r="215" spans="2:30" ht="15.75" customHeight="1" x14ac:dyDescent="0.25">
      <c r="B215" s="148"/>
      <c r="C215" s="148"/>
      <c r="D215" s="148"/>
      <c r="E215" s="148"/>
      <c r="F215" s="148"/>
      <c r="G215" s="148"/>
      <c r="H215" s="148"/>
      <c r="I215" s="148"/>
      <c r="J215" s="148"/>
      <c r="K215" s="148"/>
      <c r="L215" s="6"/>
      <c r="M215" s="6"/>
      <c r="AD215" s="29"/>
    </row>
    <row r="216" spans="2:30" ht="15.75" customHeight="1" x14ac:dyDescent="0.25">
      <c r="B216" s="596" t="s">
        <v>825</v>
      </c>
      <c r="C216" s="537"/>
      <c r="D216" s="537"/>
      <c r="E216" s="537"/>
      <c r="F216" s="537"/>
      <c r="G216" s="537"/>
      <c r="H216" s="537"/>
      <c r="I216" s="537"/>
      <c r="J216" s="537"/>
      <c r="K216" s="538"/>
      <c r="L216" s="6"/>
      <c r="M216" s="6"/>
      <c r="N216" s="151"/>
      <c r="O216" s="151"/>
      <c r="P216" s="151"/>
      <c r="Q216" s="151"/>
      <c r="R216" s="151"/>
      <c r="S216" s="151"/>
      <c r="T216" s="151"/>
      <c r="U216" s="151"/>
      <c r="V216" s="151"/>
      <c r="W216" s="151"/>
      <c r="AD216" s="29"/>
    </row>
    <row r="217" spans="2:30" ht="15.75" customHeight="1" x14ac:dyDescent="0.25">
      <c r="L217" s="6"/>
      <c r="M217" s="6"/>
      <c r="AD217" s="29"/>
    </row>
    <row r="218" spans="2:30" ht="15.75" customHeight="1" x14ac:dyDescent="0.25">
      <c r="B218" s="598" t="s">
        <v>826</v>
      </c>
      <c r="C218" s="537"/>
      <c r="D218" s="537"/>
      <c r="E218" s="537"/>
      <c r="F218" s="537"/>
      <c r="G218" s="537"/>
      <c r="H218" s="537"/>
      <c r="I218" s="537"/>
      <c r="J218" s="537"/>
      <c r="K218" s="538"/>
      <c r="L218" s="6"/>
      <c r="M218" s="6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AD218" s="29"/>
    </row>
    <row r="219" spans="2:30" ht="15.75" customHeight="1" x14ac:dyDescent="0.25">
      <c r="B219" s="170" t="s">
        <v>239</v>
      </c>
      <c r="C219" s="208"/>
      <c r="D219" s="208"/>
      <c r="E219" s="208"/>
      <c r="F219" s="210"/>
      <c r="G219" s="170" t="s">
        <v>118</v>
      </c>
      <c r="H219" s="155" t="s">
        <v>119</v>
      </c>
      <c r="I219" s="637" t="s">
        <v>319</v>
      </c>
      <c r="J219" s="565"/>
      <c r="K219" s="155" t="s">
        <v>320</v>
      </c>
      <c r="L219" s="6"/>
      <c r="M219" s="6"/>
      <c r="R219" s="151"/>
      <c r="T219" s="151"/>
      <c r="U219" s="151"/>
      <c r="V219" s="151"/>
      <c r="W219" s="151"/>
      <c r="AD219" s="29"/>
    </row>
    <row r="220" spans="2:30" ht="15.75" customHeight="1" x14ac:dyDescent="0.25">
      <c r="B220" s="675" t="s">
        <v>488</v>
      </c>
      <c r="C220" s="535"/>
      <c r="D220" s="535"/>
      <c r="E220" s="535"/>
      <c r="F220" s="575"/>
      <c r="G220" s="253">
        <v>1</v>
      </c>
      <c r="H220" s="171" t="s">
        <v>119</v>
      </c>
      <c r="I220" s="676">
        <f>I133</f>
        <v>276034</v>
      </c>
      <c r="J220" s="575"/>
      <c r="K220" s="172">
        <f>I220*G220</f>
        <v>276034</v>
      </c>
      <c r="L220" s="6"/>
      <c r="M220" s="6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AD220" s="29"/>
    </row>
    <row r="221" spans="2:30" ht="15.75" customHeight="1" x14ac:dyDescent="0.25">
      <c r="B221" s="571" t="s">
        <v>490</v>
      </c>
      <c r="C221" s="537"/>
      <c r="D221" s="537"/>
      <c r="E221" s="537"/>
      <c r="F221" s="538"/>
      <c r="G221" s="14">
        <v>7</v>
      </c>
      <c r="H221" s="14" t="s">
        <v>323</v>
      </c>
      <c r="I221" s="617"/>
      <c r="J221" s="538"/>
      <c r="K221" s="173"/>
      <c r="L221" s="6"/>
      <c r="M221" s="6"/>
      <c r="AD221" s="29"/>
    </row>
    <row r="222" spans="2:30" ht="15.75" customHeight="1" x14ac:dyDescent="0.25">
      <c r="B222" s="571" t="s">
        <v>324</v>
      </c>
      <c r="C222" s="537"/>
      <c r="D222" s="537"/>
      <c r="E222" s="537"/>
      <c r="F222" s="538"/>
      <c r="G222" s="14">
        <v>6</v>
      </c>
      <c r="H222" s="14" t="s">
        <v>323</v>
      </c>
      <c r="I222" s="617"/>
      <c r="J222" s="538"/>
      <c r="K222" s="173"/>
      <c r="L222" s="6"/>
      <c r="M222" s="6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AD222" s="29"/>
    </row>
    <row r="223" spans="2:30" ht="15.75" customHeight="1" x14ac:dyDescent="0.25">
      <c r="B223" s="605" t="s">
        <v>491</v>
      </c>
      <c r="C223" s="537"/>
      <c r="D223" s="537"/>
      <c r="E223" s="537"/>
      <c r="F223" s="538"/>
      <c r="G223" s="14">
        <v>80</v>
      </c>
      <c r="H223" s="14" t="s">
        <v>141</v>
      </c>
      <c r="I223" s="556">
        <f>I220</f>
        <v>276034</v>
      </c>
      <c r="J223" s="538"/>
      <c r="K223" s="60">
        <f>I223*G223/100</f>
        <v>220827.2</v>
      </c>
      <c r="L223" s="6"/>
      <c r="M223" s="6"/>
      <c r="AD223" s="29"/>
    </row>
    <row r="224" spans="2:30" ht="15.75" customHeight="1" x14ac:dyDescent="0.25">
      <c r="B224" s="608" t="s">
        <v>836</v>
      </c>
      <c r="C224" s="564"/>
      <c r="D224" s="564"/>
      <c r="E224" s="564"/>
      <c r="F224" s="565"/>
      <c r="G224" s="174">
        <f>G221*12</f>
        <v>84</v>
      </c>
      <c r="H224" s="174" t="s">
        <v>327</v>
      </c>
      <c r="I224" s="657">
        <f>K223</f>
        <v>220827.2</v>
      </c>
      <c r="J224" s="565"/>
      <c r="K224" s="175">
        <f>I224/G224</f>
        <v>2628.8952380952383</v>
      </c>
      <c r="L224" s="6"/>
      <c r="M224" s="6"/>
      <c r="N224" s="151"/>
      <c r="O224" s="151"/>
      <c r="P224" s="151"/>
      <c r="Q224" s="151"/>
      <c r="R224" s="151"/>
      <c r="S224" s="151"/>
      <c r="T224" s="151"/>
      <c r="U224" s="151"/>
      <c r="V224" s="151"/>
      <c r="W224" s="151"/>
      <c r="AD224" s="29"/>
    </row>
    <row r="225" spans="2:30" ht="15.75" customHeight="1" x14ac:dyDescent="0.25">
      <c r="B225" s="675" t="s">
        <v>840</v>
      </c>
      <c r="C225" s="535"/>
      <c r="D225" s="535"/>
      <c r="E225" s="535"/>
      <c r="F225" s="575"/>
      <c r="G225" s="171">
        <f>G220</f>
        <v>1</v>
      </c>
      <c r="H225" s="171" t="s">
        <v>119</v>
      </c>
      <c r="I225" s="676">
        <v>30000</v>
      </c>
      <c r="J225" s="575"/>
      <c r="K225" s="172">
        <f>I225*G225</f>
        <v>30000</v>
      </c>
      <c r="L225" s="6"/>
      <c r="M225" s="6"/>
      <c r="AD225" s="29"/>
    </row>
    <row r="226" spans="2:30" ht="15.75" customHeight="1" x14ac:dyDescent="0.25">
      <c r="B226" s="571" t="s">
        <v>841</v>
      </c>
      <c r="C226" s="537"/>
      <c r="D226" s="537"/>
      <c r="E226" s="537"/>
      <c r="F226" s="538"/>
      <c r="G226" s="14">
        <v>7</v>
      </c>
      <c r="H226" s="14" t="s">
        <v>323</v>
      </c>
      <c r="I226" s="617"/>
      <c r="J226" s="538"/>
      <c r="K226" s="173"/>
      <c r="L226" s="6"/>
      <c r="M226" s="6"/>
      <c r="N226" s="151"/>
      <c r="O226" s="151"/>
      <c r="P226" s="151"/>
      <c r="Q226" s="151"/>
      <c r="R226" s="151"/>
      <c r="S226" s="151"/>
      <c r="T226" s="151"/>
      <c r="U226" s="151"/>
      <c r="V226" s="151"/>
      <c r="W226" s="151"/>
      <c r="AD226" s="29"/>
    </row>
    <row r="227" spans="2:30" ht="15.75" customHeight="1" x14ac:dyDescent="0.25">
      <c r="B227" s="571" t="s">
        <v>842</v>
      </c>
      <c r="C227" s="537"/>
      <c r="D227" s="537"/>
      <c r="E227" s="537"/>
      <c r="F227" s="538"/>
      <c r="G227" s="73">
        <v>0</v>
      </c>
      <c r="H227" s="14" t="s">
        <v>323</v>
      </c>
      <c r="I227" s="617"/>
      <c r="J227" s="538"/>
      <c r="K227" s="173"/>
      <c r="L227" s="6"/>
      <c r="M227" s="6"/>
      <c r="R227" s="151"/>
      <c r="T227" s="151"/>
      <c r="U227" s="151"/>
      <c r="V227" s="151"/>
      <c r="W227" s="151"/>
    </row>
    <row r="228" spans="2:30" ht="15.75" customHeight="1" x14ac:dyDescent="0.25">
      <c r="B228" s="605" t="s">
        <v>843</v>
      </c>
      <c r="C228" s="537"/>
      <c r="D228" s="537"/>
      <c r="E228" s="537"/>
      <c r="F228" s="538"/>
      <c r="G228" s="14">
        <v>80</v>
      </c>
      <c r="H228" s="14" t="s">
        <v>141</v>
      </c>
      <c r="I228" s="556">
        <f>I225</f>
        <v>30000</v>
      </c>
      <c r="J228" s="538"/>
      <c r="K228" s="60">
        <f>I228*G228/100</f>
        <v>24000</v>
      </c>
      <c r="L228" s="6"/>
      <c r="M228" s="6"/>
      <c r="N228" s="151"/>
      <c r="O228" s="151"/>
      <c r="P228" s="151"/>
      <c r="Q228" s="151"/>
      <c r="S228" s="151"/>
    </row>
    <row r="229" spans="2:30" ht="15.75" customHeight="1" x14ac:dyDescent="0.25">
      <c r="B229" s="608" t="s">
        <v>844</v>
      </c>
      <c r="C229" s="564"/>
      <c r="D229" s="564"/>
      <c r="E229" s="564"/>
      <c r="F229" s="565"/>
      <c r="G229" s="174">
        <f>G226*12</f>
        <v>84</v>
      </c>
      <c r="H229" s="174" t="s">
        <v>327</v>
      </c>
      <c r="I229" s="657">
        <f>K228</f>
        <v>24000</v>
      </c>
      <c r="J229" s="565"/>
      <c r="K229" s="175">
        <f>I229/G229</f>
        <v>285.71428571428572</v>
      </c>
      <c r="L229" s="6"/>
      <c r="M229" s="6"/>
      <c r="N229" s="151"/>
      <c r="O229" s="151"/>
      <c r="P229" s="151"/>
      <c r="Q229" s="151"/>
      <c r="S229" s="151"/>
    </row>
    <row r="230" spans="2:30" ht="15.75" customHeight="1" x14ac:dyDescent="0.25">
      <c r="B230" s="677" t="s">
        <v>333</v>
      </c>
      <c r="C230" s="535"/>
      <c r="D230" s="535"/>
      <c r="E230" s="535"/>
      <c r="F230" s="575"/>
      <c r="G230" s="176"/>
      <c r="H230" s="176"/>
      <c r="I230" s="593"/>
      <c r="J230" s="575"/>
      <c r="K230" s="177">
        <f>SUM(K224+K229)</f>
        <v>2914.609523809524</v>
      </c>
      <c r="L230" s="6"/>
      <c r="M230" s="6"/>
      <c r="N230" s="151"/>
      <c r="O230" s="151"/>
      <c r="P230" s="151"/>
      <c r="Q230" s="151"/>
      <c r="S230" s="151"/>
    </row>
    <row r="231" spans="2:30" ht="15.75" customHeight="1" x14ac:dyDescent="0.25">
      <c r="B231" s="658" t="s">
        <v>334</v>
      </c>
      <c r="C231" s="537"/>
      <c r="D231" s="537"/>
      <c r="E231" s="537"/>
      <c r="F231" s="538"/>
      <c r="G231" s="61">
        <v>1</v>
      </c>
      <c r="H231" s="61" t="s">
        <v>335</v>
      </c>
      <c r="I231" s="659">
        <f>K230</f>
        <v>2914.609523809524</v>
      </c>
      <c r="J231" s="538"/>
      <c r="K231" s="51">
        <f>I231*G231</f>
        <v>2914.609523809524</v>
      </c>
      <c r="L231" s="6"/>
      <c r="M231" s="6"/>
      <c r="N231" s="151"/>
      <c r="O231" s="151"/>
      <c r="P231" s="151"/>
      <c r="Q231" s="151"/>
      <c r="S231" s="151"/>
    </row>
    <row r="232" spans="2:30" ht="15.75" customHeight="1" x14ac:dyDescent="0.25">
      <c r="L232" s="6"/>
      <c r="M232" s="6"/>
      <c r="N232" s="151"/>
      <c r="O232" s="151"/>
      <c r="P232" s="151"/>
      <c r="Q232" s="151"/>
      <c r="S232" s="151"/>
    </row>
    <row r="233" spans="2:30" ht="15.75" customHeight="1" x14ac:dyDescent="0.25">
      <c r="B233" s="598" t="s">
        <v>845</v>
      </c>
      <c r="C233" s="537"/>
      <c r="D233" s="537"/>
      <c r="E233" s="537"/>
      <c r="F233" s="537"/>
      <c r="G233" s="537"/>
      <c r="H233" s="537"/>
      <c r="I233" s="537"/>
      <c r="J233" s="537"/>
      <c r="K233" s="538"/>
      <c r="L233" s="6"/>
      <c r="M233" s="6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</row>
    <row r="234" spans="2:30" ht="15" customHeight="1" x14ac:dyDescent="0.25">
      <c r="B234" s="569" t="s">
        <v>239</v>
      </c>
      <c r="C234" s="537"/>
      <c r="D234" s="537"/>
      <c r="E234" s="537"/>
      <c r="F234" s="538"/>
      <c r="G234" s="105" t="s">
        <v>118</v>
      </c>
      <c r="H234" s="61" t="s">
        <v>119</v>
      </c>
      <c r="I234" s="569" t="s">
        <v>319</v>
      </c>
      <c r="J234" s="538"/>
      <c r="K234" s="61" t="s">
        <v>320</v>
      </c>
      <c r="L234" s="6"/>
      <c r="M234" s="6"/>
    </row>
    <row r="235" spans="2:30" ht="15.75" customHeight="1" x14ac:dyDescent="0.25">
      <c r="B235" s="605" t="s">
        <v>498</v>
      </c>
      <c r="C235" s="537"/>
      <c r="D235" s="537"/>
      <c r="E235" s="537"/>
      <c r="F235" s="538"/>
      <c r="G235" s="14">
        <v>1</v>
      </c>
      <c r="H235" s="14" t="s">
        <v>335</v>
      </c>
      <c r="I235" s="556">
        <f>I220</f>
        <v>276034</v>
      </c>
      <c r="J235" s="538"/>
      <c r="K235" s="60">
        <f>I235*G235</f>
        <v>276034</v>
      </c>
      <c r="L235" s="6"/>
      <c r="M235" s="64"/>
      <c r="N235" s="148"/>
      <c r="O235" s="148"/>
      <c r="P235" s="148"/>
      <c r="Q235" s="148"/>
      <c r="R235" s="148"/>
      <c r="S235" s="148"/>
      <c r="T235" s="148"/>
      <c r="U235" s="148"/>
      <c r="V235" s="148"/>
      <c r="W235" s="148"/>
    </row>
    <row r="236" spans="2:30" ht="15.75" customHeight="1" x14ac:dyDescent="0.25">
      <c r="B236" s="605" t="s">
        <v>338</v>
      </c>
      <c r="C236" s="537"/>
      <c r="D236" s="537"/>
      <c r="E236" s="537"/>
      <c r="F236" s="538"/>
      <c r="G236" s="73">
        <v>13.75</v>
      </c>
      <c r="H236" s="14" t="s">
        <v>141</v>
      </c>
      <c r="I236" s="617"/>
      <c r="J236" s="538"/>
      <c r="K236" s="60"/>
      <c r="L236" s="6"/>
      <c r="M236" s="64"/>
      <c r="N236" s="148"/>
      <c r="O236" s="148"/>
      <c r="P236" s="148"/>
      <c r="Q236" s="148"/>
      <c r="R236" s="148"/>
      <c r="S236" s="148"/>
      <c r="T236" s="148"/>
      <c r="U236" s="148"/>
      <c r="V236" s="148"/>
      <c r="W236" s="148"/>
    </row>
    <row r="237" spans="2:30" ht="15.75" customHeight="1" x14ac:dyDescent="0.25">
      <c r="B237" s="605" t="s">
        <v>846</v>
      </c>
      <c r="C237" s="537"/>
      <c r="D237" s="537"/>
      <c r="E237" s="537"/>
      <c r="F237" s="538"/>
      <c r="G237" s="14"/>
      <c r="H237" s="14"/>
      <c r="I237" s="556">
        <f>IFERROR(IF(G222&lt;=G221,I220-(G223/(100*G221)*G222)*I220,I220-K223),0)</f>
        <v>86753.542857142864</v>
      </c>
      <c r="J237" s="538"/>
      <c r="K237" s="60"/>
      <c r="L237" s="6"/>
      <c r="M237" s="6"/>
      <c r="T237" s="227"/>
      <c r="U237" s="227"/>
    </row>
    <row r="238" spans="2:30" ht="15.75" customHeight="1" x14ac:dyDescent="0.25">
      <c r="B238" s="605" t="s">
        <v>504</v>
      </c>
      <c r="C238" s="537"/>
      <c r="D238" s="537"/>
      <c r="E238" s="537"/>
      <c r="F238" s="538"/>
      <c r="G238" s="14"/>
      <c r="H238" s="14"/>
      <c r="I238" s="556">
        <f>IFERROR(IF(G222&gt;=G221,I237,((((I237)-(I220-K223))*(((G221-G222)+1)/(2*(G221-G222))))+(I220-K223))),0)</f>
        <v>86753.542857142864</v>
      </c>
      <c r="J238" s="538"/>
      <c r="K238" s="60"/>
      <c r="L238" s="6"/>
      <c r="M238" s="6"/>
      <c r="T238" s="227"/>
      <c r="U238" s="227"/>
    </row>
    <row r="239" spans="2:30" ht="15.75" customHeight="1" x14ac:dyDescent="0.25">
      <c r="B239" s="608" t="s">
        <v>506</v>
      </c>
      <c r="C239" s="564"/>
      <c r="D239" s="564"/>
      <c r="E239" s="564"/>
      <c r="F239" s="565"/>
      <c r="G239" s="178"/>
      <c r="H239" s="178"/>
      <c r="I239" s="657">
        <f>G236*I238/12/100</f>
        <v>994.05101190476194</v>
      </c>
      <c r="J239" s="565"/>
      <c r="K239" s="175">
        <f>I239</f>
        <v>994.05101190476194</v>
      </c>
      <c r="L239" s="6"/>
      <c r="M239" s="6"/>
      <c r="T239" s="227"/>
      <c r="U239" s="227"/>
    </row>
    <row r="240" spans="2:30" ht="15.75" customHeight="1" x14ac:dyDescent="0.25">
      <c r="B240" s="678" t="s">
        <v>849</v>
      </c>
      <c r="C240" s="544"/>
      <c r="D240" s="544"/>
      <c r="E240" s="544"/>
      <c r="F240" s="579"/>
      <c r="G240" s="171">
        <f>G235</f>
        <v>1</v>
      </c>
      <c r="H240" s="171" t="s">
        <v>335</v>
      </c>
      <c r="I240" s="676">
        <f>I225</f>
        <v>30000</v>
      </c>
      <c r="J240" s="575"/>
      <c r="K240" s="172">
        <f>I240*G240</f>
        <v>30000</v>
      </c>
      <c r="L240" s="6"/>
      <c r="M240" s="6"/>
      <c r="N240" s="151"/>
      <c r="O240" s="151"/>
      <c r="P240" s="151"/>
      <c r="Q240" s="151"/>
      <c r="R240" s="151"/>
      <c r="S240" s="151"/>
      <c r="T240" s="151"/>
      <c r="U240" s="151"/>
      <c r="V240" s="151"/>
      <c r="W240" s="151"/>
    </row>
    <row r="241" spans="2:23" ht="15.75" customHeight="1" x14ac:dyDescent="0.25">
      <c r="B241" s="605" t="s">
        <v>338</v>
      </c>
      <c r="C241" s="537"/>
      <c r="D241" s="537"/>
      <c r="E241" s="537"/>
      <c r="F241" s="538"/>
      <c r="G241" s="73">
        <v>13.75</v>
      </c>
      <c r="H241" s="14" t="s">
        <v>141</v>
      </c>
      <c r="I241" s="617"/>
      <c r="J241" s="538"/>
      <c r="K241" s="60"/>
      <c r="L241" s="6"/>
      <c r="M241" s="6"/>
      <c r="N241" s="151"/>
      <c r="O241" s="151"/>
      <c r="P241" s="151"/>
      <c r="Q241" s="151"/>
      <c r="R241" s="151"/>
      <c r="S241" s="151"/>
      <c r="T241" s="151"/>
      <c r="U241" s="151"/>
      <c r="V241" s="151"/>
      <c r="W241" s="151"/>
    </row>
    <row r="242" spans="2:23" ht="15.75" customHeight="1" x14ac:dyDescent="0.25">
      <c r="B242" s="605" t="s">
        <v>854</v>
      </c>
      <c r="C242" s="537"/>
      <c r="D242" s="537"/>
      <c r="E242" s="537"/>
      <c r="F242" s="538"/>
      <c r="G242" s="14"/>
      <c r="H242" s="14"/>
      <c r="I242" s="556">
        <f>IFERROR(IF(G227&lt;=G226,I225-(G228/(100*G226)*G227)*I225,I225-K228),0)</f>
        <v>30000</v>
      </c>
      <c r="J242" s="538"/>
      <c r="K242" s="60"/>
      <c r="L242" s="6"/>
      <c r="M242" s="6"/>
    </row>
    <row r="243" spans="2:23" ht="15.75" customHeight="1" x14ac:dyDescent="0.25">
      <c r="B243" s="605" t="s">
        <v>857</v>
      </c>
      <c r="C243" s="537"/>
      <c r="D243" s="537"/>
      <c r="E243" s="537"/>
      <c r="F243" s="538"/>
      <c r="G243" s="14"/>
      <c r="H243" s="14"/>
      <c r="I243" s="556">
        <f>IFERROR(IF(G227&gt;=G226,I242,((((I242)-(I225-K228))*(((G226-G227)+1)/(2*(G226-G227))))+(I225-K228))),0)</f>
        <v>19714.285714285714</v>
      </c>
      <c r="J243" s="538"/>
      <c r="K243" s="60"/>
      <c r="L243" s="6"/>
      <c r="M243" s="6"/>
    </row>
    <row r="244" spans="2:23" ht="15.75" customHeight="1" x14ac:dyDescent="0.25">
      <c r="B244" s="608" t="s">
        <v>859</v>
      </c>
      <c r="C244" s="564"/>
      <c r="D244" s="564"/>
      <c r="E244" s="564"/>
      <c r="F244" s="565"/>
      <c r="G244" s="178"/>
      <c r="H244" s="178"/>
      <c r="I244" s="657">
        <f>G241*I243/12/100</f>
        <v>225.89285714285714</v>
      </c>
      <c r="J244" s="565"/>
      <c r="K244" s="175">
        <f>I244</f>
        <v>225.89285714285714</v>
      </c>
      <c r="L244" s="6"/>
      <c r="M244" s="6"/>
      <c r="N244" s="151"/>
      <c r="O244" s="151"/>
      <c r="P244" s="151"/>
      <c r="Q244" s="151"/>
      <c r="R244" s="151"/>
      <c r="S244" s="151"/>
      <c r="T244" s="151"/>
      <c r="U244" s="151"/>
      <c r="V244" s="151"/>
      <c r="W244" s="151"/>
    </row>
    <row r="245" spans="2:23" ht="15.75" customHeight="1" x14ac:dyDescent="0.25">
      <c r="B245" s="677" t="s">
        <v>348</v>
      </c>
      <c r="C245" s="535"/>
      <c r="D245" s="535"/>
      <c r="E245" s="535"/>
      <c r="F245" s="575"/>
      <c r="G245" s="176"/>
      <c r="H245" s="176"/>
      <c r="I245" s="593"/>
      <c r="J245" s="575"/>
      <c r="K245" s="177">
        <f>SUM(K239+K244)</f>
        <v>1219.943869047619</v>
      </c>
      <c r="L245" s="6"/>
      <c r="M245" s="6"/>
      <c r="N245" s="151"/>
      <c r="O245" s="151"/>
      <c r="P245" s="151"/>
      <c r="Q245" s="151"/>
      <c r="R245" s="151"/>
      <c r="S245" s="151"/>
      <c r="T245" s="151"/>
      <c r="U245" s="151"/>
      <c r="V245" s="151"/>
      <c r="W245" s="151"/>
    </row>
    <row r="246" spans="2:23" ht="15.75" customHeight="1" x14ac:dyDescent="0.25">
      <c r="B246" s="658" t="s">
        <v>349</v>
      </c>
      <c r="C246" s="537"/>
      <c r="D246" s="537"/>
      <c r="E246" s="537"/>
      <c r="F246" s="538"/>
      <c r="G246" s="61">
        <v>1</v>
      </c>
      <c r="H246" s="61" t="s">
        <v>335</v>
      </c>
      <c r="I246" s="659">
        <f>K245</f>
        <v>1219.943869047619</v>
      </c>
      <c r="J246" s="538"/>
      <c r="K246" s="51">
        <f>I246*G246</f>
        <v>1219.943869047619</v>
      </c>
      <c r="L246" s="232"/>
      <c r="M246" s="232"/>
      <c r="N246" s="333"/>
      <c r="O246" s="327"/>
      <c r="P246" s="151"/>
      <c r="Q246" s="151"/>
      <c r="R246" s="151"/>
      <c r="S246" s="151"/>
      <c r="T246" s="151"/>
      <c r="U246" s="151"/>
      <c r="V246" s="151"/>
      <c r="W246" s="151"/>
    </row>
    <row r="247" spans="2:23" ht="15.75" customHeight="1" x14ac:dyDescent="0.25">
      <c r="B247" s="179"/>
      <c r="C247" s="179"/>
      <c r="D247" s="179"/>
      <c r="E247" s="179"/>
      <c r="F247" s="179"/>
      <c r="G247" s="38"/>
      <c r="H247" s="38"/>
      <c r="I247" s="38"/>
      <c r="J247" s="38"/>
      <c r="K247" s="169"/>
      <c r="L247" s="6"/>
      <c r="M247" s="6"/>
      <c r="N247" s="151"/>
      <c r="O247" s="151"/>
      <c r="P247" s="151"/>
      <c r="Q247" s="151"/>
      <c r="R247" s="151"/>
      <c r="S247" s="151"/>
      <c r="T247" s="151"/>
      <c r="U247" s="151"/>
      <c r="V247" s="151"/>
      <c r="W247" s="151"/>
    </row>
    <row r="248" spans="2:23" ht="15.75" customHeight="1" x14ac:dyDescent="0.25">
      <c r="B248" s="598" t="s">
        <v>861</v>
      </c>
      <c r="C248" s="537"/>
      <c r="D248" s="537"/>
      <c r="E248" s="537"/>
      <c r="F248" s="537"/>
      <c r="G248" s="537"/>
      <c r="H248" s="537"/>
      <c r="I248" s="537"/>
      <c r="J248" s="537"/>
      <c r="K248" s="538"/>
      <c r="L248" s="6"/>
      <c r="M248" s="6"/>
      <c r="N248" s="151"/>
      <c r="O248" s="151"/>
      <c r="P248" s="151"/>
      <c r="Q248" s="151"/>
      <c r="R248" s="151"/>
      <c r="S248" s="151"/>
      <c r="T248" s="151"/>
      <c r="U248" s="151"/>
      <c r="V248" s="151"/>
      <c r="W248" s="151"/>
    </row>
    <row r="249" spans="2:23" ht="15.75" customHeight="1" x14ac:dyDescent="0.25">
      <c r="B249" s="569" t="s">
        <v>239</v>
      </c>
      <c r="C249" s="537"/>
      <c r="D249" s="537"/>
      <c r="E249" s="537"/>
      <c r="F249" s="538"/>
      <c r="G249" s="105" t="s">
        <v>118</v>
      </c>
      <c r="H249" s="61" t="s">
        <v>119</v>
      </c>
      <c r="I249" s="569" t="s">
        <v>319</v>
      </c>
      <c r="J249" s="538"/>
      <c r="K249" s="61" t="s">
        <v>354</v>
      </c>
      <c r="L249" s="6"/>
      <c r="M249" s="6"/>
      <c r="N249" s="151"/>
      <c r="O249" s="151"/>
      <c r="P249" s="151"/>
      <c r="Q249" s="151"/>
      <c r="R249" s="151"/>
      <c r="S249" s="151"/>
      <c r="T249" s="151"/>
      <c r="U249" s="151"/>
      <c r="V249" s="151"/>
      <c r="W249" s="151"/>
    </row>
    <row r="250" spans="2:23" ht="15.75" customHeight="1" x14ac:dyDescent="0.25">
      <c r="B250" s="571" t="s">
        <v>355</v>
      </c>
      <c r="C250" s="537"/>
      <c r="D250" s="537"/>
      <c r="E250" s="537"/>
      <c r="F250" s="538"/>
      <c r="G250" s="14">
        <v>1</v>
      </c>
      <c r="H250" s="14" t="s">
        <v>335</v>
      </c>
      <c r="I250" s="556">
        <f>I220*0.01</f>
        <v>2760.34</v>
      </c>
      <c r="J250" s="538"/>
      <c r="K250" s="60">
        <f t="shared" ref="K250:K251" si="23">(I250*G250)/12</f>
        <v>230.02833333333334</v>
      </c>
      <c r="L250" s="6"/>
      <c r="M250" s="6"/>
      <c r="N250" s="151"/>
      <c r="O250" s="151"/>
      <c r="P250" s="151"/>
      <c r="Q250" s="151"/>
      <c r="R250" s="151"/>
      <c r="S250" s="151"/>
      <c r="T250" s="151"/>
      <c r="U250" s="151"/>
      <c r="V250" s="151"/>
      <c r="W250" s="151"/>
    </row>
    <row r="251" spans="2:23" ht="15.75" customHeight="1" x14ac:dyDescent="0.25">
      <c r="B251" s="571" t="s">
        <v>356</v>
      </c>
      <c r="C251" s="537"/>
      <c r="D251" s="537"/>
      <c r="E251" s="537"/>
      <c r="F251" s="538"/>
      <c r="G251" s="14">
        <v>1</v>
      </c>
      <c r="H251" s="14" t="s">
        <v>335</v>
      </c>
      <c r="I251" s="556">
        <v>109.27</v>
      </c>
      <c r="J251" s="538"/>
      <c r="K251" s="60">
        <f t="shared" si="23"/>
        <v>9.105833333333333</v>
      </c>
      <c r="L251" s="6"/>
      <c r="M251" s="6"/>
      <c r="R251" s="151"/>
      <c r="T251" s="151"/>
      <c r="U251" s="151"/>
      <c r="V251" s="151"/>
      <c r="W251" s="151"/>
    </row>
    <row r="252" spans="2:23" ht="15.75" customHeight="1" x14ac:dyDescent="0.25">
      <c r="B252" s="605" t="s">
        <v>524</v>
      </c>
      <c r="C252" s="537"/>
      <c r="D252" s="537"/>
      <c r="E252" s="537"/>
      <c r="F252" s="538"/>
      <c r="G252" s="14">
        <v>1</v>
      </c>
      <c r="H252" s="14" t="s">
        <v>335</v>
      </c>
      <c r="I252" s="556">
        <v>0</v>
      </c>
      <c r="J252" s="538"/>
      <c r="K252" s="60">
        <f>(I252*G252)/60</f>
        <v>0</v>
      </c>
      <c r="L252" s="6"/>
      <c r="M252" s="6"/>
      <c r="N252" s="151"/>
      <c r="O252" s="151"/>
      <c r="P252" s="151"/>
      <c r="Q252" s="151"/>
      <c r="S252" s="151"/>
    </row>
    <row r="253" spans="2:23" ht="15.75" customHeight="1" x14ac:dyDescent="0.25">
      <c r="B253" s="571" t="s">
        <v>358</v>
      </c>
      <c r="C253" s="537"/>
      <c r="D253" s="537"/>
      <c r="E253" s="537"/>
      <c r="F253" s="538"/>
      <c r="G253" s="14">
        <v>1</v>
      </c>
      <c r="H253" s="14" t="s">
        <v>335</v>
      </c>
      <c r="I253" s="556">
        <f>'10 - CUSTOS UN'!$J$255</f>
        <v>2750.0266666666666</v>
      </c>
      <c r="J253" s="538"/>
      <c r="K253" s="60">
        <f>(I253/12)*G253</f>
        <v>229.16888888888889</v>
      </c>
      <c r="L253" s="6"/>
      <c r="M253" s="6"/>
      <c r="N253" s="151"/>
      <c r="O253" s="151"/>
      <c r="P253" s="151"/>
      <c r="Q253" s="151"/>
      <c r="R253" s="151"/>
      <c r="S253" s="151"/>
      <c r="T253" s="151"/>
      <c r="U253" s="151"/>
      <c r="V253" s="151"/>
      <c r="W253" s="151"/>
    </row>
    <row r="254" spans="2:23" ht="15.75" customHeight="1" x14ac:dyDescent="0.25">
      <c r="B254" s="571" t="s">
        <v>359</v>
      </c>
      <c r="C254" s="537"/>
      <c r="D254" s="537"/>
      <c r="E254" s="537"/>
      <c r="F254" s="538"/>
      <c r="G254" s="14">
        <v>1</v>
      </c>
      <c r="H254" s="14" t="s">
        <v>335</v>
      </c>
      <c r="I254" s="556">
        <f>'10 - CUSTOS UN'!$J$233</f>
        <v>57.093333333333334</v>
      </c>
      <c r="J254" s="538"/>
      <c r="K254" s="60">
        <f t="shared" ref="K254:K255" si="24">I254*G254</f>
        <v>57.093333333333334</v>
      </c>
      <c r="L254" s="6"/>
      <c r="M254" s="6"/>
    </row>
    <row r="255" spans="2:23" ht="15" customHeight="1" x14ac:dyDescent="0.25">
      <c r="B255" s="628" t="s">
        <v>360</v>
      </c>
      <c r="C255" s="611"/>
      <c r="D255" s="611"/>
      <c r="E255" s="611"/>
      <c r="F255" s="612"/>
      <c r="G255" s="181">
        <v>1</v>
      </c>
      <c r="H255" s="181" t="s">
        <v>119</v>
      </c>
      <c r="I255" s="629">
        <f>SUM(K250:K254)/G255</f>
        <v>525.39638888888885</v>
      </c>
      <c r="J255" s="612"/>
      <c r="K255" s="184">
        <f t="shared" si="24"/>
        <v>525.39638888888885</v>
      </c>
      <c r="L255" s="6"/>
      <c r="M255" s="6"/>
    </row>
    <row r="256" spans="2:23" ht="15.75" customHeight="1" x14ac:dyDescent="0.25">
      <c r="L256" s="6"/>
      <c r="M256" s="6"/>
    </row>
    <row r="257" spans="2:14" ht="15.75" customHeight="1" x14ac:dyDescent="0.25">
      <c r="B257" s="598" t="s">
        <v>867</v>
      </c>
      <c r="C257" s="537"/>
      <c r="D257" s="537"/>
      <c r="E257" s="537"/>
      <c r="F257" s="537"/>
      <c r="G257" s="537"/>
      <c r="H257" s="537"/>
      <c r="I257" s="537"/>
      <c r="J257" s="537"/>
      <c r="K257" s="538"/>
      <c r="L257" s="6"/>
      <c r="M257" s="6"/>
    </row>
    <row r="258" spans="2:14" ht="15.75" customHeight="1" x14ac:dyDescent="0.25">
      <c r="B258" s="637" t="s">
        <v>239</v>
      </c>
      <c r="C258" s="564"/>
      <c r="D258" s="564"/>
      <c r="E258" s="564"/>
      <c r="F258" s="565"/>
      <c r="G258" s="170" t="s">
        <v>118</v>
      </c>
      <c r="H258" s="155" t="s">
        <v>119</v>
      </c>
      <c r="I258" s="637" t="s">
        <v>319</v>
      </c>
      <c r="J258" s="565"/>
      <c r="K258" s="155" t="s">
        <v>275</v>
      </c>
      <c r="L258" s="6"/>
      <c r="M258" s="6"/>
    </row>
    <row r="259" spans="2:14" ht="15.75" customHeight="1" x14ac:dyDescent="0.25">
      <c r="B259" s="675" t="s">
        <v>363</v>
      </c>
      <c r="C259" s="535"/>
      <c r="D259" s="535"/>
      <c r="E259" s="535"/>
      <c r="F259" s="575"/>
      <c r="G259" s="186">
        <v>2080</v>
      </c>
      <c r="H259" s="14" t="s">
        <v>364</v>
      </c>
      <c r="I259" s="681"/>
      <c r="J259" s="575"/>
      <c r="K259" s="16"/>
      <c r="L259" s="6"/>
      <c r="M259" s="6"/>
    </row>
    <row r="260" spans="2:14" ht="15.75" customHeight="1" x14ac:dyDescent="0.25">
      <c r="B260" s="571" t="s">
        <v>365</v>
      </c>
      <c r="C260" s="537"/>
      <c r="D260" s="537"/>
      <c r="E260" s="537"/>
      <c r="F260" s="538"/>
      <c r="G260" s="14">
        <v>4</v>
      </c>
      <c r="H260" s="14" t="s">
        <v>367</v>
      </c>
      <c r="I260" s="682"/>
      <c r="J260" s="538"/>
      <c r="K260" s="187"/>
      <c r="L260" s="6"/>
      <c r="M260" s="6"/>
    </row>
    <row r="261" spans="2:14" ht="15.75" customHeight="1" x14ac:dyDescent="0.25">
      <c r="B261" s="571" t="s">
        <v>869</v>
      </c>
      <c r="C261" s="537"/>
      <c r="D261" s="537"/>
      <c r="E261" s="537"/>
      <c r="F261" s="538"/>
      <c r="G261" s="14">
        <v>1</v>
      </c>
      <c r="H261" s="14" t="s">
        <v>369</v>
      </c>
      <c r="I261" s="683">
        <v>7.48</v>
      </c>
      <c r="J261" s="538"/>
      <c r="K261" s="60"/>
      <c r="L261" s="6"/>
      <c r="M261" s="6"/>
    </row>
    <row r="262" spans="2:14" ht="15.75" customHeight="1" x14ac:dyDescent="0.25">
      <c r="B262" s="684" t="s">
        <v>371</v>
      </c>
      <c r="C262" s="564"/>
      <c r="D262" s="564"/>
      <c r="E262" s="564"/>
      <c r="F262" s="565"/>
      <c r="G262" s="188">
        <f>G259/G260</f>
        <v>520</v>
      </c>
      <c r="H262" s="174" t="s">
        <v>372</v>
      </c>
      <c r="I262" s="657">
        <f>I261</f>
        <v>7.48</v>
      </c>
      <c r="J262" s="565"/>
      <c r="K262" s="175">
        <f t="shared" ref="K262:K263" si="25">I262*G262</f>
        <v>3889.6000000000004</v>
      </c>
      <c r="L262" s="6"/>
      <c r="M262" s="6"/>
    </row>
    <row r="263" spans="2:14" ht="15.75" customHeight="1" x14ac:dyDescent="0.25">
      <c r="B263" s="628" t="s">
        <v>374</v>
      </c>
      <c r="C263" s="611"/>
      <c r="D263" s="611"/>
      <c r="E263" s="611"/>
      <c r="F263" s="612"/>
      <c r="G263" s="181">
        <v>1</v>
      </c>
      <c r="H263" s="181" t="s">
        <v>119</v>
      </c>
      <c r="I263" s="629">
        <f>K262</f>
        <v>3889.6000000000004</v>
      </c>
      <c r="J263" s="612"/>
      <c r="K263" s="184">
        <f t="shared" si="25"/>
        <v>3889.6000000000004</v>
      </c>
      <c r="L263" s="6"/>
      <c r="M263" s="6"/>
    </row>
    <row r="264" spans="2:14" ht="15.75" customHeight="1" x14ac:dyDescent="0.25">
      <c r="B264" s="779" t="s">
        <v>376</v>
      </c>
      <c r="C264" s="537"/>
      <c r="D264" s="537"/>
      <c r="E264" s="537"/>
      <c r="F264" s="537"/>
      <c r="G264" s="537"/>
      <c r="H264" s="537"/>
      <c r="I264" s="537"/>
      <c r="J264" s="537"/>
      <c r="K264" s="537"/>
      <c r="L264" s="6"/>
      <c r="M264" s="6"/>
    </row>
    <row r="265" spans="2:14" ht="15.75" customHeight="1" x14ac:dyDescent="0.25">
      <c r="B265" s="151"/>
      <c r="C265" s="151"/>
      <c r="D265" s="151"/>
      <c r="E265" s="151"/>
      <c r="F265" s="151"/>
      <c r="G265" s="1"/>
      <c r="H265" s="1"/>
      <c r="I265" s="152"/>
      <c r="J265" s="152"/>
      <c r="K265" s="189"/>
      <c r="L265" s="6"/>
      <c r="M265" s="6"/>
    </row>
    <row r="266" spans="2:14" ht="15.75" customHeight="1" x14ac:dyDescent="0.25">
      <c r="B266" s="598" t="s">
        <v>873</v>
      </c>
      <c r="C266" s="537"/>
      <c r="D266" s="537"/>
      <c r="E266" s="537"/>
      <c r="F266" s="537"/>
      <c r="G266" s="537"/>
      <c r="H266" s="537"/>
      <c r="I266" s="537"/>
      <c r="J266" s="537"/>
      <c r="K266" s="538"/>
      <c r="L266" s="6"/>
      <c r="M266" s="6"/>
    </row>
    <row r="267" spans="2:14" ht="15.75" customHeight="1" x14ac:dyDescent="0.25">
      <c r="B267" s="637" t="s">
        <v>239</v>
      </c>
      <c r="C267" s="564"/>
      <c r="D267" s="564"/>
      <c r="E267" s="564"/>
      <c r="F267" s="565"/>
      <c r="G267" s="170" t="s">
        <v>118</v>
      </c>
      <c r="H267" s="155" t="s">
        <v>119</v>
      </c>
      <c r="I267" s="637" t="s">
        <v>319</v>
      </c>
      <c r="J267" s="565"/>
      <c r="K267" s="155" t="s">
        <v>320</v>
      </c>
      <c r="L267" s="6"/>
      <c r="M267" s="6"/>
    </row>
    <row r="268" spans="2:14" ht="15.75" customHeight="1" x14ac:dyDescent="0.25">
      <c r="B268" s="675" t="s">
        <v>381</v>
      </c>
      <c r="C268" s="535"/>
      <c r="D268" s="535"/>
      <c r="E268" s="535"/>
      <c r="F268" s="575"/>
      <c r="G268" s="73">
        <v>2</v>
      </c>
      <c r="H268" s="14" t="s">
        <v>382</v>
      </c>
      <c r="I268" s="676">
        <f>'10 - CUSTOS UN'!$J$216</f>
        <v>20.973333333333333</v>
      </c>
      <c r="J268" s="575"/>
      <c r="K268" s="60">
        <f t="shared" ref="K268:K269" si="26">I268*G268</f>
        <v>41.946666666666665</v>
      </c>
      <c r="L268" s="6"/>
      <c r="M268" s="6"/>
    </row>
    <row r="269" spans="2:14" ht="15.75" customHeight="1" x14ac:dyDescent="0.25">
      <c r="B269" s="679" t="s">
        <v>384</v>
      </c>
      <c r="C269" s="537"/>
      <c r="D269" s="537"/>
      <c r="E269" s="537"/>
      <c r="F269" s="538"/>
      <c r="G269" s="192">
        <f>G259</f>
        <v>2080</v>
      </c>
      <c r="H269" s="17" t="s">
        <v>364</v>
      </c>
      <c r="I269" s="680">
        <f>K268/1000</f>
        <v>4.1946666666666667E-2</v>
      </c>
      <c r="J269" s="538"/>
      <c r="K269" s="193">
        <f t="shared" si="26"/>
        <v>87.249066666666664</v>
      </c>
      <c r="L269" s="6"/>
      <c r="M269" s="6"/>
      <c r="N269" s="21"/>
    </row>
    <row r="270" spans="2:14" ht="15.75" customHeight="1" x14ac:dyDescent="0.25">
      <c r="B270" s="571" t="s">
        <v>387</v>
      </c>
      <c r="C270" s="537"/>
      <c r="D270" s="537"/>
      <c r="E270" s="537"/>
      <c r="F270" s="538"/>
      <c r="G270" s="171">
        <v>0.5</v>
      </c>
      <c r="H270" s="14" t="s">
        <v>382</v>
      </c>
      <c r="I270" s="556">
        <f>'10 - CUSTOS UN'!$J$219</f>
        <v>34.336666666666666</v>
      </c>
      <c r="J270" s="538"/>
      <c r="K270" s="60">
        <f>G270*I270</f>
        <v>17.168333333333333</v>
      </c>
      <c r="L270" s="6"/>
      <c r="M270" s="6"/>
    </row>
    <row r="271" spans="2:14" ht="15.75" customHeight="1" x14ac:dyDescent="0.25">
      <c r="B271" s="679" t="s">
        <v>390</v>
      </c>
      <c r="C271" s="537"/>
      <c r="D271" s="537"/>
      <c r="E271" s="537"/>
      <c r="F271" s="538"/>
      <c r="G271" s="192">
        <f>G259</f>
        <v>2080</v>
      </c>
      <c r="H271" s="17" t="s">
        <v>364</v>
      </c>
      <c r="I271" s="680">
        <f>K270/1000</f>
        <v>1.7168333333333334E-2</v>
      </c>
      <c r="J271" s="538"/>
      <c r="K271" s="193">
        <f t="shared" ref="K271:K276" si="27">I271*G271</f>
        <v>35.710133333333332</v>
      </c>
      <c r="L271" s="6"/>
      <c r="M271" s="6"/>
    </row>
    <row r="272" spans="2:14" ht="15.75" customHeight="1" x14ac:dyDescent="0.25">
      <c r="B272" s="571" t="s">
        <v>392</v>
      </c>
      <c r="C272" s="537"/>
      <c r="D272" s="537"/>
      <c r="E272" s="537"/>
      <c r="F272" s="538"/>
      <c r="G272" s="14">
        <v>0.2</v>
      </c>
      <c r="H272" s="14" t="s">
        <v>382</v>
      </c>
      <c r="I272" s="556">
        <f>'10 - CUSTOS UN'!$J$225</f>
        <v>25.786666666666665</v>
      </c>
      <c r="J272" s="538"/>
      <c r="K272" s="60">
        <f t="shared" si="27"/>
        <v>5.1573333333333338</v>
      </c>
      <c r="L272" s="6"/>
      <c r="M272" s="6"/>
    </row>
    <row r="273" spans="2:13" ht="15.75" customHeight="1" x14ac:dyDescent="0.25">
      <c r="B273" s="679" t="s">
        <v>395</v>
      </c>
      <c r="C273" s="537"/>
      <c r="D273" s="537"/>
      <c r="E273" s="537"/>
      <c r="F273" s="538"/>
      <c r="G273" s="192">
        <f>G259</f>
        <v>2080</v>
      </c>
      <c r="H273" s="17" t="s">
        <v>364</v>
      </c>
      <c r="I273" s="680">
        <f>K272/1000</f>
        <v>5.1573333333333341E-3</v>
      </c>
      <c r="J273" s="538"/>
      <c r="K273" s="193">
        <f t="shared" si="27"/>
        <v>10.727253333333335</v>
      </c>
      <c r="L273" s="6"/>
      <c r="M273" s="6"/>
    </row>
    <row r="274" spans="2:13" ht="15.75" customHeight="1" x14ac:dyDescent="0.25">
      <c r="B274" s="571" t="s">
        <v>397</v>
      </c>
      <c r="C274" s="537"/>
      <c r="D274" s="537"/>
      <c r="E274" s="537"/>
      <c r="F274" s="538"/>
      <c r="G274" s="14">
        <v>2</v>
      </c>
      <c r="H274" s="14" t="s">
        <v>398</v>
      </c>
      <c r="I274" s="556">
        <f>'10 - CUSTOS UN'!$J$228</f>
        <v>43.276666666666664</v>
      </c>
      <c r="J274" s="538"/>
      <c r="K274" s="60">
        <f t="shared" si="27"/>
        <v>86.553333333333327</v>
      </c>
      <c r="L274" s="6"/>
      <c r="M274" s="6"/>
    </row>
    <row r="275" spans="2:13" ht="15.75" customHeight="1" x14ac:dyDescent="0.25">
      <c r="B275" s="684" t="s">
        <v>399</v>
      </c>
      <c r="C275" s="564"/>
      <c r="D275" s="564"/>
      <c r="E275" s="564"/>
      <c r="F275" s="565"/>
      <c r="G275" s="188">
        <f>G259</f>
        <v>2080</v>
      </c>
      <c r="H275" s="174" t="s">
        <v>364</v>
      </c>
      <c r="I275" s="657">
        <f>K274/1000</f>
        <v>8.6553333333333329E-2</v>
      </c>
      <c r="J275" s="565"/>
      <c r="K275" s="175">
        <f t="shared" si="27"/>
        <v>180.03093333333334</v>
      </c>
      <c r="L275" s="6"/>
      <c r="M275" s="6"/>
    </row>
    <row r="276" spans="2:13" ht="15" customHeight="1" x14ac:dyDescent="0.25">
      <c r="B276" s="628" t="s">
        <v>401</v>
      </c>
      <c r="C276" s="611"/>
      <c r="D276" s="611"/>
      <c r="E276" s="611"/>
      <c r="F276" s="612"/>
      <c r="G276" s="181">
        <v>1</v>
      </c>
      <c r="H276" s="181" t="s">
        <v>119</v>
      </c>
      <c r="I276" s="629">
        <f>SUM(K269,K271,K273,K275)</f>
        <v>313.7173866666667</v>
      </c>
      <c r="J276" s="612"/>
      <c r="K276" s="184">
        <f t="shared" si="27"/>
        <v>313.7173866666667</v>
      </c>
      <c r="L276" s="6"/>
      <c r="M276" s="6"/>
    </row>
    <row r="277" spans="2:13" ht="15.75" customHeight="1" x14ac:dyDescent="0.25">
      <c r="B277" s="148"/>
      <c r="C277" s="148"/>
      <c r="D277" s="148"/>
      <c r="E277" s="148"/>
      <c r="F277" s="148"/>
      <c r="G277" s="148"/>
      <c r="H277" s="148"/>
      <c r="I277" s="148"/>
      <c r="J277" s="148"/>
      <c r="K277" s="148"/>
      <c r="L277" s="6"/>
      <c r="M277" s="6"/>
    </row>
    <row r="278" spans="2:13" ht="15.75" customHeight="1" x14ac:dyDescent="0.25">
      <c r="B278" s="598" t="s">
        <v>880</v>
      </c>
      <c r="C278" s="537"/>
      <c r="D278" s="537"/>
      <c r="E278" s="537"/>
      <c r="F278" s="537"/>
      <c r="G278" s="537"/>
      <c r="H278" s="537"/>
      <c r="I278" s="537"/>
      <c r="J278" s="537"/>
      <c r="K278" s="538"/>
      <c r="L278" s="6"/>
      <c r="M278" s="6"/>
    </row>
    <row r="279" spans="2:13" ht="15.75" customHeight="1" x14ac:dyDescent="0.25">
      <c r="B279" s="637" t="s">
        <v>239</v>
      </c>
      <c r="C279" s="564"/>
      <c r="D279" s="564"/>
      <c r="E279" s="564"/>
      <c r="F279" s="565"/>
      <c r="G279" s="170" t="s">
        <v>118</v>
      </c>
      <c r="H279" s="155" t="s">
        <v>119</v>
      </c>
      <c r="I279" s="637" t="s">
        <v>319</v>
      </c>
      <c r="J279" s="565"/>
      <c r="K279" s="155" t="s">
        <v>320</v>
      </c>
      <c r="L279" s="6"/>
      <c r="M279" s="6"/>
    </row>
    <row r="280" spans="2:13" ht="15.75" customHeight="1" x14ac:dyDescent="0.25">
      <c r="B280" s="675" t="s">
        <v>881</v>
      </c>
      <c r="C280" s="535"/>
      <c r="D280" s="535"/>
      <c r="E280" s="535"/>
      <c r="F280" s="575"/>
      <c r="G280" s="14">
        <v>6</v>
      </c>
      <c r="H280" s="14" t="s">
        <v>335</v>
      </c>
      <c r="I280" s="686">
        <f>'10 - CUSTOS UN'!J201</f>
        <v>720.73666666666668</v>
      </c>
      <c r="J280" s="575"/>
      <c r="K280" s="86">
        <f>I280*G280</f>
        <v>4324.42</v>
      </c>
      <c r="L280" s="6"/>
      <c r="M280" s="6"/>
    </row>
    <row r="281" spans="2:13" ht="15.75" customHeight="1" x14ac:dyDescent="0.25">
      <c r="B281" s="571" t="s">
        <v>407</v>
      </c>
      <c r="C281" s="537"/>
      <c r="D281" s="537"/>
      <c r="E281" s="537"/>
      <c r="F281" s="538"/>
      <c r="G281" s="14">
        <v>3</v>
      </c>
      <c r="H281" s="14" t="s">
        <v>335</v>
      </c>
      <c r="I281" s="617"/>
      <c r="J281" s="538"/>
      <c r="K281" s="173"/>
      <c r="L281" s="6"/>
      <c r="M281" s="6"/>
    </row>
    <row r="282" spans="2:13" ht="15.75" customHeight="1" x14ac:dyDescent="0.25">
      <c r="B282" s="571" t="s">
        <v>408</v>
      </c>
      <c r="C282" s="537"/>
      <c r="D282" s="537"/>
      <c r="E282" s="537"/>
      <c r="F282" s="538"/>
      <c r="G282" s="14">
        <f>G281*G280</f>
        <v>18</v>
      </c>
      <c r="H282" s="14" t="s">
        <v>335</v>
      </c>
      <c r="I282" s="556">
        <f>'10 - CUSTOS UN'!J262</f>
        <v>521.98</v>
      </c>
      <c r="J282" s="538"/>
      <c r="K282" s="60">
        <f>I282*G282</f>
        <v>9395.64</v>
      </c>
      <c r="L282" s="6"/>
      <c r="M282" s="6"/>
    </row>
    <row r="283" spans="2:13" ht="15.75" customHeight="1" x14ac:dyDescent="0.25">
      <c r="B283" s="571" t="s">
        <v>411</v>
      </c>
      <c r="C283" s="537"/>
      <c r="D283" s="537"/>
      <c r="E283" s="537"/>
      <c r="F283" s="538"/>
      <c r="G283" s="15">
        <v>30000</v>
      </c>
      <c r="H283" s="14" t="s">
        <v>413</v>
      </c>
      <c r="I283" s="617"/>
      <c r="J283" s="538"/>
      <c r="K283" s="173"/>
      <c r="L283" s="6"/>
      <c r="M283" s="6"/>
    </row>
    <row r="284" spans="2:13" ht="15.75" customHeight="1" x14ac:dyDescent="0.25">
      <c r="B284" s="571" t="s">
        <v>414</v>
      </c>
      <c r="C284" s="537"/>
      <c r="D284" s="537"/>
      <c r="E284" s="537"/>
      <c r="F284" s="538"/>
      <c r="G284" s="15">
        <f>15/20*G283</f>
        <v>22500</v>
      </c>
      <c r="H284" s="14" t="s">
        <v>413</v>
      </c>
      <c r="I284" s="617"/>
      <c r="J284" s="538"/>
      <c r="K284" s="173"/>
      <c r="L284" s="6"/>
      <c r="M284" s="6"/>
    </row>
    <row r="285" spans="2:13" ht="15.75" customHeight="1" x14ac:dyDescent="0.25">
      <c r="B285" s="571" t="s">
        <v>415</v>
      </c>
      <c r="C285" s="537"/>
      <c r="D285" s="537"/>
      <c r="E285" s="537"/>
      <c r="F285" s="538"/>
      <c r="G285" s="15">
        <f>G283+G284*G281</f>
        <v>97500</v>
      </c>
      <c r="H285" s="14" t="s">
        <v>417</v>
      </c>
      <c r="I285" s="556">
        <f>K282+K280</f>
        <v>13720.06</v>
      </c>
      <c r="J285" s="538"/>
      <c r="K285" s="60">
        <f>I285/G285</f>
        <v>0.14071856410256409</v>
      </c>
      <c r="L285" s="6"/>
      <c r="M285" s="6"/>
    </row>
    <row r="286" spans="2:13" ht="15.75" customHeight="1" x14ac:dyDescent="0.25">
      <c r="B286" s="684" t="s">
        <v>418</v>
      </c>
      <c r="C286" s="564"/>
      <c r="D286" s="564"/>
      <c r="E286" s="564"/>
      <c r="F286" s="565"/>
      <c r="G286" s="188">
        <f>G259</f>
        <v>2080</v>
      </c>
      <c r="H286" s="174" t="s">
        <v>413</v>
      </c>
      <c r="I286" s="657">
        <f t="shared" ref="I286:I287" si="28">K285</f>
        <v>0.14071856410256409</v>
      </c>
      <c r="J286" s="565"/>
      <c r="K286" s="175">
        <f t="shared" ref="K286:K287" si="29">I286*G286</f>
        <v>292.69461333333328</v>
      </c>
      <c r="L286" s="6"/>
      <c r="M286" s="6"/>
    </row>
    <row r="287" spans="2:13" ht="15" customHeight="1" x14ac:dyDescent="0.25">
      <c r="B287" s="628" t="s">
        <v>420</v>
      </c>
      <c r="C287" s="611"/>
      <c r="D287" s="611"/>
      <c r="E287" s="611"/>
      <c r="F287" s="612"/>
      <c r="G287" s="181">
        <v>1</v>
      </c>
      <c r="H287" s="181" t="s">
        <v>119</v>
      </c>
      <c r="I287" s="629">
        <f t="shared" si="28"/>
        <v>292.69461333333328</v>
      </c>
      <c r="J287" s="612"/>
      <c r="K287" s="184">
        <f t="shared" si="29"/>
        <v>292.69461333333328</v>
      </c>
      <c r="L287" s="6"/>
      <c r="M287" s="6"/>
    </row>
    <row r="288" spans="2:13" ht="31.5" customHeight="1" x14ac:dyDescent="0.25">
      <c r="B288" s="151"/>
      <c r="C288" s="151"/>
      <c r="D288" s="151"/>
      <c r="E288" s="151"/>
      <c r="F288" s="151"/>
      <c r="G288" s="1"/>
      <c r="H288" s="1"/>
      <c r="I288" s="152"/>
      <c r="J288" s="152"/>
      <c r="K288" s="189"/>
      <c r="L288" s="6"/>
      <c r="M288" s="6"/>
    </row>
    <row r="289" spans="2:13" ht="15.75" customHeight="1" x14ac:dyDescent="0.25">
      <c r="B289" s="598" t="s">
        <v>885</v>
      </c>
      <c r="C289" s="537"/>
      <c r="D289" s="537"/>
      <c r="E289" s="537"/>
      <c r="F289" s="537"/>
      <c r="G289" s="537"/>
      <c r="H289" s="537"/>
      <c r="I289" s="537"/>
      <c r="J289" s="537"/>
      <c r="K289" s="538"/>
      <c r="L289" s="6"/>
      <c r="M289" s="6"/>
    </row>
    <row r="290" spans="2:13" ht="15.75" customHeight="1" x14ac:dyDescent="0.25">
      <c r="B290" s="637" t="s">
        <v>239</v>
      </c>
      <c r="C290" s="564"/>
      <c r="D290" s="564"/>
      <c r="E290" s="564"/>
      <c r="F290" s="565"/>
      <c r="G290" s="170" t="s">
        <v>118</v>
      </c>
      <c r="H290" s="155" t="s">
        <v>119</v>
      </c>
      <c r="I290" s="637" t="s">
        <v>319</v>
      </c>
      <c r="J290" s="565"/>
      <c r="K290" s="155" t="s">
        <v>275</v>
      </c>
      <c r="L290" s="6"/>
      <c r="M290" s="6"/>
    </row>
    <row r="291" spans="2:13" ht="15.75" customHeight="1" x14ac:dyDescent="0.25">
      <c r="B291" s="687" t="s">
        <v>425</v>
      </c>
      <c r="C291" s="532"/>
      <c r="D291" s="532"/>
      <c r="E291" s="532"/>
      <c r="F291" s="688"/>
      <c r="G291" s="203">
        <f>G259</f>
        <v>2080</v>
      </c>
      <c r="H291" s="204" t="s">
        <v>364</v>
      </c>
      <c r="I291" s="689">
        <v>1.18</v>
      </c>
      <c r="J291" s="688"/>
      <c r="K291" s="205">
        <f t="shared" ref="K291:K292" si="30">I291*G291</f>
        <v>2454.4</v>
      </c>
      <c r="L291" s="6"/>
      <c r="M291" s="6"/>
    </row>
    <row r="292" spans="2:13" ht="15.75" customHeight="1" x14ac:dyDescent="0.25">
      <c r="B292" s="628" t="s">
        <v>427</v>
      </c>
      <c r="C292" s="611"/>
      <c r="D292" s="611"/>
      <c r="E292" s="611"/>
      <c r="F292" s="612"/>
      <c r="G292" s="181">
        <v>1</v>
      </c>
      <c r="H292" s="181" t="s">
        <v>335</v>
      </c>
      <c r="I292" s="629">
        <f>K291</f>
        <v>2454.4</v>
      </c>
      <c r="J292" s="612"/>
      <c r="K292" s="184">
        <f t="shared" si="30"/>
        <v>2454.4</v>
      </c>
      <c r="L292" s="6"/>
      <c r="M292" s="6"/>
    </row>
    <row r="293" spans="2:13" ht="15.75" customHeight="1" x14ac:dyDescent="0.25">
      <c r="B293" s="148"/>
      <c r="C293" s="148"/>
      <c r="D293" s="148"/>
      <c r="E293" s="148"/>
      <c r="F293" s="148"/>
      <c r="G293" s="148"/>
      <c r="H293" s="148"/>
      <c r="I293" s="148"/>
      <c r="J293" s="148"/>
      <c r="K293" s="148"/>
      <c r="L293" s="6"/>
      <c r="M293" s="6"/>
    </row>
    <row r="294" spans="2:13" ht="15" customHeight="1" x14ac:dyDescent="0.25">
      <c r="B294" s="552" t="s">
        <v>887</v>
      </c>
      <c r="C294" s="537"/>
      <c r="D294" s="537"/>
      <c r="E294" s="537"/>
      <c r="F294" s="537"/>
      <c r="G294" s="537"/>
      <c r="H294" s="537"/>
      <c r="I294" s="537"/>
      <c r="J294" s="538"/>
      <c r="K294" s="209">
        <f>SUM(I292,I287,I276,I263,I255,I246,I231)</f>
        <v>11610.361781746031</v>
      </c>
      <c r="L294" s="6"/>
      <c r="M294" s="6"/>
    </row>
    <row r="295" spans="2:13" ht="15" customHeight="1" x14ac:dyDescent="0.25">
      <c r="B295" s="552" t="s">
        <v>433</v>
      </c>
      <c r="C295" s="537"/>
      <c r="D295" s="537"/>
      <c r="E295" s="537"/>
      <c r="F295" s="537"/>
      <c r="G295" s="537"/>
      <c r="H295" s="537"/>
      <c r="I295" s="537"/>
      <c r="J295" s="538"/>
      <c r="K295" s="209">
        <f>SUM(K292,K287,K276,K263,K255,K246,K231)</f>
        <v>11610.361781746031</v>
      </c>
      <c r="L295" s="6"/>
      <c r="M295" s="6"/>
    </row>
    <row r="296" spans="2:13" ht="15.75" customHeight="1" x14ac:dyDescent="0.25">
      <c r="L296" s="6"/>
      <c r="M296" s="6"/>
    </row>
    <row r="297" spans="2:13" ht="15.75" customHeight="1" x14ac:dyDescent="0.25">
      <c r="L297" s="6"/>
      <c r="M297" s="6"/>
    </row>
    <row r="298" spans="2:13" ht="15" customHeight="1" x14ac:dyDescent="0.25">
      <c r="B298" s="589" t="s">
        <v>573</v>
      </c>
      <c r="C298" s="537"/>
      <c r="D298" s="537"/>
      <c r="E298" s="537"/>
      <c r="F298" s="537"/>
      <c r="G298" s="537"/>
      <c r="H298" s="537"/>
      <c r="I298" s="537"/>
      <c r="J298" s="538"/>
      <c r="K298" s="283">
        <f>SUM(K214,K295)</f>
        <v>135657.00516311856</v>
      </c>
      <c r="L298" s="6"/>
      <c r="M298" s="6"/>
    </row>
    <row r="299" spans="2:13" ht="15.75" customHeight="1" x14ac:dyDescent="0.25">
      <c r="L299" s="6"/>
      <c r="M299" s="6"/>
    </row>
    <row r="300" spans="2:13" ht="15.75" customHeight="1" x14ac:dyDescent="0.25">
      <c r="L300" s="6"/>
      <c r="M300" s="6"/>
    </row>
    <row r="301" spans="2:13" ht="15" customHeight="1" x14ac:dyDescent="0.25">
      <c r="B301" s="566" t="s">
        <v>889</v>
      </c>
      <c r="C301" s="537"/>
      <c r="D301" s="537"/>
      <c r="E301" s="537"/>
      <c r="F301" s="537"/>
      <c r="G301" s="537"/>
      <c r="H301" s="537"/>
      <c r="I301" s="537"/>
      <c r="J301" s="537"/>
      <c r="K301" s="538"/>
      <c r="L301" s="6"/>
      <c r="M301" s="6"/>
    </row>
    <row r="302" spans="2:13" ht="15" customHeight="1" x14ac:dyDescent="0.25">
      <c r="B302" s="286"/>
      <c r="C302" s="286"/>
      <c r="D302" s="286"/>
      <c r="E302" s="286"/>
      <c r="F302" s="286"/>
      <c r="G302" s="286"/>
      <c r="H302" s="286"/>
      <c r="I302" s="286"/>
      <c r="J302" s="286"/>
      <c r="K302" s="287"/>
      <c r="L302" s="6"/>
      <c r="M302" s="6"/>
    </row>
    <row r="303" spans="2:13" ht="15.75" customHeight="1" x14ac:dyDescent="0.25">
      <c r="B303" s="155" t="s">
        <v>273</v>
      </c>
      <c r="C303" s="637" t="s">
        <v>239</v>
      </c>
      <c r="D303" s="564"/>
      <c r="E303" s="564"/>
      <c r="F303" s="565"/>
      <c r="G303" s="170" t="s">
        <v>118</v>
      </c>
      <c r="H303" s="288" t="s">
        <v>578</v>
      </c>
      <c r="I303" s="637" t="s">
        <v>319</v>
      </c>
      <c r="J303" s="565"/>
      <c r="K303" s="155" t="s">
        <v>354</v>
      </c>
      <c r="L303" s="6"/>
      <c r="M303" s="6"/>
    </row>
    <row r="304" spans="2:13" ht="15" customHeight="1" x14ac:dyDescent="0.25">
      <c r="B304" s="145" t="s">
        <v>890</v>
      </c>
      <c r="C304" s="621" t="s">
        <v>582</v>
      </c>
      <c r="D304" s="544"/>
      <c r="E304" s="544"/>
      <c r="F304" s="579"/>
      <c r="G304" s="375">
        <v>23</v>
      </c>
      <c r="H304" s="291">
        <v>24</v>
      </c>
      <c r="I304" s="694">
        <f>'10 - CUSTOS UN'!$J$117</f>
        <v>53.346666666666664</v>
      </c>
      <c r="J304" s="579"/>
      <c r="K304" s="177">
        <f t="shared" ref="K304:K305" si="31">(I304*G304)/H304</f>
        <v>51.123888888888892</v>
      </c>
      <c r="L304" s="6"/>
      <c r="M304" s="6"/>
    </row>
    <row r="305" spans="2:13" ht="15" customHeight="1" x14ac:dyDescent="0.25">
      <c r="B305" s="26" t="s">
        <v>892</v>
      </c>
      <c r="C305" s="545" t="s">
        <v>586</v>
      </c>
      <c r="D305" s="537"/>
      <c r="E305" s="537"/>
      <c r="F305" s="538"/>
      <c r="G305" s="290">
        <v>7</v>
      </c>
      <c r="H305" s="291">
        <v>60</v>
      </c>
      <c r="I305" s="590">
        <f>'10 - CUSTOS UN'!$J$243</f>
        <v>1727.96</v>
      </c>
      <c r="J305" s="538"/>
      <c r="K305" s="44">
        <f t="shared" si="31"/>
        <v>201.59533333333334</v>
      </c>
      <c r="L305" s="6"/>
      <c r="M305" s="6"/>
    </row>
    <row r="306" spans="2:13" ht="15" customHeight="1" x14ac:dyDescent="0.25">
      <c r="B306" s="26" t="s">
        <v>893</v>
      </c>
      <c r="C306" s="545" t="s">
        <v>592</v>
      </c>
      <c r="D306" s="537"/>
      <c r="E306" s="537"/>
      <c r="F306" s="538"/>
      <c r="G306" s="290">
        <v>8</v>
      </c>
      <c r="H306" s="3">
        <v>12</v>
      </c>
      <c r="I306" s="590">
        <f>'10 - CUSTOS UN'!$J$18</f>
        <v>83.660000000000011</v>
      </c>
      <c r="J306" s="538"/>
      <c r="K306" s="295">
        <f>(G306*I306)/H306</f>
        <v>55.773333333333341</v>
      </c>
      <c r="L306" s="6"/>
      <c r="M306" s="6"/>
    </row>
    <row r="307" spans="2:13" ht="15" customHeight="1" x14ac:dyDescent="0.25">
      <c r="B307" s="145" t="s">
        <v>894</v>
      </c>
      <c r="C307" s="559" t="s">
        <v>596</v>
      </c>
      <c r="D307" s="537"/>
      <c r="E307" s="537"/>
      <c r="F307" s="538"/>
      <c r="G307" s="290">
        <v>16</v>
      </c>
      <c r="H307" s="3">
        <v>12</v>
      </c>
      <c r="I307" s="590">
        <f>'10 - CUSTOS UN'!$J$60</f>
        <v>4.1399999999999997</v>
      </c>
      <c r="J307" s="538"/>
      <c r="K307" s="295">
        <f t="shared" ref="K307:K308" si="32">(I307*G307)/H307</f>
        <v>5.52</v>
      </c>
      <c r="L307" s="6"/>
      <c r="M307" s="6"/>
    </row>
    <row r="308" spans="2:13" ht="15" customHeight="1" x14ac:dyDescent="0.25">
      <c r="B308" s="26" t="s">
        <v>896</v>
      </c>
      <c r="C308" s="545" t="s">
        <v>599</v>
      </c>
      <c r="D308" s="537"/>
      <c r="E308" s="537"/>
      <c r="F308" s="538"/>
      <c r="G308" s="290">
        <v>1</v>
      </c>
      <c r="H308" s="3">
        <v>1</v>
      </c>
      <c r="I308" s="590">
        <f>'10 - CUSTOS UN'!$J$105</f>
        <v>22.343333333333334</v>
      </c>
      <c r="J308" s="538"/>
      <c r="K308" s="295">
        <f t="shared" si="32"/>
        <v>22.343333333333334</v>
      </c>
      <c r="L308" s="6"/>
      <c r="M308" s="6"/>
    </row>
    <row r="309" spans="2:13" ht="15" customHeight="1" x14ac:dyDescent="0.25">
      <c r="B309" s="145" t="s">
        <v>897</v>
      </c>
      <c r="C309" s="545" t="s">
        <v>603</v>
      </c>
      <c r="D309" s="537"/>
      <c r="E309" s="537"/>
      <c r="F309" s="538"/>
      <c r="G309" s="290">
        <v>8</v>
      </c>
      <c r="H309" s="3">
        <v>1</v>
      </c>
      <c r="I309" s="590">
        <f>'10 - CUSTOS UN'!$J$96</f>
        <v>13.38</v>
      </c>
      <c r="J309" s="538"/>
      <c r="K309" s="295">
        <f t="shared" ref="K309:K310" si="33">G309*I309/H309</f>
        <v>107.04</v>
      </c>
      <c r="L309" s="6"/>
      <c r="M309" s="6"/>
    </row>
    <row r="310" spans="2:13" ht="15" customHeight="1" x14ac:dyDescent="0.25">
      <c r="B310" s="26" t="s">
        <v>898</v>
      </c>
      <c r="C310" s="545" t="s">
        <v>605</v>
      </c>
      <c r="D310" s="537"/>
      <c r="E310" s="537"/>
      <c r="F310" s="538"/>
      <c r="G310" s="290">
        <v>1</v>
      </c>
      <c r="H310" s="3">
        <v>1</v>
      </c>
      <c r="I310" s="590">
        <f>'10 - CUSTOS UN'!$J$6</f>
        <v>34.836666666666666</v>
      </c>
      <c r="J310" s="538"/>
      <c r="K310" s="44">
        <f t="shared" si="33"/>
        <v>34.836666666666666</v>
      </c>
      <c r="L310" s="6"/>
      <c r="M310" s="6"/>
    </row>
    <row r="311" spans="2:13" ht="15" customHeight="1" x14ac:dyDescent="0.25">
      <c r="B311" s="145" t="s">
        <v>899</v>
      </c>
      <c r="C311" s="545" t="s">
        <v>900</v>
      </c>
      <c r="D311" s="537"/>
      <c r="E311" s="537"/>
      <c r="F311" s="538"/>
      <c r="G311" s="293">
        <v>160</v>
      </c>
      <c r="H311" s="3">
        <v>60</v>
      </c>
      <c r="I311" s="590">
        <f>'10 - CUSTOS UN'!J102</f>
        <v>247.79666666666665</v>
      </c>
      <c r="J311" s="538"/>
      <c r="K311" s="44">
        <f>(I311*G311)/H311</f>
        <v>660.79111111111115</v>
      </c>
      <c r="L311" s="6"/>
      <c r="M311" s="6"/>
    </row>
    <row r="312" spans="2:13" ht="15" customHeight="1" x14ac:dyDescent="0.25">
      <c r="B312" s="26" t="s">
        <v>902</v>
      </c>
      <c r="C312" s="559" t="s">
        <v>903</v>
      </c>
      <c r="D312" s="537"/>
      <c r="E312" s="537"/>
      <c r="F312" s="538"/>
      <c r="G312" s="293">
        <v>8</v>
      </c>
      <c r="H312" s="3">
        <v>1</v>
      </c>
      <c r="I312" s="590">
        <f>'10 - CUSTOS UN'!J12</f>
        <v>94.673333333333332</v>
      </c>
      <c r="J312" s="538"/>
      <c r="K312" s="44">
        <f>I312*G312</f>
        <v>757.38666666666666</v>
      </c>
      <c r="L312" s="6"/>
      <c r="M312" s="6"/>
    </row>
    <row r="313" spans="2:13" ht="15" customHeight="1" x14ac:dyDescent="0.25">
      <c r="B313" s="145" t="s">
        <v>908</v>
      </c>
      <c r="C313" s="328" t="s">
        <v>909</v>
      </c>
      <c r="D313" s="383"/>
      <c r="E313" s="383"/>
      <c r="F313" s="384"/>
      <c r="G313" s="290">
        <v>1</v>
      </c>
      <c r="H313" s="291">
        <v>120</v>
      </c>
      <c r="I313" s="590">
        <f>'10 - CUSTOS UN'!J123</f>
        <v>1326.83</v>
      </c>
      <c r="J313" s="538"/>
      <c r="K313" s="177">
        <f>I313/H313*G313</f>
        <v>11.056916666666666</v>
      </c>
      <c r="L313" s="6"/>
      <c r="M313" s="6"/>
    </row>
    <row r="314" spans="2:13" ht="15" customHeight="1" x14ac:dyDescent="0.25">
      <c r="B314" s="642" t="s">
        <v>925</v>
      </c>
      <c r="C314" s="611"/>
      <c r="D314" s="611"/>
      <c r="E314" s="611"/>
      <c r="F314" s="611"/>
      <c r="G314" s="611"/>
      <c r="H314" s="611"/>
      <c r="I314" s="611"/>
      <c r="J314" s="612"/>
      <c r="K314" s="386">
        <f>SUM(K304:K313)</f>
        <v>1907.4672499999999</v>
      </c>
      <c r="L314" s="6"/>
      <c r="M314" s="6"/>
    </row>
    <row r="315" spans="2:13" ht="15" customHeight="1" x14ac:dyDescent="0.25">
      <c r="B315" s="286"/>
      <c r="C315" s="286"/>
      <c r="D315" s="286"/>
      <c r="E315" s="286"/>
      <c r="F315" s="286"/>
      <c r="G315" s="286"/>
      <c r="H315" s="286"/>
      <c r="I315" s="286"/>
      <c r="J315" s="286"/>
      <c r="K315" s="287"/>
      <c r="L315" s="6"/>
      <c r="M315" s="6"/>
    </row>
    <row r="316" spans="2:13" ht="15" customHeight="1" x14ac:dyDescent="0.25">
      <c r="B316" s="286"/>
      <c r="C316" s="286"/>
      <c r="D316" s="286"/>
      <c r="E316" s="286"/>
      <c r="F316" s="286"/>
      <c r="G316" s="286"/>
      <c r="H316" s="286"/>
      <c r="I316" s="286"/>
      <c r="J316" s="286"/>
      <c r="K316" s="287"/>
      <c r="L316" s="6"/>
      <c r="M316" s="6"/>
    </row>
    <row r="317" spans="2:13" ht="15" customHeight="1" x14ac:dyDescent="0.25">
      <c r="B317" s="589" t="s">
        <v>711</v>
      </c>
      <c r="C317" s="537"/>
      <c r="D317" s="537"/>
      <c r="E317" s="537"/>
      <c r="F317" s="537"/>
      <c r="G317" s="537"/>
      <c r="H317" s="537"/>
      <c r="I317" s="537"/>
      <c r="J317" s="538"/>
      <c r="K317" s="283">
        <f>SUM(K314,K298,K103,K68)</f>
        <v>300339.10645670944</v>
      </c>
      <c r="L317" s="6"/>
      <c r="M317" s="6"/>
    </row>
    <row r="318" spans="2:13" ht="15" customHeight="1" x14ac:dyDescent="0.25">
      <c r="B318" s="286"/>
      <c r="C318" s="286"/>
      <c r="D318" s="286"/>
      <c r="E318" s="286"/>
      <c r="F318" s="286"/>
      <c r="G318" s="286"/>
      <c r="H318" s="286"/>
      <c r="I318" s="286"/>
      <c r="J318" s="286"/>
      <c r="K318" s="287"/>
      <c r="L318" s="6"/>
      <c r="M318" s="6"/>
    </row>
    <row r="319" spans="2:13" ht="15" customHeight="1" x14ac:dyDescent="0.25">
      <c r="B319" s="286"/>
      <c r="C319" s="286"/>
      <c r="D319" s="286"/>
      <c r="E319" s="286"/>
      <c r="F319" s="286"/>
      <c r="G319" s="286"/>
      <c r="H319" s="286"/>
      <c r="I319" s="286"/>
      <c r="J319" s="286"/>
      <c r="K319" s="287"/>
      <c r="L319" s="6"/>
      <c r="M319" s="6"/>
    </row>
    <row r="320" spans="2:13" ht="15" customHeight="1" x14ac:dyDescent="0.25">
      <c r="B320" s="566" t="s">
        <v>931</v>
      </c>
      <c r="C320" s="537"/>
      <c r="D320" s="537"/>
      <c r="E320" s="537"/>
      <c r="F320" s="537"/>
      <c r="G320" s="537"/>
      <c r="H320" s="537"/>
      <c r="I320" s="537"/>
      <c r="J320" s="537"/>
      <c r="K320" s="538"/>
      <c r="L320" s="6"/>
      <c r="M320" s="6"/>
    </row>
    <row r="321" spans="2:13" ht="15" customHeight="1" x14ac:dyDescent="0.25">
      <c r="K321" s="21"/>
      <c r="L321" s="6"/>
      <c r="M321" s="6"/>
    </row>
    <row r="322" spans="2:13" ht="15" customHeight="1" x14ac:dyDescent="0.25">
      <c r="B322" s="344" t="s">
        <v>273</v>
      </c>
      <c r="C322" s="569" t="s">
        <v>239</v>
      </c>
      <c r="D322" s="537"/>
      <c r="E322" s="537"/>
      <c r="F322" s="537"/>
      <c r="G322" s="538"/>
      <c r="H322" s="345" t="s">
        <v>141</v>
      </c>
      <c r="I322" s="773" t="s">
        <v>615</v>
      </c>
      <c r="J322" s="738"/>
      <c r="K322" s="344" t="s">
        <v>616</v>
      </c>
      <c r="L322" s="6"/>
      <c r="M322" s="6"/>
    </row>
    <row r="323" spans="2:13" ht="15" customHeight="1" x14ac:dyDescent="0.25">
      <c r="B323" s="26" t="s">
        <v>667</v>
      </c>
      <c r="C323" s="545" t="s">
        <v>619</v>
      </c>
      <c r="D323" s="537"/>
      <c r="E323" s="537"/>
      <c r="F323" s="537"/>
      <c r="G323" s="538"/>
      <c r="H323" s="26"/>
      <c r="I323" s="602">
        <f>'OK 4 - ADM LOCAL - SELETIVA'!K377</f>
        <v>114000.38898303383</v>
      </c>
      <c r="J323" s="538"/>
      <c r="K323" s="31">
        <f>I323</f>
        <v>114000.38898303383</v>
      </c>
      <c r="L323" s="6"/>
      <c r="M323" s="6"/>
    </row>
    <row r="324" spans="2:13" ht="15" customHeight="1" x14ac:dyDescent="0.25">
      <c r="B324" s="26" t="s">
        <v>668</v>
      </c>
      <c r="C324" s="545" t="s">
        <v>102</v>
      </c>
      <c r="D324" s="537"/>
      <c r="E324" s="537"/>
      <c r="F324" s="537"/>
      <c r="G324" s="538"/>
      <c r="H324" s="133">
        <f>'9 - BDI'!D15</f>
        <v>0.27689893995634196</v>
      </c>
      <c r="I324" s="602">
        <f>K317</f>
        <v>300339.10645670944</v>
      </c>
      <c r="J324" s="538"/>
      <c r="K324" s="31">
        <f>I324*H324</f>
        <v>83163.580205297782</v>
      </c>
      <c r="L324" s="6"/>
      <c r="M324" s="6"/>
    </row>
    <row r="325" spans="2:13" ht="15" customHeight="1" x14ac:dyDescent="0.25">
      <c r="B325" s="690" t="s">
        <v>618</v>
      </c>
      <c r="C325" s="537"/>
      <c r="D325" s="537"/>
      <c r="E325" s="537"/>
      <c r="F325" s="537"/>
      <c r="G325" s="537"/>
      <c r="H325" s="537"/>
      <c r="I325" s="537"/>
      <c r="J325" s="538"/>
      <c r="K325" s="309">
        <f>SUM(K323:K324)</f>
        <v>197163.96918833163</v>
      </c>
      <c r="L325" s="6"/>
      <c r="M325" s="6"/>
    </row>
    <row r="326" spans="2:13" ht="15" customHeight="1" x14ac:dyDescent="0.25">
      <c r="B326" s="311"/>
      <c r="C326" s="311"/>
      <c r="D326" s="311"/>
      <c r="E326" s="311"/>
      <c r="F326" s="311"/>
      <c r="I326" s="1"/>
      <c r="J326" s="1"/>
      <c r="K326" s="211"/>
      <c r="L326" s="6"/>
      <c r="M326" s="6"/>
    </row>
    <row r="327" spans="2:13" ht="15" customHeight="1" x14ac:dyDescent="0.25">
      <c r="B327" s="311"/>
      <c r="C327" s="311"/>
      <c r="D327" s="311"/>
      <c r="E327" s="311"/>
      <c r="F327" s="311"/>
      <c r="I327" s="1"/>
      <c r="J327" s="1"/>
      <c r="K327" s="211"/>
      <c r="L327" s="6"/>
      <c r="M327" s="6"/>
    </row>
    <row r="328" spans="2:13" ht="15" customHeight="1" x14ac:dyDescent="0.25">
      <c r="B328" s="589" t="s">
        <v>953</v>
      </c>
      <c r="C328" s="537"/>
      <c r="D328" s="537"/>
      <c r="E328" s="537"/>
      <c r="F328" s="537"/>
      <c r="G328" s="537"/>
      <c r="H328" s="537"/>
      <c r="I328" s="537"/>
      <c r="J328" s="538"/>
      <c r="K328" s="283">
        <f>K317+K325</f>
        <v>497503.07564504107</v>
      </c>
      <c r="L328" s="6"/>
      <c r="M328" s="6"/>
    </row>
    <row r="329" spans="2:13" ht="15.75" customHeight="1" x14ac:dyDescent="0.25">
      <c r="L329" s="6"/>
      <c r="M329" s="6"/>
    </row>
    <row r="330" spans="2:13" ht="15" customHeight="1" x14ac:dyDescent="0.25">
      <c r="B330" s="314"/>
      <c r="K330" s="316"/>
      <c r="L330" s="6"/>
      <c r="M330" s="6"/>
    </row>
    <row r="331" spans="2:13" ht="15" customHeight="1" x14ac:dyDescent="0.25">
      <c r="B331" s="314"/>
      <c r="K331" s="1"/>
      <c r="L331" s="6"/>
      <c r="M331" s="6"/>
    </row>
    <row r="332" spans="2:13" ht="44.25" customHeight="1" x14ac:dyDescent="0.25">
      <c r="B332" s="643"/>
      <c r="C332" s="625"/>
      <c r="D332" s="625"/>
      <c r="E332" s="625"/>
      <c r="F332" s="625"/>
      <c r="G332" s="625"/>
      <c r="H332" s="625"/>
      <c r="I332" s="625"/>
      <c r="J332" s="625"/>
      <c r="K332" s="317"/>
      <c r="L332" s="6"/>
      <c r="M332" s="6"/>
    </row>
    <row r="333" spans="2:13" ht="15.75" customHeight="1" x14ac:dyDescent="0.25">
      <c r="L333" s="6"/>
      <c r="M333" s="6"/>
    </row>
    <row r="334" spans="2:13" ht="15.75" customHeight="1" x14ac:dyDescent="0.25">
      <c r="L334" s="6"/>
      <c r="M334" s="6"/>
    </row>
    <row r="335" spans="2:13" ht="15.75" customHeight="1" x14ac:dyDescent="0.25">
      <c r="L335" s="6"/>
      <c r="M335" s="6"/>
    </row>
    <row r="336" spans="2:13" ht="15.75" customHeight="1" x14ac:dyDescent="0.25">
      <c r="L336" s="6"/>
      <c r="M336" s="6"/>
    </row>
    <row r="337" spans="12:13" ht="15.75" customHeight="1" x14ac:dyDescent="0.25">
      <c r="L337" s="6"/>
      <c r="M337" s="6"/>
    </row>
    <row r="338" spans="12:13" ht="15.75" customHeight="1" x14ac:dyDescent="0.25">
      <c r="L338" s="6"/>
      <c r="M338" s="6"/>
    </row>
    <row r="339" spans="12:13" ht="15.75" customHeight="1" x14ac:dyDescent="0.25">
      <c r="L339" s="6"/>
      <c r="M339" s="6"/>
    </row>
    <row r="340" spans="12:13" ht="15.75" customHeight="1" x14ac:dyDescent="0.25">
      <c r="L340" s="6"/>
      <c r="M340" s="6"/>
    </row>
    <row r="341" spans="12:13" ht="15.75" customHeight="1" x14ac:dyDescent="0.25">
      <c r="L341" s="6"/>
      <c r="M341" s="6"/>
    </row>
    <row r="342" spans="12:13" ht="15.75" customHeight="1" x14ac:dyDescent="0.25">
      <c r="L342" s="6"/>
      <c r="M342" s="6"/>
    </row>
    <row r="343" spans="12:13" ht="15.75" customHeight="1" x14ac:dyDescent="0.25">
      <c r="L343" s="6"/>
      <c r="M343" s="6"/>
    </row>
    <row r="344" spans="12:13" ht="15.75" customHeight="1" x14ac:dyDescent="0.25">
      <c r="L344" s="6"/>
      <c r="M344" s="6"/>
    </row>
    <row r="345" spans="12:13" ht="15.75" customHeight="1" x14ac:dyDescent="0.25">
      <c r="L345" s="6"/>
      <c r="M345" s="6"/>
    </row>
    <row r="346" spans="12:13" ht="15.75" customHeight="1" x14ac:dyDescent="0.25">
      <c r="L346" s="6"/>
      <c r="M346" s="6"/>
    </row>
    <row r="347" spans="12:13" ht="15.75" customHeight="1" x14ac:dyDescent="0.25">
      <c r="L347" s="6"/>
      <c r="M347" s="6"/>
    </row>
    <row r="348" spans="12:13" ht="15.75" customHeight="1" x14ac:dyDescent="0.25">
      <c r="L348" s="6"/>
      <c r="M348" s="6"/>
    </row>
    <row r="349" spans="12:13" ht="15.75" customHeight="1" x14ac:dyDescent="0.25">
      <c r="L349" s="6"/>
      <c r="M349" s="6"/>
    </row>
    <row r="350" spans="12:13" ht="15.75" customHeight="1" x14ac:dyDescent="0.25">
      <c r="L350" s="6"/>
      <c r="M350" s="6"/>
    </row>
    <row r="351" spans="12:13" ht="15.75" customHeight="1" x14ac:dyDescent="0.25">
      <c r="L351" s="6"/>
      <c r="M351" s="6"/>
    </row>
    <row r="352" spans="12:13" ht="15.75" customHeight="1" x14ac:dyDescent="0.25">
      <c r="L352" s="6"/>
      <c r="M352" s="6"/>
    </row>
    <row r="353" spans="12:13" ht="15.75" customHeight="1" x14ac:dyDescent="0.25">
      <c r="L353" s="6"/>
      <c r="M353" s="6"/>
    </row>
    <row r="354" spans="12:13" ht="15.75" customHeight="1" x14ac:dyDescent="0.25">
      <c r="L354" s="6"/>
      <c r="M354" s="6"/>
    </row>
    <row r="355" spans="12:13" ht="15.75" customHeight="1" x14ac:dyDescent="0.25">
      <c r="L355" s="6"/>
      <c r="M355" s="6"/>
    </row>
    <row r="356" spans="12:13" ht="15.75" customHeight="1" x14ac:dyDescent="0.25">
      <c r="L356" s="6"/>
      <c r="M356" s="6"/>
    </row>
    <row r="357" spans="12:13" ht="15.75" customHeight="1" x14ac:dyDescent="0.25">
      <c r="L357" s="6"/>
      <c r="M357" s="6"/>
    </row>
    <row r="358" spans="12:13" ht="15.75" customHeight="1" x14ac:dyDescent="0.25">
      <c r="L358" s="6"/>
      <c r="M358" s="6"/>
    </row>
    <row r="359" spans="12:13" ht="15.75" customHeight="1" x14ac:dyDescent="0.25">
      <c r="L359" s="6"/>
      <c r="M359" s="6"/>
    </row>
    <row r="360" spans="12:13" ht="15.75" customHeight="1" x14ac:dyDescent="0.25">
      <c r="L360" s="6"/>
      <c r="M360" s="6"/>
    </row>
    <row r="361" spans="12:13" ht="15.75" customHeight="1" x14ac:dyDescent="0.25">
      <c r="L361" s="6"/>
      <c r="M361" s="6"/>
    </row>
    <row r="362" spans="12:13" ht="15.75" customHeight="1" x14ac:dyDescent="0.25">
      <c r="L362" s="6"/>
      <c r="M362" s="6"/>
    </row>
    <row r="363" spans="12:13" ht="15.75" customHeight="1" x14ac:dyDescent="0.25">
      <c r="L363" s="6"/>
      <c r="M363" s="6"/>
    </row>
    <row r="364" spans="12:13" ht="15.75" customHeight="1" x14ac:dyDescent="0.25">
      <c r="L364" s="6"/>
      <c r="M364" s="6"/>
    </row>
    <row r="365" spans="12:13" ht="15.75" customHeight="1" x14ac:dyDescent="0.25">
      <c r="L365" s="6"/>
      <c r="M365" s="6"/>
    </row>
    <row r="366" spans="12:13" ht="15.75" customHeight="1" x14ac:dyDescent="0.25">
      <c r="L366" s="6"/>
      <c r="M366" s="6"/>
    </row>
    <row r="367" spans="12:13" ht="15.75" customHeight="1" x14ac:dyDescent="0.25">
      <c r="L367" s="6"/>
      <c r="M367" s="6"/>
    </row>
    <row r="368" spans="12:13" ht="15.75" customHeight="1" x14ac:dyDescent="0.25">
      <c r="L368" s="6"/>
      <c r="M368" s="6"/>
    </row>
    <row r="369" spans="12:13" ht="15.75" customHeight="1" x14ac:dyDescent="0.25">
      <c r="L369" s="6"/>
      <c r="M369" s="6"/>
    </row>
    <row r="370" spans="12:13" ht="15.75" customHeight="1" x14ac:dyDescent="0.25">
      <c r="L370" s="6"/>
      <c r="M370" s="6"/>
    </row>
    <row r="371" spans="12:13" ht="15.75" customHeight="1" x14ac:dyDescent="0.25">
      <c r="L371" s="6"/>
      <c r="M371" s="6"/>
    </row>
    <row r="372" spans="12:13" ht="15.75" customHeight="1" x14ac:dyDescent="0.25">
      <c r="L372" s="6"/>
      <c r="M372" s="6"/>
    </row>
    <row r="373" spans="12:13" ht="15.75" customHeight="1" x14ac:dyDescent="0.25">
      <c r="L373" s="6"/>
      <c r="M373" s="6"/>
    </row>
    <row r="374" spans="12:13" ht="15.75" customHeight="1" x14ac:dyDescent="0.25">
      <c r="L374" s="6"/>
      <c r="M374" s="6"/>
    </row>
    <row r="375" spans="12:13" ht="15.75" customHeight="1" x14ac:dyDescent="0.25">
      <c r="L375" s="6"/>
      <c r="M375" s="6"/>
    </row>
    <row r="376" spans="12:13" ht="15.75" customHeight="1" x14ac:dyDescent="0.25">
      <c r="L376" s="6"/>
      <c r="M376" s="6"/>
    </row>
    <row r="377" spans="12:13" ht="15.75" customHeight="1" x14ac:dyDescent="0.25">
      <c r="L377" s="6"/>
      <c r="M377" s="6"/>
    </row>
    <row r="378" spans="12:13" ht="15.75" customHeight="1" x14ac:dyDescent="0.25">
      <c r="L378" s="6"/>
      <c r="M378" s="6"/>
    </row>
    <row r="379" spans="12:13" ht="15.75" customHeight="1" x14ac:dyDescent="0.25">
      <c r="L379" s="6"/>
      <c r="M379" s="6"/>
    </row>
    <row r="380" spans="12:13" ht="15.75" customHeight="1" x14ac:dyDescent="0.25">
      <c r="L380" s="6"/>
      <c r="M380" s="6"/>
    </row>
    <row r="381" spans="12:13" ht="15.75" customHeight="1" x14ac:dyDescent="0.25">
      <c r="L381" s="6"/>
      <c r="M381" s="6"/>
    </row>
    <row r="382" spans="12:13" ht="15.75" customHeight="1" x14ac:dyDescent="0.25">
      <c r="L382" s="6"/>
      <c r="M382" s="6"/>
    </row>
    <row r="383" spans="12:13" ht="15.75" customHeight="1" x14ac:dyDescent="0.25">
      <c r="L383" s="6"/>
      <c r="M383" s="6"/>
    </row>
    <row r="384" spans="12:13" ht="15.75" customHeight="1" x14ac:dyDescent="0.25">
      <c r="L384" s="6"/>
      <c r="M384" s="6"/>
    </row>
    <row r="385" spans="12:13" ht="15.75" customHeight="1" x14ac:dyDescent="0.25">
      <c r="L385" s="6"/>
      <c r="M385" s="6"/>
    </row>
    <row r="386" spans="12:13" ht="15.75" customHeight="1" x14ac:dyDescent="0.25">
      <c r="L386" s="6"/>
      <c r="M386" s="6"/>
    </row>
    <row r="387" spans="12:13" ht="15.75" customHeight="1" x14ac:dyDescent="0.25">
      <c r="L387" s="6"/>
      <c r="M387" s="6"/>
    </row>
    <row r="388" spans="12:13" ht="15.75" customHeight="1" x14ac:dyDescent="0.25">
      <c r="L388" s="6"/>
      <c r="M388" s="6"/>
    </row>
    <row r="389" spans="12:13" ht="15.75" customHeight="1" x14ac:dyDescent="0.25">
      <c r="L389" s="6"/>
      <c r="M389" s="6"/>
    </row>
    <row r="390" spans="12:13" ht="15.75" customHeight="1" x14ac:dyDescent="0.25">
      <c r="L390" s="6"/>
      <c r="M390" s="6"/>
    </row>
    <row r="391" spans="12:13" ht="15.75" customHeight="1" x14ac:dyDescent="0.25">
      <c r="L391" s="6"/>
      <c r="M391" s="6"/>
    </row>
    <row r="392" spans="12:13" ht="15.75" customHeight="1" x14ac:dyDescent="0.25">
      <c r="L392" s="6"/>
      <c r="M392" s="6"/>
    </row>
    <row r="393" spans="12:13" ht="15.75" customHeight="1" x14ac:dyDescent="0.25">
      <c r="L393" s="6"/>
      <c r="M393" s="6"/>
    </row>
    <row r="394" spans="12:13" ht="15.75" customHeight="1" x14ac:dyDescent="0.25">
      <c r="L394" s="6"/>
      <c r="M394" s="6"/>
    </row>
    <row r="395" spans="12:13" ht="15.75" customHeight="1" x14ac:dyDescent="0.25">
      <c r="L395" s="6"/>
      <c r="M395" s="6"/>
    </row>
    <row r="396" spans="12:13" ht="15.75" customHeight="1" x14ac:dyDescent="0.25">
      <c r="L396" s="6"/>
      <c r="M396" s="6"/>
    </row>
    <row r="397" spans="12:13" ht="15.75" customHeight="1" x14ac:dyDescent="0.25">
      <c r="L397" s="6"/>
      <c r="M397" s="6"/>
    </row>
    <row r="398" spans="12:13" ht="15.75" customHeight="1" x14ac:dyDescent="0.25">
      <c r="L398" s="6"/>
      <c r="M398" s="6"/>
    </row>
    <row r="399" spans="12:13" ht="15.75" customHeight="1" x14ac:dyDescent="0.25">
      <c r="L399" s="6"/>
      <c r="M399" s="6"/>
    </row>
    <row r="400" spans="12:13" ht="15.75" customHeight="1" x14ac:dyDescent="0.25">
      <c r="L400" s="6"/>
      <c r="M400" s="6"/>
    </row>
    <row r="401" spans="12:13" ht="15.75" customHeight="1" x14ac:dyDescent="0.25">
      <c r="L401" s="6"/>
      <c r="M401" s="6"/>
    </row>
    <row r="402" spans="12:13" ht="15.75" customHeight="1" x14ac:dyDescent="0.25">
      <c r="L402" s="6"/>
      <c r="M402" s="6"/>
    </row>
    <row r="403" spans="12:13" ht="15.75" customHeight="1" x14ac:dyDescent="0.25">
      <c r="L403" s="6"/>
      <c r="M403" s="6"/>
    </row>
    <row r="404" spans="12:13" ht="15.75" customHeight="1" x14ac:dyDescent="0.25">
      <c r="L404" s="6"/>
      <c r="M404" s="6"/>
    </row>
    <row r="405" spans="12:13" ht="15.75" customHeight="1" x14ac:dyDescent="0.25">
      <c r="L405" s="6"/>
      <c r="M405" s="6"/>
    </row>
    <row r="406" spans="12:13" ht="15.75" customHeight="1" x14ac:dyDescent="0.25">
      <c r="L406" s="6"/>
      <c r="M406" s="6"/>
    </row>
    <row r="407" spans="12:13" ht="15.75" customHeight="1" x14ac:dyDescent="0.25">
      <c r="L407" s="6"/>
      <c r="M407" s="6"/>
    </row>
    <row r="408" spans="12:13" ht="15.75" customHeight="1" x14ac:dyDescent="0.25">
      <c r="L408" s="6"/>
      <c r="M408" s="6"/>
    </row>
    <row r="409" spans="12:13" ht="15.75" customHeight="1" x14ac:dyDescent="0.25">
      <c r="L409" s="6"/>
      <c r="M409" s="6"/>
    </row>
    <row r="410" spans="12:13" ht="15.75" customHeight="1" x14ac:dyDescent="0.25">
      <c r="L410" s="6"/>
      <c r="M410" s="6"/>
    </row>
    <row r="411" spans="12:13" ht="15.75" customHeight="1" x14ac:dyDescent="0.25">
      <c r="L411" s="6"/>
      <c r="M411" s="6"/>
    </row>
    <row r="412" spans="12:13" ht="15.75" customHeight="1" x14ac:dyDescent="0.25">
      <c r="L412" s="6"/>
      <c r="M412" s="6"/>
    </row>
    <row r="413" spans="12:13" ht="15.75" customHeight="1" x14ac:dyDescent="0.25">
      <c r="L413" s="6"/>
      <c r="M413" s="6"/>
    </row>
    <row r="414" spans="12:13" ht="15.75" customHeight="1" x14ac:dyDescent="0.25">
      <c r="L414" s="6"/>
      <c r="M414" s="6"/>
    </row>
    <row r="415" spans="12:13" ht="15.75" customHeight="1" x14ac:dyDescent="0.25">
      <c r="L415" s="6"/>
      <c r="M415" s="6"/>
    </row>
    <row r="416" spans="12:13" ht="15.75" customHeight="1" x14ac:dyDescent="0.25">
      <c r="L416" s="6"/>
      <c r="M416" s="6"/>
    </row>
    <row r="417" spans="12:13" ht="15.75" customHeight="1" x14ac:dyDescent="0.25">
      <c r="L417" s="6"/>
      <c r="M417" s="6"/>
    </row>
    <row r="418" spans="12:13" ht="15.75" customHeight="1" x14ac:dyDescent="0.25">
      <c r="L418" s="6"/>
      <c r="M418" s="6"/>
    </row>
    <row r="419" spans="12:13" ht="15.75" customHeight="1" x14ac:dyDescent="0.25">
      <c r="L419" s="6"/>
      <c r="M419" s="6"/>
    </row>
    <row r="420" spans="12:13" ht="15.75" customHeight="1" x14ac:dyDescent="0.25">
      <c r="L420" s="6"/>
      <c r="M420" s="6"/>
    </row>
    <row r="421" spans="12:13" ht="15.75" customHeight="1" x14ac:dyDescent="0.25">
      <c r="L421" s="6"/>
      <c r="M421" s="6"/>
    </row>
    <row r="422" spans="12:13" ht="15.75" customHeight="1" x14ac:dyDescent="0.25">
      <c r="L422" s="6"/>
      <c r="M422" s="6"/>
    </row>
    <row r="423" spans="12:13" ht="15.75" customHeight="1" x14ac:dyDescent="0.25">
      <c r="L423" s="6"/>
      <c r="M423" s="6"/>
    </row>
    <row r="424" spans="12:13" ht="15.75" customHeight="1" x14ac:dyDescent="0.25">
      <c r="L424" s="6"/>
      <c r="M424" s="6"/>
    </row>
    <row r="425" spans="12:13" ht="15.75" customHeight="1" x14ac:dyDescent="0.25">
      <c r="L425" s="6"/>
      <c r="M425" s="6"/>
    </row>
    <row r="426" spans="12:13" ht="15.75" customHeight="1" x14ac:dyDescent="0.25">
      <c r="L426" s="6"/>
      <c r="M426" s="6"/>
    </row>
    <row r="427" spans="12:13" ht="15.75" customHeight="1" x14ac:dyDescent="0.25">
      <c r="L427" s="6"/>
      <c r="M427" s="6"/>
    </row>
    <row r="428" spans="12:13" ht="15.75" customHeight="1" x14ac:dyDescent="0.25">
      <c r="L428" s="6"/>
      <c r="M428" s="6"/>
    </row>
    <row r="429" spans="12:13" ht="15.75" customHeight="1" x14ac:dyDescent="0.25">
      <c r="L429" s="6"/>
      <c r="M429" s="6"/>
    </row>
    <row r="430" spans="12:13" ht="15.75" customHeight="1" x14ac:dyDescent="0.25">
      <c r="L430" s="6"/>
      <c r="M430" s="6"/>
    </row>
    <row r="431" spans="12:13" ht="15.75" customHeight="1" x14ac:dyDescent="0.25">
      <c r="L431" s="6"/>
      <c r="M431" s="6"/>
    </row>
    <row r="432" spans="12:13" ht="15.75" customHeight="1" x14ac:dyDescent="0.25">
      <c r="L432" s="6"/>
      <c r="M432" s="6"/>
    </row>
    <row r="433" spans="12:13" ht="15.75" customHeight="1" x14ac:dyDescent="0.25">
      <c r="L433" s="6"/>
      <c r="M433" s="6"/>
    </row>
    <row r="434" spans="12:13" ht="15.75" customHeight="1" x14ac:dyDescent="0.25">
      <c r="L434" s="6"/>
      <c r="M434" s="6"/>
    </row>
    <row r="435" spans="12:13" ht="15.75" customHeight="1" x14ac:dyDescent="0.25">
      <c r="L435" s="6"/>
      <c r="M435" s="6"/>
    </row>
    <row r="436" spans="12:13" ht="15.75" customHeight="1" x14ac:dyDescent="0.25">
      <c r="L436" s="6"/>
      <c r="M436" s="6"/>
    </row>
    <row r="437" spans="12:13" ht="15.75" customHeight="1" x14ac:dyDescent="0.25">
      <c r="L437" s="6"/>
      <c r="M437" s="6"/>
    </row>
    <row r="438" spans="12:13" ht="15.75" customHeight="1" x14ac:dyDescent="0.25">
      <c r="L438" s="6"/>
      <c r="M438" s="6"/>
    </row>
    <row r="439" spans="12:13" ht="15.75" customHeight="1" x14ac:dyDescent="0.25">
      <c r="L439" s="6"/>
      <c r="M439" s="6"/>
    </row>
    <row r="440" spans="12:13" ht="15.75" customHeight="1" x14ac:dyDescent="0.25">
      <c r="L440" s="6"/>
      <c r="M440" s="6"/>
    </row>
    <row r="441" spans="12:13" ht="15.75" customHeight="1" x14ac:dyDescent="0.25">
      <c r="L441" s="6"/>
      <c r="M441" s="6"/>
    </row>
    <row r="442" spans="12:13" ht="15.75" customHeight="1" x14ac:dyDescent="0.25">
      <c r="L442" s="6"/>
      <c r="M442" s="6"/>
    </row>
    <row r="443" spans="12:13" ht="15.75" customHeight="1" x14ac:dyDescent="0.25">
      <c r="L443" s="6"/>
      <c r="M443" s="6"/>
    </row>
    <row r="444" spans="12:13" ht="15.75" customHeight="1" x14ac:dyDescent="0.25">
      <c r="L444" s="6"/>
      <c r="M444" s="6"/>
    </row>
    <row r="445" spans="12:13" ht="15.75" customHeight="1" x14ac:dyDescent="0.25">
      <c r="L445" s="6"/>
      <c r="M445" s="6"/>
    </row>
    <row r="446" spans="12:13" ht="15.75" customHeight="1" x14ac:dyDescent="0.25">
      <c r="L446" s="6"/>
      <c r="M446" s="6"/>
    </row>
    <row r="447" spans="12:13" ht="15.75" customHeight="1" x14ac:dyDescent="0.25">
      <c r="L447" s="6"/>
      <c r="M447" s="6"/>
    </row>
    <row r="448" spans="12:13" ht="15.75" customHeight="1" x14ac:dyDescent="0.25">
      <c r="L448" s="6"/>
      <c r="M448" s="6"/>
    </row>
    <row r="449" spans="12:13" ht="15.75" customHeight="1" x14ac:dyDescent="0.25">
      <c r="L449" s="6"/>
      <c r="M449" s="6"/>
    </row>
    <row r="450" spans="12:13" ht="15.75" customHeight="1" x14ac:dyDescent="0.25">
      <c r="L450" s="6"/>
      <c r="M450" s="6"/>
    </row>
    <row r="451" spans="12:13" ht="15.75" customHeight="1" x14ac:dyDescent="0.25">
      <c r="L451" s="6"/>
      <c r="M451" s="6"/>
    </row>
    <row r="452" spans="12:13" ht="15.75" customHeight="1" x14ac:dyDescent="0.25">
      <c r="L452" s="6"/>
      <c r="M452" s="6"/>
    </row>
    <row r="453" spans="12:13" ht="15.75" customHeight="1" x14ac:dyDescent="0.25">
      <c r="L453" s="6"/>
      <c r="M453" s="6"/>
    </row>
    <row r="454" spans="12:13" ht="15.75" customHeight="1" x14ac:dyDescent="0.25">
      <c r="L454" s="6"/>
      <c r="M454" s="6"/>
    </row>
    <row r="455" spans="12:13" ht="15.75" customHeight="1" x14ac:dyDescent="0.25">
      <c r="L455" s="6"/>
      <c r="M455" s="6"/>
    </row>
    <row r="456" spans="12:13" ht="15.75" customHeight="1" x14ac:dyDescent="0.25">
      <c r="L456" s="6"/>
      <c r="M456" s="6"/>
    </row>
    <row r="457" spans="12:13" ht="15.75" customHeight="1" x14ac:dyDescent="0.25">
      <c r="L457" s="6"/>
      <c r="M457" s="6"/>
    </row>
    <row r="458" spans="12:13" ht="15.75" customHeight="1" x14ac:dyDescent="0.25">
      <c r="L458" s="6"/>
      <c r="M458" s="6"/>
    </row>
    <row r="459" spans="12:13" ht="15.75" customHeight="1" x14ac:dyDescent="0.25">
      <c r="L459" s="6"/>
      <c r="M459" s="6"/>
    </row>
    <row r="460" spans="12:13" ht="15.75" customHeight="1" x14ac:dyDescent="0.25">
      <c r="L460" s="6"/>
      <c r="M460" s="6"/>
    </row>
    <row r="461" spans="12:13" ht="15.75" customHeight="1" x14ac:dyDescent="0.25">
      <c r="L461" s="6"/>
      <c r="M461" s="6"/>
    </row>
    <row r="462" spans="12:13" ht="15.75" customHeight="1" x14ac:dyDescent="0.25">
      <c r="L462" s="6"/>
      <c r="M462" s="6"/>
    </row>
    <row r="463" spans="12:13" ht="15.75" customHeight="1" x14ac:dyDescent="0.25">
      <c r="L463" s="6"/>
      <c r="M463" s="6"/>
    </row>
    <row r="464" spans="12:13" ht="15.75" customHeight="1" x14ac:dyDescent="0.25">
      <c r="L464" s="6"/>
      <c r="M464" s="6"/>
    </row>
    <row r="465" spans="12:13" ht="15.75" customHeight="1" x14ac:dyDescent="0.25">
      <c r="L465" s="6"/>
      <c r="M465" s="6"/>
    </row>
    <row r="466" spans="12:13" ht="15.75" customHeight="1" x14ac:dyDescent="0.25">
      <c r="L466" s="6"/>
      <c r="M466" s="6"/>
    </row>
    <row r="467" spans="12:13" ht="15.75" customHeight="1" x14ac:dyDescent="0.25">
      <c r="L467" s="6"/>
      <c r="M467" s="6"/>
    </row>
    <row r="468" spans="12:13" ht="15.75" customHeight="1" x14ac:dyDescent="0.25">
      <c r="L468" s="6"/>
      <c r="M468" s="6"/>
    </row>
    <row r="469" spans="12:13" ht="15.75" customHeight="1" x14ac:dyDescent="0.25">
      <c r="L469" s="6"/>
      <c r="M469" s="6"/>
    </row>
    <row r="470" spans="12:13" ht="15.75" customHeight="1" x14ac:dyDescent="0.25">
      <c r="L470" s="6"/>
      <c r="M470" s="6"/>
    </row>
    <row r="471" spans="12:13" ht="15.75" customHeight="1" x14ac:dyDescent="0.25">
      <c r="L471" s="6"/>
      <c r="M471" s="6"/>
    </row>
    <row r="472" spans="12:13" ht="15.75" customHeight="1" x14ac:dyDescent="0.25">
      <c r="L472" s="6"/>
      <c r="M472" s="6"/>
    </row>
    <row r="473" spans="12:13" ht="15.75" customHeight="1" x14ac:dyDescent="0.25">
      <c r="L473" s="6"/>
      <c r="M473" s="6"/>
    </row>
    <row r="474" spans="12:13" ht="15.75" customHeight="1" x14ac:dyDescent="0.25">
      <c r="L474" s="6"/>
      <c r="M474" s="6"/>
    </row>
    <row r="475" spans="12:13" ht="15.75" customHeight="1" x14ac:dyDescent="0.25">
      <c r="L475" s="6"/>
      <c r="M475" s="6"/>
    </row>
    <row r="476" spans="12:13" ht="15.75" customHeight="1" x14ac:dyDescent="0.25">
      <c r="L476" s="6"/>
      <c r="M476" s="6"/>
    </row>
    <row r="477" spans="12:13" ht="15.75" customHeight="1" x14ac:dyDescent="0.25">
      <c r="L477" s="6"/>
      <c r="M477" s="6"/>
    </row>
    <row r="478" spans="12:13" ht="15.75" customHeight="1" x14ac:dyDescent="0.25">
      <c r="L478" s="6"/>
      <c r="M478" s="6"/>
    </row>
    <row r="479" spans="12:13" ht="15.75" customHeight="1" x14ac:dyDescent="0.25">
      <c r="L479" s="6"/>
      <c r="M479" s="6"/>
    </row>
    <row r="480" spans="12:13" ht="15.75" customHeight="1" x14ac:dyDescent="0.25">
      <c r="L480" s="6"/>
      <c r="M480" s="6"/>
    </row>
    <row r="481" spans="12:13" ht="15.75" customHeight="1" x14ac:dyDescent="0.25">
      <c r="L481" s="6"/>
      <c r="M481" s="6"/>
    </row>
    <row r="482" spans="12:13" ht="15.75" customHeight="1" x14ac:dyDescent="0.25">
      <c r="L482" s="6"/>
      <c r="M482" s="6"/>
    </row>
    <row r="483" spans="12:13" ht="15.75" customHeight="1" x14ac:dyDescent="0.25">
      <c r="L483" s="6"/>
      <c r="M483" s="6"/>
    </row>
    <row r="484" spans="12:13" ht="15.75" customHeight="1" x14ac:dyDescent="0.25">
      <c r="L484" s="6"/>
      <c r="M484" s="6"/>
    </row>
    <row r="485" spans="12:13" ht="15.75" customHeight="1" x14ac:dyDescent="0.25">
      <c r="L485" s="6"/>
      <c r="M485" s="6"/>
    </row>
    <row r="486" spans="12:13" ht="15.75" customHeight="1" x14ac:dyDescent="0.25">
      <c r="L486" s="6"/>
      <c r="M486" s="6"/>
    </row>
    <row r="487" spans="12:13" ht="15.75" customHeight="1" x14ac:dyDescent="0.25">
      <c r="L487" s="6"/>
      <c r="M487" s="6"/>
    </row>
    <row r="488" spans="12:13" ht="15.75" customHeight="1" x14ac:dyDescent="0.25">
      <c r="L488" s="6"/>
      <c r="M488" s="6"/>
    </row>
    <row r="489" spans="12:13" ht="15.75" customHeight="1" x14ac:dyDescent="0.25">
      <c r="L489" s="6"/>
      <c r="M489" s="6"/>
    </row>
    <row r="490" spans="12:13" ht="15.75" customHeight="1" x14ac:dyDescent="0.25">
      <c r="L490" s="6"/>
      <c r="M490" s="6"/>
    </row>
    <row r="491" spans="12:13" ht="15.75" customHeight="1" x14ac:dyDescent="0.25">
      <c r="L491" s="6"/>
      <c r="M491" s="6"/>
    </row>
    <row r="492" spans="12:13" ht="15.75" customHeight="1" x14ac:dyDescent="0.25">
      <c r="L492" s="6"/>
      <c r="M492" s="6"/>
    </row>
    <row r="493" spans="12:13" ht="15.75" customHeight="1" x14ac:dyDescent="0.25">
      <c r="L493" s="6"/>
      <c r="M493" s="6"/>
    </row>
    <row r="494" spans="12:13" ht="15.75" customHeight="1" x14ac:dyDescent="0.25">
      <c r="L494" s="6"/>
      <c r="M494" s="6"/>
    </row>
    <row r="495" spans="12:13" ht="15.75" customHeight="1" x14ac:dyDescent="0.25">
      <c r="L495" s="6"/>
      <c r="M495" s="6"/>
    </row>
    <row r="496" spans="12:13" ht="15.75" customHeight="1" x14ac:dyDescent="0.25">
      <c r="L496" s="6"/>
      <c r="M496" s="6"/>
    </row>
    <row r="497" spans="12:13" ht="15.75" customHeight="1" x14ac:dyDescent="0.25">
      <c r="L497" s="6"/>
      <c r="M497" s="6"/>
    </row>
    <row r="498" spans="12:13" ht="15.75" customHeight="1" x14ac:dyDescent="0.25">
      <c r="L498" s="6"/>
      <c r="M498" s="6"/>
    </row>
    <row r="499" spans="12:13" ht="15.75" customHeight="1" x14ac:dyDescent="0.25">
      <c r="L499" s="6"/>
      <c r="M499" s="6"/>
    </row>
    <row r="500" spans="12:13" ht="15.75" customHeight="1" x14ac:dyDescent="0.25">
      <c r="L500" s="6"/>
      <c r="M500" s="6"/>
    </row>
    <row r="501" spans="12:13" ht="15.75" customHeight="1" x14ac:dyDescent="0.25">
      <c r="L501" s="6"/>
      <c r="M501" s="6"/>
    </row>
    <row r="502" spans="12:13" ht="15.75" customHeight="1" x14ac:dyDescent="0.25">
      <c r="L502" s="6"/>
      <c r="M502" s="6"/>
    </row>
    <row r="503" spans="12:13" ht="15.75" customHeight="1" x14ac:dyDescent="0.25">
      <c r="L503" s="6"/>
      <c r="M503" s="6"/>
    </row>
    <row r="504" spans="12:13" ht="15.75" customHeight="1" x14ac:dyDescent="0.25">
      <c r="L504" s="6"/>
      <c r="M504" s="6"/>
    </row>
    <row r="505" spans="12:13" ht="15.75" customHeight="1" x14ac:dyDescent="0.25">
      <c r="L505" s="6"/>
      <c r="M505" s="6"/>
    </row>
    <row r="506" spans="12:13" ht="15.75" customHeight="1" x14ac:dyDescent="0.25">
      <c r="L506" s="6"/>
      <c r="M506" s="6"/>
    </row>
    <row r="507" spans="12:13" ht="15.75" customHeight="1" x14ac:dyDescent="0.25">
      <c r="L507" s="6"/>
      <c r="M507" s="6"/>
    </row>
    <row r="508" spans="12:13" ht="15.75" customHeight="1" x14ac:dyDescent="0.25">
      <c r="L508" s="6"/>
      <c r="M508" s="6"/>
    </row>
    <row r="509" spans="12:13" ht="15.75" customHeight="1" x14ac:dyDescent="0.25">
      <c r="L509" s="6"/>
      <c r="M509" s="6"/>
    </row>
    <row r="510" spans="12:13" ht="15.75" customHeight="1" x14ac:dyDescent="0.25">
      <c r="L510" s="6"/>
      <c r="M510" s="6"/>
    </row>
    <row r="511" spans="12:13" ht="15.75" customHeight="1" x14ac:dyDescent="0.25">
      <c r="L511" s="6"/>
      <c r="M511" s="6"/>
    </row>
    <row r="512" spans="12:13" ht="15.75" customHeight="1" x14ac:dyDescent="0.25">
      <c r="L512" s="6"/>
      <c r="M512" s="6"/>
    </row>
    <row r="513" spans="12:13" ht="15.75" customHeight="1" x14ac:dyDescent="0.25">
      <c r="L513" s="6"/>
      <c r="M513" s="6"/>
    </row>
    <row r="514" spans="12:13" ht="15.75" customHeight="1" x14ac:dyDescent="0.25">
      <c r="L514" s="6"/>
      <c r="M514" s="6"/>
    </row>
    <row r="515" spans="12:13" ht="15.75" customHeight="1" x14ac:dyDescent="0.25">
      <c r="L515" s="6"/>
      <c r="M515" s="6"/>
    </row>
    <row r="516" spans="12:13" ht="15.75" customHeight="1" x14ac:dyDescent="0.25">
      <c r="L516" s="6"/>
      <c r="M516" s="6"/>
    </row>
    <row r="517" spans="12:13" ht="15.75" customHeight="1" x14ac:dyDescent="0.25">
      <c r="L517" s="6"/>
      <c r="M517" s="6"/>
    </row>
    <row r="518" spans="12:13" ht="15.75" customHeight="1" x14ac:dyDescent="0.25">
      <c r="L518" s="6"/>
      <c r="M518" s="6"/>
    </row>
    <row r="519" spans="12:13" ht="15.75" customHeight="1" x14ac:dyDescent="0.25">
      <c r="L519" s="6"/>
      <c r="M519" s="6"/>
    </row>
    <row r="520" spans="12:13" ht="15.75" customHeight="1" x14ac:dyDescent="0.25">
      <c r="L520" s="6"/>
      <c r="M520" s="6"/>
    </row>
    <row r="521" spans="12:13" ht="15.75" customHeight="1" x14ac:dyDescent="0.25">
      <c r="L521" s="6"/>
      <c r="M521" s="6"/>
    </row>
    <row r="522" spans="12:13" ht="15.75" customHeight="1" x14ac:dyDescent="0.25">
      <c r="L522" s="6"/>
      <c r="M522" s="6"/>
    </row>
    <row r="523" spans="12:13" ht="15.75" customHeight="1" x14ac:dyDescent="0.25">
      <c r="L523" s="6"/>
      <c r="M523" s="6"/>
    </row>
    <row r="524" spans="12:13" ht="15.75" customHeight="1" x14ac:dyDescent="0.25">
      <c r="L524" s="6"/>
      <c r="M524" s="6"/>
    </row>
    <row r="525" spans="12:13" ht="15.75" customHeight="1" x14ac:dyDescent="0.25">
      <c r="L525" s="6"/>
      <c r="M525" s="6"/>
    </row>
    <row r="526" spans="12:13" ht="15.75" customHeight="1" x14ac:dyDescent="0.25">
      <c r="L526" s="6"/>
      <c r="M526" s="6"/>
    </row>
    <row r="527" spans="12:13" ht="15.75" customHeight="1" x14ac:dyDescent="0.25">
      <c r="L527" s="6"/>
      <c r="M527" s="6"/>
    </row>
    <row r="528" spans="12:13" ht="15.75" customHeight="1" x14ac:dyDescent="0.25">
      <c r="L528" s="6"/>
      <c r="M528" s="6"/>
    </row>
    <row r="529" spans="12:13" ht="15.75" customHeight="1" x14ac:dyDescent="0.25">
      <c r="L529" s="6"/>
      <c r="M529" s="6"/>
    </row>
    <row r="530" spans="12:13" ht="15.75" customHeight="1" x14ac:dyDescent="0.25">
      <c r="L530" s="6"/>
      <c r="M530" s="6"/>
    </row>
    <row r="531" spans="12:13" ht="15.75" customHeight="1" x14ac:dyDescent="0.25">
      <c r="L531" s="6"/>
      <c r="M531" s="6"/>
    </row>
    <row r="532" spans="12:13" ht="15.75" customHeight="1" x14ac:dyDescent="0.25">
      <c r="L532" s="6"/>
      <c r="M532" s="6"/>
    </row>
    <row r="533" spans="12:13" ht="15.75" customHeight="1" x14ac:dyDescent="0.25">
      <c r="L533" s="6"/>
      <c r="M533" s="6"/>
    </row>
    <row r="534" spans="12:13" ht="15.75" customHeight="1" x14ac:dyDescent="0.25">
      <c r="L534" s="6"/>
      <c r="M534" s="6"/>
    </row>
    <row r="535" spans="12:13" ht="15.75" customHeight="1" x14ac:dyDescent="0.25">
      <c r="L535" s="6"/>
      <c r="M535" s="6"/>
    </row>
    <row r="536" spans="12:13" ht="15.75" customHeight="1" x14ac:dyDescent="0.25">
      <c r="L536" s="6"/>
      <c r="M536" s="6"/>
    </row>
    <row r="537" spans="12:13" ht="15.75" customHeight="1" x14ac:dyDescent="0.25">
      <c r="L537" s="6"/>
      <c r="M537" s="6"/>
    </row>
    <row r="538" spans="12:13" ht="15.75" customHeight="1" x14ac:dyDescent="0.25">
      <c r="L538" s="6"/>
      <c r="M538" s="6"/>
    </row>
    <row r="539" spans="12:13" ht="15.75" customHeight="1" x14ac:dyDescent="0.25">
      <c r="L539" s="6"/>
      <c r="M539" s="6"/>
    </row>
    <row r="540" spans="12:13" ht="15.75" customHeight="1" x14ac:dyDescent="0.25">
      <c r="L540" s="6"/>
      <c r="M540" s="6"/>
    </row>
    <row r="541" spans="12:13" ht="15.75" customHeight="1" x14ac:dyDescent="0.25">
      <c r="L541" s="6"/>
      <c r="M541" s="6"/>
    </row>
    <row r="542" spans="12:13" ht="15.75" customHeight="1" x14ac:dyDescent="0.25">
      <c r="L542" s="6"/>
      <c r="M542" s="6"/>
    </row>
    <row r="543" spans="12:13" ht="15.75" customHeight="1" x14ac:dyDescent="0.25">
      <c r="L543" s="6"/>
      <c r="M543" s="6"/>
    </row>
    <row r="544" spans="12:13" ht="15.75" customHeight="1" x14ac:dyDescent="0.25">
      <c r="L544" s="6"/>
      <c r="M544" s="6"/>
    </row>
    <row r="545" spans="12:13" ht="15.75" customHeight="1" x14ac:dyDescent="0.25">
      <c r="L545" s="6"/>
      <c r="M545" s="6"/>
    </row>
    <row r="546" spans="12:13" ht="15.75" customHeight="1" x14ac:dyDescent="0.25">
      <c r="L546" s="6"/>
      <c r="M546" s="6"/>
    </row>
    <row r="547" spans="12:13" ht="15.75" customHeight="1" x14ac:dyDescent="0.25">
      <c r="L547" s="6"/>
      <c r="M547" s="6"/>
    </row>
    <row r="548" spans="12:13" ht="15.75" customHeight="1" x14ac:dyDescent="0.25">
      <c r="L548" s="6"/>
      <c r="M548" s="6"/>
    </row>
    <row r="549" spans="12:13" ht="15.75" customHeight="1" x14ac:dyDescent="0.25">
      <c r="L549" s="6"/>
      <c r="M549" s="6"/>
    </row>
    <row r="550" spans="12:13" ht="15.75" customHeight="1" x14ac:dyDescent="0.25">
      <c r="L550" s="6"/>
      <c r="M550" s="6"/>
    </row>
    <row r="551" spans="12:13" ht="15.75" customHeight="1" x14ac:dyDescent="0.25">
      <c r="L551" s="6"/>
      <c r="M551" s="6"/>
    </row>
    <row r="552" spans="12:13" ht="15.75" customHeight="1" x14ac:dyDescent="0.25">
      <c r="L552" s="6"/>
      <c r="M552" s="6"/>
    </row>
    <row r="553" spans="12:13" ht="15.75" customHeight="1" x14ac:dyDescent="0.25">
      <c r="L553" s="6"/>
      <c r="M553" s="6"/>
    </row>
    <row r="554" spans="12:13" ht="15.75" customHeight="1" x14ac:dyDescent="0.25">
      <c r="L554" s="6"/>
      <c r="M554" s="6"/>
    </row>
    <row r="555" spans="12:13" ht="15.75" customHeight="1" x14ac:dyDescent="0.25">
      <c r="L555" s="6"/>
      <c r="M555" s="6"/>
    </row>
    <row r="556" spans="12:13" ht="15.75" customHeight="1" x14ac:dyDescent="0.25">
      <c r="L556" s="6"/>
      <c r="M556" s="6"/>
    </row>
    <row r="557" spans="12:13" ht="15.75" customHeight="1" x14ac:dyDescent="0.25">
      <c r="L557" s="6"/>
      <c r="M557" s="6"/>
    </row>
    <row r="558" spans="12:13" ht="15.75" customHeight="1" x14ac:dyDescent="0.25">
      <c r="L558" s="6"/>
      <c r="M558" s="6"/>
    </row>
    <row r="559" spans="12:13" ht="15.75" customHeight="1" x14ac:dyDescent="0.25">
      <c r="L559" s="6"/>
      <c r="M559" s="6"/>
    </row>
    <row r="560" spans="12:13" ht="15.75" customHeight="1" x14ac:dyDescent="0.25">
      <c r="L560" s="6"/>
      <c r="M560" s="6"/>
    </row>
    <row r="561" spans="12:13" ht="15.75" customHeight="1" x14ac:dyDescent="0.25">
      <c r="L561" s="6"/>
      <c r="M561" s="6"/>
    </row>
    <row r="562" spans="12:13" ht="15.75" customHeight="1" x14ac:dyDescent="0.25">
      <c r="L562" s="6"/>
      <c r="M562" s="6"/>
    </row>
    <row r="563" spans="12:13" ht="15.75" customHeight="1" x14ac:dyDescent="0.25">
      <c r="L563" s="6"/>
      <c r="M563" s="6"/>
    </row>
    <row r="564" spans="12:13" ht="15.75" customHeight="1" x14ac:dyDescent="0.25">
      <c r="L564" s="6"/>
      <c r="M564" s="6"/>
    </row>
    <row r="565" spans="12:13" ht="15.75" customHeight="1" x14ac:dyDescent="0.25">
      <c r="L565" s="6"/>
      <c r="M565" s="6"/>
    </row>
    <row r="566" spans="12:13" ht="15.75" customHeight="1" x14ac:dyDescent="0.25">
      <c r="L566" s="6"/>
      <c r="M566" s="6"/>
    </row>
    <row r="567" spans="12:13" ht="15.75" customHeight="1" x14ac:dyDescent="0.25">
      <c r="L567" s="6"/>
      <c r="M567" s="6"/>
    </row>
    <row r="568" spans="12:13" ht="15.75" customHeight="1" x14ac:dyDescent="0.25">
      <c r="L568" s="6"/>
      <c r="M568" s="6"/>
    </row>
    <row r="569" spans="12:13" ht="15.75" customHeight="1" x14ac:dyDescent="0.25">
      <c r="L569" s="6"/>
      <c r="M569" s="6"/>
    </row>
    <row r="570" spans="12:13" ht="15.75" customHeight="1" x14ac:dyDescent="0.25">
      <c r="L570" s="6"/>
      <c r="M570" s="6"/>
    </row>
    <row r="571" spans="12:13" ht="15.75" customHeight="1" x14ac:dyDescent="0.25">
      <c r="L571" s="6"/>
      <c r="M571" s="6"/>
    </row>
    <row r="572" spans="12:13" ht="15.75" customHeight="1" x14ac:dyDescent="0.25">
      <c r="L572" s="6"/>
      <c r="M572" s="6"/>
    </row>
    <row r="573" spans="12:13" ht="15.75" customHeight="1" x14ac:dyDescent="0.25">
      <c r="L573" s="6"/>
      <c r="M573" s="6"/>
    </row>
    <row r="574" spans="12:13" ht="15.75" customHeight="1" x14ac:dyDescent="0.25">
      <c r="L574" s="6"/>
      <c r="M574" s="6"/>
    </row>
    <row r="575" spans="12:13" ht="15.75" customHeight="1" x14ac:dyDescent="0.25">
      <c r="L575" s="6"/>
      <c r="M575" s="6"/>
    </row>
    <row r="576" spans="12:13" ht="15.75" customHeight="1" x14ac:dyDescent="0.25">
      <c r="L576" s="6"/>
      <c r="M576" s="6"/>
    </row>
    <row r="577" spans="12:13" ht="15.75" customHeight="1" x14ac:dyDescent="0.25">
      <c r="L577" s="6"/>
      <c r="M577" s="6"/>
    </row>
    <row r="578" spans="12:13" ht="15.75" customHeight="1" x14ac:dyDescent="0.25">
      <c r="L578" s="6"/>
      <c r="M578" s="6"/>
    </row>
    <row r="579" spans="12:13" ht="15.75" customHeight="1" x14ac:dyDescent="0.25">
      <c r="L579" s="6"/>
      <c r="M579" s="6"/>
    </row>
    <row r="580" spans="12:13" ht="15.75" customHeight="1" x14ac:dyDescent="0.25">
      <c r="L580" s="6"/>
      <c r="M580" s="6"/>
    </row>
    <row r="581" spans="12:13" ht="15.75" customHeight="1" x14ac:dyDescent="0.25">
      <c r="L581" s="6"/>
      <c r="M581" s="6"/>
    </row>
    <row r="582" spans="12:13" ht="15.75" customHeight="1" x14ac:dyDescent="0.25">
      <c r="L582" s="6"/>
      <c r="M582" s="6"/>
    </row>
    <row r="583" spans="12:13" ht="15.75" customHeight="1" x14ac:dyDescent="0.25">
      <c r="L583" s="6"/>
      <c r="M583" s="6"/>
    </row>
    <row r="584" spans="12:13" ht="15.75" customHeight="1" x14ac:dyDescent="0.25">
      <c r="L584" s="6"/>
      <c r="M584" s="6"/>
    </row>
    <row r="585" spans="12:13" ht="15.75" customHeight="1" x14ac:dyDescent="0.25">
      <c r="L585" s="6"/>
      <c r="M585" s="6"/>
    </row>
    <row r="586" spans="12:13" ht="15.75" customHeight="1" x14ac:dyDescent="0.25">
      <c r="L586" s="6"/>
      <c r="M586" s="6"/>
    </row>
    <row r="587" spans="12:13" ht="15.75" customHeight="1" x14ac:dyDescent="0.25">
      <c r="L587" s="6"/>
      <c r="M587" s="6"/>
    </row>
    <row r="588" spans="12:13" ht="15.75" customHeight="1" x14ac:dyDescent="0.25">
      <c r="L588" s="6"/>
      <c r="M588" s="6"/>
    </row>
    <row r="589" spans="12:13" ht="15.75" customHeight="1" x14ac:dyDescent="0.25">
      <c r="L589" s="6"/>
      <c r="M589" s="6"/>
    </row>
    <row r="590" spans="12:13" ht="15.75" customHeight="1" x14ac:dyDescent="0.25">
      <c r="L590" s="6"/>
      <c r="M590" s="6"/>
    </row>
    <row r="591" spans="12:13" ht="15.75" customHeight="1" x14ac:dyDescent="0.25">
      <c r="L591" s="6"/>
      <c r="M591" s="6"/>
    </row>
    <row r="592" spans="12:13" ht="15.75" customHeight="1" x14ac:dyDescent="0.25">
      <c r="L592" s="6"/>
      <c r="M592" s="6"/>
    </row>
    <row r="593" spans="12:13" ht="15.75" customHeight="1" x14ac:dyDescent="0.25">
      <c r="L593" s="6"/>
      <c r="M593" s="6"/>
    </row>
    <row r="594" spans="12:13" ht="15.75" customHeight="1" x14ac:dyDescent="0.25">
      <c r="L594" s="6"/>
      <c r="M594" s="6"/>
    </row>
    <row r="595" spans="12:13" ht="15.75" customHeight="1" x14ac:dyDescent="0.25">
      <c r="L595" s="6"/>
      <c r="M595" s="6"/>
    </row>
    <row r="596" spans="12:13" ht="15.75" customHeight="1" x14ac:dyDescent="0.25">
      <c r="L596" s="6"/>
      <c r="M596" s="6"/>
    </row>
    <row r="597" spans="12:13" ht="15.75" customHeight="1" x14ac:dyDescent="0.25">
      <c r="L597" s="6"/>
      <c r="M597" s="6"/>
    </row>
    <row r="598" spans="12:13" ht="15.75" customHeight="1" x14ac:dyDescent="0.25">
      <c r="L598" s="6"/>
      <c r="M598" s="6"/>
    </row>
    <row r="599" spans="12:13" ht="15.75" customHeight="1" x14ac:dyDescent="0.25">
      <c r="L599" s="6"/>
      <c r="M599" s="6"/>
    </row>
    <row r="600" spans="12:13" ht="15.75" customHeight="1" x14ac:dyDescent="0.25">
      <c r="L600" s="6"/>
      <c r="M600" s="6"/>
    </row>
    <row r="601" spans="12:13" ht="15.75" customHeight="1" x14ac:dyDescent="0.25">
      <c r="L601" s="6"/>
      <c r="M601" s="6"/>
    </row>
    <row r="602" spans="12:13" ht="15.75" customHeight="1" x14ac:dyDescent="0.25">
      <c r="L602" s="6"/>
      <c r="M602" s="6"/>
    </row>
    <row r="603" spans="12:13" ht="15.75" customHeight="1" x14ac:dyDescent="0.25">
      <c r="L603" s="6"/>
      <c r="M603" s="6"/>
    </row>
    <row r="604" spans="12:13" ht="15.75" customHeight="1" x14ac:dyDescent="0.25">
      <c r="L604" s="6"/>
      <c r="M604" s="6"/>
    </row>
    <row r="605" spans="12:13" ht="15.75" customHeight="1" x14ac:dyDescent="0.25">
      <c r="L605" s="6"/>
      <c r="M605" s="6"/>
    </row>
    <row r="606" spans="12:13" ht="15.75" customHeight="1" x14ac:dyDescent="0.25">
      <c r="L606" s="6"/>
      <c r="M606" s="6"/>
    </row>
    <row r="607" spans="12:13" ht="15.75" customHeight="1" x14ac:dyDescent="0.25">
      <c r="L607" s="6"/>
      <c r="M607" s="6"/>
    </row>
    <row r="608" spans="12:13" ht="15.75" customHeight="1" x14ac:dyDescent="0.25">
      <c r="L608" s="6"/>
      <c r="M608" s="6"/>
    </row>
    <row r="609" spans="12:13" ht="15.75" customHeight="1" x14ac:dyDescent="0.25">
      <c r="L609" s="6"/>
      <c r="M609" s="6"/>
    </row>
    <row r="610" spans="12:13" ht="15.75" customHeight="1" x14ac:dyDescent="0.25">
      <c r="L610" s="6"/>
      <c r="M610" s="6"/>
    </row>
    <row r="611" spans="12:13" ht="15.75" customHeight="1" x14ac:dyDescent="0.25">
      <c r="L611" s="6"/>
      <c r="M611" s="6"/>
    </row>
    <row r="612" spans="12:13" ht="15.75" customHeight="1" x14ac:dyDescent="0.25">
      <c r="L612" s="6"/>
      <c r="M612" s="6"/>
    </row>
    <row r="613" spans="12:13" ht="15.75" customHeight="1" x14ac:dyDescent="0.25">
      <c r="L613" s="6"/>
      <c r="M613" s="6"/>
    </row>
    <row r="614" spans="12:13" ht="15.75" customHeight="1" x14ac:dyDescent="0.25">
      <c r="L614" s="6"/>
      <c r="M614" s="6"/>
    </row>
    <row r="615" spans="12:13" ht="15.75" customHeight="1" x14ac:dyDescent="0.25">
      <c r="L615" s="6"/>
      <c r="M615" s="6"/>
    </row>
    <row r="616" spans="12:13" ht="15.75" customHeight="1" x14ac:dyDescent="0.25">
      <c r="L616" s="6"/>
      <c r="M616" s="6"/>
    </row>
    <row r="617" spans="12:13" ht="15.75" customHeight="1" x14ac:dyDescent="0.25">
      <c r="L617" s="6"/>
      <c r="M617" s="6"/>
    </row>
    <row r="618" spans="12:13" ht="15.75" customHeight="1" x14ac:dyDescent="0.25">
      <c r="L618" s="6"/>
      <c r="M618" s="6"/>
    </row>
    <row r="619" spans="12:13" ht="15.75" customHeight="1" x14ac:dyDescent="0.25">
      <c r="L619" s="6"/>
      <c r="M619" s="6"/>
    </row>
    <row r="620" spans="12:13" ht="15.75" customHeight="1" x14ac:dyDescent="0.25">
      <c r="L620" s="6"/>
      <c r="M620" s="6"/>
    </row>
    <row r="621" spans="12:13" ht="15.75" customHeight="1" x14ac:dyDescent="0.25">
      <c r="L621" s="6"/>
      <c r="M621" s="6"/>
    </row>
    <row r="622" spans="12:13" ht="15.75" customHeight="1" x14ac:dyDescent="0.25">
      <c r="L622" s="6"/>
      <c r="M622" s="6"/>
    </row>
    <row r="623" spans="12:13" ht="15.75" customHeight="1" x14ac:dyDescent="0.25">
      <c r="L623" s="6"/>
      <c r="M623" s="6"/>
    </row>
    <row r="624" spans="12:13" ht="15.75" customHeight="1" x14ac:dyDescent="0.25">
      <c r="L624" s="6"/>
      <c r="M624" s="6"/>
    </row>
    <row r="625" spans="12:13" ht="15.75" customHeight="1" x14ac:dyDescent="0.25">
      <c r="L625" s="6"/>
      <c r="M625" s="6"/>
    </row>
    <row r="626" spans="12:13" ht="15.75" customHeight="1" x14ac:dyDescent="0.25">
      <c r="L626" s="6"/>
      <c r="M626" s="6"/>
    </row>
    <row r="627" spans="12:13" ht="15.75" customHeight="1" x14ac:dyDescent="0.25">
      <c r="L627" s="6"/>
      <c r="M627" s="6"/>
    </row>
    <row r="628" spans="12:13" ht="15.75" customHeight="1" x14ac:dyDescent="0.25">
      <c r="L628" s="6"/>
      <c r="M628" s="6"/>
    </row>
    <row r="629" spans="12:13" ht="15.75" customHeight="1" x14ac:dyDescent="0.25">
      <c r="L629" s="6"/>
      <c r="M629" s="6"/>
    </row>
    <row r="630" spans="12:13" ht="15.75" customHeight="1" x14ac:dyDescent="0.25">
      <c r="L630" s="6"/>
      <c r="M630" s="6"/>
    </row>
    <row r="631" spans="12:13" ht="15.75" customHeight="1" x14ac:dyDescent="0.25">
      <c r="L631" s="6"/>
      <c r="M631" s="6"/>
    </row>
    <row r="632" spans="12:13" ht="15.75" customHeight="1" x14ac:dyDescent="0.25">
      <c r="L632" s="6"/>
      <c r="M632" s="6"/>
    </row>
    <row r="633" spans="12:13" ht="15.75" customHeight="1" x14ac:dyDescent="0.25">
      <c r="L633" s="6"/>
      <c r="M633" s="6"/>
    </row>
    <row r="634" spans="12:13" ht="15.75" customHeight="1" x14ac:dyDescent="0.25">
      <c r="L634" s="6"/>
      <c r="M634" s="6"/>
    </row>
    <row r="635" spans="12:13" ht="15.75" customHeight="1" x14ac:dyDescent="0.25">
      <c r="L635" s="6"/>
      <c r="M635" s="6"/>
    </row>
    <row r="636" spans="12:13" ht="15.75" customHeight="1" x14ac:dyDescent="0.25">
      <c r="L636" s="6"/>
      <c r="M636" s="6"/>
    </row>
    <row r="637" spans="12:13" ht="15.75" customHeight="1" x14ac:dyDescent="0.25">
      <c r="L637" s="6"/>
      <c r="M637" s="6"/>
    </row>
    <row r="638" spans="12:13" ht="15.75" customHeight="1" x14ac:dyDescent="0.25">
      <c r="L638" s="6"/>
      <c r="M638" s="6"/>
    </row>
    <row r="639" spans="12:13" ht="15.75" customHeight="1" x14ac:dyDescent="0.25">
      <c r="L639" s="6"/>
      <c r="M639" s="6"/>
    </row>
    <row r="640" spans="12:13" ht="15.75" customHeight="1" x14ac:dyDescent="0.25">
      <c r="L640" s="6"/>
      <c r="M640" s="6"/>
    </row>
    <row r="641" spans="12:13" ht="15.75" customHeight="1" x14ac:dyDescent="0.25">
      <c r="L641" s="6"/>
      <c r="M641" s="6"/>
    </row>
    <row r="642" spans="12:13" ht="15.75" customHeight="1" x14ac:dyDescent="0.25">
      <c r="L642" s="6"/>
      <c r="M642" s="6"/>
    </row>
    <row r="643" spans="12:13" ht="15.75" customHeight="1" x14ac:dyDescent="0.25">
      <c r="L643" s="6"/>
      <c r="M643" s="6"/>
    </row>
    <row r="644" spans="12:13" ht="15.75" customHeight="1" x14ac:dyDescent="0.25">
      <c r="L644" s="6"/>
      <c r="M644" s="6"/>
    </row>
    <row r="645" spans="12:13" ht="15.75" customHeight="1" x14ac:dyDescent="0.25">
      <c r="L645" s="6"/>
      <c r="M645" s="6"/>
    </row>
    <row r="646" spans="12:13" ht="15.75" customHeight="1" x14ac:dyDescent="0.25">
      <c r="L646" s="6"/>
      <c r="M646" s="6"/>
    </row>
    <row r="647" spans="12:13" ht="15.75" customHeight="1" x14ac:dyDescent="0.25">
      <c r="L647" s="6"/>
      <c r="M647" s="6"/>
    </row>
    <row r="648" spans="12:13" ht="15.75" customHeight="1" x14ac:dyDescent="0.25">
      <c r="L648" s="6"/>
      <c r="M648" s="6"/>
    </row>
    <row r="649" spans="12:13" ht="15.75" customHeight="1" x14ac:dyDescent="0.25">
      <c r="L649" s="6"/>
      <c r="M649" s="6"/>
    </row>
    <row r="650" spans="12:13" ht="15.75" customHeight="1" x14ac:dyDescent="0.25">
      <c r="L650" s="6"/>
      <c r="M650" s="6"/>
    </row>
    <row r="651" spans="12:13" ht="15.75" customHeight="1" x14ac:dyDescent="0.25">
      <c r="L651" s="6"/>
      <c r="M651" s="6"/>
    </row>
    <row r="652" spans="12:13" ht="15.75" customHeight="1" x14ac:dyDescent="0.25">
      <c r="L652" s="6"/>
      <c r="M652" s="6"/>
    </row>
    <row r="653" spans="12:13" ht="15.75" customHeight="1" x14ac:dyDescent="0.25">
      <c r="L653" s="6"/>
      <c r="M653" s="6"/>
    </row>
    <row r="654" spans="12:13" ht="15.75" customHeight="1" x14ac:dyDescent="0.25">
      <c r="L654" s="6"/>
      <c r="M654" s="6"/>
    </row>
    <row r="655" spans="12:13" ht="15.75" customHeight="1" x14ac:dyDescent="0.25">
      <c r="L655" s="6"/>
      <c r="M655" s="6"/>
    </row>
    <row r="656" spans="12:13" ht="15.75" customHeight="1" x14ac:dyDescent="0.25">
      <c r="L656" s="6"/>
      <c r="M656" s="6"/>
    </row>
    <row r="657" spans="12:13" ht="15.75" customHeight="1" x14ac:dyDescent="0.25">
      <c r="L657" s="6"/>
      <c r="M657" s="6"/>
    </row>
    <row r="658" spans="12:13" ht="15.75" customHeight="1" x14ac:dyDescent="0.25">
      <c r="L658" s="6"/>
      <c r="M658" s="6"/>
    </row>
    <row r="659" spans="12:13" ht="15.75" customHeight="1" x14ac:dyDescent="0.25">
      <c r="L659" s="6"/>
      <c r="M659" s="6"/>
    </row>
    <row r="660" spans="12:13" ht="15.75" customHeight="1" x14ac:dyDescent="0.25">
      <c r="L660" s="6"/>
      <c r="M660" s="6"/>
    </row>
    <row r="661" spans="12:13" ht="15.75" customHeight="1" x14ac:dyDescent="0.25">
      <c r="L661" s="6"/>
      <c r="M661" s="6"/>
    </row>
    <row r="662" spans="12:13" ht="15.75" customHeight="1" x14ac:dyDescent="0.25">
      <c r="L662" s="6"/>
      <c r="M662" s="6"/>
    </row>
    <row r="663" spans="12:13" ht="15.75" customHeight="1" x14ac:dyDescent="0.25">
      <c r="L663" s="6"/>
      <c r="M663" s="6"/>
    </row>
    <row r="664" spans="12:13" ht="15.75" customHeight="1" x14ac:dyDescent="0.25">
      <c r="L664" s="6"/>
      <c r="M664" s="6"/>
    </row>
    <row r="665" spans="12:13" ht="15.75" customHeight="1" x14ac:dyDescent="0.25">
      <c r="L665" s="6"/>
      <c r="M665" s="6"/>
    </row>
    <row r="666" spans="12:13" ht="15.75" customHeight="1" x14ac:dyDescent="0.25">
      <c r="L666" s="6"/>
      <c r="M666" s="6"/>
    </row>
    <row r="667" spans="12:13" ht="15.75" customHeight="1" x14ac:dyDescent="0.25">
      <c r="L667" s="6"/>
      <c r="M667" s="6"/>
    </row>
    <row r="668" spans="12:13" ht="15.75" customHeight="1" x14ac:dyDescent="0.25">
      <c r="L668" s="6"/>
      <c r="M668" s="6"/>
    </row>
    <row r="669" spans="12:13" ht="15.75" customHeight="1" x14ac:dyDescent="0.25">
      <c r="L669" s="6"/>
      <c r="M669" s="6"/>
    </row>
    <row r="670" spans="12:13" ht="15.75" customHeight="1" x14ac:dyDescent="0.25">
      <c r="L670" s="6"/>
      <c r="M670" s="6"/>
    </row>
    <row r="671" spans="12:13" ht="15.75" customHeight="1" x14ac:dyDescent="0.25">
      <c r="L671" s="6"/>
      <c r="M671" s="6"/>
    </row>
    <row r="672" spans="12:13" ht="15.75" customHeight="1" x14ac:dyDescent="0.25">
      <c r="L672" s="6"/>
      <c r="M672" s="6"/>
    </row>
    <row r="673" spans="12:13" ht="15.75" customHeight="1" x14ac:dyDescent="0.25">
      <c r="L673" s="6"/>
      <c r="M673" s="6"/>
    </row>
    <row r="674" spans="12:13" ht="15.75" customHeight="1" x14ac:dyDescent="0.25">
      <c r="L674" s="6"/>
      <c r="M674" s="6"/>
    </row>
    <row r="675" spans="12:13" ht="15.75" customHeight="1" x14ac:dyDescent="0.25">
      <c r="L675" s="6"/>
      <c r="M675" s="6"/>
    </row>
    <row r="676" spans="12:13" ht="15.75" customHeight="1" x14ac:dyDescent="0.25">
      <c r="L676" s="6"/>
      <c r="M676" s="6"/>
    </row>
    <row r="677" spans="12:13" ht="15.75" customHeight="1" x14ac:dyDescent="0.25">
      <c r="L677" s="6"/>
      <c r="M677" s="6"/>
    </row>
    <row r="678" spans="12:13" ht="15.75" customHeight="1" x14ac:dyDescent="0.25">
      <c r="L678" s="6"/>
      <c r="M678" s="6"/>
    </row>
    <row r="679" spans="12:13" ht="15.75" customHeight="1" x14ac:dyDescent="0.25">
      <c r="L679" s="6"/>
      <c r="M679" s="6"/>
    </row>
    <row r="680" spans="12:13" ht="15.75" customHeight="1" x14ac:dyDescent="0.25">
      <c r="L680" s="6"/>
      <c r="M680" s="6"/>
    </row>
    <row r="681" spans="12:13" ht="15.75" customHeight="1" x14ac:dyDescent="0.25">
      <c r="L681" s="6"/>
      <c r="M681" s="6"/>
    </row>
    <row r="682" spans="12:13" ht="15.75" customHeight="1" x14ac:dyDescent="0.25">
      <c r="L682" s="6"/>
      <c r="M682" s="6"/>
    </row>
    <row r="683" spans="12:13" ht="15.75" customHeight="1" x14ac:dyDescent="0.25">
      <c r="L683" s="6"/>
      <c r="M683" s="6"/>
    </row>
    <row r="684" spans="12:13" ht="15.75" customHeight="1" x14ac:dyDescent="0.25">
      <c r="L684" s="6"/>
      <c r="M684" s="6"/>
    </row>
    <row r="685" spans="12:13" ht="15.75" customHeight="1" x14ac:dyDescent="0.25">
      <c r="L685" s="6"/>
      <c r="M685" s="6"/>
    </row>
    <row r="686" spans="12:13" ht="15.75" customHeight="1" x14ac:dyDescent="0.25">
      <c r="L686" s="6"/>
      <c r="M686" s="6"/>
    </row>
    <row r="687" spans="12:13" ht="15.75" customHeight="1" x14ac:dyDescent="0.25">
      <c r="L687" s="6"/>
      <c r="M687" s="6"/>
    </row>
    <row r="688" spans="12:13" ht="15.75" customHeight="1" x14ac:dyDescent="0.25">
      <c r="L688" s="6"/>
      <c r="M688" s="6"/>
    </row>
    <row r="689" spans="12:13" ht="15.75" customHeight="1" x14ac:dyDescent="0.25">
      <c r="L689" s="6"/>
      <c r="M689" s="6"/>
    </row>
    <row r="690" spans="12:13" ht="15.75" customHeight="1" x14ac:dyDescent="0.25">
      <c r="L690" s="6"/>
      <c r="M690" s="6"/>
    </row>
    <row r="691" spans="12:13" ht="15.75" customHeight="1" x14ac:dyDescent="0.25">
      <c r="L691" s="6"/>
      <c r="M691" s="6"/>
    </row>
    <row r="692" spans="12:13" ht="15.75" customHeight="1" x14ac:dyDescent="0.25">
      <c r="L692" s="6"/>
      <c r="M692" s="6"/>
    </row>
    <row r="693" spans="12:13" ht="15.75" customHeight="1" x14ac:dyDescent="0.25">
      <c r="L693" s="6"/>
      <c r="M693" s="6"/>
    </row>
    <row r="694" spans="12:13" ht="15.75" customHeight="1" x14ac:dyDescent="0.25">
      <c r="L694" s="6"/>
      <c r="M694" s="6"/>
    </row>
    <row r="695" spans="12:13" ht="15.75" customHeight="1" x14ac:dyDescent="0.25">
      <c r="L695" s="6"/>
      <c r="M695" s="6"/>
    </row>
    <row r="696" spans="12:13" ht="15.75" customHeight="1" x14ac:dyDescent="0.25">
      <c r="L696" s="6"/>
      <c r="M696" s="6"/>
    </row>
    <row r="697" spans="12:13" ht="15.75" customHeight="1" x14ac:dyDescent="0.25">
      <c r="L697" s="6"/>
      <c r="M697" s="6"/>
    </row>
    <row r="698" spans="12:13" ht="15.75" customHeight="1" x14ac:dyDescent="0.25">
      <c r="L698" s="6"/>
      <c r="M698" s="6"/>
    </row>
    <row r="699" spans="12:13" ht="15.75" customHeight="1" x14ac:dyDescent="0.25">
      <c r="L699" s="6"/>
      <c r="M699" s="6"/>
    </row>
    <row r="700" spans="12:13" ht="15.75" customHeight="1" x14ac:dyDescent="0.25">
      <c r="L700" s="6"/>
      <c r="M700" s="6"/>
    </row>
    <row r="701" spans="12:13" ht="15.75" customHeight="1" x14ac:dyDescent="0.25">
      <c r="L701" s="6"/>
      <c r="M701" s="6"/>
    </row>
    <row r="702" spans="12:13" ht="15.75" customHeight="1" x14ac:dyDescent="0.25">
      <c r="L702" s="6"/>
      <c r="M702" s="6"/>
    </row>
    <row r="703" spans="12:13" ht="15.75" customHeight="1" x14ac:dyDescent="0.25">
      <c r="L703" s="6"/>
      <c r="M703" s="6"/>
    </row>
    <row r="704" spans="12:13" ht="15.75" customHeight="1" x14ac:dyDescent="0.25">
      <c r="L704" s="6"/>
      <c r="M704" s="6"/>
    </row>
    <row r="705" spans="12:13" ht="15.75" customHeight="1" x14ac:dyDescent="0.25">
      <c r="L705" s="6"/>
      <c r="M705" s="6"/>
    </row>
    <row r="706" spans="12:13" ht="15.75" customHeight="1" x14ac:dyDescent="0.25">
      <c r="L706" s="6"/>
      <c r="M706" s="6"/>
    </row>
    <row r="707" spans="12:13" ht="15.75" customHeight="1" x14ac:dyDescent="0.25">
      <c r="L707" s="6"/>
      <c r="M707" s="6"/>
    </row>
    <row r="708" spans="12:13" ht="15.75" customHeight="1" x14ac:dyDescent="0.25">
      <c r="L708" s="6"/>
      <c r="M708" s="6"/>
    </row>
    <row r="709" spans="12:13" ht="15.75" customHeight="1" x14ac:dyDescent="0.25">
      <c r="L709" s="6"/>
      <c r="M709" s="6"/>
    </row>
    <row r="710" spans="12:13" ht="15.75" customHeight="1" x14ac:dyDescent="0.25">
      <c r="L710" s="6"/>
      <c r="M710" s="6"/>
    </row>
    <row r="711" spans="12:13" ht="15.75" customHeight="1" x14ac:dyDescent="0.25">
      <c r="L711" s="6"/>
      <c r="M711" s="6"/>
    </row>
    <row r="712" spans="12:13" ht="15.75" customHeight="1" x14ac:dyDescent="0.25">
      <c r="L712" s="6"/>
      <c r="M712" s="6"/>
    </row>
    <row r="713" spans="12:13" ht="15.75" customHeight="1" x14ac:dyDescent="0.25">
      <c r="L713" s="6"/>
      <c r="M713" s="6"/>
    </row>
    <row r="714" spans="12:13" ht="15.75" customHeight="1" x14ac:dyDescent="0.25">
      <c r="L714" s="6"/>
      <c r="M714" s="6"/>
    </row>
    <row r="715" spans="12:13" ht="15.75" customHeight="1" x14ac:dyDescent="0.25">
      <c r="L715" s="6"/>
      <c r="M715" s="6"/>
    </row>
    <row r="716" spans="12:13" ht="15.75" customHeight="1" x14ac:dyDescent="0.25">
      <c r="L716" s="6"/>
      <c r="M716" s="6"/>
    </row>
    <row r="717" spans="12:13" ht="15.75" customHeight="1" x14ac:dyDescent="0.25">
      <c r="L717" s="6"/>
      <c r="M717" s="6"/>
    </row>
    <row r="718" spans="12:13" ht="15.75" customHeight="1" x14ac:dyDescent="0.25">
      <c r="L718" s="6"/>
      <c r="M718" s="6"/>
    </row>
    <row r="719" spans="12:13" ht="15.75" customHeight="1" x14ac:dyDescent="0.25">
      <c r="L719" s="6"/>
      <c r="M719" s="6"/>
    </row>
    <row r="720" spans="12:13" ht="15.75" customHeight="1" x14ac:dyDescent="0.25">
      <c r="L720" s="6"/>
      <c r="M720" s="6"/>
    </row>
    <row r="721" spans="12:13" ht="15.75" customHeight="1" x14ac:dyDescent="0.25">
      <c r="L721" s="6"/>
      <c r="M721" s="6"/>
    </row>
    <row r="722" spans="12:13" ht="15.75" customHeight="1" x14ac:dyDescent="0.25">
      <c r="L722" s="6"/>
      <c r="M722" s="6"/>
    </row>
    <row r="723" spans="12:13" ht="15.75" customHeight="1" x14ac:dyDescent="0.25">
      <c r="L723" s="6"/>
      <c r="M723" s="6"/>
    </row>
    <row r="724" spans="12:13" ht="15.75" customHeight="1" x14ac:dyDescent="0.25">
      <c r="L724" s="6"/>
      <c r="M724" s="6"/>
    </row>
    <row r="725" spans="12:13" ht="15.75" customHeight="1" x14ac:dyDescent="0.25">
      <c r="L725" s="6"/>
      <c r="M725" s="6"/>
    </row>
    <row r="726" spans="12:13" ht="15.75" customHeight="1" x14ac:dyDescent="0.25">
      <c r="L726" s="6"/>
      <c r="M726" s="6"/>
    </row>
    <row r="727" spans="12:13" ht="15.75" customHeight="1" x14ac:dyDescent="0.25">
      <c r="L727" s="6"/>
      <c r="M727" s="6"/>
    </row>
    <row r="728" spans="12:13" ht="15.75" customHeight="1" x14ac:dyDescent="0.25">
      <c r="L728" s="6"/>
      <c r="M728" s="6"/>
    </row>
    <row r="729" spans="12:13" ht="15.75" customHeight="1" x14ac:dyDescent="0.25">
      <c r="L729" s="6"/>
      <c r="M729" s="6"/>
    </row>
    <row r="730" spans="12:13" ht="15.75" customHeight="1" x14ac:dyDescent="0.25">
      <c r="L730" s="6"/>
      <c r="M730" s="6"/>
    </row>
    <row r="731" spans="12:13" ht="15.75" customHeight="1" x14ac:dyDescent="0.25">
      <c r="L731" s="6"/>
      <c r="M731" s="6"/>
    </row>
    <row r="732" spans="12:13" ht="15.75" customHeight="1" x14ac:dyDescent="0.25">
      <c r="L732" s="6"/>
      <c r="M732" s="6"/>
    </row>
    <row r="733" spans="12:13" ht="15.75" customHeight="1" x14ac:dyDescent="0.25">
      <c r="L733" s="6"/>
      <c r="M733" s="6"/>
    </row>
    <row r="734" spans="12:13" ht="15.75" customHeight="1" x14ac:dyDescent="0.25">
      <c r="L734" s="6"/>
      <c r="M734" s="6"/>
    </row>
    <row r="735" spans="12:13" ht="15.75" customHeight="1" x14ac:dyDescent="0.25">
      <c r="L735" s="6"/>
      <c r="M735" s="6"/>
    </row>
    <row r="736" spans="12:13" ht="15.75" customHeight="1" x14ac:dyDescent="0.25">
      <c r="L736" s="6"/>
      <c r="M736" s="6"/>
    </row>
    <row r="737" spans="12:13" ht="15.75" customHeight="1" x14ac:dyDescent="0.25">
      <c r="L737" s="6"/>
      <c r="M737" s="6"/>
    </row>
    <row r="738" spans="12:13" ht="15.75" customHeight="1" x14ac:dyDescent="0.25">
      <c r="L738" s="6"/>
      <c r="M738" s="6"/>
    </row>
    <row r="739" spans="12:13" ht="15.75" customHeight="1" x14ac:dyDescent="0.25">
      <c r="L739" s="6"/>
      <c r="M739" s="6"/>
    </row>
    <row r="740" spans="12:13" ht="15.75" customHeight="1" x14ac:dyDescent="0.25">
      <c r="L740" s="6"/>
      <c r="M740" s="6"/>
    </row>
    <row r="741" spans="12:13" ht="15.75" customHeight="1" x14ac:dyDescent="0.25">
      <c r="L741" s="6"/>
      <c r="M741" s="6"/>
    </row>
    <row r="742" spans="12:13" ht="15.75" customHeight="1" x14ac:dyDescent="0.25">
      <c r="L742" s="6"/>
      <c r="M742" s="6"/>
    </row>
    <row r="743" spans="12:13" ht="15.75" customHeight="1" x14ac:dyDescent="0.25">
      <c r="L743" s="6"/>
      <c r="M743" s="6"/>
    </row>
    <row r="744" spans="12:13" ht="15.75" customHeight="1" x14ac:dyDescent="0.25">
      <c r="L744" s="6"/>
      <c r="M744" s="6"/>
    </row>
    <row r="745" spans="12:13" ht="15.75" customHeight="1" x14ac:dyDescent="0.25">
      <c r="L745" s="6"/>
      <c r="M745" s="6"/>
    </row>
    <row r="746" spans="12:13" ht="15.75" customHeight="1" x14ac:dyDescent="0.25">
      <c r="L746" s="6"/>
      <c r="M746" s="6"/>
    </row>
    <row r="747" spans="12:13" ht="15.75" customHeight="1" x14ac:dyDescent="0.25">
      <c r="L747" s="6"/>
      <c r="M747" s="6"/>
    </row>
    <row r="748" spans="12:13" ht="15.75" customHeight="1" x14ac:dyDescent="0.25">
      <c r="L748" s="6"/>
      <c r="M748" s="6"/>
    </row>
    <row r="749" spans="12:13" ht="15.75" customHeight="1" x14ac:dyDescent="0.25">
      <c r="L749" s="6"/>
      <c r="M749" s="6"/>
    </row>
    <row r="750" spans="12:13" ht="15.75" customHeight="1" x14ac:dyDescent="0.25">
      <c r="L750" s="6"/>
      <c r="M750" s="6"/>
    </row>
    <row r="751" spans="12:13" ht="15.75" customHeight="1" x14ac:dyDescent="0.25">
      <c r="L751" s="6"/>
      <c r="M751" s="6"/>
    </row>
    <row r="752" spans="12:13" ht="15.75" customHeight="1" x14ac:dyDescent="0.25">
      <c r="L752" s="6"/>
      <c r="M752" s="6"/>
    </row>
    <row r="753" spans="12:13" ht="15.75" customHeight="1" x14ac:dyDescent="0.25">
      <c r="L753" s="6"/>
      <c r="M753" s="6"/>
    </row>
    <row r="754" spans="12:13" ht="15.75" customHeight="1" x14ac:dyDescent="0.25">
      <c r="L754" s="6"/>
      <c r="M754" s="6"/>
    </row>
    <row r="755" spans="12:13" ht="15.75" customHeight="1" x14ac:dyDescent="0.25">
      <c r="L755" s="6"/>
      <c r="M755" s="6"/>
    </row>
    <row r="756" spans="12:13" ht="15.75" customHeight="1" x14ac:dyDescent="0.25">
      <c r="L756" s="6"/>
      <c r="M756" s="6"/>
    </row>
    <row r="757" spans="12:13" ht="15.75" customHeight="1" x14ac:dyDescent="0.25">
      <c r="L757" s="6"/>
      <c r="M757" s="6"/>
    </row>
    <row r="758" spans="12:13" ht="15.75" customHeight="1" x14ac:dyDescent="0.25">
      <c r="L758" s="6"/>
      <c r="M758" s="6"/>
    </row>
    <row r="759" spans="12:13" ht="15.75" customHeight="1" x14ac:dyDescent="0.25">
      <c r="L759" s="6"/>
      <c r="M759" s="6"/>
    </row>
    <row r="760" spans="12:13" ht="15.75" customHeight="1" x14ac:dyDescent="0.25">
      <c r="L760" s="6"/>
      <c r="M760" s="6"/>
    </row>
    <row r="761" spans="12:13" ht="15.75" customHeight="1" x14ac:dyDescent="0.25">
      <c r="L761" s="6"/>
      <c r="M761" s="6"/>
    </row>
    <row r="762" spans="12:13" ht="15.75" customHeight="1" x14ac:dyDescent="0.25">
      <c r="L762" s="6"/>
      <c r="M762" s="6"/>
    </row>
    <row r="763" spans="12:13" ht="15.75" customHeight="1" x14ac:dyDescent="0.25">
      <c r="L763" s="6"/>
      <c r="M763" s="6"/>
    </row>
    <row r="764" spans="12:13" ht="15.75" customHeight="1" x14ac:dyDescent="0.25">
      <c r="L764" s="6"/>
      <c r="M764" s="6"/>
    </row>
    <row r="765" spans="12:13" ht="15.75" customHeight="1" x14ac:dyDescent="0.25">
      <c r="L765" s="6"/>
      <c r="M765" s="6"/>
    </row>
    <row r="766" spans="12:13" ht="15.75" customHeight="1" x14ac:dyDescent="0.25">
      <c r="L766" s="6"/>
      <c r="M766" s="6"/>
    </row>
    <row r="767" spans="12:13" ht="15.75" customHeight="1" x14ac:dyDescent="0.25">
      <c r="L767" s="6"/>
      <c r="M767" s="6"/>
    </row>
    <row r="768" spans="12:13" ht="15.75" customHeight="1" x14ac:dyDescent="0.25">
      <c r="L768" s="6"/>
      <c r="M768" s="6"/>
    </row>
    <row r="769" spans="12:13" ht="15.75" customHeight="1" x14ac:dyDescent="0.25">
      <c r="L769" s="6"/>
      <c r="M769" s="6"/>
    </row>
    <row r="770" spans="12:13" ht="15.75" customHeight="1" x14ac:dyDescent="0.25">
      <c r="L770" s="6"/>
      <c r="M770" s="6"/>
    </row>
    <row r="771" spans="12:13" ht="15.75" customHeight="1" x14ac:dyDescent="0.25">
      <c r="L771" s="6"/>
      <c r="M771" s="6"/>
    </row>
    <row r="772" spans="12:13" ht="15.75" customHeight="1" x14ac:dyDescent="0.25">
      <c r="L772" s="6"/>
      <c r="M772" s="6"/>
    </row>
    <row r="773" spans="12:13" ht="15.75" customHeight="1" x14ac:dyDescent="0.25">
      <c r="L773" s="6"/>
      <c r="M773" s="6"/>
    </row>
    <row r="774" spans="12:13" ht="15.75" customHeight="1" x14ac:dyDescent="0.25">
      <c r="L774" s="6"/>
      <c r="M774" s="6"/>
    </row>
    <row r="775" spans="12:13" ht="15.75" customHeight="1" x14ac:dyDescent="0.25">
      <c r="L775" s="6"/>
      <c r="M775" s="6"/>
    </row>
    <row r="776" spans="12:13" ht="15.75" customHeight="1" x14ac:dyDescent="0.25">
      <c r="L776" s="6"/>
      <c r="M776" s="6"/>
    </row>
    <row r="777" spans="12:13" ht="15.75" customHeight="1" x14ac:dyDescent="0.25">
      <c r="L777" s="6"/>
      <c r="M777" s="6"/>
    </row>
    <row r="778" spans="12:13" ht="15.75" customHeight="1" x14ac:dyDescent="0.25">
      <c r="L778" s="6"/>
      <c r="M778" s="6"/>
    </row>
    <row r="779" spans="12:13" ht="15.75" customHeight="1" x14ac:dyDescent="0.25">
      <c r="L779" s="6"/>
      <c r="M779" s="6"/>
    </row>
    <row r="780" spans="12:13" ht="15.75" customHeight="1" x14ac:dyDescent="0.25">
      <c r="L780" s="6"/>
      <c r="M780" s="6"/>
    </row>
    <row r="781" spans="12:13" ht="15.75" customHeight="1" x14ac:dyDescent="0.25">
      <c r="L781" s="6"/>
      <c r="M781" s="6"/>
    </row>
    <row r="782" spans="12:13" ht="15.75" customHeight="1" x14ac:dyDescent="0.25">
      <c r="L782" s="6"/>
      <c r="M782" s="6"/>
    </row>
    <row r="783" spans="12:13" ht="15.75" customHeight="1" x14ac:dyDescent="0.25">
      <c r="L783" s="6"/>
      <c r="M783" s="6"/>
    </row>
    <row r="784" spans="12:13" ht="15.75" customHeight="1" x14ac:dyDescent="0.25">
      <c r="L784" s="6"/>
      <c r="M784" s="6"/>
    </row>
    <row r="785" spans="12:13" ht="15.75" customHeight="1" x14ac:dyDescent="0.25">
      <c r="L785" s="6"/>
      <c r="M785" s="6"/>
    </row>
    <row r="786" spans="12:13" ht="15.75" customHeight="1" x14ac:dyDescent="0.25">
      <c r="L786" s="6"/>
      <c r="M786" s="6"/>
    </row>
    <row r="787" spans="12:13" ht="15.75" customHeight="1" x14ac:dyDescent="0.25">
      <c r="L787" s="6"/>
      <c r="M787" s="6"/>
    </row>
    <row r="788" spans="12:13" ht="15.75" customHeight="1" x14ac:dyDescent="0.25">
      <c r="L788" s="6"/>
      <c r="M788" s="6"/>
    </row>
    <row r="789" spans="12:13" ht="15.75" customHeight="1" x14ac:dyDescent="0.25">
      <c r="L789" s="6"/>
      <c r="M789" s="6"/>
    </row>
    <row r="790" spans="12:13" ht="15.75" customHeight="1" x14ac:dyDescent="0.25">
      <c r="L790" s="6"/>
      <c r="M790" s="6"/>
    </row>
    <row r="791" spans="12:13" ht="15.75" customHeight="1" x14ac:dyDescent="0.25">
      <c r="L791" s="6"/>
      <c r="M791" s="6"/>
    </row>
    <row r="792" spans="12:13" ht="15.75" customHeight="1" x14ac:dyDescent="0.25">
      <c r="L792" s="6"/>
      <c r="M792" s="6"/>
    </row>
    <row r="793" spans="12:13" ht="15.75" customHeight="1" x14ac:dyDescent="0.25">
      <c r="L793" s="6"/>
      <c r="M793" s="6"/>
    </row>
    <row r="794" spans="12:13" ht="15.75" customHeight="1" x14ac:dyDescent="0.25">
      <c r="L794" s="6"/>
      <c r="M794" s="6"/>
    </row>
    <row r="795" spans="12:13" ht="15.75" customHeight="1" x14ac:dyDescent="0.25">
      <c r="L795" s="6"/>
      <c r="M795" s="6"/>
    </row>
    <row r="796" spans="12:13" ht="15.75" customHeight="1" x14ac:dyDescent="0.25">
      <c r="L796" s="6"/>
      <c r="M796" s="6"/>
    </row>
    <row r="797" spans="12:13" ht="15.75" customHeight="1" x14ac:dyDescent="0.25">
      <c r="L797" s="6"/>
      <c r="M797" s="6"/>
    </row>
    <row r="798" spans="12:13" ht="15.75" customHeight="1" x14ac:dyDescent="0.25">
      <c r="L798" s="6"/>
      <c r="M798" s="6"/>
    </row>
    <row r="799" spans="12:13" ht="15.75" customHeight="1" x14ac:dyDescent="0.25">
      <c r="L799" s="6"/>
      <c r="M799" s="6"/>
    </row>
    <row r="800" spans="12:13" ht="15.75" customHeight="1" x14ac:dyDescent="0.25">
      <c r="L800" s="6"/>
      <c r="M800" s="6"/>
    </row>
    <row r="801" spans="12:13" ht="15.75" customHeight="1" x14ac:dyDescent="0.25">
      <c r="L801" s="6"/>
      <c r="M801" s="6"/>
    </row>
    <row r="802" spans="12:13" ht="15.75" customHeight="1" x14ac:dyDescent="0.25">
      <c r="L802" s="6"/>
      <c r="M802" s="6"/>
    </row>
    <row r="803" spans="12:13" ht="15.75" customHeight="1" x14ac:dyDescent="0.25">
      <c r="L803" s="6"/>
      <c r="M803" s="6"/>
    </row>
    <row r="804" spans="12:13" ht="15.75" customHeight="1" x14ac:dyDescent="0.25">
      <c r="L804" s="6"/>
      <c r="M804" s="6"/>
    </row>
    <row r="805" spans="12:13" ht="15.75" customHeight="1" x14ac:dyDescent="0.25">
      <c r="L805" s="6"/>
      <c r="M805" s="6"/>
    </row>
    <row r="806" spans="12:13" ht="15.75" customHeight="1" x14ac:dyDescent="0.25">
      <c r="L806" s="6"/>
      <c r="M806" s="6"/>
    </row>
    <row r="807" spans="12:13" ht="15.75" customHeight="1" x14ac:dyDescent="0.25">
      <c r="L807" s="6"/>
      <c r="M807" s="6"/>
    </row>
    <row r="808" spans="12:13" ht="15.75" customHeight="1" x14ac:dyDescent="0.25">
      <c r="L808" s="6"/>
      <c r="M808" s="6"/>
    </row>
    <row r="809" spans="12:13" ht="15.75" customHeight="1" x14ac:dyDescent="0.25">
      <c r="L809" s="6"/>
      <c r="M809" s="6"/>
    </row>
    <row r="810" spans="12:13" ht="15.75" customHeight="1" x14ac:dyDescent="0.25">
      <c r="L810" s="6"/>
      <c r="M810" s="6"/>
    </row>
    <row r="811" spans="12:13" ht="15.75" customHeight="1" x14ac:dyDescent="0.25">
      <c r="L811" s="6"/>
      <c r="M811" s="6"/>
    </row>
    <row r="812" spans="12:13" ht="15.75" customHeight="1" x14ac:dyDescent="0.25">
      <c r="L812" s="6"/>
      <c r="M812" s="6"/>
    </row>
    <row r="813" spans="12:13" ht="15.75" customHeight="1" x14ac:dyDescent="0.25">
      <c r="L813" s="6"/>
      <c r="M813" s="6"/>
    </row>
    <row r="814" spans="12:13" ht="15.75" customHeight="1" x14ac:dyDescent="0.25">
      <c r="L814" s="6"/>
      <c r="M814" s="6"/>
    </row>
    <row r="815" spans="12:13" ht="15.75" customHeight="1" x14ac:dyDescent="0.25">
      <c r="L815" s="6"/>
      <c r="M815" s="6"/>
    </row>
    <row r="816" spans="12:13" ht="15.75" customHeight="1" x14ac:dyDescent="0.25">
      <c r="L816" s="6"/>
      <c r="M816" s="6"/>
    </row>
    <row r="817" spans="12:13" ht="15.75" customHeight="1" x14ac:dyDescent="0.25">
      <c r="L817" s="6"/>
      <c r="M817" s="6"/>
    </row>
    <row r="818" spans="12:13" ht="15.75" customHeight="1" x14ac:dyDescent="0.25">
      <c r="L818" s="6"/>
      <c r="M818" s="6"/>
    </row>
    <row r="819" spans="12:13" ht="15.75" customHeight="1" x14ac:dyDescent="0.25">
      <c r="L819" s="6"/>
      <c r="M819" s="6"/>
    </row>
    <row r="820" spans="12:13" ht="15.75" customHeight="1" x14ac:dyDescent="0.25">
      <c r="L820" s="6"/>
      <c r="M820" s="6"/>
    </row>
    <row r="821" spans="12:13" ht="15.75" customHeight="1" x14ac:dyDescent="0.25">
      <c r="L821" s="6"/>
      <c r="M821" s="6"/>
    </row>
    <row r="822" spans="12:13" ht="15.75" customHeight="1" x14ac:dyDescent="0.25">
      <c r="L822" s="6"/>
      <c r="M822" s="6"/>
    </row>
    <row r="823" spans="12:13" ht="15.75" customHeight="1" x14ac:dyDescent="0.25">
      <c r="L823" s="6"/>
      <c r="M823" s="6"/>
    </row>
    <row r="824" spans="12:13" ht="15.75" customHeight="1" x14ac:dyDescent="0.25">
      <c r="L824" s="6"/>
      <c r="M824" s="6"/>
    </row>
    <row r="825" spans="12:13" ht="15.75" customHeight="1" x14ac:dyDescent="0.25">
      <c r="L825" s="6"/>
      <c r="M825" s="6"/>
    </row>
    <row r="826" spans="12:13" ht="15.75" customHeight="1" x14ac:dyDescent="0.25">
      <c r="L826" s="6"/>
      <c r="M826" s="6"/>
    </row>
    <row r="827" spans="12:13" ht="15.75" customHeight="1" x14ac:dyDescent="0.25">
      <c r="L827" s="6"/>
      <c r="M827" s="6"/>
    </row>
    <row r="828" spans="12:13" ht="15.75" customHeight="1" x14ac:dyDescent="0.25">
      <c r="L828" s="6"/>
      <c r="M828" s="6"/>
    </row>
    <row r="829" spans="12:13" ht="15.75" customHeight="1" x14ac:dyDescent="0.25">
      <c r="L829" s="6"/>
      <c r="M829" s="6"/>
    </row>
    <row r="830" spans="12:13" ht="15.75" customHeight="1" x14ac:dyDescent="0.25">
      <c r="L830" s="6"/>
      <c r="M830" s="6"/>
    </row>
    <row r="831" spans="12:13" ht="15.75" customHeight="1" x14ac:dyDescent="0.25">
      <c r="L831" s="6"/>
      <c r="M831" s="6"/>
    </row>
    <row r="832" spans="12:13" ht="15.75" customHeight="1" x14ac:dyDescent="0.25">
      <c r="L832" s="6"/>
      <c r="M832" s="6"/>
    </row>
    <row r="833" spans="12:13" ht="15.75" customHeight="1" x14ac:dyDescent="0.25">
      <c r="L833" s="6"/>
      <c r="M833" s="6"/>
    </row>
    <row r="834" spans="12:13" ht="15.75" customHeight="1" x14ac:dyDescent="0.25">
      <c r="L834" s="6"/>
      <c r="M834" s="6"/>
    </row>
    <row r="835" spans="12:13" ht="15.75" customHeight="1" x14ac:dyDescent="0.25">
      <c r="L835" s="6"/>
      <c r="M835" s="6"/>
    </row>
    <row r="836" spans="12:13" ht="15.75" customHeight="1" x14ac:dyDescent="0.25">
      <c r="L836" s="6"/>
      <c r="M836" s="6"/>
    </row>
    <row r="837" spans="12:13" ht="15.75" customHeight="1" x14ac:dyDescent="0.25">
      <c r="L837" s="6"/>
      <c r="M837" s="6"/>
    </row>
    <row r="838" spans="12:13" ht="15.75" customHeight="1" x14ac:dyDescent="0.25">
      <c r="L838" s="6"/>
      <c r="M838" s="6"/>
    </row>
    <row r="839" spans="12:13" ht="15.75" customHeight="1" x14ac:dyDescent="0.25">
      <c r="L839" s="6"/>
      <c r="M839" s="6"/>
    </row>
    <row r="840" spans="12:13" ht="15.75" customHeight="1" x14ac:dyDescent="0.25">
      <c r="L840" s="6"/>
      <c r="M840" s="6"/>
    </row>
    <row r="841" spans="12:13" ht="15.75" customHeight="1" x14ac:dyDescent="0.25">
      <c r="L841" s="6"/>
      <c r="M841" s="6"/>
    </row>
    <row r="842" spans="12:13" ht="15.75" customHeight="1" x14ac:dyDescent="0.25">
      <c r="L842" s="6"/>
      <c r="M842" s="6"/>
    </row>
    <row r="843" spans="12:13" ht="15.75" customHeight="1" x14ac:dyDescent="0.25">
      <c r="L843" s="6"/>
      <c r="M843" s="6"/>
    </row>
    <row r="844" spans="12:13" ht="15.75" customHeight="1" x14ac:dyDescent="0.25">
      <c r="L844" s="6"/>
      <c r="M844" s="6"/>
    </row>
    <row r="845" spans="12:13" ht="15.75" customHeight="1" x14ac:dyDescent="0.25">
      <c r="L845" s="6"/>
      <c r="M845" s="6"/>
    </row>
    <row r="846" spans="12:13" ht="15.75" customHeight="1" x14ac:dyDescent="0.25">
      <c r="L846" s="6"/>
      <c r="M846" s="6"/>
    </row>
    <row r="847" spans="12:13" ht="15.75" customHeight="1" x14ac:dyDescent="0.25">
      <c r="L847" s="6"/>
      <c r="M847" s="6"/>
    </row>
    <row r="848" spans="12:13" ht="15.75" customHeight="1" x14ac:dyDescent="0.25">
      <c r="L848" s="6"/>
      <c r="M848" s="6"/>
    </row>
    <row r="849" spans="12:13" ht="15.75" customHeight="1" x14ac:dyDescent="0.25">
      <c r="L849" s="6"/>
      <c r="M849" s="6"/>
    </row>
    <row r="850" spans="12:13" ht="15.75" customHeight="1" x14ac:dyDescent="0.25">
      <c r="L850" s="6"/>
      <c r="M850" s="6"/>
    </row>
    <row r="851" spans="12:13" ht="15.75" customHeight="1" x14ac:dyDescent="0.25">
      <c r="L851" s="6"/>
      <c r="M851" s="6"/>
    </row>
    <row r="852" spans="12:13" ht="15.75" customHeight="1" x14ac:dyDescent="0.25">
      <c r="L852" s="6"/>
      <c r="M852" s="6"/>
    </row>
    <row r="853" spans="12:13" ht="15.75" customHeight="1" x14ac:dyDescent="0.25">
      <c r="L853" s="6"/>
      <c r="M853" s="6"/>
    </row>
    <row r="854" spans="12:13" ht="15.75" customHeight="1" x14ac:dyDescent="0.25">
      <c r="L854" s="6"/>
      <c r="M854" s="6"/>
    </row>
    <row r="855" spans="12:13" ht="15.75" customHeight="1" x14ac:dyDescent="0.25">
      <c r="L855" s="6"/>
      <c r="M855" s="6"/>
    </row>
    <row r="856" spans="12:13" ht="15.75" customHeight="1" x14ac:dyDescent="0.25">
      <c r="L856" s="6"/>
      <c r="M856" s="6"/>
    </row>
    <row r="857" spans="12:13" ht="15.75" customHeight="1" x14ac:dyDescent="0.25">
      <c r="L857" s="6"/>
      <c r="M857" s="6"/>
    </row>
    <row r="858" spans="12:13" ht="15.75" customHeight="1" x14ac:dyDescent="0.25">
      <c r="L858" s="6"/>
      <c r="M858" s="6"/>
    </row>
    <row r="859" spans="12:13" ht="15.75" customHeight="1" x14ac:dyDescent="0.25">
      <c r="L859" s="6"/>
      <c r="M859" s="6"/>
    </row>
    <row r="860" spans="12:13" ht="15.75" customHeight="1" x14ac:dyDescent="0.25">
      <c r="L860" s="6"/>
      <c r="M860" s="6"/>
    </row>
    <row r="861" spans="12:13" ht="15.75" customHeight="1" x14ac:dyDescent="0.25">
      <c r="L861" s="6"/>
      <c r="M861" s="6"/>
    </row>
    <row r="862" spans="12:13" ht="15.75" customHeight="1" x14ac:dyDescent="0.25">
      <c r="L862" s="6"/>
      <c r="M862" s="6"/>
    </row>
    <row r="863" spans="12:13" ht="15.75" customHeight="1" x14ac:dyDescent="0.25">
      <c r="L863" s="6"/>
      <c r="M863" s="6"/>
    </row>
    <row r="864" spans="12:13" ht="15.75" customHeight="1" x14ac:dyDescent="0.25">
      <c r="L864" s="6"/>
      <c r="M864" s="6"/>
    </row>
    <row r="865" spans="12:13" ht="15.75" customHeight="1" x14ac:dyDescent="0.25">
      <c r="L865" s="6"/>
      <c r="M865" s="6"/>
    </row>
    <row r="866" spans="12:13" ht="15.75" customHeight="1" x14ac:dyDescent="0.25">
      <c r="L866" s="6"/>
      <c r="M866" s="6"/>
    </row>
    <row r="867" spans="12:13" ht="15.75" customHeight="1" x14ac:dyDescent="0.25">
      <c r="L867" s="6"/>
      <c r="M867" s="6"/>
    </row>
    <row r="868" spans="12:13" ht="15.75" customHeight="1" x14ac:dyDescent="0.25">
      <c r="L868" s="6"/>
      <c r="M868" s="6"/>
    </row>
    <row r="869" spans="12:13" ht="15.75" customHeight="1" x14ac:dyDescent="0.25">
      <c r="L869" s="6"/>
      <c r="M869" s="6"/>
    </row>
    <row r="870" spans="12:13" ht="15.75" customHeight="1" x14ac:dyDescent="0.25">
      <c r="L870" s="6"/>
      <c r="M870" s="6"/>
    </row>
    <row r="871" spans="12:13" ht="15.75" customHeight="1" x14ac:dyDescent="0.25">
      <c r="L871" s="6"/>
      <c r="M871" s="6"/>
    </row>
    <row r="872" spans="12:13" ht="15.75" customHeight="1" x14ac:dyDescent="0.25">
      <c r="L872" s="6"/>
      <c r="M872" s="6"/>
    </row>
    <row r="873" spans="12:13" ht="15.75" customHeight="1" x14ac:dyDescent="0.25">
      <c r="L873" s="6"/>
      <c r="M873" s="6"/>
    </row>
    <row r="874" spans="12:13" ht="15.75" customHeight="1" x14ac:dyDescent="0.25">
      <c r="L874" s="6"/>
      <c r="M874" s="6"/>
    </row>
    <row r="875" spans="12:13" ht="15.75" customHeight="1" x14ac:dyDescent="0.25">
      <c r="L875" s="6"/>
      <c r="M875" s="6"/>
    </row>
    <row r="876" spans="12:13" ht="15.75" customHeight="1" x14ac:dyDescent="0.25">
      <c r="L876" s="6"/>
      <c r="M876" s="6"/>
    </row>
    <row r="877" spans="12:13" ht="15.75" customHeight="1" x14ac:dyDescent="0.25">
      <c r="L877" s="6"/>
      <c r="M877" s="6"/>
    </row>
    <row r="878" spans="12:13" ht="15.75" customHeight="1" x14ac:dyDescent="0.25">
      <c r="L878" s="6"/>
      <c r="M878" s="6"/>
    </row>
    <row r="879" spans="12:13" ht="15.75" customHeight="1" x14ac:dyDescent="0.25">
      <c r="L879" s="6"/>
      <c r="M879" s="6"/>
    </row>
    <row r="880" spans="12:13" ht="15.75" customHeight="1" x14ac:dyDescent="0.25">
      <c r="L880" s="6"/>
      <c r="M880" s="6"/>
    </row>
    <row r="881" spans="12:13" ht="15.75" customHeight="1" x14ac:dyDescent="0.25">
      <c r="L881" s="6"/>
      <c r="M881" s="6"/>
    </row>
    <row r="882" spans="12:13" ht="15.75" customHeight="1" x14ac:dyDescent="0.25">
      <c r="L882" s="6"/>
      <c r="M882" s="6"/>
    </row>
    <row r="883" spans="12:13" ht="15.75" customHeight="1" x14ac:dyDescent="0.25">
      <c r="L883" s="6"/>
      <c r="M883" s="6"/>
    </row>
    <row r="884" spans="12:13" ht="15.75" customHeight="1" x14ac:dyDescent="0.25">
      <c r="L884" s="6"/>
      <c r="M884" s="6"/>
    </row>
    <row r="885" spans="12:13" ht="15.75" customHeight="1" x14ac:dyDescent="0.25">
      <c r="L885" s="6"/>
      <c r="M885" s="6"/>
    </row>
    <row r="886" spans="12:13" ht="15.75" customHeight="1" x14ac:dyDescent="0.25">
      <c r="L886" s="6"/>
      <c r="M886" s="6"/>
    </row>
    <row r="887" spans="12:13" ht="15.75" customHeight="1" x14ac:dyDescent="0.25">
      <c r="L887" s="6"/>
      <c r="M887" s="6"/>
    </row>
    <row r="888" spans="12:13" ht="15.75" customHeight="1" x14ac:dyDescent="0.25">
      <c r="L888" s="6"/>
      <c r="M888" s="6"/>
    </row>
    <row r="889" spans="12:13" ht="15.75" customHeight="1" x14ac:dyDescent="0.25">
      <c r="L889" s="6"/>
      <c r="M889" s="6"/>
    </row>
    <row r="890" spans="12:13" ht="15.75" customHeight="1" x14ac:dyDescent="0.25">
      <c r="L890" s="6"/>
      <c r="M890" s="6"/>
    </row>
    <row r="891" spans="12:13" ht="15.75" customHeight="1" x14ac:dyDescent="0.25">
      <c r="L891" s="6"/>
      <c r="M891" s="6"/>
    </row>
    <row r="892" spans="12:13" ht="15.75" customHeight="1" x14ac:dyDescent="0.25">
      <c r="L892" s="6"/>
      <c r="M892" s="6"/>
    </row>
    <row r="893" spans="12:13" ht="15.75" customHeight="1" x14ac:dyDescent="0.25">
      <c r="L893" s="6"/>
      <c r="M893" s="6"/>
    </row>
    <row r="894" spans="12:13" ht="15.75" customHeight="1" x14ac:dyDescent="0.25">
      <c r="L894" s="6"/>
      <c r="M894" s="6"/>
    </row>
    <row r="895" spans="12:13" ht="15.75" customHeight="1" x14ac:dyDescent="0.25">
      <c r="L895" s="6"/>
      <c r="M895" s="6"/>
    </row>
    <row r="896" spans="12:13" ht="15.75" customHeight="1" x14ac:dyDescent="0.25">
      <c r="L896" s="6"/>
      <c r="M896" s="6"/>
    </row>
    <row r="897" spans="12:13" ht="15.75" customHeight="1" x14ac:dyDescent="0.25">
      <c r="L897" s="6"/>
      <c r="M897" s="6"/>
    </row>
    <row r="898" spans="12:13" ht="15.75" customHeight="1" x14ac:dyDescent="0.25">
      <c r="L898" s="6"/>
      <c r="M898" s="6"/>
    </row>
    <row r="899" spans="12:13" ht="15.75" customHeight="1" x14ac:dyDescent="0.25">
      <c r="L899" s="6"/>
      <c r="M899" s="6"/>
    </row>
    <row r="900" spans="12:13" ht="15.75" customHeight="1" x14ac:dyDescent="0.25">
      <c r="L900" s="6"/>
      <c r="M900" s="6"/>
    </row>
    <row r="901" spans="12:13" ht="15.75" customHeight="1" x14ac:dyDescent="0.25">
      <c r="L901" s="6"/>
      <c r="M901" s="6"/>
    </row>
    <row r="902" spans="12:13" ht="15.75" customHeight="1" x14ac:dyDescent="0.25">
      <c r="L902" s="6"/>
      <c r="M902" s="6"/>
    </row>
    <row r="903" spans="12:13" ht="15.75" customHeight="1" x14ac:dyDescent="0.25">
      <c r="L903" s="6"/>
      <c r="M903" s="6"/>
    </row>
    <row r="904" spans="12:13" ht="15.75" customHeight="1" x14ac:dyDescent="0.25">
      <c r="L904" s="6"/>
      <c r="M904" s="6"/>
    </row>
    <row r="905" spans="12:13" ht="15.75" customHeight="1" x14ac:dyDescent="0.25">
      <c r="L905" s="6"/>
      <c r="M905" s="6"/>
    </row>
    <row r="906" spans="12:13" ht="15.75" customHeight="1" x14ac:dyDescent="0.25">
      <c r="L906" s="6"/>
      <c r="M906" s="6"/>
    </row>
    <row r="907" spans="12:13" ht="15.75" customHeight="1" x14ac:dyDescent="0.25">
      <c r="L907" s="6"/>
      <c r="M907" s="6"/>
    </row>
    <row r="908" spans="12:13" ht="15.75" customHeight="1" x14ac:dyDescent="0.25">
      <c r="L908" s="6"/>
      <c r="M908" s="6"/>
    </row>
    <row r="909" spans="12:13" ht="15.75" customHeight="1" x14ac:dyDescent="0.25">
      <c r="L909" s="6"/>
      <c r="M909" s="6"/>
    </row>
    <row r="910" spans="12:13" ht="15.75" customHeight="1" x14ac:dyDescent="0.25">
      <c r="L910" s="6"/>
      <c r="M910" s="6"/>
    </row>
    <row r="911" spans="12:13" ht="15.75" customHeight="1" x14ac:dyDescent="0.25">
      <c r="L911" s="6"/>
      <c r="M911" s="6"/>
    </row>
    <row r="912" spans="12:13" ht="15.75" customHeight="1" x14ac:dyDescent="0.25">
      <c r="L912" s="6"/>
      <c r="M912" s="6"/>
    </row>
    <row r="913" spans="12:13" ht="15.75" customHeight="1" x14ac:dyDescent="0.25">
      <c r="L913" s="6"/>
      <c r="M913" s="6"/>
    </row>
    <row r="914" spans="12:13" ht="15.75" customHeight="1" x14ac:dyDescent="0.25">
      <c r="L914" s="6"/>
      <c r="M914" s="6"/>
    </row>
    <row r="915" spans="12:13" ht="15.75" customHeight="1" x14ac:dyDescent="0.25">
      <c r="L915" s="6"/>
      <c r="M915" s="6"/>
    </row>
    <row r="916" spans="12:13" ht="15.75" customHeight="1" x14ac:dyDescent="0.25">
      <c r="L916" s="6"/>
      <c r="M916" s="6"/>
    </row>
    <row r="917" spans="12:13" ht="15.75" customHeight="1" x14ac:dyDescent="0.25">
      <c r="L917" s="6"/>
      <c r="M917" s="6"/>
    </row>
    <row r="918" spans="12:13" ht="15.75" customHeight="1" x14ac:dyDescent="0.25">
      <c r="L918" s="6"/>
      <c r="M918" s="6"/>
    </row>
    <row r="919" spans="12:13" ht="15.75" customHeight="1" x14ac:dyDescent="0.25">
      <c r="L919" s="6"/>
      <c r="M919" s="6"/>
    </row>
    <row r="920" spans="12:13" ht="15.75" customHeight="1" x14ac:dyDescent="0.25">
      <c r="L920" s="6"/>
      <c r="M920" s="6"/>
    </row>
    <row r="921" spans="12:13" ht="15.75" customHeight="1" x14ac:dyDescent="0.25">
      <c r="L921" s="6"/>
      <c r="M921" s="6"/>
    </row>
    <row r="922" spans="12:13" ht="15.75" customHeight="1" x14ac:dyDescent="0.25">
      <c r="L922" s="6"/>
      <c r="M922" s="6"/>
    </row>
    <row r="923" spans="12:13" ht="15.75" customHeight="1" x14ac:dyDescent="0.25">
      <c r="L923" s="6"/>
      <c r="M923" s="6"/>
    </row>
    <row r="924" spans="12:13" ht="15.75" customHeight="1" x14ac:dyDescent="0.25">
      <c r="L924" s="6"/>
      <c r="M924" s="6"/>
    </row>
    <row r="925" spans="12:13" ht="15.75" customHeight="1" x14ac:dyDescent="0.25">
      <c r="L925" s="6"/>
      <c r="M925" s="6"/>
    </row>
    <row r="926" spans="12:13" ht="15.75" customHeight="1" x14ac:dyDescent="0.25">
      <c r="L926" s="6"/>
      <c r="M926" s="6"/>
    </row>
    <row r="927" spans="12:13" ht="15.75" customHeight="1" x14ac:dyDescent="0.25">
      <c r="L927" s="6"/>
      <c r="M927" s="6"/>
    </row>
    <row r="928" spans="12:13" ht="15.75" customHeight="1" x14ac:dyDescent="0.25">
      <c r="L928" s="6"/>
      <c r="M928" s="6"/>
    </row>
    <row r="929" spans="12:13" ht="15.75" customHeight="1" x14ac:dyDescent="0.25">
      <c r="L929" s="6"/>
      <c r="M929" s="6"/>
    </row>
    <row r="930" spans="12:13" ht="15.75" customHeight="1" x14ac:dyDescent="0.25">
      <c r="L930" s="6"/>
      <c r="M930" s="6"/>
    </row>
    <row r="931" spans="12:13" ht="15.75" customHeight="1" x14ac:dyDescent="0.25">
      <c r="L931" s="6"/>
      <c r="M931" s="6"/>
    </row>
    <row r="932" spans="12:13" ht="15.75" customHeight="1" x14ac:dyDescent="0.25">
      <c r="L932" s="6"/>
      <c r="M932" s="6"/>
    </row>
    <row r="933" spans="12:13" ht="15.75" customHeight="1" x14ac:dyDescent="0.25">
      <c r="L933" s="6"/>
      <c r="M933" s="6"/>
    </row>
    <row r="934" spans="12:13" ht="15.75" customHeight="1" x14ac:dyDescent="0.25">
      <c r="L934" s="6"/>
      <c r="M934" s="6"/>
    </row>
    <row r="935" spans="12:13" ht="15.75" customHeight="1" x14ac:dyDescent="0.25">
      <c r="L935" s="6"/>
      <c r="M935" s="6"/>
    </row>
    <row r="936" spans="12:13" ht="15.75" customHeight="1" x14ac:dyDescent="0.25">
      <c r="L936" s="6"/>
      <c r="M936" s="6"/>
    </row>
    <row r="937" spans="12:13" ht="15.75" customHeight="1" x14ac:dyDescent="0.25">
      <c r="L937" s="6"/>
      <c r="M937" s="6"/>
    </row>
    <row r="938" spans="12:13" ht="15.75" customHeight="1" x14ac:dyDescent="0.25">
      <c r="L938" s="6"/>
      <c r="M938" s="6"/>
    </row>
    <row r="939" spans="12:13" ht="15.75" customHeight="1" x14ac:dyDescent="0.25">
      <c r="L939" s="6"/>
      <c r="M939" s="6"/>
    </row>
    <row r="940" spans="12:13" ht="15.75" customHeight="1" x14ac:dyDescent="0.25">
      <c r="L940" s="6"/>
      <c r="M940" s="6"/>
    </row>
    <row r="941" spans="12:13" ht="15.75" customHeight="1" x14ac:dyDescent="0.25">
      <c r="L941" s="6"/>
      <c r="M941" s="6"/>
    </row>
    <row r="942" spans="12:13" ht="15.75" customHeight="1" x14ac:dyDescent="0.25">
      <c r="L942" s="6"/>
      <c r="M942" s="6"/>
    </row>
    <row r="943" spans="12:13" ht="15.75" customHeight="1" x14ac:dyDescent="0.25">
      <c r="L943" s="6"/>
      <c r="M943" s="6"/>
    </row>
    <row r="944" spans="12:13" ht="15.75" customHeight="1" x14ac:dyDescent="0.25">
      <c r="L944" s="6"/>
      <c r="M944" s="6"/>
    </row>
    <row r="945" spans="12:13" ht="15.75" customHeight="1" x14ac:dyDescent="0.25">
      <c r="L945" s="6"/>
      <c r="M945" s="6"/>
    </row>
    <row r="946" spans="12:13" ht="15.75" customHeight="1" x14ac:dyDescent="0.25">
      <c r="L946" s="6"/>
      <c r="M946" s="6"/>
    </row>
    <row r="947" spans="12:13" ht="15.75" customHeight="1" x14ac:dyDescent="0.25">
      <c r="L947" s="6"/>
      <c r="M947" s="6"/>
    </row>
    <row r="948" spans="12:13" ht="15.75" customHeight="1" x14ac:dyDescent="0.25">
      <c r="L948" s="6"/>
      <c r="M948" s="6"/>
    </row>
    <row r="949" spans="12:13" ht="15.75" customHeight="1" x14ac:dyDescent="0.25">
      <c r="L949" s="6"/>
      <c r="M949" s="6"/>
    </row>
    <row r="950" spans="12:13" ht="15.75" customHeight="1" x14ac:dyDescent="0.25">
      <c r="L950" s="6"/>
      <c r="M950" s="6"/>
    </row>
    <row r="951" spans="12:13" ht="15.75" customHeight="1" x14ac:dyDescent="0.25">
      <c r="L951" s="6"/>
      <c r="M951" s="6"/>
    </row>
    <row r="952" spans="12:13" ht="15.75" customHeight="1" x14ac:dyDescent="0.25">
      <c r="L952" s="6"/>
      <c r="M952" s="6"/>
    </row>
    <row r="953" spans="12:13" ht="15.75" customHeight="1" x14ac:dyDescent="0.25">
      <c r="L953" s="6"/>
      <c r="M953" s="6"/>
    </row>
    <row r="954" spans="12:13" ht="15.75" customHeight="1" x14ac:dyDescent="0.25">
      <c r="L954" s="6"/>
      <c r="M954" s="6"/>
    </row>
    <row r="955" spans="12:13" ht="15.75" customHeight="1" x14ac:dyDescent="0.25">
      <c r="L955" s="6"/>
      <c r="M955" s="6"/>
    </row>
    <row r="956" spans="12:13" ht="15.75" customHeight="1" x14ac:dyDescent="0.25">
      <c r="L956" s="6"/>
      <c r="M956" s="6"/>
    </row>
    <row r="957" spans="12:13" ht="15.75" customHeight="1" x14ac:dyDescent="0.25">
      <c r="L957" s="6"/>
      <c r="M957" s="6"/>
    </row>
    <row r="958" spans="12:13" ht="15.75" customHeight="1" x14ac:dyDescent="0.25">
      <c r="L958" s="6"/>
      <c r="M958" s="6"/>
    </row>
    <row r="959" spans="12:13" ht="15.75" customHeight="1" x14ac:dyDescent="0.25">
      <c r="L959" s="6"/>
      <c r="M959" s="6"/>
    </row>
    <row r="960" spans="12:13" ht="15.75" customHeight="1" x14ac:dyDescent="0.25">
      <c r="L960" s="6"/>
      <c r="M960" s="6"/>
    </row>
    <row r="961" spans="12:13" ht="15.75" customHeight="1" x14ac:dyDescent="0.25">
      <c r="L961" s="6"/>
      <c r="M961" s="6"/>
    </row>
    <row r="962" spans="12:13" ht="15.75" customHeight="1" x14ac:dyDescent="0.25">
      <c r="L962" s="6"/>
      <c r="M962" s="6"/>
    </row>
    <row r="963" spans="12:13" ht="15.75" customHeight="1" x14ac:dyDescent="0.25">
      <c r="L963" s="6"/>
      <c r="M963" s="6"/>
    </row>
    <row r="964" spans="12:13" ht="15.75" customHeight="1" x14ac:dyDescent="0.25">
      <c r="L964" s="6"/>
      <c r="M964" s="6"/>
    </row>
    <row r="965" spans="12:13" ht="15.75" customHeight="1" x14ac:dyDescent="0.25">
      <c r="L965" s="6"/>
      <c r="M965" s="6"/>
    </row>
    <row r="966" spans="12:13" ht="15.75" customHeight="1" x14ac:dyDescent="0.25">
      <c r="L966" s="6"/>
      <c r="M966" s="6"/>
    </row>
    <row r="967" spans="12:13" ht="15.75" customHeight="1" x14ac:dyDescent="0.25">
      <c r="L967" s="6"/>
      <c r="M967" s="6"/>
    </row>
    <row r="968" spans="12:13" ht="15.75" customHeight="1" x14ac:dyDescent="0.25">
      <c r="L968" s="6"/>
      <c r="M968" s="6"/>
    </row>
    <row r="969" spans="12:13" ht="15.75" customHeight="1" x14ac:dyDescent="0.25">
      <c r="L969" s="6"/>
      <c r="M969" s="6"/>
    </row>
    <row r="970" spans="12:13" ht="15.75" customHeight="1" x14ac:dyDescent="0.25">
      <c r="L970" s="6"/>
      <c r="M970" s="6"/>
    </row>
    <row r="971" spans="12:13" ht="15.75" customHeight="1" x14ac:dyDescent="0.25">
      <c r="L971" s="6"/>
      <c r="M971" s="6"/>
    </row>
    <row r="972" spans="12:13" ht="15.75" customHeight="1" x14ac:dyDescent="0.25">
      <c r="L972" s="6"/>
      <c r="M972" s="6"/>
    </row>
    <row r="973" spans="12:13" ht="15.75" customHeight="1" x14ac:dyDescent="0.25">
      <c r="L973" s="6"/>
      <c r="M973" s="6"/>
    </row>
    <row r="974" spans="12:13" ht="15.75" customHeight="1" x14ac:dyDescent="0.25">
      <c r="L974" s="6"/>
      <c r="M974" s="6"/>
    </row>
    <row r="975" spans="12:13" ht="15.75" customHeight="1" x14ac:dyDescent="0.25">
      <c r="L975" s="6"/>
      <c r="M975" s="6"/>
    </row>
    <row r="976" spans="12:13" ht="15.75" customHeight="1" x14ac:dyDescent="0.25">
      <c r="L976" s="6"/>
      <c r="M976" s="6"/>
    </row>
    <row r="977" spans="12:13" ht="15.75" customHeight="1" x14ac:dyDescent="0.25">
      <c r="L977" s="6"/>
      <c r="M977" s="6"/>
    </row>
    <row r="978" spans="12:13" ht="15.75" customHeight="1" x14ac:dyDescent="0.25">
      <c r="L978" s="6"/>
      <c r="M978" s="6"/>
    </row>
    <row r="979" spans="12:13" ht="15.75" customHeight="1" x14ac:dyDescent="0.25">
      <c r="L979" s="6"/>
      <c r="M979" s="6"/>
    </row>
    <row r="980" spans="12:13" ht="15.75" customHeight="1" x14ac:dyDescent="0.25">
      <c r="L980" s="6"/>
      <c r="M980" s="6"/>
    </row>
    <row r="981" spans="12:13" ht="15.75" customHeight="1" x14ac:dyDescent="0.25">
      <c r="L981" s="6"/>
      <c r="M981" s="6"/>
    </row>
    <row r="982" spans="12:13" ht="15.75" customHeight="1" x14ac:dyDescent="0.25">
      <c r="L982" s="6"/>
      <c r="M982" s="6"/>
    </row>
    <row r="983" spans="12:13" ht="15.75" customHeight="1" x14ac:dyDescent="0.25">
      <c r="L983" s="6"/>
      <c r="M983" s="6"/>
    </row>
    <row r="984" spans="12:13" ht="15.75" customHeight="1" x14ac:dyDescent="0.25">
      <c r="L984" s="6"/>
      <c r="M984" s="6"/>
    </row>
    <row r="985" spans="12:13" ht="15.75" customHeight="1" x14ac:dyDescent="0.25">
      <c r="L985" s="6"/>
      <c r="M985" s="6"/>
    </row>
    <row r="986" spans="12:13" ht="15.75" customHeight="1" x14ac:dyDescent="0.25">
      <c r="L986" s="6"/>
      <c r="M986" s="6"/>
    </row>
    <row r="987" spans="12:13" ht="15.75" customHeight="1" x14ac:dyDescent="0.25">
      <c r="L987" s="6"/>
      <c r="M987" s="6"/>
    </row>
    <row r="988" spans="12:13" ht="15.75" customHeight="1" x14ac:dyDescent="0.25">
      <c r="L988" s="6"/>
      <c r="M988" s="6"/>
    </row>
    <row r="989" spans="12:13" ht="15.75" customHeight="1" x14ac:dyDescent="0.25">
      <c r="L989" s="6"/>
      <c r="M989" s="6"/>
    </row>
    <row r="990" spans="12:13" ht="15.75" customHeight="1" x14ac:dyDescent="0.25">
      <c r="L990" s="6"/>
      <c r="M990" s="6"/>
    </row>
    <row r="991" spans="12:13" ht="15.75" customHeight="1" x14ac:dyDescent="0.25">
      <c r="L991" s="6"/>
      <c r="M991" s="6"/>
    </row>
    <row r="992" spans="12:13" ht="15.75" customHeight="1" x14ac:dyDescent="0.25">
      <c r="L992" s="6"/>
      <c r="M992" s="6"/>
    </row>
    <row r="993" spans="12:13" ht="15.75" customHeight="1" x14ac:dyDescent="0.25">
      <c r="L993" s="6"/>
      <c r="M993" s="6"/>
    </row>
    <row r="994" spans="12:13" ht="15.75" customHeight="1" x14ac:dyDescent="0.25">
      <c r="L994" s="6"/>
      <c r="M994" s="6"/>
    </row>
    <row r="995" spans="12:13" ht="15.75" customHeight="1" x14ac:dyDescent="0.25">
      <c r="L995" s="6"/>
      <c r="M995" s="6"/>
    </row>
    <row r="996" spans="12:13" ht="15.75" customHeight="1" x14ac:dyDescent="0.25">
      <c r="L996" s="6"/>
      <c r="M996" s="6"/>
    </row>
    <row r="997" spans="12:13" ht="15.75" customHeight="1" x14ac:dyDescent="0.25">
      <c r="L997" s="6"/>
      <c r="M997" s="6"/>
    </row>
    <row r="998" spans="12:13" ht="15.75" customHeight="1" x14ac:dyDescent="0.25">
      <c r="L998" s="6"/>
      <c r="M998" s="6"/>
    </row>
    <row r="999" spans="12:13" ht="15.75" customHeight="1" x14ac:dyDescent="0.25">
      <c r="L999" s="6"/>
      <c r="M999" s="6"/>
    </row>
    <row r="1000" spans="12:13" ht="15.75" customHeight="1" x14ac:dyDescent="0.25">
      <c r="L1000" s="6"/>
      <c r="M1000" s="6"/>
    </row>
  </sheetData>
  <mergeCells count="472">
    <mergeCell ref="B248:K248"/>
    <mergeCell ref="B249:F249"/>
    <mergeCell ref="I249:J249"/>
    <mergeCell ref="I250:J250"/>
    <mergeCell ref="I253:J253"/>
    <mergeCell ref="I254:J254"/>
    <mergeCell ref="B250:F250"/>
    <mergeCell ref="B251:F251"/>
    <mergeCell ref="I251:J251"/>
    <mergeCell ref="B252:F252"/>
    <mergeCell ref="I252:J252"/>
    <mergeCell ref="B253:F253"/>
    <mergeCell ref="B254:F254"/>
    <mergeCell ref="B242:F242"/>
    <mergeCell ref="I242:J242"/>
    <mergeCell ref="B243:F243"/>
    <mergeCell ref="I243:J243"/>
    <mergeCell ref="B244:F244"/>
    <mergeCell ref="I244:J244"/>
    <mergeCell ref="I245:J245"/>
    <mergeCell ref="B245:F245"/>
    <mergeCell ref="B246:F246"/>
    <mergeCell ref="I246:J246"/>
    <mergeCell ref="B235:F235"/>
    <mergeCell ref="I235:J235"/>
    <mergeCell ref="B236:F236"/>
    <mergeCell ref="I236:J236"/>
    <mergeCell ref="I237:J237"/>
    <mergeCell ref="I240:J240"/>
    <mergeCell ref="I241:J241"/>
    <mergeCell ref="B237:F237"/>
    <mergeCell ref="B238:F238"/>
    <mergeCell ref="I238:J238"/>
    <mergeCell ref="B239:F239"/>
    <mergeCell ref="I239:J239"/>
    <mergeCell ref="B240:F240"/>
    <mergeCell ref="B241:F241"/>
    <mergeCell ref="B229:F229"/>
    <mergeCell ref="I229:J229"/>
    <mergeCell ref="B230:F230"/>
    <mergeCell ref="I230:J230"/>
    <mergeCell ref="B231:F231"/>
    <mergeCell ref="I231:J231"/>
    <mergeCell ref="B233:K233"/>
    <mergeCell ref="B234:F234"/>
    <mergeCell ref="I234:J234"/>
    <mergeCell ref="B221:F221"/>
    <mergeCell ref="I221:J221"/>
    <mergeCell ref="B222:F222"/>
    <mergeCell ref="I222:J222"/>
    <mergeCell ref="B223:F223"/>
    <mergeCell ref="I223:J223"/>
    <mergeCell ref="I224:J224"/>
    <mergeCell ref="I227:J227"/>
    <mergeCell ref="I228:J228"/>
    <mergeCell ref="B224:F224"/>
    <mergeCell ref="B225:F225"/>
    <mergeCell ref="I225:J225"/>
    <mergeCell ref="B226:F226"/>
    <mergeCell ref="I226:J226"/>
    <mergeCell ref="B227:F227"/>
    <mergeCell ref="B228:F228"/>
    <mergeCell ref="B206:F206"/>
    <mergeCell ref="I206:J206"/>
    <mergeCell ref="B207:F207"/>
    <mergeCell ref="I207:J207"/>
    <mergeCell ref="I208:J208"/>
    <mergeCell ref="I219:J219"/>
    <mergeCell ref="I220:J220"/>
    <mergeCell ref="B208:F208"/>
    <mergeCell ref="B209:K211"/>
    <mergeCell ref="B213:J213"/>
    <mergeCell ref="B214:J214"/>
    <mergeCell ref="B216:K216"/>
    <mergeCell ref="B218:K218"/>
    <mergeCell ref="B220:F220"/>
    <mergeCell ref="B200:F200"/>
    <mergeCell ref="I200:J200"/>
    <mergeCell ref="B201:F201"/>
    <mergeCell ref="I201:J201"/>
    <mergeCell ref="B202:F202"/>
    <mergeCell ref="I202:J202"/>
    <mergeCell ref="I203:J203"/>
    <mergeCell ref="B203:F203"/>
    <mergeCell ref="B205:K205"/>
    <mergeCell ref="B192:F192"/>
    <mergeCell ref="I192:J192"/>
    <mergeCell ref="B194:K194"/>
    <mergeCell ref="I195:J195"/>
    <mergeCell ref="I198:J198"/>
    <mergeCell ref="I199:J199"/>
    <mergeCell ref="B195:F195"/>
    <mergeCell ref="B196:F196"/>
    <mergeCell ref="I196:J196"/>
    <mergeCell ref="B197:F197"/>
    <mergeCell ref="I197:J197"/>
    <mergeCell ref="B198:F198"/>
    <mergeCell ref="B199:F199"/>
    <mergeCell ref="B187:F187"/>
    <mergeCell ref="I187:J187"/>
    <mergeCell ref="B188:F188"/>
    <mergeCell ref="I188:J188"/>
    <mergeCell ref="B189:F189"/>
    <mergeCell ref="I189:J189"/>
    <mergeCell ref="I190:J190"/>
    <mergeCell ref="B190:F190"/>
    <mergeCell ref="B191:F191"/>
    <mergeCell ref="I191:J191"/>
    <mergeCell ref="B177:F177"/>
    <mergeCell ref="I177:J177"/>
    <mergeCell ref="B178:F178"/>
    <mergeCell ref="I178:J178"/>
    <mergeCell ref="B179:F179"/>
    <mergeCell ref="I179:J179"/>
    <mergeCell ref="B180:K180"/>
    <mergeCell ref="I185:J185"/>
    <mergeCell ref="I186:J186"/>
    <mergeCell ref="B182:K182"/>
    <mergeCell ref="B183:F183"/>
    <mergeCell ref="I183:J183"/>
    <mergeCell ref="B184:F184"/>
    <mergeCell ref="I184:J184"/>
    <mergeCell ref="B185:F185"/>
    <mergeCell ref="B186:F186"/>
    <mergeCell ref="I175:J175"/>
    <mergeCell ref="I176:J176"/>
    <mergeCell ref="B171:F171"/>
    <mergeCell ref="I171:J171"/>
    <mergeCell ref="B173:K173"/>
    <mergeCell ref="B174:F174"/>
    <mergeCell ref="I174:J174"/>
    <mergeCell ref="B175:F175"/>
    <mergeCell ref="B176:F176"/>
    <mergeCell ref="B168:F168"/>
    <mergeCell ref="I168:J168"/>
    <mergeCell ref="B169:F169"/>
    <mergeCell ref="I169:J169"/>
    <mergeCell ref="B170:F170"/>
    <mergeCell ref="I170:J170"/>
    <mergeCell ref="B160:K162"/>
    <mergeCell ref="B164:K164"/>
    <mergeCell ref="M164:M171"/>
    <mergeCell ref="B165:F165"/>
    <mergeCell ref="I165:J165"/>
    <mergeCell ref="B166:F166"/>
    <mergeCell ref="B167:F167"/>
    <mergeCell ref="C125:H125"/>
    <mergeCell ref="I125:J125"/>
    <mergeCell ref="C126:H126"/>
    <mergeCell ref="I126:J126"/>
    <mergeCell ref="B129:K129"/>
    <mergeCell ref="I138:J138"/>
    <mergeCell ref="I139:J139"/>
    <mergeCell ref="I166:J166"/>
    <mergeCell ref="I167:J167"/>
    <mergeCell ref="C120:H120"/>
    <mergeCell ref="C121:H121"/>
    <mergeCell ref="I121:J121"/>
    <mergeCell ref="C122:H122"/>
    <mergeCell ref="I122:J122"/>
    <mergeCell ref="C123:H123"/>
    <mergeCell ref="I123:J123"/>
    <mergeCell ref="C124:H124"/>
    <mergeCell ref="I124:J124"/>
    <mergeCell ref="B147:F147"/>
    <mergeCell ref="I147:J147"/>
    <mergeCell ref="I148:J148"/>
    <mergeCell ref="C110:H110"/>
    <mergeCell ref="I110:J110"/>
    <mergeCell ref="C111:H111"/>
    <mergeCell ref="I111:J111"/>
    <mergeCell ref="C112:H112"/>
    <mergeCell ref="I112:J112"/>
    <mergeCell ref="I113:J113"/>
    <mergeCell ref="C113:H113"/>
    <mergeCell ref="C114:H114"/>
    <mergeCell ref="I114:J114"/>
    <mergeCell ref="C115:H115"/>
    <mergeCell ref="I115:J115"/>
    <mergeCell ref="C116:H116"/>
    <mergeCell ref="I116:J116"/>
    <mergeCell ref="C117:H117"/>
    <mergeCell ref="I117:J117"/>
    <mergeCell ref="C118:H118"/>
    <mergeCell ref="I118:J118"/>
    <mergeCell ref="C119:H119"/>
    <mergeCell ref="I119:J119"/>
    <mergeCell ref="I120:J120"/>
    <mergeCell ref="B271:F271"/>
    <mergeCell ref="I271:J271"/>
    <mergeCell ref="B272:F272"/>
    <mergeCell ref="I272:J272"/>
    <mergeCell ref="B273:F273"/>
    <mergeCell ref="I273:J273"/>
    <mergeCell ref="I274:J274"/>
    <mergeCell ref="B291:F291"/>
    <mergeCell ref="B292:F292"/>
    <mergeCell ref="I292:J292"/>
    <mergeCell ref="B274:F274"/>
    <mergeCell ref="B275:F275"/>
    <mergeCell ref="I275:J275"/>
    <mergeCell ref="B276:F276"/>
    <mergeCell ref="I276:J276"/>
    <mergeCell ref="B278:K278"/>
    <mergeCell ref="I279:J279"/>
    <mergeCell ref="B279:F279"/>
    <mergeCell ref="B280:F280"/>
    <mergeCell ref="I280:J280"/>
    <mergeCell ref="B281:F281"/>
    <mergeCell ref="I281:J281"/>
    <mergeCell ref="B282:F282"/>
    <mergeCell ref="B283:F283"/>
    <mergeCell ref="I263:J263"/>
    <mergeCell ref="B264:K264"/>
    <mergeCell ref="I269:J269"/>
    <mergeCell ref="I270:J270"/>
    <mergeCell ref="B266:K266"/>
    <mergeCell ref="B267:F267"/>
    <mergeCell ref="I267:J267"/>
    <mergeCell ref="B268:F268"/>
    <mergeCell ref="I268:J268"/>
    <mergeCell ref="B269:F269"/>
    <mergeCell ref="B270:F270"/>
    <mergeCell ref="I323:J323"/>
    <mergeCell ref="I324:J324"/>
    <mergeCell ref="B325:J325"/>
    <mergeCell ref="B328:J328"/>
    <mergeCell ref="B332:J332"/>
    <mergeCell ref="B314:J314"/>
    <mergeCell ref="B317:J317"/>
    <mergeCell ref="B320:K320"/>
    <mergeCell ref="C322:G322"/>
    <mergeCell ref="I322:J322"/>
    <mergeCell ref="C323:G323"/>
    <mergeCell ref="C324:G324"/>
    <mergeCell ref="I308:J308"/>
    <mergeCell ref="I309:J309"/>
    <mergeCell ref="I310:J310"/>
    <mergeCell ref="I311:J311"/>
    <mergeCell ref="I312:J312"/>
    <mergeCell ref="I313:J313"/>
    <mergeCell ref="C303:F303"/>
    <mergeCell ref="I303:J303"/>
    <mergeCell ref="C304:F304"/>
    <mergeCell ref="I304:J304"/>
    <mergeCell ref="C305:F305"/>
    <mergeCell ref="I305:J305"/>
    <mergeCell ref="I306:J306"/>
    <mergeCell ref="C306:F306"/>
    <mergeCell ref="C307:F307"/>
    <mergeCell ref="C308:F308"/>
    <mergeCell ref="C309:F309"/>
    <mergeCell ref="C310:F310"/>
    <mergeCell ref="C311:F311"/>
    <mergeCell ref="C312:F312"/>
    <mergeCell ref="I286:J286"/>
    <mergeCell ref="B286:F286"/>
    <mergeCell ref="B287:F287"/>
    <mergeCell ref="I287:J287"/>
    <mergeCell ref="B289:K289"/>
    <mergeCell ref="B290:F290"/>
    <mergeCell ref="I290:J290"/>
    <mergeCell ref="I291:J291"/>
    <mergeCell ref="I307:J307"/>
    <mergeCell ref="B294:J294"/>
    <mergeCell ref="B295:J295"/>
    <mergeCell ref="B298:J298"/>
    <mergeCell ref="B301:K301"/>
    <mergeCell ref="B158:F158"/>
    <mergeCell ref="I158:J158"/>
    <mergeCell ref="B159:F159"/>
    <mergeCell ref="I159:J159"/>
    <mergeCell ref="I282:J282"/>
    <mergeCell ref="I283:J283"/>
    <mergeCell ref="B284:F284"/>
    <mergeCell ref="I284:J284"/>
    <mergeCell ref="B285:F285"/>
    <mergeCell ref="I285:J285"/>
    <mergeCell ref="I259:J259"/>
    <mergeCell ref="I260:J260"/>
    <mergeCell ref="B255:F255"/>
    <mergeCell ref="I255:J255"/>
    <mergeCell ref="B257:K257"/>
    <mergeCell ref="B258:F258"/>
    <mergeCell ref="I258:J258"/>
    <mergeCell ref="B259:F259"/>
    <mergeCell ref="B260:F260"/>
    <mergeCell ref="B261:F261"/>
    <mergeCell ref="I261:J261"/>
    <mergeCell ref="B262:F262"/>
    <mergeCell ref="I262:J262"/>
    <mergeCell ref="B263:F263"/>
    <mergeCell ref="B153:F153"/>
    <mergeCell ref="I153:J153"/>
    <mergeCell ref="B154:F154"/>
    <mergeCell ref="I154:J154"/>
    <mergeCell ref="B155:F155"/>
    <mergeCell ref="I155:J155"/>
    <mergeCell ref="I156:J156"/>
    <mergeCell ref="B156:F156"/>
    <mergeCell ref="B157:F157"/>
    <mergeCell ref="I157:J157"/>
    <mergeCell ref="B137:F137"/>
    <mergeCell ref="I137:J137"/>
    <mergeCell ref="B138:F138"/>
    <mergeCell ref="B139:F139"/>
    <mergeCell ref="I151:J151"/>
    <mergeCell ref="I152:J152"/>
    <mergeCell ref="B148:F148"/>
    <mergeCell ref="B149:F149"/>
    <mergeCell ref="I149:J149"/>
    <mergeCell ref="B150:F150"/>
    <mergeCell ref="I150:J150"/>
    <mergeCell ref="B151:F151"/>
    <mergeCell ref="B152:F152"/>
    <mergeCell ref="B140:F140"/>
    <mergeCell ref="I140:J140"/>
    <mergeCell ref="B141:F141"/>
    <mergeCell ref="I141:J141"/>
    <mergeCell ref="B142:F142"/>
    <mergeCell ref="I142:J142"/>
    <mergeCell ref="I143:J143"/>
    <mergeCell ref="B143:F143"/>
    <mergeCell ref="B144:F144"/>
    <mergeCell ref="I144:J144"/>
    <mergeCell ref="B146:K146"/>
    <mergeCell ref="B131:K131"/>
    <mergeCell ref="I132:J132"/>
    <mergeCell ref="B133:F133"/>
    <mergeCell ref="I133:J133"/>
    <mergeCell ref="B134:F134"/>
    <mergeCell ref="I134:J134"/>
    <mergeCell ref="I135:J135"/>
    <mergeCell ref="B135:F135"/>
    <mergeCell ref="B136:F136"/>
    <mergeCell ref="I136:J136"/>
    <mergeCell ref="I100:J100"/>
    <mergeCell ref="I101:J101"/>
    <mergeCell ref="B102:F102"/>
    <mergeCell ref="I102:J102"/>
    <mergeCell ref="B103:J103"/>
    <mergeCell ref="B106:K106"/>
    <mergeCell ref="B108:K108"/>
    <mergeCell ref="C109:H109"/>
    <mergeCell ref="I109:J109"/>
    <mergeCell ref="B100:F100"/>
    <mergeCell ref="B101:F101"/>
    <mergeCell ref="B80:F80"/>
    <mergeCell ref="I80:J80"/>
    <mergeCell ref="B81:F81"/>
    <mergeCell ref="I81:J81"/>
    <mergeCell ref="B82:F82"/>
    <mergeCell ref="I82:J82"/>
    <mergeCell ref="I83:J83"/>
    <mergeCell ref="I86:J86"/>
    <mergeCell ref="I87:J87"/>
    <mergeCell ref="B83:F83"/>
    <mergeCell ref="B84:F84"/>
    <mergeCell ref="I84:J84"/>
    <mergeCell ref="B85:F85"/>
    <mergeCell ref="I85:J85"/>
    <mergeCell ref="B86:F86"/>
    <mergeCell ref="B87:F87"/>
    <mergeCell ref="I92:J92"/>
    <mergeCell ref="I93:J93"/>
    <mergeCell ref="B88:F88"/>
    <mergeCell ref="I88:J88"/>
    <mergeCell ref="B90:K90"/>
    <mergeCell ref="B91:F91"/>
    <mergeCell ref="B95:F95"/>
    <mergeCell ref="I95:J95"/>
    <mergeCell ref="B96:F96"/>
    <mergeCell ref="I96:J96"/>
    <mergeCell ref="I97:J97"/>
    <mergeCell ref="B97:F97"/>
    <mergeCell ref="B98:F98"/>
    <mergeCell ref="I98:J98"/>
    <mergeCell ref="B99:F99"/>
    <mergeCell ref="I99:J99"/>
    <mergeCell ref="I79:J79"/>
    <mergeCell ref="B75:F75"/>
    <mergeCell ref="B76:F76"/>
    <mergeCell ref="I76:J76"/>
    <mergeCell ref="B77:F77"/>
    <mergeCell ref="I77:J77"/>
    <mergeCell ref="B78:F78"/>
    <mergeCell ref="B79:F79"/>
    <mergeCell ref="B94:F94"/>
    <mergeCell ref="I94:J94"/>
    <mergeCell ref="I91:J91"/>
    <mergeCell ref="B92:F92"/>
    <mergeCell ref="B93:F93"/>
    <mergeCell ref="B65:J65"/>
    <mergeCell ref="B66:H66"/>
    <mergeCell ref="B68:J68"/>
    <mergeCell ref="B71:K71"/>
    <mergeCell ref="B73:K73"/>
    <mergeCell ref="B74:F74"/>
    <mergeCell ref="I74:J74"/>
    <mergeCell ref="I75:J75"/>
    <mergeCell ref="I78:J78"/>
    <mergeCell ref="C56:I56"/>
    <mergeCell ref="C57:I57"/>
    <mergeCell ref="C58:I58"/>
    <mergeCell ref="C59:I59"/>
    <mergeCell ref="C60:G60"/>
    <mergeCell ref="C61:G61"/>
    <mergeCell ref="C62:G62"/>
    <mergeCell ref="C63:G63"/>
    <mergeCell ref="C64:I64"/>
    <mergeCell ref="B44:J44"/>
    <mergeCell ref="B45:H45"/>
    <mergeCell ref="B47:K47"/>
    <mergeCell ref="C48:G48"/>
    <mergeCell ref="C49:G49"/>
    <mergeCell ref="C52:G52"/>
    <mergeCell ref="C53:I53"/>
    <mergeCell ref="C54:I54"/>
    <mergeCell ref="C55:I55"/>
    <mergeCell ref="C35:I35"/>
    <mergeCell ref="C36:I36"/>
    <mergeCell ref="C37:I37"/>
    <mergeCell ref="C38:G38"/>
    <mergeCell ref="C39:G39"/>
    <mergeCell ref="C40:G40"/>
    <mergeCell ref="C41:G41"/>
    <mergeCell ref="C42:G42"/>
    <mergeCell ref="C43:I43"/>
    <mergeCell ref="B24:K24"/>
    <mergeCell ref="B25:K25"/>
    <mergeCell ref="C26:G26"/>
    <mergeCell ref="C27:G27"/>
    <mergeCell ref="C30:G30"/>
    <mergeCell ref="C31:I31"/>
    <mergeCell ref="C32:I32"/>
    <mergeCell ref="C33:I33"/>
    <mergeCell ref="C34:I34"/>
    <mergeCell ref="C17:G17"/>
    <mergeCell ref="I17:J17"/>
    <mergeCell ref="C18:G18"/>
    <mergeCell ref="I18:J18"/>
    <mergeCell ref="B19:J19"/>
    <mergeCell ref="B20:J20"/>
    <mergeCell ref="B21:G21"/>
    <mergeCell ref="I21:J21"/>
    <mergeCell ref="B23:K23"/>
    <mergeCell ref="C12:G12"/>
    <mergeCell ref="I12:J12"/>
    <mergeCell ref="C13:G13"/>
    <mergeCell ref="I13:J13"/>
    <mergeCell ref="C14:G14"/>
    <mergeCell ref="I14:J14"/>
    <mergeCell ref="I15:J15"/>
    <mergeCell ref="C15:G15"/>
    <mergeCell ref="C16:G16"/>
    <mergeCell ref="I16:J16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</mergeCell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000"/>
  <sheetViews>
    <sheetView workbookViewId="0"/>
  </sheetViews>
  <sheetFormatPr defaultColWidth="14.42578125" defaultRowHeight="15" customHeight="1" x14ac:dyDescent="0.25"/>
  <cols>
    <col min="1" max="10" width="13.42578125" customWidth="1"/>
    <col min="11" max="11" width="18.5703125" customWidth="1"/>
    <col min="12" max="12" width="13.42578125" customWidth="1"/>
    <col min="13" max="13" width="23.28515625" customWidth="1"/>
    <col min="14" max="26" width="13.42578125" customWidth="1"/>
  </cols>
  <sheetData>
    <row r="1" spans="1:15" ht="16.5" customHeight="1" x14ac:dyDescent="0.25">
      <c r="A1" s="5"/>
      <c r="B1" s="7"/>
      <c r="C1" s="7"/>
      <c r="D1" s="7"/>
      <c r="E1" s="7"/>
      <c r="F1" s="7"/>
      <c r="G1" s="7"/>
      <c r="H1" s="7"/>
      <c r="I1" s="7"/>
      <c r="J1" s="7"/>
      <c r="K1" s="10"/>
      <c r="L1" s="6"/>
      <c r="M1" s="6"/>
      <c r="N1" s="8"/>
      <c r="O1" s="8"/>
    </row>
    <row r="2" spans="1:15" ht="16.5" customHeight="1" x14ac:dyDescent="0.25">
      <c r="A2" s="7"/>
      <c r="B2" s="696" t="s">
        <v>689</v>
      </c>
      <c r="C2" s="532"/>
      <c r="D2" s="532"/>
      <c r="E2" s="532"/>
      <c r="F2" s="532"/>
      <c r="G2" s="532"/>
      <c r="H2" s="532"/>
      <c r="I2" s="532"/>
      <c r="J2" s="532"/>
      <c r="K2" s="533"/>
      <c r="L2" s="6"/>
      <c r="M2" s="6"/>
      <c r="N2" s="8"/>
      <c r="O2" s="8"/>
    </row>
    <row r="3" spans="1:15" ht="16.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10"/>
      <c r="L3" s="6"/>
      <c r="M3" s="6"/>
      <c r="N3" s="8"/>
      <c r="O3" s="8"/>
    </row>
    <row r="4" spans="1:15" ht="16.5" customHeight="1" x14ac:dyDescent="0.25">
      <c r="A4" s="7"/>
      <c r="B4" s="697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6"/>
      <c r="N4" s="8"/>
      <c r="O4" s="8"/>
    </row>
    <row r="5" spans="1:15" ht="16.5" customHeight="1" x14ac:dyDescent="0.25">
      <c r="A5" s="7"/>
      <c r="B5" s="586" t="s">
        <v>31</v>
      </c>
      <c r="C5" s="537"/>
      <c r="D5" s="537"/>
      <c r="E5" s="537"/>
      <c r="F5" s="537"/>
      <c r="G5" s="538"/>
      <c r="H5" s="20" t="s">
        <v>32</v>
      </c>
      <c r="I5" s="698" t="s">
        <v>33</v>
      </c>
      <c r="J5" s="538"/>
      <c r="K5" s="22" t="s">
        <v>34</v>
      </c>
      <c r="L5" s="6"/>
      <c r="M5" s="64"/>
      <c r="N5" s="8"/>
      <c r="O5" s="8"/>
    </row>
    <row r="6" spans="1:15" ht="16.5" customHeight="1" x14ac:dyDescent="0.25">
      <c r="A6" s="10"/>
      <c r="B6" s="24" t="s">
        <v>39</v>
      </c>
      <c r="C6" s="699" t="s">
        <v>40</v>
      </c>
      <c r="D6" s="537"/>
      <c r="E6" s="537"/>
      <c r="F6" s="537"/>
      <c r="G6" s="538"/>
      <c r="H6" s="28">
        <f>SUM(H7)</f>
        <v>1</v>
      </c>
      <c r="I6" s="700"/>
      <c r="J6" s="538"/>
      <c r="K6" s="32">
        <f>SUM(K7)</f>
        <v>12578.929312692355</v>
      </c>
      <c r="L6" s="6"/>
      <c r="M6" s="6"/>
      <c r="N6" s="8"/>
      <c r="O6" s="8"/>
    </row>
    <row r="7" spans="1:15" ht="16.5" customHeight="1" x14ac:dyDescent="0.25">
      <c r="A7" s="10"/>
      <c r="B7" s="33" t="s">
        <v>53</v>
      </c>
      <c r="C7" s="702" t="s">
        <v>54</v>
      </c>
      <c r="D7" s="537"/>
      <c r="E7" s="537"/>
      <c r="F7" s="537"/>
      <c r="G7" s="538"/>
      <c r="H7" s="72">
        <v>1</v>
      </c>
      <c r="I7" s="701">
        <f>K31</f>
        <v>12578.929312692355</v>
      </c>
      <c r="J7" s="538"/>
      <c r="K7" s="42">
        <f>I7*H7</f>
        <v>12578.929312692355</v>
      </c>
      <c r="L7" s="6"/>
      <c r="M7" s="6"/>
      <c r="N7" s="8"/>
      <c r="O7" s="8"/>
    </row>
    <row r="8" spans="1:15" ht="16.5" customHeight="1" x14ac:dyDescent="0.25">
      <c r="A8" s="10"/>
      <c r="B8" s="24" t="s">
        <v>106</v>
      </c>
      <c r="C8" s="700" t="s">
        <v>58</v>
      </c>
      <c r="D8" s="537"/>
      <c r="E8" s="537"/>
      <c r="F8" s="537"/>
      <c r="G8" s="538"/>
      <c r="H8" s="28">
        <f>SUM(H9)</f>
        <v>1</v>
      </c>
      <c r="I8" s="704"/>
      <c r="J8" s="538"/>
      <c r="K8" s="32">
        <f>SUM(K9)</f>
        <v>22.152222222222221</v>
      </c>
      <c r="L8" s="6"/>
      <c r="M8" s="6"/>
      <c r="N8" s="8"/>
      <c r="O8" s="8"/>
    </row>
    <row r="9" spans="1:15" ht="16.5" customHeight="1" x14ac:dyDescent="0.25">
      <c r="A9" s="10"/>
      <c r="B9" s="52" t="s">
        <v>109</v>
      </c>
      <c r="C9" s="702" t="s">
        <v>693</v>
      </c>
      <c r="D9" s="537"/>
      <c r="E9" s="537"/>
      <c r="F9" s="537"/>
      <c r="G9" s="538"/>
      <c r="H9" s="36">
        <f>H7</f>
        <v>1</v>
      </c>
      <c r="I9" s="701">
        <f>K45</f>
        <v>22.152222222222221</v>
      </c>
      <c r="J9" s="538"/>
      <c r="K9" s="57">
        <f>I9*H9</f>
        <v>22.152222222222221</v>
      </c>
      <c r="L9" s="6"/>
      <c r="M9" s="6"/>
      <c r="N9" s="8"/>
      <c r="O9" s="8"/>
    </row>
    <row r="10" spans="1:15" ht="16.5" customHeight="1" x14ac:dyDescent="0.25">
      <c r="A10" s="10"/>
      <c r="B10" s="24" t="s">
        <v>140</v>
      </c>
      <c r="C10" s="700" t="s">
        <v>96</v>
      </c>
      <c r="D10" s="537"/>
      <c r="E10" s="537"/>
      <c r="F10" s="537"/>
      <c r="G10" s="538"/>
      <c r="H10" s="28">
        <v>1</v>
      </c>
      <c r="I10" s="706"/>
      <c r="J10" s="538"/>
      <c r="K10" s="32">
        <f>K57</f>
        <v>8000</v>
      </c>
      <c r="L10" s="6"/>
      <c r="M10" s="6"/>
      <c r="N10" s="8"/>
      <c r="O10" s="8"/>
    </row>
    <row r="11" spans="1:15" ht="16.5" customHeight="1" x14ac:dyDescent="0.25">
      <c r="A11" s="10"/>
      <c r="B11" s="24" t="s">
        <v>143</v>
      </c>
      <c r="C11" s="700" t="s">
        <v>102</v>
      </c>
      <c r="D11" s="537"/>
      <c r="E11" s="537"/>
      <c r="F11" s="537"/>
      <c r="G11" s="538"/>
      <c r="H11" s="28">
        <v>1</v>
      </c>
      <c r="I11" s="706"/>
      <c r="J11" s="538"/>
      <c r="K11" s="32">
        <f>K65</f>
        <v>5704.4176389720169</v>
      </c>
      <c r="L11" s="6"/>
      <c r="M11" s="6"/>
      <c r="N11" s="8"/>
      <c r="O11" s="8"/>
    </row>
    <row r="12" spans="1:15" ht="16.5" customHeight="1" x14ac:dyDescent="0.25">
      <c r="A12" s="7"/>
      <c r="B12" s="708" t="s">
        <v>144</v>
      </c>
      <c r="C12" s="564"/>
      <c r="D12" s="564"/>
      <c r="E12" s="564"/>
      <c r="F12" s="564"/>
      <c r="G12" s="564"/>
      <c r="H12" s="564"/>
      <c r="I12" s="564"/>
      <c r="J12" s="565"/>
      <c r="K12" s="77">
        <f>SUM(K6+K8+K10+K11)</f>
        <v>26305.499173886594</v>
      </c>
      <c r="L12" s="6"/>
      <c r="M12" s="6"/>
      <c r="N12" s="8"/>
      <c r="O12" s="8"/>
    </row>
    <row r="13" spans="1:15" ht="16.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10"/>
      <c r="L13" s="6"/>
      <c r="M13" s="6"/>
      <c r="N13" s="8"/>
      <c r="O13" s="8"/>
    </row>
    <row r="14" spans="1:15" ht="16.5" customHeight="1" x14ac:dyDescent="0.25">
      <c r="A14" s="7"/>
      <c r="B14" s="709" t="s">
        <v>149</v>
      </c>
      <c r="C14" s="537"/>
      <c r="D14" s="537"/>
      <c r="E14" s="537"/>
      <c r="F14" s="537"/>
      <c r="G14" s="537"/>
      <c r="H14" s="537"/>
      <c r="I14" s="537"/>
      <c r="J14" s="537"/>
      <c r="K14" s="538"/>
      <c r="L14" s="6"/>
      <c r="M14" s="6"/>
      <c r="N14" s="8"/>
      <c r="O14" s="8"/>
    </row>
    <row r="15" spans="1:15" ht="16.5" customHeight="1" x14ac:dyDescent="0.25">
      <c r="A15" s="7"/>
      <c r="B15" s="342"/>
      <c r="C15" s="342"/>
      <c r="D15" s="342"/>
      <c r="E15" s="342"/>
      <c r="F15" s="342"/>
      <c r="G15" s="342"/>
      <c r="H15" s="342"/>
      <c r="I15" s="342"/>
      <c r="J15" s="342"/>
      <c r="K15" s="342"/>
      <c r="L15" s="6"/>
      <c r="M15" s="6"/>
      <c r="N15" s="8"/>
      <c r="O15" s="8"/>
    </row>
    <row r="16" spans="1:15" ht="16.5" customHeight="1" x14ac:dyDescent="0.25">
      <c r="A16" s="7"/>
      <c r="B16" s="581" t="s">
        <v>154</v>
      </c>
      <c r="C16" s="537"/>
      <c r="D16" s="537"/>
      <c r="E16" s="537"/>
      <c r="F16" s="537"/>
      <c r="G16" s="537"/>
      <c r="H16" s="537"/>
      <c r="I16" s="537"/>
      <c r="J16" s="537"/>
      <c r="K16" s="538"/>
      <c r="L16" s="6"/>
      <c r="M16" s="6"/>
      <c r="N16" s="8"/>
      <c r="O16" s="8"/>
    </row>
    <row r="17" spans="1:15" ht="16.5" customHeight="1" x14ac:dyDescent="0.25">
      <c r="A17" s="7"/>
      <c r="B17" s="80" t="s">
        <v>116</v>
      </c>
      <c r="C17" s="582" t="s">
        <v>117</v>
      </c>
      <c r="D17" s="537"/>
      <c r="E17" s="537"/>
      <c r="F17" s="537"/>
      <c r="G17" s="537"/>
      <c r="H17" s="537"/>
      <c r="I17" s="538"/>
      <c r="J17" s="81"/>
      <c r="K17" s="81" t="s">
        <v>121</v>
      </c>
      <c r="L17" s="6"/>
      <c r="M17" s="6"/>
      <c r="N17" s="8"/>
      <c r="O17" s="8"/>
    </row>
    <row r="18" spans="1:15" ht="16.5" customHeight="1" x14ac:dyDescent="0.25">
      <c r="A18" s="7"/>
      <c r="B18" s="33" t="s">
        <v>122</v>
      </c>
      <c r="C18" s="705" t="s">
        <v>123</v>
      </c>
      <c r="D18" s="537"/>
      <c r="E18" s="537"/>
      <c r="F18" s="537"/>
      <c r="G18" s="537"/>
      <c r="H18" s="537"/>
      <c r="I18" s="538"/>
      <c r="J18" s="82"/>
      <c r="K18" s="85">
        <f>'6 - DADOS CC MO'!E113</f>
        <v>6876.95</v>
      </c>
      <c r="L18" s="6"/>
      <c r="M18" s="6"/>
      <c r="N18" s="8"/>
      <c r="O18" s="8"/>
    </row>
    <row r="19" spans="1:15" ht="16.5" customHeight="1" x14ac:dyDescent="0.25">
      <c r="A19" s="7"/>
      <c r="B19" s="33"/>
      <c r="C19" s="585" t="s">
        <v>142</v>
      </c>
      <c r="D19" s="537"/>
      <c r="E19" s="537"/>
      <c r="F19" s="537"/>
      <c r="G19" s="537"/>
      <c r="H19" s="537"/>
      <c r="I19" s="538"/>
      <c r="J19" s="52"/>
      <c r="K19" s="87">
        <f>K18</f>
        <v>6876.95</v>
      </c>
      <c r="L19" s="6"/>
      <c r="M19" s="6"/>
      <c r="N19" s="8"/>
      <c r="O19" s="8"/>
    </row>
    <row r="20" spans="1:15" ht="16.5" customHeight="1" x14ac:dyDescent="0.25">
      <c r="A20" s="7"/>
      <c r="B20" s="81" t="s">
        <v>145</v>
      </c>
      <c r="C20" s="582" t="s">
        <v>146</v>
      </c>
      <c r="D20" s="537"/>
      <c r="E20" s="537"/>
      <c r="F20" s="537"/>
      <c r="G20" s="537"/>
      <c r="H20" s="537"/>
      <c r="I20" s="538"/>
      <c r="J20" s="81" t="s">
        <v>141</v>
      </c>
      <c r="K20" s="81" t="s">
        <v>121</v>
      </c>
      <c r="L20" s="6"/>
      <c r="M20" s="6"/>
      <c r="N20" s="8"/>
      <c r="O20" s="8"/>
    </row>
    <row r="21" spans="1:15" ht="16.5" customHeight="1" x14ac:dyDescent="0.25">
      <c r="A21" s="7"/>
      <c r="B21" s="36" t="s">
        <v>147</v>
      </c>
      <c r="C21" s="580" t="s">
        <v>148</v>
      </c>
      <c r="D21" s="537"/>
      <c r="E21" s="537"/>
      <c r="F21" s="537"/>
      <c r="G21" s="537"/>
      <c r="H21" s="537"/>
      <c r="I21" s="538"/>
      <c r="J21" s="92">
        <f>'7 - ENCARGOS SOCIAIS'!$D$13</f>
        <v>0.36800000000000005</v>
      </c>
      <c r="K21" s="85">
        <f>J21*K19</f>
        <v>2530.7176000000004</v>
      </c>
      <c r="L21" s="6"/>
      <c r="M21" s="6"/>
      <c r="N21" s="8"/>
      <c r="O21" s="8"/>
    </row>
    <row r="22" spans="1:15" ht="16.5" customHeight="1" x14ac:dyDescent="0.25">
      <c r="A22" s="7"/>
      <c r="B22" s="36" t="s">
        <v>150</v>
      </c>
      <c r="C22" s="580" t="s">
        <v>151</v>
      </c>
      <c r="D22" s="537"/>
      <c r="E22" s="537"/>
      <c r="F22" s="537"/>
      <c r="G22" s="537"/>
      <c r="H22" s="537"/>
      <c r="I22" s="538"/>
      <c r="J22" s="92">
        <f>'7 - ENCARGOS SOCIAIS'!$D$21</f>
        <v>0.15387245147090212</v>
      </c>
      <c r="K22" s="85">
        <f>J22*K19</f>
        <v>1058.1731551428202</v>
      </c>
      <c r="L22" s="6"/>
      <c r="M22" s="6"/>
      <c r="N22" s="8"/>
      <c r="O22" s="8"/>
    </row>
    <row r="23" spans="1:15" ht="16.5" customHeight="1" x14ac:dyDescent="0.25">
      <c r="A23" s="7"/>
      <c r="B23" s="36" t="s">
        <v>152</v>
      </c>
      <c r="C23" s="580" t="s">
        <v>153</v>
      </c>
      <c r="D23" s="537"/>
      <c r="E23" s="537"/>
      <c r="F23" s="537"/>
      <c r="G23" s="537"/>
      <c r="H23" s="537"/>
      <c r="I23" s="538"/>
      <c r="J23" s="92">
        <f>'7 - ENCARGOS SOCIAIS'!$D$28</f>
        <v>0.12666581537651095</v>
      </c>
      <c r="K23" s="85">
        <f>J23*K19</f>
        <v>871.07447905349693</v>
      </c>
      <c r="L23" s="6"/>
      <c r="M23" s="6"/>
      <c r="N23" s="8"/>
      <c r="O23" s="8"/>
    </row>
    <row r="24" spans="1:15" ht="16.5" customHeight="1" x14ac:dyDescent="0.25">
      <c r="A24" s="7"/>
      <c r="B24" s="36" t="s">
        <v>155</v>
      </c>
      <c r="C24" s="580" t="s">
        <v>156</v>
      </c>
      <c r="D24" s="537"/>
      <c r="E24" s="537"/>
      <c r="F24" s="537"/>
      <c r="G24" s="537"/>
      <c r="H24" s="537"/>
      <c r="I24" s="538"/>
      <c r="J24" s="92">
        <f>'7 - ENCARGOS SOCIAIS'!$D$32</f>
        <v>5.9231502118822603E-2</v>
      </c>
      <c r="K24" s="85">
        <f>J24*K19</f>
        <v>407.33207849603707</v>
      </c>
      <c r="L24" s="6"/>
      <c r="M24" s="6"/>
      <c r="N24" s="8"/>
      <c r="O24" s="8"/>
    </row>
    <row r="25" spans="1:15" ht="16.5" customHeight="1" x14ac:dyDescent="0.25">
      <c r="A25" s="7"/>
      <c r="B25" s="20"/>
      <c r="C25" s="586" t="s">
        <v>157</v>
      </c>
      <c r="D25" s="537"/>
      <c r="E25" s="537"/>
      <c r="F25" s="537"/>
      <c r="G25" s="537"/>
      <c r="H25" s="537"/>
      <c r="I25" s="538"/>
      <c r="J25" s="96">
        <f t="shared" ref="J25:K25" si="0">SUM(J21:J24)</f>
        <v>0.70776976896623567</v>
      </c>
      <c r="K25" s="97">
        <f t="shared" si="0"/>
        <v>4867.2973126923544</v>
      </c>
      <c r="L25" s="6"/>
      <c r="M25" s="6"/>
      <c r="N25" s="8"/>
      <c r="O25" s="8"/>
    </row>
    <row r="26" spans="1:15" ht="16.5" customHeight="1" x14ac:dyDescent="0.25">
      <c r="A26" s="7"/>
      <c r="B26" s="81" t="s">
        <v>158</v>
      </c>
      <c r="C26" s="587" t="s">
        <v>159</v>
      </c>
      <c r="D26" s="537"/>
      <c r="E26" s="537"/>
      <c r="F26" s="537"/>
      <c r="G26" s="538"/>
      <c r="H26" s="100" t="s">
        <v>160</v>
      </c>
      <c r="I26" s="81" t="s">
        <v>120</v>
      </c>
      <c r="J26" s="81" t="s">
        <v>161</v>
      </c>
      <c r="K26" s="81" t="s">
        <v>121</v>
      </c>
      <c r="L26" s="6"/>
      <c r="M26" s="6"/>
      <c r="N26" s="8"/>
      <c r="O26" s="8"/>
    </row>
    <row r="27" spans="1:15" ht="16.5" customHeight="1" x14ac:dyDescent="0.25">
      <c r="A27" s="7"/>
      <c r="B27" s="36" t="s">
        <v>162</v>
      </c>
      <c r="C27" s="580" t="s">
        <v>174</v>
      </c>
      <c r="D27" s="537"/>
      <c r="E27" s="537"/>
      <c r="F27" s="537"/>
      <c r="G27" s="538"/>
      <c r="H27" s="36">
        <v>26</v>
      </c>
      <c r="I27" s="102">
        <v>27.15</v>
      </c>
      <c r="J27" s="103">
        <v>0.19</v>
      </c>
      <c r="K27" s="42">
        <f>(H27*I27)-((H27*I27)*0.19)</f>
        <v>571.779</v>
      </c>
      <c r="L27" s="6"/>
      <c r="M27" s="6"/>
      <c r="N27" s="8"/>
      <c r="O27" s="8"/>
    </row>
    <row r="28" spans="1:15" ht="16.5" customHeight="1" x14ac:dyDescent="0.25">
      <c r="A28" s="7"/>
      <c r="B28" s="36" t="s">
        <v>164</v>
      </c>
      <c r="C28" s="580" t="s">
        <v>177</v>
      </c>
      <c r="D28" s="537"/>
      <c r="E28" s="537"/>
      <c r="F28" s="537"/>
      <c r="G28" s="538"/>
      <c r="H28" s="36">
        <f>H27*4</f>
        <v>104</v>
      </c>
      <c r="I28" s="106">
        <v>6.25</v>
      </c>
      <c r="J28" s="103">
        <v>0.06</v>
      </c>
      <c r="K28" s="42">
        <f>(H28*I28)-(K18*0.06)</f>
        <v>237.38300000000004</v>
      </c>
      <c r="L28" s="6"/>
      <c r="M28" s="6"/>
      <c r="N28" s="8"/>
      <c r="O28" s="8"/>
    </row>
    <row r="29" spans="1:15" ht="16.5" customHeight="1" x14ac:dyDescent="0.25">
      <c r="A29" s="7"/>
      <c r="B29" s="36" t="s">
        <v>166</v>
      </c>
      <c r="C29" s="580" t="s">
        <v>167</v>
      </c>
      <c r="D29" s="537"/>
      <c r="E29" s="537"/>
      <c r="F29" s="537"/>
      <c r="G29" s="538"/>
      <c r="H29" s="33">
        <v>1</v>
      </c>
      <c r="I29" s="102">
        <v>25.52</v>
      </c>
      <c r="J29" s="107"/>
      <c r="K29" s="109">
        <f>I29</f>
        <v>25.52</v>
      </c>
      <c r="L29" s="6"/>
      <c r="M29" s="6"/>
      <c r="N29" s="8"/>
      <c r="O29" s="8"/>
    </row>
    <row r="30" spans="1:15" ht="16.5" customHeight="1" x14ac:dyDescent="0.25">
      <c r="A30" s="7"/>
      <c r="B30" s="107"/>
      <c r="C30" s="585" t="s">
        <v>170</v>
      </c>
      <c r="D30" s="537"/>
      <c r="E30" s="537"/>
      <c r="F30" s="537"/>
      <c r="G30" s="537"/>
      <c r="H30" s="537"/>
      <c r="I30" s="538"/>
      <c r="J30" s="52"/>
      <c r="K30" s="110">
        <f>SUM(K27:K29)</f>
        <v>834.68200000000002</v>
      </c>
      <c r="L30" s="6"/>
      <c r="M30" s="6"/>
      <c r="N30" s="8"/>
      <c r="O30" s="8"/>
    </row>
    <row r="31" spans="1:15" ht="16.5" customHeight="1" x14ac:dyDescent="0.25">
      <c r="A31" s="7"/>
      <c r="B31" s="588" t="s">
        <v>182</v>
      </c>
      <c r="C31" s="564"/>
      <c r="D31" s="564"/>
      <c r="E31" s="564"/>
      <c r="F31" s="564"/>
      <c r="G31" s="564"/>
      <c r="H31" s="564"/>
      <c r="I31" s="564"/>
      <c r="J31" s="565"/>
      <c r="K31" s="113">
        <f>K30+K25+K19</f>
        <v>12578.929312692355</v>
      </c>
      <c r="L31" s="6"/>
      <c r="M31" s="6"/>
      <c r="N31" s="8"/>
      <c r="O31" s="8"/>
    </row>
    <row r="32" spans="1:15" ht="16.5" customHeight="1" x14ac:dyDescent="0.25">
      <c r="A32" s="7"/>
      <c r="B32" s="711" t="s">
        <v>187</v>
      </c>
      <c r="C32" s="611"/>
      <c r="D32" s="611"/>
      <c r="E32" s="611"/>
      <c r="F32" s="611"/>
      <c r="G32" s="611"/>
      <c r="H32" s="611"/>
      <c r="I32" s="611"/>
      <c r="J32" s="612"/>
      <c r="K32" s="114">
        <f>K31*1</f>
        <v>12578.929312692355</v>
      </c>
      <c r="L32" s="6"/>
      <c r="M32" s="6"/>
      <c r="N32" s="8"/>
      <c r="O32" s="8"/>
    </row>
    <row r="33" spans="1:15" ht="16.5" customHeight="1" x14ac:dyDescent="0.25">
      <c r="A33" s="7"/>
      <c r="B33" s="107"/>
      <c r="C33" s="585"/>
      <c r="D33" s="537"/>
      <c r="E33" s="537"/>
      <c r="F33" s="537"/>
      <c r="G33" s="537"/>
      <c r="H33" s="537"/>
      <c r="I33" s="538"/>
      <c r="J33" s="52"/>
      <c r="K33" s="110"/>
      <c r="L33" s="6"/>
      <c r="M33" s="6"/>
      <c r="N33" s="8"/>
      <c r="O33" s="8"/>
    </row>
    <row r="34" spans="1:15" ht="16.5" customHeight="1" x14ac:dyDescent="0.25">
      <c r="A34" s="7"/>
      <c r="B34" s="588"/>
      <c r="C34" s="564"/>
      <c r="D34" s="564"/>
      <c r="E34" s="564"/>
      <c r="F34" s="564"/>
      <c r="G34" s="564"/>
      <c r="H34" s="564"/>
      <c r="I34" s="564"/>
      <c r="J34" s="565"/>
      <c r="K34" s="113"/>
      <c r="L34" s="6"/>
      <c r="M34" s="6"/>
      <c r="N34" s="8"/>
      <c r="O34" s="8"/>
    </row>
    <row r="35" spans="1:15" ht="16.5" customHeight="1" x14ac:dyDescent="0.25">
      <c r="A35" s="7"/>
      <c r="B35" s="711"/>
      <c r="C35" s="611"/>
      <c r="D35" s="611"/>
      <c r="E35" s="611"/>
      <c r="F35" s="611"/>
      <c r="G35" s="611"/>
      <c r="H35" s="611"/>
      <c r="I35" s="611"/>
      <c r="J35" s="612"/>
      <c r="K35" s="114"/>
      <c r="L35" s="6"/>
      <c r="M35" s="6"/>
      <c r="N35" s="8"/>
      <c r="O35" s="8"/>
    </row>
    <row r="36" spans="1:15" ht="16.5" customHeight="1" x14ac:dyDescent="0.25">
      <c r="A36" s="7"/>
      <c r="B36" s="713" t="s">
        <v>441</v>
      </c>
      <c r="C36" s="537"/>
      <c r="D36" s="537"/>
      <c r="E36" s="537"/>
      <c r="F36" s="537"/>
      <c r="G36" s="537"/>
      <c r="H36" s="537"/>
      <c r="I36" s="537"/>
      <c r="J36" s="538"/>
      <c r="K36" s="214">
        <f>K32</f>
        <v>12578.929312692355</v>
      </c>
      <c r="L36" s="6"/>
      <c r="M36" s="6"/>
      <c r="N36" s="8"/>
      <c r="O36" s="8"/>
    </row>
    <row r="37" spans="1:15" ht="16.5" customHeight="1" x14ac:dyDescent="0.25">
      <c r="A37" s="7"/>
      <c r="B37" s="346"/>
      <c r="C37" s="346"/>
      <c r="D37" s="346"/>
      <c r="E37" s="346"/>
      <c r="F37" s="346"/>
      <c r="G37" s="346"/>
      <c r="H37" s="346"/>
      <c r="I37" s="346"/>
      <c r="J37" s="346"/>
      <c r="K37" s="347"/>
      <c r="L37" s="6"/>
      <c r="M37" s="6"/>
      <c r="N37" s="8"/>
      <c r="O37" s="8"/>
    </row>
    <row r="38" spans="1:15" ht="16.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10"/>
      <c r="L38" s="6"/>
      <c r="M38" s="6"/>
      <c r="N38" s="8"/>
      <c r="O38" s="8"/>
    </row>
    <row r="39" spans="1:15" ht="16.5" customHeight="1" x14ac:dyDescent="0.25">
      <c r="A39" s="7"/>
      <c r="B39" s="709" t="s">
        <v>444</v>
      </c>
      <c r="C39" s="537"/>
      <c r="D39" s="537"/>
      <c r="E39" s="537"/>
      <c r="F39" s="537"/>
      <c r="G39" s="537"/>
      <c r="H39" s="537"/>
      <c r="I39" s="537"/>
      <c r="J39" s="537"/>
      <c r="K39" s="538"/>
      <c r="L39" s="6"/>
      <c r="M39" s="6"/>
      <c r="N39" s="8"/>
      <c r="O39" s="8"/>
    </row>
    <row r="40" spans="1:15" ht="16.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10"/>
      <c r="L40" s="6"/>
      <c r="M40" s="6"/>
      <c r="N40" s="8"/>
      <c r="O40" s="8"/>
    </row>
    <row r="41" spans="1:15" ht="16.5" customHeight="1" x14ac:dyDescent="0.25">
      <c r="A41" s="7"/>
      <c r="B41" s="581" t="s">
        <v>714</v>
      </c>
      <c r="C41" s="537"/>
      <c r="D41" s="537"/>
      <c r="E41" s="537"/>
      <c r="F41" s="537"/>
      <c r="G41" s="537"/>
      <c r="H41" s="537"/>
      <c r="I41" s="537"/>
      <c r="J41" s="537"/>
      <c r="K41" s="538"/>
      <c r="L41" s="6"/>
      <c r="M41" s="6"/>
      <c r="N41" s="8"/>
      <c r="O41" s="8"/>
    </row>
    <row r="42" spans="1:15" ht="29.25" customHeight="1" x14ac:dyDescent="0.25">
      <c r="A42" s="7"/>
      <c r="B42" s="586" t="s">
        <v>239</v>
      </c>
      <c r="C42" s="537"/>
      <c r="D42" s="537"/>
      <c r="E42" s="537"/>
      <c r="F42" s="538"/>
      <c r="G42" s="22" t="s">
        <v>318</v>
      </c>
      <c r="H42" s="22" t="s">
        <v>241</v>
      </c>
      <c r="I42" s="698" t="s">
        <v>242</v>
      </c>
      <c r="J42" s="538"/>
      <c r="K42" s="20" t="s">
        <v>243</v>
      </c>
      <c r="L42" s="6"/>
      <c r="M42" s="64"/>
      <c r="N42" s="8"/>
      <c r="O42" s="8"/>
    </row>
    <row r="43" spans="1:15" ht="16.5" customHeight="1" x14ac:dyDescent="0.25">
      <c r="A43" s="7"/>
      <c r="B43" s="702" t="s">
        <v>263</v>
      </c>
      <c r="C43" s="537"/>
      <c r="D43" s="537"/>
      <c r="E43" s="537"/>
      <c r="F43" s="538"/>
      <c r="G43" s="33">
        <v>1</v>
      </c>
      <c r="H43" s="106">
        <f>'10 - CUSTOS UN'!$J$36</f>
        <v>21.349999999999998</v>
      </c>
      <c r="I43" s="714">
        <f t="shared" ref="I43:I44" si="1">H43/6</f>
        <v>3.5583333333333331</v>
      </c>
      <c r="J43" s="538"/>
      <c r="K43" s="42">
        <f t="shared" ref="K43:K44" si="2">I43*G43</f>
        <v>3.5583333333333331</v>
      </c>
      <c r="L43" s="6"/>
      <c r="M43" s="6"/>
      <c r="N43" s="8"/>
      <c r="O43" s="8"/>
    </row>
    <row r="44" spans="1:15" ht="16.5" customHeight="1" x14ac:dyDescent="0.25">
      <c r="A44" s="7"/>
      <c r="B44" s="715" t="s">
        <v>447</v>
      </c>
      <c r="C44" s="564"/>
      <c r="D44" s="564"/>
      <c r="E44" s="564"/>
      <c r="F44" s="565"/>
      <c r="G44" s="215">
        <v>1</v>
      </c>
      <c r="H44" s="348">
        <f>'10 - CUSTOS UN'!$J$63</f>
        <v>111.56333333333333</v>
      </c>
      <c r="I44" s="716">
        <f t="shared" si="1"/>
        <v>18.593888888888888</v>
      </c>
      <c r="J44" s="565"/>
      <c r="K44" s="217">
        <f t="shared" si="2"/>
        <v>18.593888888888888</v>
      </c>
      <c r="L44" s="6"/>
      <c r="M44" s="6"/>
      <c r="N44" s="8"/>
      <c r="O44" s="8"/>
    </row>
    <row r="45" spans="1:15" ht="16.5" customHeight="1" x14ac:dyDescent="0.25">
      <c r="A45" s="7"/>
      <c r="B45" s="717" t="s">
        <v>260</v>
      </c>
      <c r="C45" s="544"/>
      <c r="D45" s="544"/>
      <c r="E45" s="544"/>
      <c r="F45" s="579"/>
      <c r="G45" s="218"/>
      <c r="H45" s="218"/>
      <c r="I45" s="718"/>
      <c r="J45" s="579"/>
      <c r="K45" s="219">
        <f>SUM(K43:K44)</f>
        <v>22.152222222222221</v>
      </c>
      <c r="L45" s="6"/>
      <c r="M45" s="6"/>
      <c r="N45" s="8"/>
      <c r="O45" s="8"/>
    </row>
    <row r="46" spans="1:15" ht="16.5" customHeight="1" x14ac:dyDescent="0.25">
      <c r="A46" s="7"/>
      <c r="B46" s="719" t="s">
        <v>716</v>
      </c>
      <c r="C46" s="537"/>
      <c r="D46" s="537"/>
      <c r="E46" s="537"/>
      <c r="F46" s="538"/>
      <c r="G46" s="107"/>
      <c r="H46" s="107"/>
      <c r="I46" s="720">
        <f>K45</f>
        <v>22.152222222222221</v>
      </c>
      <c r="J46" s="538"/>
      <c r="K46" s="110">
        <f>K45*1</f>
        <v>22.152222222222221</v>
      </c>
      <c r="L46" s="6"/>
      <c r="M46" s="6"/>
      <c r="N46" s="8"/>
      <c r="O46" s="8"/>
    </row>
    <row r="47" spans="1:15" ht="16.5" customHeight="1" x14ac:dyDescent="0.25">
      <c r="A47" s="7"/>
      <c r="B47" s="241"/>
      <c r="C47" s="241"/>
      <c r="D47" s="241"/>
      <c r="E47" s="241"/>
      <c r="F47" s="241"/>
      <c r="G47" s="7"/>
      <c r="H47" s="7"/>
      <c r="I47" s="7"/>
      <c r="J47" s="7"/>
      <c r="K47" s="10"/>
      <c r="L47" s="6"/>
      <c r="M47" s="6"/>
      <c r="N47" s="8"/>
      <c r="O47" s="8"/>
    </row>
    <row r="48" spans="1:15" ht="16.5" customHeight="1" x14ac:dyDescent="0.25">
      <c r="A48" s="7"/>
      <c r="B48" s="713" t="s">
        <v>482</v>
      </c>
      <c r="C48" s="537"/>
      <c r="D48" s="537"/>
      <c r="E48" s="537"/>
      <c r="F48" s="537"/>
      <c r="G48" s="537"/>
      <c r="H48" s="537"/>
      <c r="I48" s="537"/>
      <c r="J48" s="538"/>
      <c r="K48" s="214">
        <f>K46</f>
        <v>22.152222222222221</v>
      </c>
      <c r="L48" s="6"/>
      <c r="M48" s="6"/>
      <c r="N48" s="8"/>
      <c r="O48" s="8"/>
    </row>
    <row r="49" spans="1:15" ht="16.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10"/>
      <c r="L49" s="6"/>
      <c r="M49" s="6"/>
      <c r="N49" s="8"/>
      <c r="O49" s="8"/>
    </row>
    <row r="50" spans="1:15" ht="16.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10"/>
      <c r="L50" s="6"/>
      <c r="M50" s="6"/>
      <c r="N50" s="8"/>
      <c r="O50" s="8"/>
    </row>
    <row r="51" spans="1:15" ht="16.5" customHeight="1" x14ac:dyDescent="0.25">
      <c r="A51" s="7"/>
      <c r="B51" s="709" t="s">
        <v>606</v>
      </c>
      <c r="C51" s="537"/>
      <c r="D51" s="537"/>
      <c r="E51" s="537"/>
      <c r="F51" s="537"/>
      <c r="G51" s="537"/>
      <c r="H51" s="537"/>
      <c r="I51" s="537"/>
      <c r="J51" s="537"/>
      <c r="K51" s="538"/>
      <c r="L51" s="6"/>
      <c r="M51" s="6"/>
      <c r="N51" s="8"/>
      <c r="O51" s="8"/>
    </row>
    <row r="52" spans="1:15" ht="16.5" customHeight="1" x14ac:dyDescent="0.25">
      <c r="A52" s="7"/>
      <c r="B52" s="710"/>
      <c r="C52" s="537"/>
      <c r="D52" s="537"/>
      <c r="E52" s="537"/>
      <c r="F52" s="537"/>
      <c r="G52" s="537"/>
      <c r="H52" s="537"/>
      <c r="I52" s="537"/>
      <c r="J52" s="537"/>
      <c r="K52" s="537"/>
      <c r="L52" s="6"/>
      <c r="M52" s="6"/>
      <c r="N52" s="8"/>
      <c r="O52" s="8"/>
    </row>
    <row r="53" spans="1:15" ht="16.5" customHeight="1" x14ac:dyDescent="0.25">
      <c r="A53" s="7"/>
      <c r="B53" s="735" t="s">
        <v>239</v>
      </c>
      <c r="C53" s="564"/>
      <c r="D53" s="564"/>
      <c r="E53" s="564"/>
      <c r="F53" s="565"/>
      <c r="G53" s="299" t="s">
        <v>118</v>
      </c>
      <c r="H53" s="299" t="s">
        <v>119</v>
      </c>
      <c r="I53" s="735" t="s">
        <v>319</v>
      </c>
      <c r="J53" s="565"/>
      <c r="K53" s="299" t="s">
        <v>609</v>
      </c>
      <c r="L53" s="6"/>
      <c r="M53" s="6"/>
      <c r="N53" s="8"/>
      <c r="O53" s="8"/>
    </row>
    <row r="54" spans="1:15" ht="16.5" customHeight="1" x14ac:dyDescent="0.25">
      <c r="A54" s="7"/>
      <c r="B54" s="742" t="s">
        <v>610</v>
      </c>
      <c r="C54" s="544"/>
      <c r="D54" s="544"/>
      <c r="E54" s="544"/>
      <c r="F54" s="579"/>
      <c r="G54" s="218"/>
      <c r="H54" s="218"/>
      <c r="I54" s="736"/>
      <c r="J54" s="579"/>
      <c r="K54" s="349">
        <v>5000</v>
      </c>
      <c r="L54" s="6"/>
      <c r="M54" s="6"/>
      <c r="N54" s="8"/>
      <c r="O54" s="8"/>
    </row>
    <row r="55" spans="1:15" ht="16.5" customHeight="1" x14ac:dyDescent="0.25">
      <c r="A55" s="7"/>
      <c r="B55" s="705" t="s">
        <v>612</v>
      </c>
      <c r="C55" s="537"/>
      <c r="D55" s="537"/>
      <c r="E55" s="537"/>
      <c r="F55" s="538"/>
      <c r="G55" s="107"/>
      <c r="H55" s="107"/>
      <c r="I55" s="723"/>
      <c r="J55" s="538"/>
      <c r="K55" s="350">
        <v>2000</v>
      </c>
      <c r="L55" s="6"/>
      <c r="M55" s="6"/>
      <c r="N55" s="8"/>
      <c r="O55" s="8"/>
    </row>
    <row r="56" spans="1:15" ht="16.5" customHeight="1" x14ac:dyDescent="0.25">
      <c r="A56" s="7"/>
      <c r="B56" s="731" t="s">
        <v>614</v>
      </c>
      <c r="C56" s="564"/>
      <c r="D56" s="564"/>
      <c r="E56" s="564"/>
      <c r="F56" s="565"/>
      <c r="G56" s="304"/>
      <c r="H56" s="304"/>
      <c r="I56" s="743"/>
      <c r="J56" s="565"/>
      <c r="K56" s="351">
        <v>1000</v>
      </c>
      <c r="L56" s="6"/>
      <c r="M56" s="6"/>
      <c r="N56" s="8"/>
      <c r="O56" s="8"/>
    </row>
    <row r="57" spans="1:15" ht="16.5" customHeight="1" x14ac:dyDescent="0.25">
      <c r="A57" s="7"/>
      <c r="B57" s="744" t="s">
        <v>618</v>
      </c>
      <c r="C57" s="611"/>
      <c r="D57" s="611"/>
      <c r="E57" s="611"/>
      <c r="F57" s="611"/>
      <c r="G57" s="611"/>
      <c r="H57" s="611"/>
      <c r="I57" s="611"/>
      <c r="J57" s="612"/>
      <c r="K57" s="306">
        <f>SUM(K54:K56)</f>
        <v>8000</v>
      </c>
      <c r="L57" s="6"/>
      <c r="M57" s="6"/>
      <c r="N57" s="8"/>
      <c r="O57" s="8"/>
    </row>
    <row r="58" spans="1:15" ht="16.5" customHeight="1" x14ac:dyDescent="0.25">
      <c r="A58" s="7"/>
      <c r="B58" s="307"/>
      <c r="C58" s="307"/>
      <c r="D58" s="307"/>
      <c r="E58" s="307"/>
      <c r="F58" s="307"/>
      <c r="G58" s="7"/>
      <c r="H58" s="7"/>
      <c r="I58" s="10"/>
      <c r="J58" s="10"/>
      <c r="K58" s="207"/>
      <c r="L58" s="6"/>
      <c r="M58" s="6"/>
      <c r="N58" s="8"/>
      <c r="O58" s="8"/>
    </row>
    <row r="59" spans="1:15" ht="16.5" customHeight="1" x14ac:dyDescent="0.25">
      <c r="A59" s="7"/>
      <c r="B59" s="307"/>
      <c r="C59" s="307"/>
      <c r="D59" s="307"/>
      <c r="E59" s="307"/>
      <c r="F59" s="307"/>
      <c r="G59" s="7"/>
      <c r="H59" s="7"/>
      <c r="I59" s="10"/>
      <c r="J59" s="10"/>
      <c r="K59" s="207"/>
      <c r="L59" s="6"/>
      <c r="M59" s="6"/>
      <c r="N59" s="8"/>
      <c r="O59" s="8"/>
    </row>
    <row r="60" spans="1:15" ht="16.5" customHeight="1" x14ac:dyDescent="0.25">
      <c r="A60" s="7"/>
      <c r="B60" s="713" t="s">
        <v>621</v>
      </c>
      <c r="C60" s="537"/>
      <c r="D60" s="537"/>
      <c r="E60" s="537"/>
      <c r="F60" s="537"/>
      <c r="G60" s="537"/>
      <c r="H60" s="537"/>
      <c r="I60" s="537"/>
      <c r="J60" s="538"/>
      <c r="K60" s="214">
        <f>K57+K48+K36</f>
        <v>20601.081534914578</v>
      </c>
      <c r="L60" s="6"/>
      <c r="M60" s="6"/>
      <c r="N60" s="8"/>
      <c r="O60" s="8"/>
    </row>
    <row r="61" spans="1:15" ht="16.5" customHeight="1" x14ac:dyDescent="0.25">
      <c r="A61" s="7"/>
      <c r="B61" s="307"/>
      <c r="C61" s="307"/>
      <c r="D61" s="307"/>
      <c r="E61" s="307"/>
      <c r="F61" s="307"/>
      <c r="G61" s="7"/>
      <c r="H61" s="7"/>
      <c r="I61" s="10"/>
      <c r="J61" s="10"/>
      <c r="K61" s="207"/>
      <c r="L61" s="6"/>
      <c r="M61" s="6"/>
      <c r="N61" s="8"/>
      <c r="O61" s="8"/>
    </row>
    <row r="62" spans="1:15" ht="16.5" customHeight="1" x14ac:dyDescent="0.25">
      <c r="A62" s="7"/>
      <c r="B62" s="709" t="s">
        <v>623</v>
      </c>
      <c r="C62" s="537"/>
      <c r="D62" s="537"/>
      <c r="E62" s="537"/>
      <c r="F62" s="537"/>
      <c r="G62" s="537"/>
      <c r="H62" s="537"/>
      <c r="I62" s="537"/>
      <c r="J62" s="537"/>
      <c r="K62" s="538"/>
      <c r="L62" s="6"/>
      <c r="M62" s="6"/>
      <c r="N62" s="8"/>
      <c r="O62" s="8"/>
    </row>
    <row r="63" spans="1:15" ht="16.5" customHeight="1" x14ac:dyDescent="0.25">
      <c r="A63" s="7"/>
      <c r="B63" s="310" t="s">
        <v>273</v>
      </c>
      <c r="C63" s="582" t="s">
        <v>239</v>
      </c>
      <c r="D63" s="537"/>
      <c r="E63" s="537"/>
      <c r="F63" s="537"/>
      <c r="G63" s="538"/>
      <c r="H63" s="312" t="s">
        <v>141</v>
      </c>
      <c r="I63" s="737" t="s">
        <v>615</v>
      </c>
      <c r="J63" s="738"/>
      <c r="K63" s="312" t="s">
        <v>616</v>
      </c>
      <c r="L63" s="6"/>
      <c r="M63" s="6"/>
      <c r="N63" s="8"/>
      <c r="O63" s="8"/>
    </row>
    <row r="64" spans="1:15" ht="16.5" customHeight="1" x14ac:dyDescent="0.25">
      <c r="A64" s="7"/>
      <c r="B64" s="313" t="s">
        <v>6</v>
      </c>
      <c r="C64" s="739" t="s">
        <v>102</v>
      </c>
      <c r="D64" s="542"/>
      <c r="E64" s="542"/>
      <c r="F64" s="542"/>
      <c r="G64" s="577"/>
      <c r="H64" s="315">
        <f>'9 - BDI'!D15</f>
        <v>0.27689893995634196</v>
      </c>
      <c r="I64" s="740">
        <f>K60</f>
        <v>20601.081534914578</v>
      </c>
      <c r="J64" s="577"/>
      <c r="K64" s="318">
        <f>I64*H64</f>
        <v>5704.4176389720169</v>
      </c>
      <c r="L64" s="6"/>
      <c r="M64" s="6"/>
      <c r="N64" s="8"/>
      <c r="O64" s="8"/>
    </row>
    <row r="65" spans="1:15" ht="16.5" customHeight="1" x14ac:dyDescent="0.25">
      <c r="A65" s="7"/>
      <c r="B65" s="741" t="s">
        <v>627</v>
      </c>
      <c r="C65" s="535"/>
      <c r="D65" s="535"/>
      <c r="E65" s="535"/>
      <c r="F65" s="535"/>
      <c r="G65" s="535"/>
      <c r="H65" s="535"/>
      <c r="I65" s="535"/>
      <c r="J65" s="575"/>
      <c r="K65" s="319">
        <f>SUM(K64)</f>
        <v>5704.4176389720169</v>
      </c>
      <c r="L65" s="6"/>
      <c r="M65" s="6"/>
      <c r="N65" s="8"/>
      <c r="O65" s="8"/>
    </row>
    <row r="66" spans="1:15" ht="16.5" customHeight="1" x14ac:dyDescent="0.25">
      <c r="A66" s="7"/>
      <c r="B66" s="7"/>
      <c r="C66" s="7"/>
      <c r="D66" s="7"/>
      <c r="E66" s="7"/>
      <c r="F66" s="7"/>
      <c r="G66" s="115"/>
      <c r="H66" s="115"/>
      <c r="I66" s="320"/>
      <c r="J66" s="320"/>
      <c r="K66" s="321"/>
      <c r="L66" s="6"/>
      <c r="M66" s="6"/>
      <c r="N66" s="8"/>
      <c r="O66" s="8"/>
    </row>
    <row r="67" spans="1:15" ht="16.5" customHeight="1" x14ac:dyDescent="0.25">
      <c r="A67" s="7"/>
      <c r="B67" s="241"/>
      <c r="C67" s="241"/>
      <c r="D67" s="241"/>
      <c r="E67" s="241"/>
      <c r="F67" s="241"/>
      <c r="G67" s="115"/>
      <c r="H67" s="115"/>
      <c r="I67" s="320"/>
      <c r="J67" s="320"/>
      <c r="K67" s="207"/>
      <c r="L67" s="6"/>
      <c r="M67" s="6"/>
      <c r="N67" s="8"/>
      <c r="O67" s="8"/>
    </row>
    <row r="68" spans="1:15" ht="16.5" customHeight="1" x14ac:dyDescent="0.25">
      <c r="A68" s="7"/>
      <c r="B68" s="713" t="s">
        <v>629</v>
      </c>
      <c r="C68" s="537"/>
      <c r="D68" s="537"/>
      <c r="E68" s="537"/>
      <c r="F68" s="537"/>
      <c r="G68" s="537"/>
      <c r="H68" s="537"/>
      <c r="I68" s="537"/>
      <c r="J68" s="538"/>
      <c r="K68" s="214">
        <f>K60+K65</f>
        <v>26305.499173886594</v>
      </c>
      <c r="L68" s="6"/>
      <c r="M68" s="6"/>
      <c r="N68" s="8"/>
      <c r="O68" s="8"/>
    </row>
    <row r="69" spans="1:15" ht="16.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10"/>
      <c r="L69" s="6"/>
      <c r="M69" s="6"/>
      <c r="N69" s="8"/>
      <c r="O69" s="8"/>
    </row>
    <row r="70" spans="1:15" ht="16.5" customHeight="1" x14ac:dyDescent="0.25">
      <c r="L70" s="6"/>
      <c r="M70" s="6"/>
      <c r="N70" s="8"/>
      <c r="O70" s="8"/>
    </row>
    <row r="71" spans="1:15" ht="16.5" customHeight="1" x14ac:dyDescent="0.25">
      <c r="L71" s="6"/>
      <c r="M71" s="6"/>
      <c r="N71" s="8"/>
      <c r="O71" s="8"/>
    </row>
    <row r="72" spans="1:15" ht="16.5" customHeight="1" x14ac:dyDescent="0.25">
      <c r="L72" s="6"/>
      <c r="M72" s="6"/>
      <c r="N72" s="8"/>
      <c r="O72" s="8"/>
    </row>
    <row r="73" spans="1:15" ht="16.5" customHeight="1" x14ac:dyDescent="0.25">
      <c r="L73" s="6"/>
      <c r="M73" s="6"/>
      <c r="N73" s="8"/>
      <c r="O73" s="8"/>
    </row>
    <row r="74" spans="1:15" ht="16.5" customHeight="1" x14ac:dyDescent="0.25">
      <c r="L74" s="6"/>
      <c r="M74" s="6"/>
      <c r="N74" s="8"/>
      <c r="O74" s="8"/>
    </row>
    <row r="75" spans="1:15" ht="16.5" customHeight="1" x14ac:dyDescent="0.25">
      <c r="L75" s="6"/>
      <c r="M75" s="6"/>
      <c r="N75" s="8"/>
      <c r="O75" s="8"/>
    </row>
    <row r="76" spans="1:15" ht="16.5" customHeight="1" x14ac:dyDescent="0.25">
      <c r="L76" s="6"/>
      <c r="M76" s="6"/>
      <c r="N76" s="8"/>
      <c r="O76" s="8"/>
    </row>
    <row r="77" spans="1:15" ht="16.5" customHeight="1" x14ac:dyDescent="0.25">
      <c r="L77" s="6"/>
      <c r="M77" s="6"/>
      <c r="N77" s="8"/>
      <c r="O77" s="8"/>
    </row>
    <row r="78" spans="1:15" ht="16.5" customHeight="1" x14ac:dyDescent="0.25">
      <c r="L78" s="6"/>
      <c r="M78" s="6"/>
      <c r="N78" s="8"/>
      <c r="O78" s="8"/>
    </row>
    <row r="79" spans="1:15" ht="16.5" customHeight="1" x14ac:dyDescent="0.25">
      <c r="L79" s="6"/>
      <c r="M79" s="6"/>
      <c r="N79" s="8"/>
      <c r="O79" s="8"/>
    </row>
    <row r="80" spans="1:15" ht="16.5" customHeight="1" x14ac:dyDescent="0.25">
      <c r="L80" s="6"/>
      <c r="M80" s="6"/>
      <c r="N80" s="8"/>
      <c r="O80" s="8"/>
    </row>
    <row r="81" spans="12:15" ht="16.5" customHeight="1" x14ac:dyDescent="0.25">
      <c r="L81" s="6"/>
      <c r="M81" s="6"/>
      <c r="N81" s="8"/>
      <c r="O81" s="8"/>
    </row>
    <row r="82" spans="12:15" ht="16.5" customHeight="1" x14ac:dyDescent="0.25">
      <c r="L82" s="6"/>
      <c r="M82" s="6"/>
      <c r="N82" s="8"/>
      <c r="O82" s="8"/>
    </row>
    <row r="83" spans="12:15" ht="16.5" customHeight="1" x14ac:dyDescent="0.25">
      <c r="L83" s="6"/>
      <c r="M83" s="6"/>
      <c r="N83" s="8"/>
      <c r="O83" s="8"/>
    </row>
    <row r="84" spans="12:15" ht="16.5" customHeight="1" x14ac:dyDescent="0.25">
      <c r="L84" s="6"/>
      <c r="M84" s="6"/>
      <c r="N84" s="8"/>
      <c r="O84" s="8"/>
    </row>
    <row r="85" spans="12:15" ht="16.5" customHeight="1" x14ac:dyDescent="0.25">
      <c r="L85" s="6"/>
      <c r="M85" s="6"/>
      <c r="N85" s="8"/>
      <c r="O85" s="8"/>
    </row>
    <row r="86" spans="12:15" ht="16.5" customHeight="1" x14ac:dyDescent="0.25">
      <c r="L86" s="6"/>
      <c r="M86" s="6"/>
      <c r="N86" s="8"/>
      <c r="O86" s="8"/>
    </row>
    <row r="87" spans="12:15" ht="16.5" customHeight="1" x14ac:dyDescent="0.25">
      <c r="L87" s="6"/>
      <c r="M87" s="6"/>
      <c r="N87" s="8"/>
      <c r="O87" s="8"/>
    </row>
    <row r="88" spans="12:15" ht="16.5" customHeight="1" x14ac:dyDescent="0.25">
      <c r="L88" s="6"/>
      <c r="M88" s="6"/>
      <c r="N88" s="8"/>
      <c r="O88" s="8"/>
    </row>
    <row r="89" spans="12:15" ht="16.5" customHeight="1" x14ac:dyDescent="0.25">
      <c r="L89" s="6"/>
      <c r="M89" s="6"/>
      <c r="N89" s="8"/>
      <c r="O89" s="8"/>
    </row>
    <row r="90" spans="12:15" ht="16.5" customHeight="1" x14ac:dyDescent="0.25">
      <c r="L90" s="6"/>
      <c r="M90" s="6"/>
      <c r="N90" s="8"/>
      <c r="O90" s="8"/>
    </row>
    <row r="91" spans="12:15" ht="16.5" customHeight="1" x14ac:dyDescent="0.25">
      <c r="L91" s="6"/>
      <c r="M91" s="6"/>
      <c r="N91" s="8"/>
      <c r="O91" s="8"/>
    </row>
    <row r="92" spans="12:15" ht="16.5" customHeight="1" x14ac:dyDescent="0.25">
      <c r="L92" s="6"/>
      <c r="M92" s="6"/>
      <c r="N92" s="8"/>
      <c r="O92" s="8"/>
    </row>
    <row r="93" spans="12:15" ht="16.5" customHeight="1" x14ac:dyDescent="0.25">
      <c r="L93" s="6"/>
      <c r="M93" s="6"/>
      <c r="N93" s="8"/>
      <c r="O93" s="8"/>
    </row>
    <row r="94" spans="12:15" ht="16.5" customHeight="1" x14ac:dyDescent="0.25">
      <c r="L94" s="6"/>
      <c r="M94" s="6"/>
      <c r="N94" s="8"/>
      <c r="O94" s="8"/>
    </row>
    <row r="95" spans="12:15" ht="16.5" customHeight="1" x14ac:dyDescent="0.25">
      <c r="L95" s="6"/>
      <c r="M95" s="6"/>
      <c r="N95" s="8"/>
      <c r="O95" s="8"/>
    </row>
    <row r="96" spans="12:15" ht="16.5" customHeight="1" x14ac:dyDescent="0.25">
      <c r="L96" s="6"/>
      <c r="M96" s="6"/>
      <c r="N96" s="8"/>
      <c r="O96" s="8"/>
    </row>
    <row r="97" spans="12:15" ht="16.5" customHeight="1" x14ac:dyDescent="0.25">
      <c r="L97" s="6"/>
      <c r="M97" s="6"/>
      <c r="N97" s="8"/>
      <c r="O97" s="8"/>
    </row>
    <row r="98" spans="12:15" ht="16.5" customHeight="1" x14ac:dyDescent="0.25">
      <c r="L98" s="6"/>
      <c r="M98" s="6"/>
      <c r="N98" s="8"/>
      <c r="O98" s="8"/>
    </row>
    <row r="99" spans="12:15" ht="16.5" customHeight="1" x14ac:dyDescent="0.25">
      <c r="L99" s="6"/>
      <c r="M99" s="6"/>
      <c r="N99" s="8"/>
      <c r="O99" s="8"/>
    </row>
    <row r="100" spans="12:15" ht="16.5" customHeight="1" x14ac:dyDescent="0.25">
      <c r="L100" s="6"/>
      <c r="M100" s="6"/>
      <c r="N100" s="8"/>
      <c r="O100" s="8"/>
    </row>
    <row r="101" spans="12:15" ht="16.5" customHeight="1" x14ac:dyDescent="0.25">
      <c r="L101" s="6"/>
      <c r="M101" s="6"/>
      <c r="N101" s="8"/>
      <c r="O101" s="8"/>
    </row>
    <row r="102" spans="12:15" ht="16.5" customHeight="1" x14ac:dyDescent="0.25">
      <c r="L102" s="6"/>
      <c r="M102" s="6"/>
      <c r="N102" s="8"/>
      <c r="O102" s="8"/>
    </row>
    <row r="103" spans="12:15" ht="16.5" customHeight="1" x14ac:dyDescent="0.25">
      <c r="L103" s="6"/>
      <c r="M103" s="6"/>
      <c r="N103" s="8"/>
      <c r="O103" s="8"/>
    </row>
    <row r="104" spans="12:15" ht="16.5" customHeight="1" x14ac:dyDescent="0.25">
      <c r="L104" s="6"/>
      <c r="M104" s="6"/>
      <c r="N104" s="8"/>
      <c r="O104" s="8"/>
    </row>
    <row r="105" spans="12:15" ht="16.5" customHeight="1" x14ac:dyDescent="0.25">
      <c r="L105" s="6"/>
      <c r="M105" s="6"/>
      <c r="N105" s="8"/>
      <c r="O105" s="8"/>
    </row>
    <row r="106" spans="12:15" ht="16.5" customHeight="1" x14ac:dyDescent="0.25">
      <c r="L106" s="6"/>
      <c r="M106" s="6"/>
      <c r="N106" s="8"/>
      <c r="O106" s="8"/>
    </row>
    <row r="107" spans="12:15" ht="16.5" customHeight="1" x14ac:dyDescent="0.25">
      <c r="L107" s="6"/>
      <c r="M107" s="6"/>
      <c r="N107" s="8"/>
      <c r="O107" s="8"/>
    </row>
    <row r="108" spans="12:15" ht="16.5" customHeight="1" x14ac:dyDescent="0.25">
      <c r="L108" s="6"/>
      <c r="M108" s="6"/>
      <c r="N108" s="8"/>
      <c r="O108" s="8"/>
    </row>
    <row r="109" spans="12:15" ht="16.5" customHeight="1" x14ac:dyDescent="0.25">
      <c r="L109" s="6"/>
      <c r="M109" s="6"/>
      <c r="N109" s="8"/>
      <c r="O109" s="8"/>
    </row>
    <row r="110" spans="12:15" ht="16.5" customHeight="1" x14ac:dyDescent="0.25">
      <c r="L110" s="6"/>
      <c r="M110" s="6"/>
      <c r="N110" s="8"/>
      <c r="O110" s="8"/>
    </row>
    <row r="111" spans="12:15" ht="16.5" customHeight="1" x14ac:dyDescent="0.25">
      <c r="L111" s="6"/>
      <c r="M111" s="6"/>
      <c r="N111" s="8"/>
      <c r="O111" s="8"/>
    </row>
    <row r="112" spans="12:15" ht="16.5" customHeight="1" x14ac:dyDescent="0.25">
      <c r="L112" s="6"/>
      <c r="M112" s="6"/>
      <c r="N112" s="8"/>
      <c r="O112" s="8"/>
    </row>
    <row r="113" spans="12:15" ht="16.5" customHeight="1" x14ac:dyDescent="0.25">
      <c r="L113" s="6"/>
      <c r="M113" s="6"/>
      <c r="N113" s="8"/>
      <c r="O113" s="8"/>
    </row>
    <row r="114" spans="12:15" ht="16.5" customHeight="1" x14ac:dyDescent="0.25">
      <c r="L114" s="6"/>
      <c r="M114" s="6"/>
      <c r="N114" s="8"/>
      <c r="O114" s="8"/>
    </row>
    <row r="115" spans="12:15" ht="16.5" customHeight="1" x14ac:dyDescent="0.25">
      <c r="L115" s="6"/>
      <c r="M115" s="6"/>
      <c r="N115" s="8"/>
      <c r="O115" s="8"/>
    </row>
    <row r="116" spans="12:15" ht="16.5" customHeight="1" x14ac:dyDescent="0.25">
      <c r="L116" s="6"/>
      <c r="M116" s="6"/>
      <c r="N116" s="8"/>
      <c r="O116" s="8"/>
    </row>
    <row r="117" spans="12:15" ht="16.5" customHeight="1" x14ac:dyDescent="0.25">
      <c r="L117" s="6"/>
      <c r="M117" s="6"/>
      <c r="N117" s="8"/>
      <c r="O117" s="8"/>
    </row>
    <row r="118" spans="12:15" ht="16.5" customHeight="1" x14ac:dyDescent="0.25">
      <c r="L118" s="6"/>
      <c r="M118" s="6"/>
      <c r="N118" s="8"/>
      <c r="O118" s="8"/>
    </row>
    <row r="119" spans="12:15" ht="16.5" customHeight="1" x14ac:dyDescent="0.25">
      <c r="L119" s="6"/>
      <c r="M119" s="6"/>
      <c r="N119" s="8"/>
      <c r="O119" s="8"/>
    </row>
    <row r="120" spans="12:15" ht="16.5" customHeight="1" x14ac:dyDescent="0.25">
      <c r="L120" s="6"/>
      <c r="M120" s="6"/>
      <c r="N120" s="8"/>
      <c r="O120" s="8"/>
    </row>
    <row r="121" spans="12:15" ht="16.5" customHeight="1" x14ac:dyDescent="0.25">
      <c r="L121" s="6"/>
      <c r="M121" s="6"/>
      <c r="N121" s="8"/>
      <c r="O121" s="8"/>
    </row>
    <row r="122" spans="12:15" ht="16.5" customHeight="1" x14ac:dyDescent="0.25">
      <c r="L122" s="6"/>
      <c r="M122" s="6"/>
      <c r="N122" s="8"/>
      <c r="O122" s="8"/>
    </row>
    <row r="123" spans="12:15" ht="16.5" customHeight="1" x14ac:dyDescent="0.25">
      <c r="L123" s="6"/>
      <c r="M123" s="6"/>
      <c r="N123" s="8"/>
      <c r="O123" s="8"/>
    </row>
    <row r="124" spans="12:15" ht="16.5" customHeight="1" x14ac:dyDescent="0.25">
      <c r="L124" s="6"/>
      <c r="M124" s="6"/>
      <c r="N124" s="8"/>
      <c r="O124" s="8"/>
    </row>
    <row r="125" spans="12:15" ht="16.5" customHeight="1" x14ac:dyDescent="0.25">
      <c r="L125" s="6"/>
      <c r="M125" s="6"/>
      <c r="N125" s="8"/>
      <c r="O125" s="8"/>
    </row>
    <row r="126" spans="12:15" ht="16.5" customHeight="1" x14ac:dyDescent="0.25">
      <c r="L126" s="6"/>
      <c r="M126" s="6"/>
      <c r="N126" s="8"/>
      <c r="O126" s="8"/>
    </row>
    <row r="127" spans="12:15" ht="16.5" customHeight="1" x14ac:dyDescent="0.25">
      <c r="L127" s="6"/>
      <c r="M127" s="6"/>
      <c r="N127" s="8"/>
      <c r="O127" s="8"/>
    </row>
    <row r="128" spans="12:15" ht="16.5" customHeight="1" x14ac:dyDescent="0.25">
      <c r="L128" s="6"/>
      <c r="M128" s="6"/>
      <c r="N128" s="8"/>
      <c r="O128" s="8"/>
    </row>
    <row r="129" spans="12:15" ht="16.5" customHeight="1" x14ac:dyDescent="0.25">
      <c r="L129" s="6"/>
      <c r="M129" s="6"/>
      <c r="N129" s="8"/>
      <c r="O129" s="8"/>
    </row>
    <row r="130" spans="12:15" ht="16.5" customHeight="1" x14ac:dyDescent="0.25">
      <c r="L130" s="6"/>
      <c r="M130" s="6"/>
      <c r="N130" s="8"/>
      <c r="O130" s="8"/>
    </row>
    <row r="131" spans="12:15" ht="16.5" customHeight="1" x14ac:dyDescent="0.25">
      <c r="L131" s="6"/>
      <c r="M131" s="6"/>
      <c r="N131" s="8"/>
      <c r="O131" s="8"/>
    </row>
    <row r="132" spans="12:15" ht="16.5" customHeight="1" x14ac:dyDescent="0.25">
      <c r="L132" s="6"/>
      <c r="M132" s="6"/>
      <c r="N132" s="8"/>
      <c r="O132" s="8"/>
    </row>
    <row r="133" spans="12:15" ht="16.5" customHeight="1" x14ac:dyDescent="0.25">
      <c r="L133" s="6"/>
      <c r="M133" s="6"/>
      <c r="N133" s="8"/>
      <c r="O133" s="8"/>
    </row>
    <row r="134" spans="12:15" ht="16.5" customHeight="1" x14ac:dyDescent="0.25">
      <c r="L134" s="6"/>
      <c r="M134" s="6"/>
      <c r="N134" s="8"/>
      <c r="O134" s="8"/>
    </row>
    <row r="135" spans="12:15" ht="16.5" customHeight="1" x14ac:dyDescent="0.25">
      <c r="L135" s="6"/>
      <c r="M135" s="6"/>
      <c r="N135" s="8"/>
      <c r="O135" s="8"/>
    </row>
    <row r="136" spans="12:15" ht="16.5" customHeight="1" x14ac:dyDescent="0.25">
      <c r="L136" s="6"/>
      <c r="M136" s="6"/>
      <c r="N136" s="8"/>
      <c r="O136" s="8"/>
    </row>
    <row r="137" spans="12:15" ht="16.5" customHeight="1" x14ac:dyDescent="0.25">
      <c r="L137" s="6"/>
      <c r="M137" s="6"/>
      <c r="N137" s="8"/>
      <c r="O137" s="8"/>
    </row>
    <row r="138" spans="12:15" ht="16.5" customHeight="1" x14ac:dyDescent="0.25">
      <c r="L138" s="6"/>
      <c r="M138" s="6"/>
      <c r="N138" s="8"/>
      <c r="O138" s="8"/>
    </row>
    <row r="139" spans="12:15" ht="16.5" customHeight="1" x14ac:dyDescent="0.25">
      <c r="L139" s="6"/>
      <c r="M139" s="6"/>
      <c r="N139" s="8"/>
      <c r="O139" s="8"/>
    </row>
    <row r="140" spans="12:15" ht="16.5" customHeight="1" x14ac:dyDescent="0.25">
      <c r="L140" s="6"/>
      <c r="M140" s="6"/>
      <c r="N140" s="8"/>
      <c r="O140" s="8"/>
    </row>
    <row r="141" spans="12:15" ht="16.5" customHeight="1" x14ac:dyDescent="0.25">
      <c r="L141" s="6"/>
      <c r="M141" s="6"/>
      <c r="N141" s="8"/>
      <c r="O141" s="8"/>
    </row>
    <row r="142" spans="12:15" ht="16.5" customHeight="1" x14ac:dyDescent="0.25">
      <c r="L142" s="6"/>
      <c r="M142" s="6"/>
      <c r="N142" s="8"/>
      <c r="O142" s="8"/>
    </row>
    <row r="143" spans="12:15" ht="16.5" customHeight="1" x14ac:dyDescent="0.25">
      <c r="L143" s="6"/>
      <c r="M143" s="6"/>
      <c r="N143" s="8"/>
      <c r="O143" s="8"/>
    </row>
    <row r="144" spans="12:15" ht="16.5" customHeight="1" x14ac:dyDescent="0.25">
      <c r="L144" s="6"/>
      <c r="M144" s="6"/>
      <c r="N144" s="8"/>
      <c r="O144" s="8"/>
    </row>
    <row r="145" spans="12:15" ht="16.5" customHeight="1" x14ac:dyDescent="0.25">
      <c r="L145" s="6"/>
      <c r="M145" s="6"/>
      <c r="N145" s="8"/>
      <c r="O145" s="8"/>
    </row>
    <row r="146" spans="12:15" ht="16.5" customHeight="1" x14ac:dyDescent="0.25">
      <c r="L146" s="6"/>
      <c r="M146" s="6"/>
      <c r="N146" s="8"/>
      <c r="O146" s="8"/>
    </row>
    <row r="147" spans="12:15" ht="16.5" customHeight="1" x14ac:dyDescent="0.25">
      <c r="L147" s="6"/>
      <c r="M147" s="6"/>
      <c r="N147" s="8"/>
      <c r="O147" s="8"/>
    </row>
    <row r="148" spans="12:15" ht="16.5" customHeight="1" x14ac:dyDescent="0.25">
      <c r="L148" s="6"/>
      <c r="M148" s="6"/>
      <c r="N148" s="8"/>
      <c r="O148" s="8"/>
    </row>
    <row r="149" spans="12:15" ht="16.5" customHeight="1" x14ac:dyDescent="0.25">
      <c r="L149" s="6"/>
      <c r="M149" s="6"/>
      <c r="N149" s="8"/>
      <c r="O149" s="8"/>
    </row>
    <row r="150" spans="12:15" ht="16.5" customHeight="1" x14ac:dyDescent="0.25">
      <c r="L150" s="6"/>
      <c r="M150" s="6"/>
      <c r="N150" s="8"/>
      <c r="O150" s="8"/>
    </row>
    <row r="151" spans="12:15" ht="16.5" customHeight="1" x14ac:dyDescent="0.25">
      <c r="L151" s="6"/>
      <c r="M151" s="6"/>
      <c r="N151" s="8"/>
      <c r="O151" s="8"/>
    </row>
    <row r="152" spans="12:15" ht="16.5" customHeight="1" x14ac:dyDescent="0.25">
      <c r="L152" s="6"/>
      <c r="M152" s="6"/>
      <c r="N152" s="8"/>
      <c r="O152" s="8"/>
    </row>
    <row r="153" spans="12:15" ht="16.5" customHeight="1" x14ac:dyDescent="0.25">
      <c r="L153" s="6"/>
      <c r="M153" s="6"/>
      <c r="N153" s="8"/>
      <c r="O153" s="8"/>
    </row>
    <row r="154" spans="12:15" ht="16.5" customHeight="1" x14ac:dyDescent="0.25">
      <c r="L154" s="6"/>
      <c r="M154" s="6"/>
      <c r="N154" s="8"/>
      <c r="O154" s="8"/>
    </row>
    <row r="155" spans="12:15" ht="16.5" customHeight="1" x14ac:dyDescent="0.25">
      <c r="L155" s="6"/>
      <c r="M155" s="6"/>
      <c r="N155" s="8"/>
      <c r="O155" s="8"/>
    </row>
    <row r="156" spans="12:15" ht="16.5" customHeight="1" x14ac:dyDescent="0.25">
      <c r="L156" s="6"/>
      <c r="M156" s="6"/>
      <c r="N156" s="8"/>
      <c r="O156" s="8"/>
    </row>
    <row r="157" spans="12:15" ht="16.5" customHeight="1" x14ac:dyDescent="0.25">
      <c r="L157" s="6"/>
      <c r="M157" s="6"/>
      <c r="N157" s="8"/>
      <c r="O157" s="8"/>
    </row>
    <row r="158" spans="12:15" ht="16.5" customHeight="1" x14ac:dyDescent="0.25">
      <c r="L158" s="6"/>
      <c r="M158" s="6"/>
      <c r="N158" s="8"/>
      <c r="O158" s="8"/>
    </row>
    <row r="159" spans="12:15" ht="16.5" customHeight="1" x14ac:dyDescent="0.25">
      <c r="L159" s="6"/>
      <c r="M159" s="6"/>
      <c r="N159" s="8"/>
      <c r="O159" s="8"/>
    </row>
    <row r="160" spans="12:15" ht="16.5" customHeight="1" x14ac:dyDescent="0.25">
      <c r="L160" s="6"/>
      <c r="M160" s="6"/>
      <c r="N160" s="8"/>
      <c r="O160" s="8"/>
    </row>
    <row r="161" spans="12:15" ht="16.5" customHeight="1" x14ac:dyDescent="0.25">
      <c r="L161" s="6"/>
      <c r="M161" s="6"/>
      <c r="N161" s="8"/>
      <c r="O161" s="8"/>
    </row>
    <row r="162" spans="12:15" ht="16.5" customHeight="1" x14ac:dyDescent="0.25">
      <c r="L162" s="6"/>
      <c r="M162" s="6"/>
      <c r="N162" s="8"/>
      <c r="O162" s="8"/>
    </row>
    <row r="163" spans="12:15" ht="16.5" customHeight="1" x14ac:dyDescent="0.25">
      <c r="L163" s="6"/>
      <c r="M163" s="6"/>
      <c r="N163" s="8"/>
      <c r="O163" s="8"/>
    </row>
    <row r="164" spans="12:15" ht="16.5" customHeight="1" x14ac:dyDescent="0.25">
      <c r="L164" s="6"/>
      <c r="M164" s="6"/>
      <c r="N164" s="8"/>
      <c r="O164" s="8"/>
    </row>
    <row r="165" spans="12:15" ht="16.5" customHeight="1" x14ac:dyDescent="0.25">
      <c r="L165" s="6"/>
      <c r="M165" s="6"/>
      <c r="N165" s="8"/>
      <c r="O165" s="8"/>
    </row>
    <row r="166" spans="12:15" ht="16.5" customHeight="1" x14ac:dyDescent="0.25">
      <c r="L166" s="6"/>
      <c r="M166" s="6"/>
      <c r="N166" s="8"/>
      <c r="O166" s="8"/>
    </row>
    <row r="167" spans="12:15" ht="16.5" customHeight="1" x14ac:dyDescent="0.25">
      <c r="L167" s="6"/>
      <c r="M167" s="6"/>
      <c r="N167" s="8"/>
      <c r="O167" s="8"/>
    </row>
    <row r="168" spans="12:15" ht="16.5" customHeight="1" x14ac:dyDescent="0.25">
      <c r="L168" s="6"/>
      <c r="M168" s="6"/>
      <c r="N168" s="8"/>
      <c r="O168" s="8"/>
    </row>
    <row r="169" spans="12:15" ht="16.5" customHeight="1" x14ac:dyDescent="0.25">
      <c r="L169" s="6"/>
      <c r="M169" s="6"/>
      <c r="N169" s="8"/>
      <c r="O169" s="8"/>
    </row>
    <row r="170" spans="12:15" ht="16.5" customHeight="1" x14ac:dyDescent="0.25">
      <c r="L170" s="6"/>
      <c r="M170" s="6"/>
      <c r="N170" s="8"/>
      <c r="O170" s="8"/>
    </row>
    <row r="171" spans="12:15" ht="16.5" customHeight="1" x14ac:dyDescent="0.25">
      <c r="L171" s="6"/>
      <c r="M171" s="6"/>
      <c r="N171" s="8"/>
      <c r="O171" s="8"/>
    </row>
    <row r="172" spans="12:15" ht="16.5" customHeight="1" x14ac:dyDescent="0.25">
      <c r="L172" s="6"/>
      <c r="M172" s="6"/>
      <c r="N172" s="8"/>
      <c r="O172" s="8"/>
    </row>
    <row r="173" spans="12:15" ht="16.5" customHeight="1" x14ac:dyDescent="0.25">
      <c r="L173" s="6"/>
      <c r="M173" s="6"/>
      <c r="N173" s="8"/>
      <c r="O173" s="8"/>
    </row>
    <row r="174" spans="12:15" ht="16.5" customHeight="1" x14ac:dyDescent="0.25">
      <c r="L174" s="6"/>
      <c r="M174" s="6"/>
      <c r="N174" s="8"/>
      <c r="O174" s="8"/>
    </row>
    <row r="175" spans="12:15" ht="16.5" customHeight="1" x14ac:dyDescent="0.25">
      <c r="L175" s="6"/>
      <c r="M175" s="6"/>
      <c r="N175" s="8"/>
      <c r="O175" s="8"/>
    </row>
    <row r="176" spans="12:15" ht="16.5" customHeight="1" x14ac:dyDescent="0.25">
      <c r="L176" s="6"/>
      <c r="M176" s="6"/>
      <c r="N176" s="8"/>
      <c r="O176" s="8"/>
    </row>
    <row r="177" spans="12:15" ht="16.5" customHeight="1" x14ac:dyDescent="0.25">
      <c r="L177" s="6"/>
      <c r="M177" s="6"/>
      <c r="N177" s="8"/>
      <c r="O177" s="8"/>
    </row>
    <row r="178" spans="12:15" ht="16.5" customHeight="1" x14ac:dyDescent="0.25">
      <c r="L178" s="6"/>
      <c r="M178" s="6"/>
      <c r="N178" s="8"/>
      <c r="O178" s="8"/>
    </row>
    <row r="179" spans="12:15" ht="16.5" customHeight="1" x14ac:dyDescent="0.25">
      <c r="L179" s="6"/>
      <c r="M179" s="6"/>
      <c r="N179" s="8"/>
      <c r="O179" s="8"/>
    </row>
    <row r="180" spans="12:15" ht="16.5" customHeight="1" x14ac:dyDescent="0.25">
      <c r="L180" s="6"/>
      <c r="M180" s="6"/>
      <c r="N180" s="8"/>
      <c r="O180" s="8"/>
    </row>
    <row r="181" spans="12:15" ht="16.5" customHeight="1" x14ac:dyDescent="0.25">
      <c r="L181" s="6"/>
      <c r="M181" s="6"/>
      <c r="N181" s="8"/>
      <c r="O181" s="8"/>
    </row>
    <row r="182" spans="12:15" ht="16.5" customHeight="1" x14ac:dyDescent="0.25">
      <c r="L182" s="6"/>
      <c r="M182" s="6"/>
      <c r="N182" s="8"/>
      <c r="O182" s="8"/>
    </row>
    <row r="183" spans="12:15" ht="16.5" customHeight="1" x14ac:dyDescent="0.25">
      <c r="L183" s="6"/>
      <c r="M183" s="6"/>
      <c r="N183" s="8"/>
      <c r="O183" s="8"/>
    </row>
    <row r="184" spans="12:15" ht="16.5" customHeight="1" x14ac:dyDescent="0.25">
      <c r="L184" s="6"/>
      <c r="M184" s="6"/>
      <c r="N184" s="8"/>
      <c r="O184" s="8"/>
    </row>
    <row r="185" spans="12:15" ht="16.5" customHeight="1" x14ac:dyDescent="0.25">
      <c r="L185" s="6"/>
      <c r="M185" s="6"/>
      <c r="N185" s="8"/>
      <c r="O185" s="8"/>
    </row>
    <row r="186" spans="12:15" ht="16.5" customHeight="1" x14ac:dyDescent="0.25">
      <c r="L186" s="6"/>
      <c r="M186" s="6"/>
      <c r="N186" s="8"/>
      <c r="O186" s="8"/>
    </row>
    <row r="187" spans="12:15" ht="16.5" customHeight="1" x14ac:dyDescent="0.25">
      <c r="L187" s="6"/>
      <c r="M187" s="6"/>
      <c r="N187" s="8"/>
      <c r="O187" s="8"/>
    </row>
    <row r="188" spans="12:15" ht="16.5" customHeight="1" x14ac:dyDescent="0.25">
      <c r="L188" s="6"/>
      <c r="M188" s="6"/>
      <c r="N188" s="8"/>
      <c r="O188" s="8"/>
    </row>
    <row r="189" spans="12:15" ht="16.5" customHeight="1" x14ac:dyDescent="0.25">
      <c r="L189" s="6"/>
      <c r="M189" s="6"/>
      <c r="N189" s="8"/>
      <c r="O189" s="8"/>
    </row>
    <row r="190" spans="12:15" ht="16.5" customHeight="1" x14ac:dyDescent="0.25">
      <c r="L190" s="6"/>
      <c r="M190" s="6"/>
      <c r="N190" s="8"/>
      <c r="O190" s="8"/>
    </row>
    <row r="191" spans="12:15" ht="16.5" customHeight="1" x14ac:dyDescent="0.25">
      <c r="L191" s="6"/>
      <c r="M191" s="6"/>
      <c r="N191" s="8"/>
      <c r="O191" s="8"/>
    </row>
    <row r="192" spans="12:15" ht="16.5" customHeight="1" x14ac:dyDescent="0.25">
      <c r="L192" s="6"/>
      <c r="M192" s="6"/>
      <c r="N192" s="8"/>
      <c r="O192" s="8"/>
    </row>
    <row r="193" spans="12:15" ht="16.5" customHeight="1" x14ac:dyDescent="0.25">
      <c r="L193" s="6"/>
      <c r="M193" s="6"/>
      <c r="N193" s="8"/>
      <c r="O193" s="8"/>
    </row>
    <row r="194" spans="12:15" ht="16.5" customHeight="1" x14ac:dyDescent="0.25">
      <c r="L194" s="6"/>
      <c r="M194" s="6"/>
      <c r="N194" s="8"/>
      <c r="O194" s="8"/>
    </row>
    <row r="195" spans="12:15" ht="16.5" customHeight="1" x14ac:dyDescent="0.25">
      <c r="L195" s="6"/>
      <c r="M195" s="6"/>
      <c r="N195" s="8"/>
      <c r="O195" s="8"/>
    </row>
    <row r="196" spans="12:15" ht="16.5" customHeight="1" x14ac:dyDescent="0.25">
      <c r="L196" s="6"/>
      <c r="M196" s="6"/>
      <c r="N196" s="8"/>
      <c r="O196" s="8"/>
    </row>
    <row r="197" spans="12:15" ht="16.5" customHeight="1" x14ac:dyDescent="0.25">
      <c r="L197" s="6"/>
      <c r="M197" s="6"/>
      <c r="N197" s="8"/>
      <c r="O197" s="8"/>
    </row>
    <row r="198" spans="12:15" ht="16.5" customHeight="1" x14ac:dyDescent="0.25">
      <c r="L198" s="6"/>
      <c r="M198" s="6"/>
      <c r="N198" s="8"/>
      <c r="O198" s="8"/>
    </row>
    <row r="199" spans="12:15" ht="16.5" customHeight="1" x14ac:dyDescent="0.25">
      <c r="L199" s="6"/>
      <c r="M199" s="6"/>
      <c r="N199" s="8"/>
      <c r="O199" s="8"/>
    </row>
    <row r="200" spans="12:15" ht="16.5" customHeight="1" x14ac:dyDescent="0.25">
      <c r="L200" s="6"/>
      <c r="M200" s="6"/>
      <c r="N200" s="8"/>
      <c r="O200" s="8"/>
    </row>
    <row r="201" spans="12:15" ht="16.5" customHeight="1" x14ac:dyDescent="0.25">
      <c r="L201" s="6"/>
      <c r="M201" s="6"/>
      <c r="N201" s="8"/>
      <c r="O201" s="8"/>
    </row>
    <row r="202" spans="12:15" ht="16.5" customHeight="1" x14ac:dyDescent="0.25">
      <c r="L202" s="6"/>
      <c r="M202" s="6"/>
      <c r="N202" s="8"/>
      <c r="O202" s="8"/>
    </row>
    <row r="203" spans="12:15" ht="16.5" customHeight="1" x14ac:dyDescent="0.25">
      <c r="L203" s="6"/>
      <c r="M203" s="6"/>
      <c r="N203" s="8"/>
      <c r="O203" s="8"/>
    </row>
    <row r="204" spans="12:15" ht="16.5" customHeight="1" x14ac:dyDescent="0.25">
      <c r="L204" s="6"/>
      <c r="M204" s="6"/>
      <c r="N204" s="8"/>
      <c r="O204" s="8"/>
    </row>
    <row r="205" spans="12:15" ht="16.5" customHeight="1" x14ac:dyDescent="0.25">
      <c r="L205" s="6"/>
      <c r="M205" s="6"/>
      <c r="N205" s="8"/>
      <c r="O205" s="8"/>
    </row>
    <row r="206" spans="12:15" ht="16.5" customHeight="1" x14ac:dyDescent="0.25">
      <c r="L206" s="6"/>
      <c r="M206" s="6"/>
      <c r="N206" s="8"/>
      <c r="O206" s="8"/>
    </row>
    <row r="207" spans="12:15" ht="16.5" customHeight="1" x14ac:dyDescent="0.25">
      <c r="L207" s="6"/>
      <c r="M207" s="6"/>
      <c r="N207" s="8"/>
      <c r="O207" s="8"/>
    </row>
    <row r="208" spans="12:15" ht="16.5" customHeight="1" x14ac:dyDescent="0.25">
      <c r="L208" s="6"/>
      <c r="M208" s="6"/>
      <c r="N208" s="8"/>
      <c r="O208" s="8"/>
    </row>
    <row r="209" spans="12:15" ht="16.5" customHeight="1" x14ac:dyDescent="0.25">
      <c r="L209" s="6"/>
      <c r="M209" s="6"/>
      <c r="N209" s="8"/>
      <c r="O209" s="8"/>
    </row>
    <row r="210" spans="12:15" ht="16.5" customHeight="1" x14ac:dyDescent="0.25">
      <c r="L210" s="6"/>
      <c r="M210" s="6"/>
      <c r="N210" s="8"/>
      <c r="O210" s="8"/>
    </row>
    <row r="211" spans="12:15" ht="16.5" customHeight="1" x14ac:dyDescent="0.25">
      <c r="L211" s="6"/>
      <c r="M211" s="6"/>
      <c r="N211" s="8"/>
      <c r="O211" s="8"/>
    </row>
    <row r="212" spans="12:15" ht="16.5" customHeight="1" x14ac:dyDescent="0.25">
      <c r="L212" s="6"/>
      <c r="M212" s="6"/>
      <c r="N212" s="8"/>
      <c r="O212" s="8"/>
    </row>
    <row r="213" spans="12:15" ht="16.5" customHeight="1" x14ac:dyDescent="0.25">
      <c r="L213" s="6"/>
      <c r="M213" s="6"/>
      <c r="N213" s="8"/>
      <c r="O213" s="8"/>
    </row>
    <row r="214" spans="12:15" ht="16.5" customHeight="1" x14ac:dyDescent="0.25">
      <c r="L214" s="6"/>
      <c r="M214" s="6"/>
      <c r="N214" s="8"/>
      <c r="O214" s="8"/>
    </row>
    <row r="215" spans="12:15" ht="16.5" customHeight="1" x14ac:dyDescent="0.25">
      <c r="L215" s="6"/>
      <c r="M215" s="6"/>
      <c r="N215" s="8"/>
      <c r="O215" s="8"/>
    </row>
    <row r="216" spans="12:15" ht="16.5" customHeight="1" x14ac:dyDescent="0.25">
      <c r="L216" s="6"/>
      <c r="M216" s="6"/>
      <c r="N216" s="8"/>
      <c r="O216" s="8"/>
    </row>
    <row r="217" spans="12:15" ht="16.5" customHeight="1" x14ac:dyDescent="0.25">
      <c r="L217" s="6"/>
      <c r="M217" s="6"/>
      <c r="N217" s="8"/>
      <c r="O217" s="8"/>
    </row>
    <row r="218" spans="12:15" ht="16.5" customHeight="1" x14ac:dyDescent="0.25">
      <c r="L218" s="6"/>
      <c r="M218" s="6"/>
      <c r="N218" s="8"/>
      <c r="O218" s="8"/>
    </row>
    <row r="219" spans="12:15" ht="16.5" customHeight="1" x14ac:dyDescent="0.25">
      <c r="L219" s="6"/>
      <c r="M219" s="6"/>
      <c r="N219" s="8"/>
      <c r="O219" s="8"/>
    </row>
    <row r="220" spans="12:15" ht="16.5" customHeight="1" x14ac:dyDescent="0.25">
      <c r="L220" s="6"/>
      <c r="M220" s="6"/>
      <c r="N220" s="8"/>
      <c r="O220" s="8"/>
    </row>
    <row r="221" spans="12:15" ht="16.5" customHeight="1" x14ac:dyDescent="0.25">
      <c r="L221" s="6"/>
      <c r="M221" s="6"/>
      <c r="N221" s="8"/>
      <c r="O221" s="8"/>
    </row>
    <row r="222" spans="12:15" ht="16.5" customHeight="1" x14ac:dyDescent="0.25">
      <c r="L222" s="6"/>
      <c r="M222" s="6"/>
      <c r="N222" s="8"/>
      <c r="O222" s="8"/>
    </row>
    <row r="223" spans="12:15" ht="16.5" customHeight="1" x14ac:dyDescent="0.25">
      <c r="L223" s="6"/>
      <c r="M223" s="6"/>
      <c r="N223" s="8"/>
      <c r="O223" s="8"/>
    </row>
    <row r="224" spans="12:15" ht="16.5" customHeight="1" x14ac:dyDescent="0.25">
      <c r="L224" s="6"/>
      <c r="M224" s="6"/>
      <c r="N224" s="8"/>
      <c r="O224" s="8"/>
    </row>
    <row r="225" spans="12:15" ht="16.5" customHeight="1" x14ac:dyDescent="0.25">
      <c r="L225" s="6"/>
      <c r="M225" s="6"/>
      <c r="N225" s="8"/>
      <c r="O225" s="8"/>
    </row>
    <row r="226" spans="12:15" ht="16.5" customHeight="1" x14ac:dyDescent="0.25">
      <c r="L226" s="6"/>
      <c r="M226" s="6"/>
      <c r="N226" s="8"/>
      <c r="O226" s="8"/>
    </row>
    <row r="227" spans="12:15" ht="16.5" customHeight="1" x14ac:dyDescent="0.25">
      <c r="L227" s="6"/>
      <c r="M227" s="6"/>
      <c r="N227" s="8"/>
      <c r="O227" s="8"/>
    </row>
    <row r="228" spans="12:15" ht="16.5" customHeight="1" x14ac:dyDescent="0.25">
      <c r="L228" s="6"/>
      <c r="M228" s="6"/>
      <c r="N228" s="8"/>
      <c r="O228" s="8"/>
    </row>
    <row r="229" spans="12:15" ht="16.5" customHeight="1" x14ac:dyDescent="0.25">
      <c r="L229" s="6"/>
      <c r="M229" s="6"/>
      <c r="N229" s="8"/>
      <c r="O229" s="8"/>
    </row>
    <row r="230" spans="12:15" ht="16.5" customHeight="1" x14ac:dyDescent="0.25">
      <c r="L230" s="6"/>
      <c r="M230" s="6"/>
      <c r="N230" s="8"/>
      <c r="O230" s="8"/>
    </row>
    <row r="231" spans="12:15" ht="16.5" customHeight="1" x14ac:dyDescent="0.25">
      <c r="L231" s="6"/>
      <c r="M231" s="6"/>
      <c r="N231" s="8"/>
      <c r="O231" s="8"/>
    </row>
    <row r="232" spans="12:15" ht="16.5" customHeight="1" x14ac:dyDescent="0.25">
      <c r="L232" s="6"/>
      <c r="M232" s="6"/>
      <c r="N232" s="8"/>
      <c r="O232" s="8"/>
    </row>
    <row r="233" spans="12:15" ht="16.5" customHeight="1" x14ac:dyDescent="0.25">
      <c r="L233" s="6"/>
      <c r="M233" s="6"/>
      <c r="N233" s="8"/>
      <c r="O233" s="8"/>
    </row>
    <row r="234" spans="12:15" ht="16.5" customHeight="1" x14ac:dyDescent="0.25">
      <c r="L234" s="6"/>
      <c r="M234" s="6"/>
      <c r="N234" s="8"/>
      <c r="O234" s="8"/>
    </row>
    <row r="235" spans="12:15" ht="16.5" customHeight="1" x14ac:dyDescent="0.25">
      <c r="L235" s="6"/>
      <c r="M235" s="6"/>
      <c r="N235" s="8"/>
      <c r="O235" s="8"/>
    </row>
    <row r="236" spans="12:15" ht="16.5" customHeight="1" x14ac:dyDescent="0.25">
      <c r="L236" s="6"/>
      <c r="M236" s="6"/>
      <c r="N236" s="8"/>
      <c r="O236" s="8"/>
    </row>
    <row r="237" spans="12:15" ht="16.5" customHeight="1" x14ac:dyDescent="0.25">
      <c r="L237" s="6"/>
      <c r="M237" s="6"/>
      <c r="N237" s="8"/>
      <c r="O237" s="8"/>
    </row>
    <row r="238" spans="12:15" ht="16.5" customHeight="1" x14ac:dyDescent="0.25">
      <c r="L238" s="6"/>
      <c r="M238" s="6"/>
      <c r="N238" s="8"/>
      <c r="O238" s="8"/>
    </row>
    <row r="239" spans="12:15" ht="16.5" customHeight="1" x14ac:dyDescent="0.25">
      <c r="L239" s="6"/>
      <c r="M239" s="6"/>
      <c r="N239" s="8"/>
      <c r="O239" s="8"/>
    </row>
    <row r="240" spans="12:15" ht="16.5" customHeight="1" x14ac:dyDescent="0.25">
      <c r="L240" s="6"/>
      <c r="M240" s="6"/>
      <c r="N240" s="8"/>
      <c r="O240" s="8"/>
    </row>
    <row r="241" spans="12:15" ht="16.5" customHeight="1" x14ac:dyDescent="0.25">
      <c r="L241" s="6"/>
      <c r="M241" s="6"/>
      <c r="N241" s="8"/>
      <c r="O241" s="8"/>
    </row>
    <row r="242" spans="12:15" ht="16.5" customHeight="1" x14ac:dyDescent="0.25">
      <c r="L242" s="6"/>
      <c r="M242" s="6"/>
      <c r="N242" s="8"/>
      <c r="O242" s="8"/>
    </row>
    <row r="243" spans="12:15" ht="16.5" customHeight="1" x14ac:dyDescent="0.25">
      <c r="L243" s="6"/>
      <c r="M243" s="6"/>
      <c r="N243" s="8"/>
      <c r="O243" s="8"/>
    </row>
    <row r="244" spans="12:15" ht="16.5" customHeight="1" x14ac:dyDescent="0.25">
      <c r="L244" s="6"/>
      <c r="M244" s="6"/>
      <c r="N244" s="8"/>
      <c r="O244" s="8"/>
    </row>
    <row r="245" spans="12:15" ht="16.5" customHeight="1" x14ac:dyDescent="0.25">
      <c r="L245" s="6"/>
      <c r="M245" s="6"/>
      <c r="N245" s="8"/>
      <c r="O245" s="8"/>
    </row>
    <row r="246" spans="12:15" ht="16.5" customHeight="1" x14ac:dyDescent="0.25">
      <c r="L246" s="6"/>
      <c r="M246" s="6"/>
      <c r="N246" s="8"/>
      <c r="O246" s="8"/>
    </row>
    <row r="247" spans="12:15" ht="16.5" customHeight="1" x14ac:dyDescent="0.25">
      <c r="L247" s="6"/>
      <c r="M247" s="6"/>
      <c r="N247" s="8"/>
      <c r="O247" s="8"/>
    </row>
    <row r="248" spans="12:15" ht="16.5" customHeight="1" x14ac:dyDescent="0.25">
      <c r="L248" s="6"/>
      <c r="M248" s="6"/>
      <c r="N248" s="8"/>
      <c r="O248" s="8"/>
    </row>
    <row r="249" spans="12:15" ht="16.5" customHeight="1" x14ac:dyDescent="0.25">
      <c r="L249" s="6"/>
      <c r="M249" s="6"/>
      <c r="N249" s="8"/>
      <c r="O249" s="8"/>
    </row>
    <row r="250" spans="12:15" ht="16.5" customHeight="1" x14ac:dyDescent="0.25">
      <c r="L250" s="6"/>
      <c r="M250" s="6"/>
      <c r="N250" s="8"/>
      <c r="O250" s="8"/>
    </row>
    <row r="251" spans="12:15" ht="16.5" customHeight="1" x14ac:dyDescent="0.25">
      <c r="L251" s="6"/>
      <c r="M251" s="6"/>
      <c r="N251" s="8"/>
      <c r="O251" s="8"/>
    </row>
    <row r="252" spans="12:15" ht="16.5" customHeight="1" x14ac:dyDescent="0.25">
      <c r="L252" s="6"/>
      <c r="M252" s="6"/>
      <c r="N252" s="8"/>
      <c r="O252" s="8"/>
    </row>
    <row r="253" spans="12:15" ht="16.5" customHeight="1" x14ac:dyDescent="0.25">
      <c r="L253" s="6"/>
      <c r="M253" s="6"/>
      <c r="N253" s="8"/>
      <c r="O253" s="8"/>
    </row>
    <row r="254" spans="12:15" ht="16.5" customHeight="1" x14ac:dyDescent="0.25">
      <c r="L254" s="6"/>
      <c r="M254" s="6"/>
      <c r="N254" s="8"/>
      <c r="O254" s="8"/>
    </row>
    <row r="255" spans="12:15" ht="16.5" customHeight="1" x14ac:dyDescent="0.25">
      <c r="L255" s="6"/>
      <c r="M255" s="6"/>
      <c r="N255" s="8"/>
      <c r="O255" s="8"/>
    </row>
    <row r="256" spans="12:15" ht="16.5" customHeight="1" x14ac:dyDescent="0.25">
      <c r="L256" s="6"/>
      <c r="M256" s="6"/>
      <c r="N256" s="8"/>
      <c r="O256" s="8"/>
    </row>
    <row r="257" spans="12:15" ht="16.5" customHeight="1" x14ac:dyDescent="0.25">
      <c r="L257" s="6"/>
      <c r="M257" s="6"/>
      <c r="N257" s="8"/>
      <c r="O257" s="8"/>
    </row>
    <row r="258" spans="12:15" ht="16.5" customHeight="1" x14ac:dyDescent="0.25">
      <c r="L258" s="6"/>
      <c r="M258" s="6"/>
      <c r="N258" s="8"/>
      <c r="O258" s="8"/>
    </row>
    <row r="259" spans="12:15" ht="16.5" customHeight="1" x14ac:dyDescent="0.25">
      <c r="L259" s="6"/>
      <c r="M259" s="6"/>
      <c r="N259" s="8"/>
      <c r="O259" s="8"/>
    </row>
    <row r="260" spans="12:15" ht="16.5" customHeight="1" x14ac:dyDescent="0.25">
      <c r="L260" s="6"/>
      <c r="M260" s="6"/>
      <c r="N260" s="8"/>
      <c r="O260" s="8"/>
    </row>
    <row r="261" spans="12:15" ht="16.5" customHeight="1" x14ac:dyDescent="0.25">
      <c r="L261" s="6"/>
      <c r="M261" s="6"/>
      <c r="N261" s="8"/>
      <c r="O261" s="8"/>
    </row>
    <row r="262" spans="12:15" ht="16.5" customHeight="1" x14ac:dyDescent="0.25">
      <c r="L262" s="6"/>
      <c r="M262" s="6"/>
      <c r="N262" s="8"/>
      <c r="O262" s="8"/>
    </row>
    <row r="263" spans="12:15" ht="16.5" customHeight="1" x14ac:dyDescent="0.25">
      <c r="L263" s="6"/>
      <c r="M263" s="6"/>
      <c r="N263" s="8"/>
      <c r="O263" s="8"/>
    </row>
    <row r="264" spans="12:15" ht="16.5" customHeight="1" x14ac:dyDescent="0.25">
      <c r="L264" s="6"/>
      <c r="M264" s="6"/>
      <c r="N264" s="8"/>
      <c r="O264" s="8"/>
    </row>
    <row r="265" spans="12:15" ht="16.5" customHeight="1" x14ac:dyDescent="0.25">
      <c r="L265" s="6"/>
      <c r="M265" s="6"/>
      <c r="N265" s="8"/>
      <c r="O265" s="8"/>
    </row>
    <row r="266" spans="12:15" ht="16.5" customHeight="1" x14ac:dyDescent="0.25">
      <c r="L266" s="6"/>
      <c r="M266" s="6"/>
      <c r="N266" s="8"/>
      <c r="O266" s="8"/>
    </row>
    <row r="267" spans="12:15" ht="16.5" customHeight="1" x14ac:dyDescent="0.25">
      <c r="L267" s="6"/>
      <c r="M267" s="6"/>
      <c r="N267" s="8"/>
      <c r="O267" s="8"/>
    </row>
    <row r="268" spans="12:15" ht="16.5" customHeight="1" x14ac:dyDescent="0.25">
      <c r="L268" s="6"/>
      <c r="M268" s="6"/>
      <c r="N268" s="8"/>
      <c r="O268" s="8"/>
    </row>
    <row r="269" spans="12:15" ht="16.5" customHeight="1" x14ac:dyDescent="0.25">
      <c r="L269" s="6"/>
      <c r="M269" s="6"/>
      <c r="N269" s="8"/>
      <c r="O269" s="8"/>
    </row>
    <row r="270" spans="12:15" ht="16.5" customHeight="1" x14ac:dyDescent="0.25">
      <c r="L270" s="6"/>
      <c r="M270" s="6"/>
      <c r="N270" s="8"/>
      <c r="O270" s="8"/>
    </row>
    <row r="271" spans="12:15" ht="16.5" customHeight="1" x14ac:dyDescent="0.25">
      <c r="L271" s="6"/>
      <c r="M271" s="6"/>
      <c r="N271" s="8"/>
      <c r="O271" s="8"/>
    </row>
    <row r="272" spans="12:15" ht="16.5" customHeight="1" x14ac:dyDescent="0.25">
      <c r="L272" s="6"/>
      <c r="M272" s="6"/>
      <c r="N272" s="8"/>
      <c r="O272" s="8"/>
    </row>
    <row r="273" spans="12:15" ht="16.5" customHeight="1" x14ac:dyDescent="0.25">
      <c r="L273" s="6"/>
      <c r="M273" s="6"/>
      <c r="N273" s="8"/>
      <c r="O273" s="8"/>
    </row>
    <row r="274" spans="12:15" ht="16.5" customHeight="1" x14ac:dyDescent="0.25">
      <c r="L274" s="6"/>
      <c r="M274" s="6"/>
      <c r="N274" s="8"/>
      <c r="O274" s="8"/>
    </row>
    <row r="275" spans="12:15" ht="16.5" customHeight="1" x14ac:dyDescent="0.25">
      <c r="L275" s="6"/>
      <c r="M275" s="6"/>
      <c r="N275" s="8"/>
      <c r="O275" s="8"/>
    </row>
    <row r="276" spans="12:15" ht="16.5" customHeight="1" x14ac:dyDescent="0.25">
      <c r="L276" s="6"/>
      <c r="M276" s="6"/>
      <c r="N276" s="8"/>
      <c r="O276" s="8"/>
    </row>
    <row r="277" spans="12:15" ht="16.5" customHeight="1" x14ac:dyDescent="0.25">
      <c r="L277" s="6"/>
      <c r="M277" s="6"/>
      <c r="N277" s="8"/>
      <c r="O277" s="8"/>
    </row>
    <row r="278" spans="12:15" ht="16.5" customHeight="1" x14ac:dyDescent="0.25">
      <c r="L278" s="6"/>
      <c r="M278" s="6"/>
      <c r="N278" s="8"/>
      <c r="O278" s="8"/>
    </row>
    <row r="279" spans="12:15" ht="16.5" customHeight="1" x14ac:dyDescent="0.25">
      <c r="L279" s="6"/>
      <c r="M279" s="6"/>
      <c r="N279" s="8"/>
      <c r="O279" s="8"/>
    </row>
    <row r="280" spans="12:15" ht="16.5" customHeight="1" x14ac:dyDescent="0.25">
      <c r="L280" s="6"/>
      <c r="M280" s="6"/>
      <c r="N280" s="8"/>
      <c r="O280" s="8"/>
    </row>
    <row r="281" spans="12:15" ht="16.5" customHeight="1" x14ac:dyDescent="0.25">
      <c r="L281" s="6"/>
      <c r="M281" s="6"/>
      <c r="N281" s="8"/>
      <c r="O281" s="8"/>
    </row>
    <row r="282" spans="12:15" ht="16.5" customHeight="1" x14ac:dyDescent="0.25">
      <c r="L282" s="6"/>
      <c r="M282" s="6"/>
      <c r="N282" s="8"/>
      <c r="O282" s="8"/>
    </row>
    <row r="283" spans="12:15" ht="16.5" customHeight="1" x14ac:dyDescent="0.25">
      <c r="L283" s="6"/>
      <c r="M283" s="6"/>
      <c r="N283" s="8"/>
      <c r="O283" s="8"/>
    </row>
    <row r="284" spans="12:15" ht="16.5" customHeight="1" x14ac:dyDescent="0.25">
      <c r="L284" s="6"/>
      <c r="M284" s="6"/>
      <c r="N284" s="8"/>
      <c r="O284" s="8"/>
    </row>
    <row r="285" spans="12:15" ht="16.5" customHeight="1" x14ac:dyDescent="0.25">
      <c r="L285" s="6"/>
      <c r="M285" s="6"/>
      <c r="N285" s="8"/>
      <c r="O285" s="8"/>
    </row>
    <row r="286" spans="12:15" ht="16.5" customHeight="1" x14ac:dyDescent="0.25">
      <c r="L286" s="6"/>
      <c r="M286" s="6"/>
      <c r="N286" s="8"/>
      <c r="O286" s="8"/>
    </row>
    <row r="287" spans="12:15" ht="16.5" customHeight="1" x14ac:dyDescent="0.25">
      <c r="L287" s="6"/>
      <c r="M287" s="6"/>
      <c r="N287" s="8"/>
      <c r="O287" s="8"/>
    </row>
    <row r="288" spans="12:15" ht="16.5" customHeight="1" x14ac:dyDescent="0.25">
      <c r="L288" s="6"/>
      <c r="M288" s="6"/>
      <c r="N288" s="8"/>
      <c r="O288" s="8"/>
    </row>
    <row r="289" spans="12:15" ht="16.5" customHeight="1" x14ac:dyDescent="0.25">
      <c r="L289" s="6"/>
      <c r="M289" s="6"/>
      <c r="N289" s="8"/>
      <c r="O289" s="8"/>
    </row>
    <row r="290" spans="12:15" ht="16.5" customHeight="1" x14ac:dyDescent="0.25">
      <c r="L290" s="6"/>
      <c r="M290" s="6"/>
      <c r="N290" s="8"/>
      <c r="O290" s="8"/>
    </row>
    <row r="291" spans="12:15" ht="16.5" customHeight="1" x14ac:dyDescent="0.25">
      <c r="L291" s="6"/>
      <c r="M291" s="6"/>
      <c r="N291" s="8"/>
      <c r="O291" s="8"/>
    </row>
    <row r="292" spans="12:15" ht="16.5" customHeight="1" x14ac:dyDescent="0.25">
      <c r="L292" s="6"/>
      <c r="M292" s="6"/>
      <c r="N292" s="8"/>
      <c r="O292" s="8"/>
    </row>
    <row r="293" spans="12:15" ht="16.5" customHeight="1" x14ac:dyDescent="0.25">
      <c r="L293" s="6"/>
      <c r="M293" s="6"/>
      <c r="N293" s="8"/>
      <c r="O293" s="8"/>
    </row>
    <row r="294" spans="12:15" ht="16.5" customHeight="1" x14ac:dyDescent="0.25">
      <c r="L294" s="6"/>
      <c r="M294" s="6"/>
      <c r="N294" s="8"/>
      <c r="O294" s="8"/>
    </row>
    <row r="295" spans="12:15" ht="16.5" customHeight="1" x14ac:dyDescent="0.25">
      <c r="L295" s="6"/>
      <c r="M295" s="6"/>
      <c r="N295" s="8"/>
      <c r="O295" s="8"/>
    </row>
    <row r="296" spans="12:15" ht="16.5" customHeight="1" x14ac:dyDescent="0.25">
      <c r="L296" s="6"/>
      <c r="M296" s="6"/>
      <c r="N296" s="8"/>
      <c r="O296" s="8"/>
    </row>
    <row r="297" spans="12:15" ht="16.5" customHeight="1" x14ac:dyDescent="0.25">
      <c r="L297" s="6"/>
      <c r="M297" s="6"/>
      <c r="N297" s="8"/>
      <c r="O297" s="8"/>
    </row>
    <row r="298" spans="12:15" ht="16.5" customHeight="1" x14ac:dyDescent="0.25">
      <c r="L298" s="6"/>
      <c r="M298" s="6"/>
      <c r="N298" s="8"/>
      <c r="O298" s="8"/>
    </row>
    <row r="299" spans="12:15" ht="16.5" customHeight="1" x14ac:dyDescent="0.25">
      <c r="L299" s="6"/>
      <c r="M299" s="6"/>
      <c r="N299" s="8"/>
      <c r="O299" s="8"/>
    </row>
    <row r="300" spans="12:15" ht="16.5" customHeight="1" x14ac:dyDescent="0.25">
      <c r="L300" s="6"/>
      <c r="M300" s="6"/>
      <c r="N300" s="8"/>
      <c r="O300" s="8"/>
    </row>
    <row r="301" spans="12:15" ht="16.5" customHeight="1" x14ac:dyDescent="0.25">
      <c r="L301" s="6"/>
      <c r="M301" s="6"/>
      <c r="N301" s="8"/>
      <c r="O301" s="8"/>
    </row>
    <row r="302" spans="12:15" ht="16.5" customHeight="1" x14ac:dyDescent="0.25">
      <c r="L302" s="6"/>
      <c r="M302" s="6"/>
      <c r="N302" s="8"/>
      <c r="O302" s="8"/>
    </row>
    <row r="303" spans="12:15" ht="16.5" customHeight="1" x14ac:dyDescent="0.25">
      <c r="L303" s="6"/>
      <c r="M303" s="6"/>
      <c r="N303" s="8"/>
      <c r="O303" s="8"/>
    </row>
    <row r="304" spans="12:15" ht="16.5" customHeight="1" x14ac:dyDescent="0.25">
      <c r="L304" s="6"/>
      <c r="M304" s="6"/>
      <c r="N304" s="8"/>
      <c r="O304" s="8"/>
    </row>
    <row r="305" spans="12:15" ht="16.5" customHeight="1" x14ac:dyDescent="0.25">
      <c r="L305" s="6"/>
      <c r="M305" s="6"/>
      <c r="N305" s="8"/>
      <c r="O305" s="8"/>
    </row>
    <row r="306" spans="12:15" ht="16.5" customHeight="1" x14ac:dyDescent="0.25">
      <c r="L306" s="6"/>
      <c r="M306" s="6"/>
      <c r="N306" s="8"/>
      <c r="O306" s="8"/>
    </row>
    <row r="307" spans="12:15" ht="16.5" customHeight="1" x14ac:dyDescent="0.25">
      <c r="L307" s="6"/>
      <c r="M307" s="6"/>
      <c r="N307" s="8"/>
      <c r="O307" s="8"/>
    </row>
    <row r="308" spans="12:15" ht="16.5" customHeight="1" x14ac:dyDescent="0.25">
      <c r="L308" s="6"/>
      <c r="M308" s="6"/>
      <c r="N308" s="8"/>
      <c r="O308" s="8"/>
    </row>
    <row r="309" spans="12:15" ht="16.5" customHeight="1" x14ac:dyDescent="0.25">
      <c r="L309" s="6"/>
      <c r="M309" s="6"/>
      <c r="N309" s="8"/>
      <c r="O309" s="8"/>
    </row>
    <row r="310" spans="12:15" ht="16.5" customHeight="1" x14ac:dyDescent="0.25">
      <c r="L310" s="6"/>
      <c r="M310" s="6"/>
      <c r="N310" s="8"/>
      <c r="O310" s="8"/>
    </row>
    <row r="311" spans="12:15" ht="16.5" customHeight="1" x14ac:dyDescent="0.25">
      <c r="L311" s="6"/>
      <c r="M311" s="6"/>
      <c r="N311" s="8"/>
      <c r="O311" s="8"/>
    </row>
    <row r="312" spans="12:15" ht="16.5" customHeight="1" x14ac:dyDescent="0.25">
      <c r="L312" s="6"/>
      <c r="M312" s="6"/>
      <c r="N312" s="8"/>
      <c r="O312" s="8"/>
    </row>
    <row r="313" spans="12:15" ht="16.5" customHeight="1" x14ac:dyDescent="0.25">
      <c r="L313" s="6"/>
      <c r="M313" s="6"/>
      <c r="N313" s="8"/>
      <c r="O313" s="8"/>
    </row>
    <row r="314" spans="12:15" ht="16.5" customHeight="1" x14ac:dyDescent="0.25">
      <c r="L314" s="6"/>
      <c r="M314" s="6"/>
      <c r="N314" s="8"/>
      <c r="O314" s="8"/>
    </row>
    <row r="315" spans="12:15" ht="16.5" customHeight="1" x14ac:dyDescent="0.25">
      <c r="L315" s="6"/>
      <c r="M315" s="6"/>
      <c r="N315" s="8"/>
      <c r="O315" s="8"/>
    </row>
    <row r="316" spans="12:15" ht="16.5" customHeight="1" x14ac:dyDescent="0.25">
      <c r="L316" s="6"/>
      <c r="M316" s="6"/>
      <c r="N316" s="8"/>
      <c r="O316" s="8"/>
    </row>
    <row r="317" spans="12:15" ht="16.5" customHeight="1" x14ac:dyDescent="0.25">
      <c r="L317" s="6"/>
      <c r="M317" s="6"/>
      <c r="N317" s="8"/>
      <c r="O317" s="8"/>
    </row>
    <row r="318" spans="12:15" ht="16.5" customHeight="1" x14ac:dyDescent="0.25">
      <c r="L318" s="6"/>
      <c r="M318" s="6"/>
      <c r="N318" s="8"/>
      <c r="O318" s="8"/>
    </row>
    <row r="319" spans="12:15" ht="16.5" customHeight="1" x14ac:dyDescent="0.25">
      <c r="L319" s="6"/>
      <c r="M319" s="6"/>
      <c r="N319" s="8"/>
      <c r="O319" s="8"/>
    </row>
    <row r="320" spans="12:15" ht="16.5" customHeight="1" x14ac:dyDescent="0.25">
      <c r="L320" s="6"/>
      <c r="M320" s="6"/>
      <c r="N320" s="8"/>
      <c r="O320" s="8"/>
    </row>
    <row r="321" spans="12:15" ht="16.5" customHeight="1" x14ac:dyDescent="0.25">
      <c r="L321" s="6"/>
      <c r="M321" s="6"/>
      <c r="N321" s="8"/>
      <c r="O321" s="8"/>
    </row>
    <row r="322" spans="12:15" ht="16.5" customHeight="1" x14ac:dyDescent="0.25">
      <c r="L322" s="6"/>
      <c r="M322" s="6"/>
      <c r="N322" s="8"/>
      <c r="O322" s="8"/>
    </row>
    <row r="323" spans="12:15" ht="16.5" customHeight="1" x14ac:dyDescent="0.25">
      <c r="L323" s="6"/>
      <c r="M323" s="6"/>
      <c r="N323" s="8"/>
      <c r="O323" s="8"/>
    </row>
    <row r="324" spans="12:15" ht="16.5" customHeight="1" x14ac:dyDescent="0.25">
      <c r="L324" s="6"/>
      <c r="M324" s="6"/>
      <c r="N324" s="8"/>
      <c r="O324" s="8"/>
    </row>
    <row r="325" spans="12:15" ht="16.5" customHeight="1" x14ac:dyDescent="0.25">
      <c r="L325" s="6"/>
      <c r="M325" s="6"/>
      <c r="N325" s="8"/>
      <c r="O325" s="8"/>
    </row>
    <row r="326" spans="12:15" ht="16.5" customHeight="1" x14ac:dyDescent="0.25">
      <c r="L326" s="6"/>
      <c r="M326" s="6"/>
      <c r="N326" s="8"/>
      <c r="O326" s="8"/>
    </row>
    <row r="327" spans="12:15" ht="16.5" customHeight="1" x14ac:dyDescent="0.25">
      <c r="L327" s="6"/>
      <c r="M327" s="6"/>
      <c r="N327" s="8"/>
      <c r="O327" s="8"/>
    </row>
    <row r="328" spans="12:15" ht="16.5" customHeight="1" x14ac:dyDescent="0.25">
      <c r="L328" s="6"/>
      <c r="M328" s="6"/>
      <c r="N328" s="8"/>
      <c r="O328" s="8"/>
    </row>
    <row r="329" spans="12:15" ht="16.5" customHeight="1" x14ac:dyDescent="0.25">
      <c r="L329" s="6"/>
      <c r="M329" s="6"/>
      <c r="N329" s="8"/>
      <c r="O329" s="8"/>
    </row>
    <row r="330" spans="12:15" ht="16.5" customHeight="1" x14ac:dyDescent="0.25">
      <c r="L330" s="6"/>
      <c r="M330" s="6"/>
      <c r="N330" s="8"/>
      <c r="O330" s="8"/>
    </row>
    <row r="331" spans="12:15" ht="16.5" customHeight="1" x14ac:dyDescent="0.25">
      <c r="L331" s="6"/>
      <c r="M331" s="6"/>
      <c r="N331" s="8"/>
      <c r="O331" s="8"/>
    </row>
    <row r="332" spans="12:15" ht="16.5" customHeight="1" x14ac:dyDescent="0.25">
      <c r="L332" s="6"/>
      <c r="M332" s="6"/>
      <c r="N332" s="8"/>
      <c r="O332" s="8"/>
    </row>
    <row r="333" spans="12:15" ht="16.5" customHeight="1" x14ac:dyDescent="0.25">
      <c r="L333" s="6"/>
      <c r="M333" s="6"/>
      <c r="N333" s="8"/>
      <c r="O333" s="8"/>
    </row>
    <row r="334" spans="12:15" ht="16.5" customHeight="1" x14ac:dyDescent="0.25">
      <c r="L334" s="6"/>
      <c r="M334" s="6"/>
      <c r="N334" s="8"/>
      <c r="O334" s="8"/>
    </row>
    <row r="335" spans="12:15" ht="16.5" customHeight="1" x14ac:dyDescent="0.25">
      <c r="L335" s="6"/>
      <c r="M335" s="6"/>
      <c r="N335" s="8"/>
      <c r="O335" s="8"/>
    </row>
    <row r="336" spans="12:15" ht="16.5" customHeight="1" x14ac:dyDescent="0.25">
      <c r="L336" s="6"/>
      <c r="M336" s="6"/>
      <c r="N336" s="8"/>
      <c r="O336" s="8"/>
    </row>
    <row r="337" spans="12:15" ht="16.5" customHeight="1" x14ac:dyDescent="0.25">
      <c r="L337" s="6"/>
      <c r="M337" s="6"/>
      <c r="N337" s="8"/>
      <c r="O337" s="8"/>
    </row>
    <row r="338" spans="12:15" ht="16.5" customHeight="1" x14ac:dyDescent="0.25">
      <c r="L338" s="6"/>
      <c r="M338" s="6"/>
      <c r="N338" s="8"/>
      <c r="O338" s="8"/>
    </row>
    <row r="339" spans="12:15" ht="16.5" customHeight="1" x14ac:dyDescent="0.25">
      <c r="L339" s="6"/>
      <c r="M339" s="6"/>
      <c r="N339" s="8"/>
      <c r="O339" s="8"/>
    </row>
    <row r="340" spans="12:15" ht="16.5" customHeight="1" x14ac:dyDescent="0.25">
      <c r="L340" s="6"/>
      <c r="M340" s="6"/>
      <c r="N340" s="8"/>
      <c r="O340" s="8"/>
    </row>
    <row r="341" spans="12:15" ht="16.5" customHeight="1" x14ac:dyDescent="0.25">
      <c r="L341" s="6"/>
      <c r="M341" s="6"/>
      <c r="N341" s="8"/>
      <c r="O341" s="8"/>
    </row>
    <row r="342" spans="12:15" ht="16.5" customHeight="1" x14ac:dyDescent="0.25">
      <c r="L342" s="6"/>
      <c r="M342" s="6"/>
      <c r="N342" s="8"/>
      <c r="O342" s="8"/>
    </row>
    <row r="343" spans="12:15" ht="16.5" customHeight="1" x14ac:dyDescent="0.25">
      <c r="L343" s="6"/>
      <c r="M343" s="6"/>
      <c r="N343" s="8"/>
      <c r="O343" s="8"/>
    </row>
    <row r="344" spans="12:15" ht="16.5" customHeight="1" x14ac:dyDescent="0.25">
      <c r="L344" s="6"/>
      <c r="M344" s="6"/>
      <c r="N344" s="8"/>
      <c r="O344" s="8"/>
    </row>
    <row r="345" spans="12:15" ht="16.5" customHeight="1" x14ac:dyDescent="0.25">
      <c r="L345" s="6"/>
      <c r="M345" s="6"/>
      <c r="N345" s="8"/>
      <c r="O345" s="8"/>
    </row>
    <row r="346" spans="12:15" ht="16.5" customHeight="1" x14ac:dyDescent="0.25">
      <c r="L346" s="6"/>
      <c r="M346" s="6"/>
      <c r="N346" s="8"/>
      <c r="O346" s="8"/>
    </row>
    <row r="347" spans="12:15" ht="16.5" customHeight="1" x14ac:dyDescent="0.25">
      <c r="L347" s="6"/>
      <c r="M347" s="6"/>
      <c r="N347" s="8"/>
      <c r="O347" s="8"/>
    </row>
    <row r="348" spans="12:15" ht="16.5" customHeight="1" x14ac:dyDescent="0.25">
      <c r="L348" s="6"/>
      <c r="M348" s="6"/>
      <c r="N348" s="8"/>
      <c r="O348" s="8"/>
    </row>
    <row r="349" spans="12:15" ht="16.5" customHeight="1" x14ac:dyDescent="0.25">
      <c r="L349" s="6"/>
      <c r="M349" s="6"/>
      <c r="N349" s="8"/>
      <c r="O349" s="8"/>
    </row>
    <row r="350" spans="12:15" ht="16.5" customHeight="1" x14ac:dyDescent="0.25">
      <c r="L350" s="6"/>
      <c r="M350" s="6"/>
      <c r="N350" s="8"/>
      <c r="O350" s="8"/>
    </row>
    <row r="351" spans="12:15" ht="16.5" customHeight="1" x14ac:dyDescent="0.25">
      <c r="L351" s="6"/>
      <c r="M351" s="6"/>
      <c r="N351" s="8"/>
      <c r="O351" s="8"/>
    </row>
    <row r="352" spans="12:15" ht="16.5" customHeight="1" x14ac:dyDescent="0.25">
      <c r="L352" s="6"/>
      <c r="M352" s="6"/>
      <c r="N352" s="8"/>
      <c r="O352" s="8"/>
    </row>
    <row r="353" spans="12:15" ht="16.5" customHeight="1" x14ac:dyDescent="0.25">
      <c r="L353" s="6"/>
      <c r="M353" s="6"/>
      <c r="N353" s="8"/>
      <c r="O353" s="8"/>
    </row>
    <row r="354" spans="12:15" ht="16.5" customHeight="1" x14ac:dyDescent="0.25">
      <c r="L354" s="6"/>
      <c r="M354" s="6"/>
      <c r="N354" s="8"/>
      <c r="O354" s="8"/>
    </row>
    <row r="355" spans="12:15" ht="16.5" customHeight="1" x14ac:dyDescent="0.25">
      <c r="L355" s="6"/>
      <c r="M355" s="6"/>
      <c r="N355" s="8"/>
      <c r="O355" s="8"/>
    </row>
    <row r="356" spans="12:15" ht="16.5" customHeight="1" x14ac:dyDescent="0.25">
      <c r="L356" s="6"/>
      <c r="M356" s="6"/>
      <c r="N356" s="8"/>
      <c r="O356" s="8"/>
    </row>
    <row r="357" spans="12:15" ht="16.5" customHeight="1" x14ac:dyDescent="0.25">
      <c r="L357" s="6"/>
      <c r="M357" s="6"/>
      <c r="N357" s="8"/>
      <c r="O357" s="8"/>
    </row>
    <row r="358" spans="12:15" ht="16.5" customHeight="1" x14ac:dyDescent="0.25">
      <c r="L358" s="6"/>
      <c r="M358" s="6"/>
      <c r="N358" s="8"/>
      <c r="O358" s="8"/>
    </row>
    <row r="359" spans="12:15" ht="16.5" customHeight="1" x14ac:dyDescent="0.25">
      <c r="L359" s="6"/>
      <c r="M359" s="6"/>
      <c r="N359" s="8"/>
      <c r="O359" s="8"/>
    </row>
    <row r="360" spans="12:15" ht="16.5" customHeight="1" x14ac:dyDescent="0.25">
      <c r="L360" s="6"/>
      <c r="M360" s="6"/>
      <c r="N360" s="8"/>
      <c r="O360" s="8"/>
    </row>
    <row r="361" spans="12:15" ht="16.5" customHeight="1" x14ac:dyDescent="0.25">
      <c r="L361" s="6"/>
      <c r="M361" s="6"/>
      <c r="N361" s="8"/>
      <c r="O361" s="8"/>
    </row>
    <row r="362" spans="12:15" ht="16.5" customHeight="1" x14ac:dyDescent="0.25">
      <c r="L362" s="6"/>
      <c r="M362" s="6"/>
      <c r="N362" s="8"/>
      <c r="O362" s="8"/>
    </row>
    <row r="363" spans="12:15" ht="16.5" customHeight="1" x14ac:dyDescent="0.25">
      <c r="L363" s="6"/>
      <c r="M363" s="6"/>
      <c r="N363" s="8"/>
      <c r="O363" s="8"/>
    </row>
    <row r="364" spans="12:15" ht="16.5" customHeight="1" x14ac:dyDescent="0.25">
      <c r="L364" s="6"/>
      <c r="M364" s="6"/>
      <c r="N364" s="8"/>
      <c r="O364" s="8"/>
    </row>
    <row r="365" spans="12:15" ht="16.5" customHeight="1" x14ac:dyDescent="0.25">
      <c r="L365" s="6"/>
      <c r="M365" s="6"/>
      <c r="N365" s="8"/>
      <c r="O365" s="8"/>
    </row>
    <row r="366" spans="12:15" ht="16.5" customHeight="1" x14ac:dyDescent="0.25">
      <c r="L366" s="6"/>
      <c r="M366" s="6"/>
      <c r="N366" s="8"/>
      <c r="O366" s="8"/>
    </row>
    <row r="367" spans="12:15" ht="16.5" customHeight="1" x14ac:dyDescent="0.25">
      <c r="L367" s="6"/>
      <c r="M367" s="6"/>
      <c r="N367" s="8"/>
      <c r="O367" s="8"/>
    </row>
    <row r="368" spans="12:15" ht="16.5" customHeight="1" x14ac:dyDescent="0.25">
      <c r="L368" s="6"/>
      <c r="M368" s="6"/>
      <c r="N368" s="8"/>
      <c r="O368" s="8"/>
    </row>
    <row r="369" spans="12:15" ht="16.5" customHeight="1" x14ac:dyDescent="0.25">
      <c r="L369" s="6"/>
      <c r="M369" s="6"/>
      <c r="N369" s="8"/>
      <c r="O369" s="8"/>
    </row>
    <row r="370" spans="12:15" ht="16.5" customHeight="1" x14ac:dyDescent="0.25">
      <c r="L370" s="6"/>
      <c r="M370" s="6"/>
      <c r="N370" s="8"/>
      <c r="O370" s="8"/>
    </row>
    <row r="371" spans="12:15" ht="16.5" customHeight="1" x14ac:dyDescent="0.25">
      <c r="L371" s="6"/>
      <c r="M371" s="6"/>
      <c r="N371" s="8"/>
      <c r="O371" s="8"/>
    </row>
    <row r="372" spans="12:15" ht="16.5" customHeight="1" x14ac:dyDescent="0.25">
      <c r="L372" s="6"/>
      <c r="M372" s="6"/>
      <c r="N372" s="8"/>
      <c r="O372" s="8"/>
    </row>
    <row r="373" spans="12:15" ht="16.5" customHeight="1" x14ac:dyDescent="0.25">
      <c r="L373" s="6"/>
      <c r="M373" s="6"/>
      <c r="N373" s="8"/>
      <c r="O373" s="8"/>
    </row>
    <row r="374" spans="12:15" ht="16.5" customHeight="1" x14ac:dyDescent="0.25">
      <c r="L374" s="6"/>
      <c r="M374" s="6"/>
      <c r="N374" s="8"/>
      <c r="O374" s="8"/>
    </row>
    <row r="375" spans="12:15" ht="16.5" customHeight="1" x14ac:dyDescent="0.25">
      <c r="L375" s="6"/>
      <c r="M375" s="6"/>
      <c r="N375" s="8"/>
      <c r="O375" s="8"/>
    </row>
    <row r="376" spans="12:15" ht="16.5" customHeight="1" x14ac:dyDescent="0.25">
      <c r="L376" s="6"/>
      <c r="M376" s="6"/>
      <c r="N376" s="8"/>
      <c r="O376" s="8"/>
    </row>
    <row r="377" spans="12:15" ht="16.5" customHeight="1" x14ac:dyDescent="0.25">
      <c r="L377" s="6"/>
      <c r="M377" s="6"/>
      <c r="N377" s="8"/>
      <c r="O377" s="8"/>
    </row>
    <row r="378" spans="12:15" ht="16.5" customHeight="1" x14ac:dyDescent="0.25">
      <c r="L378" s="6"/>
      <c r="M378" s="6"/>
      <c r="N378" s="8"/>
      <c r="O378" s="8"/>
    </row>
    <row r="379" spans="12:15" ht="16.5" customHeight="1" x14ac:dyDescent="0.25">
      <c r="L379" s="6"/>
      <c r="M379" s="6"/>
      <c r="N379" s="8"/>
      <c r="O379" s="8"/>
    </row>
    <row r="380" spans="12:15" ht="16.5" customHeight="1" x14ac:dyDescent="0.25">
      <c r="L380" s="6"/>
      <c r="M380" s="6"/>
      <c r="N380" s="8"/>
      <c r="O380" s="8"/>
    </row>
    <row r="381" spans="12:15" ht="16.5" customHeight="1" x14ac:dyDescent="0.25">
      <c r="L381" s="6"/>
      <c r="M381" s="6"/>
      <c r="N381" s="8"/>
      <c r="O381" s="8"/>
    </row>
    <row r="382" spans="12:15" ht="16.5" customHeight="1" x14ac:dyDescent="0.25">
      <c r="L382" s="6"/>
      <c r="M382" s="6"/>
      <c r="N382" s="8"/>
      <c r="O382" s="8"/>
    </row>
    <row r="383" spans="12:15" ht="16.5" customHeight="1" x14ac:dyDescent="0.25">
      <c r="L383" s="6"/>
      <c r="M383" s="6"/>
      <c r="N383" s="8"/>
      <c r="O383" s="8"/>
    </row>
    <row r="384" spans="12:15" ht="16.5" customHeight="1" x14ac:dyDescent="0.25">
      <c r="L384" s="6"/>
      <c r="M384" s="6"/>
      <c r="N384" s="8"/>
      <c r="O384" s="8"/>
    </row>
    <row r="385" spans="12:15" ht="16.5" customHeight="1" x14ac:dyDescent="0.25">
      <c r="L385" s="6"/>
      <c r="M385" s="6"/>
      <c r="N385" s="8"/>
      <c r="O385" s="8"/>
    </row>
    <row r="386" spans="12:15" ht="16.5" customHeight="1" x14ac:dyDescent="0.25">
      <c r="L386" s="6"/>
      <c r="M386" s="6"/>
      <c r="N386" s="8"/>
      <c r="O386" s="8"/>
    </row>
    <row r="387" spans="12:15" ht="16.5" customHeight="1" x14ac:dyDescent="0.25">
      <c r="L387" s="6"/>
      <c r="M387" s="6"/>
      <c r="N387" s="8"/>
      <c r="O387" s="8"/>
    </row>
    <row r="388" spans="12:15" ht="16.5" customHeight="1" x14ac:dyDescent="0.25">
      <c r="L388" s="6"/>
      <c r="M388" s="6"/>
      <c r="N388" s="8"/>
      <c r="O388" s="8"/>
    </row>
    <row r="389" spans="12:15" ht="16.5" customHeight="1" x14ac:dyDescent="0.25">
      <c r="L389" s="6"/>
      <c r="M389" s="6"/>
      <c r="N389" s="8"/>
      <c r="O389" s="8"/>
    </row>
    <row r="390" spans="12:15" ht="16.5" customHeight="1" x14ac:dyDescent="0.25">
      <c r="L390" s="6"/>
      <c r="M390" s="6"/>
      <c r="N390" s="8"/>
      <c r="O390" s="8"/>
    </row>
    <row r="391" spans="12:15" ht="16.5" customHeight="1" x14ac:dyDescent="0.25">
      <c r="L391" s="6"/>
      <c r="M391" s="6"/>
      <c r="N391" s="8"/>
      <c r="O391" s="8"/>
    </row>
    <row r="392" spans="12:15" ht="16.5" customHeight="1" x14ac:dyDescent="0.25">
      <c r="L392" s="6"/>
      <c r="M392" s="6"/>
      <c r="N392" s="8"/>
      <c r="O392" s="8"/>
    </row>
    <row r="393" spans="12:15" ht="16.5" customHeight="1" x14ac:dyDescent="0.25">
      <c r="L393" s="6"/>
      <c r="M393" s="6"/>
      <c r="N393" s="8"/>
      <c r="O393" s="8"/>
    </row>
    <row r="394" spans="12:15" ht="16.5" customHeight="1" x14ac:dyDescent="0.25">
      <c r="L394" s="6"/>
      <c r="M394" s="6"/>
      <c r="N394" s="8"/>
      <c r="O394" s="8"/>
    </row>
    <row r="395" spans="12:15" ht="16.5" customHeight="1" x14ac:dyDescent="0.25">
      <c r="L395" s="6"/>
      <c r="M395" s="6"/>
      <c r="N395" s="8"/>
      <c r="O395" s="8"/>
    </row>
    <row r="396" spans="12:15" ht="16.5" customHeight="1" x14ac:dyDescent="0.25">
      <c r="L396" s="6"/>
      <c r="M396" s="6"/>
      <c r="N396" s="8"/>
      <c r="O396" s="8"/>
    </row>
    <row r="397" spans="12:15" ht="16.5" customHeight="1" x14ac:dyDescent="0.25">
      <c r="L397" s="6"/>
      <c r="M397" s="6"/>
      <c r="N397" s="8"/>
      <c r="O397" s="8"/>
    </row>
    <row r="398" spans="12:15" ht="16.5" customHeight="1" x14ac:dyDescent="0.25">
      <c r="L398" s="6"/>
      <c r="M398" s="6"/>
      <c r="N398" s="8"/>
      <c r="O398" s="8"/>
    </row>
    <row r="399" spans="12:15" ht="16.5" customHeight="1" x14ac:dyDescent="0.25">
      <c r="L399" s="6"/>
      <c r="M399" s="6"/>
      <c r="N399" s="8"/>
      <c r="O399" s="8"/>
    </row>
    <row r="400" spans="12:15" ht="16.5" customHeight="1" x14ac:dyDescent="0.25">
      <c r="L400" s="6"/>
      <c r="M400" s="6"/>
      <c r="N400" s="8"/>
      <c r="O400" s="8"/>
    </row>
    <row r="401" spans="12:15" ht="16.5" customHeight="1" x14ac:dyDescent="0.25">
      <c r="L401" s="6"/>
      <c r="M401" s="6"/>
      <c r="N401" s="8"/>
      <c r="O401" s="8"/>
    </row>
    <row r="402" spans="12:15" ht="16.5" customHeight="1" x14ac:dyDescent="0.25">
      <c r="L402" s="6"/>
      <c r="M402" s="6"/>
      <c r="N402" s="8"/>
      <c r="O402" s="8"/>
    </row>
    <row r="403" spans="12:15" ht="16.5" customHeight="1" x14ac:dyDescent="0.25">
      <c r="L403" s="6"/>
      <c r="M403" s="6"/>
      <c r="N403" s="8"/>
      <c r="O403" s="8"/>
    </row>
    <row r="404" spans="12:15" ht="16.5" customHeight="1" x14ac:dyDescent="0.25">
      <c r="L404" s="6"/>
      <c r="M404" s="6"/>
      <c r="N404" s="8"/>
      <c r="O404" s="8"/>
    </row>
    <row r="405" spans="12:15" ht="16.5" customHeight="1" x14ac:dyDescent="0.25">
      <c r="L405" s="6"/>
      <c r="M405" s="6"/>
      <c r="N405" s="8"/>
      <c r="O405" s="8"/>
    </row>
    <row r="406" spans="12:15" ht="16.5" customHeight="1" x14ac:dyDescent="0.25">
      <c r="L406" s="6"/>
      <c r="M406" s="6"/>
      <c r="N406" s="8"/>
      <c r="O406" s="8"/>
    </row>
    <row r="407" spans="12:15" ht="16.5" customHeight="1" x14ac:dyDescent="0.25">
      <c r="L407" s="6"/>
      <c r="M407" s="6"/>
      <c r="N407" s="8"/>
      <c r="O407" s="8"/>
    </row>
    <row r="408" spans="12:15" ht="16.5" customHeight="1" x14ac:dyDescent="0.25">
      <c r="L408" s="6"/>
      <c r="M408" s="6"/>
      <c r="N408" s="8"/>
      <c r="O408" s="8"/>
    </row>
    <row r="409" spans="12:15" ht="16.5" customHeight="1" x14ac:dyDescent="0.25">
      <c r="L409" s="6"/>
      <c r="M409" s="6"/>
      <c r="N409" s="8"/>
      <c r="O409" s="8"/>
    </row>
    <row r="410" spans="12:15" ht="16.5" customHeight="1" x14ac:dyDescent="0.25">
      <c r="L410" s="6"/>
      <c r="M410" s="6"/>
      <c r="N410" s="8"/>
      <c r="O410" s="8"/>
    </row>
    <row r="411" spans="12:15" ht="16.5" customHeight="1" x14ac:dyDescent="0.25">
      <c r="L411" s="6"/>
      <c r="M411" s="6"/>
      <c r="N411" s="8"/>
      <c r="O411" s="8"/>
    </row>
    <row r="412" spans="12:15" ht="16.5" customHeight="1" x14ac:dyDescent="0.25">
      <c r="L412" s="6"/>
      <c r="M412" s="6"/>
      <c r="N412" s="8"/>
      <c r="O412" s="8"/>
    </row>
    <row r="413" spans="12:15" ht="16.5" customHeight="1" x14ac:dyDescent="0.25">
      <c r="L413" s="6"/>
      <c r="M413" s="6"/>
      <c r="N413" s="8"/>
      <c r="O413" s="8"/>
    </row>
    <row r="414" spans="12:15" ht="16.5" customHeight="1" x14ac:dyDescent="0.25">
      <c r="L414" s="6"/>
      <c r="M414" s="6"/>
      <c r="N414" s="8"/>
      <c r="O414" s="8"/>
    </row>
    <row r="415" spans="12:15" ht="16.5" customHeight="1" x14ac:dyDescent="0.25">
      <c r="L415" s="6"/>
      <c r="M415" s="6"/>
      <c r="N415" s="8"/>
      <c r="O415" s="8"/>
    </row>
    <row r="416" spans="12:15" ht="16.5" customHeight="1" x14ac:dyDescent="0.25">
      <c r="L416" s="6"/>
      <c r="M416" s="6"/>
      <c r="N416" s="8"/>
      <c r="O416" s="8"/>
    </row>
    <row r="417" spans="12:15" ht="16.5" customHeight="1" x14ac:dyDescent="0.25">
      <c r="L417" s="6"/>
      <c r="M417" s="6"/>
      <c r="N417" s="8"/>
      <c r="O417" s="8"/>
    </row>
    <row r="418" spans="12:15" ht="16.5" customHeight="1" x14ac:dyDescent="0.25">
      <c r="L418" s="6"/>
      <c r="M418" s="6"/>
      <c r="N418" s="8"/>
      <c r="O418" s="8"/>
    </row>
    <row r="419" spans="12:15" ht="16.5" customHeight="1" x14ac:dyDescent="0.25">
      <c r="L419" s="6"/>
      <c r="M419" s="6"/>
      <c r="N419" s="8"/>
      <c r="O419" s="8"/>
    </row>
    <row r="420" spans="12:15" ht="16.5" customHeight="1" x14ac:dyDescent="0.25">
      <c r="L420" s="6"/>
      <c r="M420" s="6"/>
      <c r="N420" s="8"/>
      <c r="O420" s="8"/>
    </row>
    <row r="421" spans="12:15" ht="16.5" customHeight="1" x14ac:dyDescent="0.25">
      <c r="L421" s="6"/>
      <c r="M421" s="6"/>
      <c r="N421" s="8"/>
      <c r="O421" s="8"/>
    </row>
    <row r="422" spans="12:15" ht="16.5" customHeight="1" x14ac:dyDescent="0.25">
      <c r="L422" s="6"/>
      <c r="M422" s="6"/>
      <c r="N422" s="8"/>
      <c r="O422" s="8"/>
    </row>
    <row r="423" spans="12:15" ht="16.5" customHeight="1" x14ac:dyDescent="0.25">
      <c r="L423" s="6"/>
      <c r="M423" s="6"/>
      <c r="N423" s="8"/>
      <c r="O423" s="8"/>
    </row>
    <row r="424" spans="12:15" ht="16.5" customHeight="1" x14ac:dyDescent="0.25">
      <c r="L424" s="6"/>
      <c r="M424" s="6"/>
      <c r="N424" s="8"/>
      <c r="O424" s="8"/>
    </row>
    <row r="425" spans="12:15" ht="16.5" customHeight="1" x14ac:dyDescent="0.25">
      <c r="L425" s="6"/>
      <c r="M425" s="6"/>
      <c r="N425" s="8"/>
      <c r="O425" s="8"/>
    </row>
    <row r="426" spans="12:15" ht="16.5" customHeight="1" x14ac:dyDescent="0.25">
      <c r="L426" s="6"/>
      <c r="M426" s="6"/>
      <c r="N426" s="8"/>
      <c r="O426" s="8"/>
    </row>
    <row r="427" spans="12:15" ht="16.5" customHeight="1" x14ac:dyDescent="0.25">
      <c r="L427" s="6"/>
      <c r="M427" s="6"/>
      <c r="N427" s="8"/>
      <c r="O427" s="8"/>
    </row>
    <row r="428" spans="12:15" ht="16.5" customHeight="1" x14ac:dyDescent="0.25">
      <c r="L428" s="6"/>
      <c r="M428" s="6"/>
      <c r="N428" s="8"/>
      <c r="O428" s="8"/>
    </row>
    <row r="429" spans="12:15" ht="16.5" customHeight="1" x14ac:dyDescent="0.25">
      <c r="L429" s="6"/>
      <c r="M429" s="6"/>
      <c r="N429" s="8"/>
      <c r="O429" s="8"/>
    </row>
    <row r="430" spans="12:15" ht="16.5" customHeight="1" x14ac:dyDescent="0.25">
      <c r="L430" s="6"/>
      <c r="M430" s="6"/>
      <c r="N430" s="8"/>
      <c r="O430" s="8"/>
    </row>
    <row r="431" spans="12:15" ht="16.5" customHeight="1" x14ac:dyDescent="0.25">
      <c r="L431" s="6"/>
      <c r="M431" s="6"/>
      <c r="N431" s="8"/>
      <c r="O431" s="8"/>
    </row>
    <row r="432" spans="12:15" ht="16.5" customHeight="1" x14ac:dyDescent="0.25">
      <c r="L432" s="6"/>
      <c r="M432" s="6"/>
      <c r="N432" s="8"/>
      <c r="O432" s="8"/>
    </row>
    <row r="433" spans="12:15" ht="16.5" customHeight="1" x14ac:dyDescent="0.25">
      <c r="L433" s="6"/>
      <c r="M433" s="6"/>
      <c r="N433" s="8"/>
      <c r="O433" s="8"/>
    </row>
    <row r="434" spans="12:15" ht="16.5" customHeight="1" x14ac:dyDescent="0.25">
      <c r="L434" s="6"/>
      <c r="M434" s="6"/>
      <c r="N434" s="8"/>
      <c r="O434" s="8"/>
    </row>
    <row r="435" spans="12:15" ht="16.5" customHeight="1" x14ac:dyDescent="0.25">
      <c r="L435" s="6"/>
      <c r="M435" s="6"/>
      <c r="N435" s="8"/>
      <c r="O435" s="8"/>
    </row>
    <row r="436" spans="12:15" ht="16.5" customHeight="1" x14ac:dyDescent="0.25">
      <c r="L436" s="6"/>
      <c r="M436" s="6"/>
      <c r="N436" s="8"/>
      <c r="O436" s="8"/>
    </row>
    <row r="437" spans="12:15" ht="16.5" customHeight="1" x14ac:dyDescent="0.25">
      <c r="L437" s="6"/>
      <c r="M437" s="6"/>
      <c r="N437" s="8"/>
      <c r="O437" s="8"/>
    </row>
    <row r="438" spans="12:15" ht="16.5" customHeight="1" x14ac:dyDescent="0.25">
      <c r="L438" s="6"/>
      <c r="M438" s="6"/>
      <c r="N438" s="8"/>
      <c r="O438" s="8"/>
    </row>
    <row r="439" spans="12:15" ht="16.5" customHeight="1" x14ac:dyDescent="0.25">
      <c r="L439" s="6"/>
      <c r="M439" s="6"/>
      <c r="N439" s="8"/>
      <c r="O439" s="8"/>
    </row>
    <row r="440" spans="12:15" ht="16.5" customHeight="1" x14ac:dyDescent="0.25">
      <c r="L440" s="6"/>
      <c r="M440" s="6"/>
      <c r="N440" s="8"/>
      <c r="O440" s="8"/>
    </row>
    <row r="441" spans="12:15" ht="16.5" customHeight="1" x14ac:dyDescent="0.25">
      <c r="L441" s="6"/>
      <c r="M441" s="6"/>
      <c r="N441" s="8"/>
      <c r="O441" s="8"/>
    </row>
    <row r="442" spans="12:15" ht="16.5" customHeight="1" x14ac:dyDescent="0.25">
      <c r="L442" s="6"/>
      <c r="M442" s="6"/>
      <c r="N442" s="8"/>
      <c r="O442" s="8"/>
    </row>
    <row r="443" spans="12:15" ht="16.5" customHeight="1" x14ac:dyDescent="0.25">
      <c r="L443" s="6"/>
      <c r="M443" s="6"/>
      <c r="N443" s="8"/>
      <c r="O443" s="8"/>
    </row>
    <row r="444" spans="12:15" ht="16.5" customHeight="1" x14ac:dyDescent="0.25">
      <c r="L444" s="6"/>
      <c r="M444" s="6"/>
      <c r="N444" s="8"/>
      <c r="O444" s="8"/>
    </row>
    <row r="445" spans="12:15" ht="16.5" customHeight="1" x14ac:dyDescent="0.25">
      <c r="L445" s="6"/>
      <c r="M445" s="6"/>
      <c r="N445" s="8"/>
      <c r="O445" s="8"/>
    </row>
    <row r="446" spans="12:15" ht="16.5" customHeight="1" x14ac:dyDescent="0.25">
      <c r="L446" s="6"/>
      <c r="M446" s="6"/>
      <c r="N446" s="8"/>
      <c r="O446" s="8"/>
    </row>
    <row r="447" spans="12:15" ht="16.5" customHeight="1" x14ac:dyDescent="0.25">
      <c r="L447" s="6"/>
      <c r="M447" s="6"/>
      <c r="N447" s="8"/>
      <c r="O447" s="8"/>
    </row>
    <row r="448" spans="12:15" ht="16.5" customHeight="1" x14ac:dyDescent="0.25">
      <c r="L448" s="6"/>
      <c r="M448" s="6"/>
      <c r="N448" s="8"/>
      <c r="O448" s="8"/>
    </row>
    <row r="449" spans="12:15" ht="16.5" customHeight="1" x14ac:dyDescent="0.25">
      <c r="L449" s="6"/>
      <c r="M449" s="6"/>
      <c r="N449" s="8"/>
      <c r="O449" s="8"/>
    </row>
    <row r="450" spans="12:15" ht="16.5" customHeight="1" x14ac:dyDescent="0.25">
      <c r="L450" s="6"/>
      <c r="M450" s="6"/>
      <c r="N450" s="8"/>
      <c r="O450" s="8"/>
    </row>
    <row r="451" spans="12:15" ht="16.5" customHeight="1" x14ac:dyDescent="0.25">
      <c r="L451" s="6"/>
      <c r="M451" s="6"/>
      <c r="N451" s="8"/>
      <c r="O451" s="8"/>
    </row>
    <row r="452" spans="12:15" ht="16.5" customHeight="1" x14ac:dyDescent="0.25">
      <c r="L452" s="6"/>
      <c r="M452" s="6"/>
      <c r="N452" s="8"/>
      <c r="O452" s="8"/>
    </row>
    <row r="453" spans="12:15" ht="16.5" customHeight="1" x14ac:dyDescent="0.25">
      <c r="L453" s="6"/>
      <c r="M453" s="6"/>
      <c r="N453" s="8"/>
      <c r="O453" s="8"/>
    </row>
    <row r="454" spans="12:15" ht="16.5" customHeight="1" x14ac:dyDescent="0.25">
      <c r="L454" s="6"/>
      <c r="M454" s="6"/>
      <c r="N454" s="8"/>
      <c r="O454" s="8"/>
    </row>
    <row r="455" spans="12:15" ht="16.5" customHeight="1" x14ac:dyDescent="0.25">
      <c r="L455" s="6"/>
      <c r="M455" s="6"/>
      <c r="N455" s="8"/>
      <c r="O455" s="8"/>
    </row>
    <row r="456" spans="12:15" ht="16.5" customHeight="1" x14ac:dyDescent="0.25">
      <c r="L456" s="6"/>
      <c r="M456" s="6"/>
      <c r="N456" s="8"/>
      <c r="O456" s="8"/>
    </row>
    <row r="457" spans="12:15" ht="16.5" customHeight="1" x14ac:dyDescent="0.25">
      <c r="L457" s="6"/>
      <c r="M457" s="6"/>
      <c r="N457" s="8"/>
      <c r="O457" s="8"/>
    </row>
    <row r="458" spans="12:15" ht="16.5" customHeight="1" x14ac:dyDescent="0.25">
      <c r="L458" s="6"/>
      <c r="M458" s="6"/>
      <c r="N458" s="8"/>
      <c r="O458" s="8"/>
    </row>
    <row r="459" spans="12:15" ht="16.5" customHeight="1" x14ac:dyDescent="0.25">
      <c r="L459" s="6"/>
      <c r="M459" s="6"/>
      <c r="N459" s="8"/>
      <c r="O459" s="8"/>
    </row>
    <row r="460" spans="12:15" ht="16.5" customHeight="1" x14ac:dyDescent="0.25">
      <c r="L460" s="6"/>
      <c r="M460" s="6"/>
      <c r="N460" s="8"/>
      <c r="O460" s="8"/>
    </row>
    <row r="461" spans="12:15" ht="16.5" customHeight="1" x14ac:dyDescent="0.25">
      <c r="L461" s="6"/>
      <c r="M461" s="6"/>
      <c r="N461" s="8"/>
      <c r="O461" s="8"/>
    </row>
    <row r="462" spans="12:15" ht="16.5" customHeight="1" x14ac:dyDescent="0.25">
      <c r="L462" s="6"/>
      <c r="M462" s="6"/>
      <c r="N462" s="8"/>
      <c r="O462" s="8"/>
    </row>
    <row r="463" spans="12:15" ht="16.5" customHeight="1" x14ac:dyDescent="0.25">
      <c r="L463" s="6"/>
      <c r="M463" s="6"/>
      <c r="N463" s="8"/>
      <c r="O463" s="8"/>
    </row>
    <row r="464" spans="12:15" ht="16.5" customHeight="1" x14ac:dyDescent="0.25">
      <c r="L464" s="6"/>
      <c r="M464" s="6"/>
      <c r="N464" s="8"/>
      <c r="O464" s="8"/>
    </row>
    <row r="465" spans="12:15" ht="16.5" customHeight="1" x14ac:dyDescent="0.25">
      <c r="L465" s="6"/>
      <c r="M465" s="6"/>
      <c r="N465" s="8"/>
      <c r="O465" s="8"/>
    </row>
    <row r="466" spans="12:15" ht="16.5" customHeight="1" x14ac:dyDescent="0.25">
      <c r="L466" s="6"/>
      <c r="M466" s="6"/>
      <c r="N466" s="8"/>
      <c r="O466" s="8"/>
    </row>
    <row r="467" spans="12:15" ht="16.5" customHeight="1" x14ac:dyDescent="0.25">
      <c r="L467" s="6"/>
      <c r="M467" s="6"/>
      <c r="N467" s="8"/>
      <c r="O467" s="8"/>
    </row>
    <row r="468" spans="12:15" ht="16.5" customHeight="1" x14ac:dyDescent="0.25">
      <c r="L468" s="6"/>
      <c r="M468" s="6"/>
      <c r="N468" s="8"/>
      <c r="O468" s="8"/>
    </row>
    <row r="469" spans="12:15" ht="16.5" customHeight="1" x14ac:dyDescent="0.25">
      <c r="L469" s="6"/>
      <c r="M469" s="6"/>
      <c r="N469" s="8"/>
      <c r="O469" s="8"/>
    </row>
    <row r="470" spans="12:15" ht="16.5" customHeight="1" x14ac:dyDescent="0.25">
      <c r="L470" s="6"/>
      <c r="M470" s="6"/>
      <c r="N470" s="8"/>
      <c r="O470" s="8"/>
    </row>
    <row r="471" spans="12:15" ht="16.5" customHeight="1" x14ac:dyDescent="0.25">
      <c r="L471" s="6"/>
      <c r="M471" s="6"/>
      <c r="N471" s="8"/>
      <c r="O471" s="8"/>
    </row>
    <row r="472" spans="12:15" ht="16.5" customHeight="1" x14ac:dyDescent="0.25">
      <c r="L472" s="6"/>
      <c r="M472" s="6"/>
      <c r="N472" s="8"/>
      <c r="O472" s="8"/>
    </row>
    <row r="473" spans="12:15" ht="16.5" customHeight="1" x14ac:dyDescent="0.25">
      <c r="L473" s="6"/>
      <c r="M473" s="6"/>
      <c r="N473" s="8"/>
      <c r="O473" s="8"/>
    </row>
    <row r="474" spans="12:15" ht="16.5" customHeight="1" x14ac:dyDescent="0.25">
      <c r="L474" s="6"/>
      <c r="M474" s="6"/>
      <c r="N474" s="8"/>
      <c r="O474" s="8"/>
    </row>
    <row r="475" spans="12:15" ht="16.5" customHeight="1" x14ac:dyDescent="0.25">
      <c r="L475" s="6"/>
      <c r="M475" s="6"/>
      <c r="N475" s="8"/>
      <c r="O475" s="8"/>
    </row>
    <row r="476" spans="12:15" ht="16.5" customHeight="1" x14ac:dyDescent="0.25">
      <c r="L476" s="6"/>
      <c r="M476" s="6"/>
      <c r="N476" s="8"/>
      <c r="O476" s="8"/>
    </row>
    <row r="477" spans="12:15" ht="16.5" customHeight="1" x14ac:dyDescent="0.25">
      <c r="L477" s="6"/>
      <c r="M477" s="6"/>
      <c r="N477" s="8"/>
      <c r="O477" s="8"/>
    </row>
    <row r="478" spans="12:15" ht="16.5" customHeight="1" x14ac:dyDescent="0.25">
      <c r="L478" s="6"/>
      <c r="M478" s="6"/>
      <c r="N478" s="8"/>
      <c r="O478" s="8"/>
    </row>
    <row r="479" spans="12:15" ht="16.5" customHeight="1" x14ac:dyDescent="0.25">
      <c r="L479" s="6"/>
      <c r="M479" s="6"/>
      <c r="N479" s="8"/>
      <c r="O479" s="8"/>
    </row>
    <row r="480" spans="12:15" ht="16.5" customHeight="1" x14ac:dyDescent="0.25">
      <c r="L480" s="6"/>
      <c r="M480" s="6"/>
      <c r="N480" s="8"/>
      <c r="O480" s="8"/>
    </row>
    <row r="481" spans="12:15" ht="16.5" customHeight="1" x14ac:dyDescent="0.25">
      <c r="L481" s="6"/>
      <c r="M481" s="6"/>
      <c r="N481" s="8"/>
      <c r="O481" s="8"/>
    </row>
    <row r="482" spans="12:15" ht="16.5" customHeight="1" x14ac:dyDescent="0.25">
      <c r="L482" s="6"/>
      <c r="M482" s="6"/>
      <c r="N482" s="8"/>
      <c r="O482" s="8"/>
    </row>
    <row r="483" spans="12:15" ht="16.5" customHeight="1" x14ac:dyDescent="0.25">
      <c r="L483" s="6"/>
      <c r="M483" s="6"/>
      <c r="N483" s="8"/>
      <c r="O483" s="8"/>
    </row>
    <row r="484" spans="12:15" ht="16.5" customHeight="1" x14ac:dyDescent="0.25">
      <c r="L484" s="6"/>
      <c r="M484" s="6"/>
      <c r="N484" s="8"/>
      <c r="O484" s="8"/>
    </row>
    <row r="485" spans="12:15" ht="16.5" customHeight="1" x14ac:dyDescent="0.25">
      <c r="L485" s="6"/>
      <c r="M485" s="6"/>
      <c r="N485" s="8"/>
      <c r="O485" s="8"/>
    </row>
    <row r="486" spans="12:15" ht="16.5" customHeight="1" x14ac:dyDescent="0.25">
      <c r="L486" s="6"/>
      <c r="M486" s="6"/>
      <c r="N486" s="8"/>
      <c r="O486" s="8"/>
    </row>
    <row r="487" spans="12:15" ht="16.5" customHeight="1" x14ac:dyDescent="0.25">
      <c r="L487" s="6"/>
      <c r="M487" s="6"/>
      <c r="N487" s="8"/>
      <c r="O487" s="8"/>
    </row>
    <row r="488" spans="12:15" ht="16.5" customHeight="1" x14ac:dyDescent="0.25">
      <c r="L488" s="6"/>
      <c r="M488" s="6"/>
      <c r="N488" s="8"/>
      <c r="O488" s="8"/>
    </row>
    <row r="489" spans="12:15" ht="16.5" customHeight="1" x14ac:dyDescent="0.25">
      <c r="L489" s="6"/>
      <c r="M489" s="6"/>
      <c r="N489" s="8"/>
      <c r="O489" s="8"/>
    </row>
    <row r="490" spans="12:15" ht="16.5" customHeight="1" x14ac:dyDescent="0.25">
      <c r="L490" s="6"/>
      <c r="M490" s="6"/>
      <c r="N490" s="8"/>
      <c r="O490" s="8"/>
    </row>
    <row r="491" spans="12:15" ht="16.5" customHeight="1" x14ac:dyDescent="0.25">
      <c r="L491" s="6"/>
      <c r="M491" s="6"/>
      <c r="N491" s="8"/>
      <c r="O491" s="8"/>
    </row>
    <row r="492" spans="12:15" ht="16.5" customHeight="1" x14ac:dyDescent="0.25">
      <c r="L492" s="6"/>
      <c r="M492" s="6"/>
      <c r="N492" s="8"/>
      <c r="O492" s="8"/>
    </row>
    <row r="493" spans="12:15" ht="16.5" customHeight="1" x14ac:dyDescent="0.25">
      <c r="L493" s="6"/>
      <c r="M493" s="6"/>
      <c r="N493" s="8"/>
      <c r="O493" s="8"/>
    </row>
    <row r="494" spans="12:15" ht="16.5" customHeight="1" x14ac:dyDescent="0.25">
      <c r="L494" s="6"/>
      <c r="M494" s="6"/>
      <c r="N494" s="8"/>
      <c r="O494" s="8"/>
    </row>
    <row r="495" spans="12:15" ht="16.5" customHeight="1" x14ac:dyDescent="0.25">
      <c r="L495" s="6"/>
      <c r="M495" s="6"/>
      <c r="N495" s="8"/>
      <c r="O495" s="8"/>
    </row>
    <row r="496" spans="12:15" ht="16.5" customHeight="1" x14ac:dyDescent="0.25">
      <c r="L496" s="6"/>
      <c r="M496" s="6"/>
      <c r="N496" s="8"/>
      <c r="O496" s="8"/>
    </row>
    <row r="497" spans="12:15" ht="16.5" customHeight="1" x14ac:dyDescent="0.25">
      <c r="L497" s="6"/>
      <c r="M497" s="6"/>
      <c r="N497" s="8"/>
      <c r="O497" s="8"/>
    </row>
    <row r="498" spans="12:15" ht="16.5" customHeight="1" x14ac:dyDescent="0.25">
      <c r="L498" s="6"/>
      <c r="M498" s="6"/>
      <c r="N498" s="8"/>
      <c r="O498" s="8"/>
    </row>
    <row r="499" spans="12:15" ht="16.5" customHeight="1" x14ac:dyDescent="0.25">
      <c r="L499" s="6"/>
      <c r="M499" s="6"/>
      <c r="N499" s="8"/>
      <c r="O499" s="8"/>
    </row>
    <row r="500" spans="12:15" ht="16.5" customHeight="1" x14ac:dyDescent="0.25">
      <c r="L500" s="6"/>
      <c r="M500" s="6"/>
      <c r="N500" s="8"/>
      <c r="O500" s="8"/>
    </row>
    <row r="501" spans="12:15" ht="16.5" customHeight="1" x14ac:dyDescent="0.25">
      <c r="L501" s="6"/>
      <c r="M501" s="6"/>
      <c r="N501" s="8"/>
      <c r="O501" s="8"/>
    </row>
    <row r="502" spans="12:15" ht="16.5" customHeight="1" x14ac:dyDescent="0.25">
      <c r="L502" s="6"/>
      <c r="M502" s="6"/>
      <c r="N502" s="8"/>
      <c r="O502" s="8"/>
    </row>
    <row r="503" spans="12:15" ht="16.5" customHeight="1" x14ac:dyDescent="0.25">
      <c r="L503" s="6"/>
      <c r="M503" s="6"/>
      <c r="N503" s="8"/>
      <c r="O503" s="8"/>
    </row>
    <row r="504" spans="12:15" ht="16.5" customHeight="1" x14ac:dyDescent="0.25">
      <c r="L504" s="6"/>
      <c r="M504" s="6"/>
      <c r="N504" s="8"/>
      <c r="O504" s="8"/>
    </row>
    <row r="505" spans="12:15" ht="16.5" customHeight="1" x14ac:dyDescent="0.25">
      <c r="L505" s="6"/>
      <c r="M505" s="6"/>
      <c r="N505" s="8"/>
      <c r="O505" s="8"/>
    </row>
    <row r="506" spans="12:15" ht="16.5" customHeight="1" x14ac:dyDescent="0.25">
      <c r="L506" s="6"/>
      <c r="M506" s="6"/>
      <c r="N506" s="8"/>
      <c r="O506" s="8"/>
    </row>
    <row r="507" spans="12:15" ht="16.5" customHeight="1" x14ac:dyDescent="0.25">
      <c r="L507" s="6"/>
      <c r="M507" s="6"/>
      <c r="N507" s="8"/>
      <c r="O507" s="8"/>
    </row>
    <row r="508" spans="12:15" ht="16.5" customHeight="1" x14ac:dyDescent="0.25">
      <c r="L508" s="6"/>
      <c r="M508" s="6"/>
      <c r="N508" s="8"/>
      <c r="O508" s="8"/>
    </row>
    <row r="509" spans="12:15" ht="16.5" customHeight="1" x14ac:dyDescent="0.25">
      <c r="L509" s="6"/>
      <c r="M509" s="6"/>
      <c r="N509" s="8"/>
      <c r="O509" s="8"/>
    </row>
    <row r="510" spans="12:15" ht="16.5" customHeight="1" x14ac:dyDescent="0.25">
      <c r="L510" s="6"/>
      <c r="M510" s="6"/>
      <c r="N510" s="8"/>
      <c r="O510" s="8"/>
    </row>
    <row r="511" spans="12:15" ht="16.5" customHeight="1" x14ac:dyDescent="0.25">
      <c r="L511" s="6"/>
      <c r="M511" s="6"/>
      <c r="N511" s="8"/>
      <c r="O511" s="8"/>
    </row>
    <row r="512" spans="12:15" ht="16.5" customHeight="1" x14ac:dyDescent="0.25">
      <c r="L512" s="6"/>
      <c r="M512" s="6"/>
      <c r="N512" s="8"/>
      <c r="O512" s="8"/>
    </row>
    <row r="513" spans="12:15" ht="16.5" customHeight="1" x14ac:dyDescent="0.25">
      <c r="L513" s="6"/>
      <c r="M513" s="6"/>
      <c r="N513" s="8"/>
      <c r="O513" s="8"/>
    </row>
    <row r="514" spans="12:15" ht="16.5" customHeight="1" x14ac:dyDescent="0.25">
      <c r="L514" s="6"/>
      <c r="M514" s="6"/>
      <c r="N514" s="8"/>
      <c r="O514" s="8"/>
    </row>
    <row r="515" spans="12:15" ht="16.5" customHeight="1" x14ac:dyDescent="0.25">
      <c r="L515" s="6"/>
      <c r="M515" s="6"/>
      <c r="N515" s="8"/>
      <c r="O515" s="8"/>
    </row>
    <row r="516" spans="12:15" ht="16.5" customHeight="1" x14ac:dyDescent="0.25">
      <c r="L516" s="6"/>
      <c r="M516" s="6"/>
      <c r="N516" s="8"/>
      <c r="O516" s="8"/>
    </row>
    <row r="517" spans="12:15" ht="16.5" customHeight="1" x14ac:dyDescent="0.25">
      <c r="L517" s="6"/>
      <c r="M517" s="6"/>
      <c r="N517" s="8"/>
      <c r="O517" s="8"/>
    </row>
    <row r="518" spans="12:15" ht="16.5" customHeight="1" x14ac:dyDescent="0.25">
      <c r="L518" s="6"/>
      <c r="M518" s="6"/>
      <c r="N518" s="8"/>
      <c r="O518" s="8"/>
    </row>
    <row r="519" spans="12:15" ht="16.5" customHeight="1" x14ac:dyDescent="0.25">
      <c r="L519" s="6"/>
      <c r="M519" s="6"/>
      <c r="N519" s="8"/>
      <c r="O519" s="8"/>
    </row>
    <row r="520" spans="12:15" ht="16.5" customHeight="1" x14ac:dyDescent="0.25">
      <c r="L520" s="6"/>
      <c r="M520" s="6"/>
      <c r="N520" s="8"/>
      <c r="O520" s="8"/>
    </row>
    <row r="521" spans="12:15" ht="16.5" customHeight="1" x14ac:dyDescent="0.25">
      <c r="L521" s="6"/>
      <c r="M521" s="6"/>
      <c r="N521" s="8"/>
      <c r="O521" s="8"/>
    </row>
    <row r="522" spans="12:15" ht="16.5" customHeight="1" x14ac:dyDescent="0.25">
      <c r="L522" s="6"/>
      <c r="M522" s="6"/>
      <c r="N522" s="8"/>
      <c r="O522" s="8"/>
    </row>
    <row r="523" spans="12:15" ht="16.5" customHeight="1" x14ac:dyDescent="0.25">
      <c r="L523" s="6"/>
      <c r="M523" s="6"/>
      <c r="N523" s="8"/>
      <c r="O523" s="8"/>
    </row>
    <row r="524" spans="12:15" ht="16.5" customHeight="1" x14ac:dyDescent="0.25">
      <c r="L524" s="6"/>
      <c r="M524" s="6"/>
      <c r="N524" s="8"/>
      <c r="O524" s="8"/>
    </row>
    <row r="525" spans="12:15" ht="16.5" customHeight="1" x14ac:dyDescent="0.25">
      <c r="L525" s="6"/>
      <c r="M525" s="6"/>
      <c r="N525" s="8"/>
      <c r="O525" s="8"/>
    </row>
    <row r="526" spans="12:15" ht="16.5" customHeight="1" x14ac:dyDescent="0.25">
      <c r="L526" s="6"/>
      <c r="M526" s="6"/>
      <c r="N526" s="8"/>
      <c r="O526" s="8"/>
    </row>
    <row r="527" spans="12:15" ht="16.5" customHeight="1" x14ac:dyDescent="0.25">
      <c r="L527" s="6"/>
      <c r="M527" s="6"/>
      <c r="N527" s="8"/>
      <c r="O527" s="8"/>
    </row>
    <row r="528" spans="12:15" ht="16.5" customHeight="1" x14ac:dyDescent="0.25">
      <c r="L528" s="6"/>
      <c r="M528" s="6"/>
      <c r="N528" s="8"/>
      <c r="O528" s="8"/>
    </row>
    <row r="529" spans="12:15" ht="16.5" customHeight="1" x14ac:dyDescent="0.25">
      <c r="L529" s="6"/>
      <c r="M529" s="6"/>
      <c r="N529" s="8"/>
      <c r="O529" s="8"/>
    </row>
    <row r="530" spans="12:15" ht="16.5" customHeight="1" x14ac:dyDescent="0.25">
      <c r="L530" s="6"/>
      <c r="M530" s="6"/>
      <c r="N530" s="8"/>
      <c r="O530" s="8"/>
    </row>
    <row r="531" spans="12:15" ht="16.5" customHeight="1" x14ac:dyDescent="0.25">
      <c r="L531" s="6"/>
      <c r="M531" s="6"/>
      <c r="N531" s="8"/>
      <c r="O531" s="8"/>
    </row>
    <row r="532" spans="12:15" ht="16.5" customHeight="1" x14ac:dyDescent="0.25">
      <c r="L532" s="6"/>
      <c r="M532" s="6"/>
      <c r="N532" s="8"/>
      <c r="O532" s="8"/>
    </row>
    <row r="533" spans="12:15" ht="16.5" customHeight="1" x14ac:dyDescent="0.25">
      <c r="L533" s="6"/>
      <c r="M533" s="6"/>
      <c r="N533" s="8"/>
      <c r="O533" s="8"/>
    </row>
    <row r="534" spans="12:15" ht="16.5" customHeight="1" x14ac:dyDescent="0.25">
      <c r="L534" s="6"/>
      <c r="M534" s="6"/>
      <c r="N534" s="8"/>
      <c r="O534" s="8"/>
    </row>
    <row r="535" spans="12:15" ht="16.5" customHeight="1" x14ac:dyDescent="0.25">
      <c r="L535" s="6"/>
      <c r="M535" s="6"/>
      <c r="N535" s="8"/>
      <c r="O535" s="8"/>
    </row>
    <row r="536" spans="12:15" ht="16.5" customHeight="1" x14ac:dyDescent="0.25">
      <c r="L536" s="6"/>
      <c r="M536" s="6"/>
      <c r="N536" s="8"/>
      <c r="O536" s="8"/>
    </row>
    <row r="537" spans="12:15" ht="16.5" customHeight="1" x14ac:dyDescent="0.25">
      <c r="L537" s="6"/>
      <c r="M537" s="6"/>
      <c r="N537" s="8"/>
      <c r="O537" s="8"/>
    </row>
    <row r="538" spans="12:15" ht="16.5" customHeight="1" x14ac:dyDescent="0.25">
      <c r="L538" s="6"/>
      <c r="M538" s="6"/>
      <c r="N538" s="8"/>
      <c r="O538" s="8"/>
    </row>
    <row r="539" spans="12:15" ht="16.5" customHeight="1" x14ac:dyDescent="0.25">
      <c r="L539" s="6"/>
      <c r="M539" s="6"/>
      <c r="N539" s="8"/>
      <c r="O539" s="8"/>
    </row>
    <row r="540" spans="12:15" ht="16.5" customHeight="1" x14ac:dyDescent="0.25">
      <c r="L540" s="6"/>
      <c r="M540" s="6"/>
      <c r="N540" s="8"/>
      <c r="O540" s="8"/>
    </row>
    <row r="541" spans="12:15" ht="16.5" customHeight="1" x14ac:dyDescent="0.25">
      <c r="L541" s="6"/>
      <c r="M541" s="6"/>
      <c r="N541" s="8"/>
      <c r="O541" s="8"/>
    </row>
    <row r="542" spans="12:15" ht="16.5" customHeight="1" x14ac:dyDescent="0.25">
      <c r="L542" s="6"/>
      <c r="M542" s="6"/>
      <c r="N542" s="8"/>
      <c r="O542" s="8"/>
    </row>
    <row r="543" spans="12:15" ht="16.5" customHeight="1" x14ac:dyDescent="0.25">
      <c r="L543" s="6"/>
      <c r="M543" s="6"/>
      <c r="N543" s="8"/>
      <c r="O543" s="8"/>
    </row>
    <row r="544" spans="12:15" ht="16.5" customHeight="1" x14ac:dyDescent="0.25">
      <c r="L544" s="6"/>
      <c r="M544" s="6"/>
      <c r="N544" s="8"/>
      <c r="O544" s="8"/>
    </row>
    <row r="545" spans="12:15" ht="16.5" customHeight="1" x14ac:dyDescent="0.25">
      <c r="L545" s="6"/>
      <c r="M545" s="6"/>
      <c r="N545" s="8"/>
      <c r="O545" s="8"/>
    </row>
    <row r="546" spans="12:15" ht="16.5" customHeight="1" x14ac:dyDescent="0.25">
      <c r="L546" s="6"/>
      <c r="M546" s="6"/>
      <c r="N546" s="8"/>
      <c r="O546" s="8"/>
    </row>
    <row r="547" spans="12:15" ht="16.5" customHeight="1" x14ac:dyDescent="0.25">
      <c r="L547" s="6"/>
      <c r="M547" s="6"/>
      <c r="N547" s="8"/>
      <c r="O547" s="8"/>
    </row>
    <row r="548" spans="12:15" ht="16.5" customHeight="1" x14ac:dyDescent="0.25">
      <c r="L548" s="6"/>
      <c r="M548" s="6"/>
      <c r="N548" s="8"/>
      <c r="O548" s="8"/>
    </row>
    <row r="549" spans="12:15" ht="16.5" customHeight="1" x14ac:dyDescent="0.25">
      <c r="L549" s="6"/>
      <c r="M549" s="6"/>
      <c r="N549" s="8"/>
      <c r="O549" s="8"/>
    </row>
    <row r="550" spans="12:15" ht="16.5" customHeight="1" x14ac:dyDescent="0.25">
      <c r="L550" s="6"/>
      <c r="M550" s="6"/>
      <c r="N550" s="8"/>
      <c r="O550" s="8"/>
    </row>
    <row r="551" spans="12:15" ht="16.5" customHeight="1" x14ac:dyDescent="0.25">
      <c r="L551" s="6"/>
      <c r="M551" s="6"/>
      <c r="N551" s="8"/>
      <c r="O551" s="8"/>
    </row>
    <row r="552" spans="12:15" ht="16.5" customHeight="1" x14ac:dyDescent="0.25">
      <c r="L552" s="6"/>
      <c r="M552" s="6"/>
      <c r="N552" s="8"/>
      <c r="O552" s="8"/>
    </row>
    <row r="553" spans="12:15" ht="16.5" customHeight="1" x14ac:dyDescent="0.25">
      <c r="L553" s="6"/>
      <c r="M553" s="6"/>
      <c r="N553" s="8"/>
      <c r="O553" s="8"/>
    </row>
    <row r="554" spans="12:15" ht="16.5" customHeight="1" x14ac:dyDescent="0.25">
      <c r="L554" s="6"/>
      <c r="M554" s="6"/>
      <c r="N554" s="8"/>
      <c r="O554" s="8"/>
    </row>
    <row r="555" spans="12:15" ht="16.5" customHeight="1" x14ac:dyDescent="0.25">
      <c r="L555" s="6"/>
      <c r="M555" s="6"/>
      <c r="N555" s="8"/>
      <c r="O555" s="8"/>
    </row>
    <row r="556" spans="12:15" ht="16.5" customHeight="1" x14ac:dyDescent="0.25">
      <c r="L556" s="6"/>
      <c r="M556" s="6"/>
      <c r="N556" s="8"/>
      <c r="O556" s="8"/>
    </row>
    <row r="557" spans="12:15" ht="16.5" customHeight="1" x14ac:dyDescent="0.25">
      <c r="L557" s="6"/>
      <c r="M557" s="6"/>
      <c r="N557" s="8"/>
      <c r="O557" s="8"/>
    </row>
    <row r="558" spans="12:15" ht="16.5" customHeight="1" x14ac:dyDescent="0.25">
      <c r="L558" s="6"/>
      <c r="M558" s="6"/>
      <c r="N558" s="8"/>
      <c r="O558" s="8"/>
    </row>
    <row r="559" spans="12:15" ht="16.5" customHeight="1" x14ac:dyDescent="0.25">
      <c r="L559" s="6"/>
      <c r="M559" s="6"/>
      <c r="N559" s="8"/>
      <c r="O559" s="8"/>
    </row>
    <row r="560" spans="12:15" ht="16.5" customHeight="1" x14ac:dyDescent="0.25">
      <c r="L560" s="6"/>
      <c r="M560" s="6"/>
      <c r="N560" s="8"/>
      <c r="O560" s="8"/>
    </row>
    <row r="561" spans="12:15" ht="16.5" customHeight="1" x14ac:dyDescent="0.25">
      <c r="L561" s="6"/>
      <c r="M561" s="6"/>
      <c r="N561" s="8"/>
      <c r="O561" s="8"/>
    </row>
    <row r="562" spans="12:15" ht="16.5" customHeight="1" x14ac:dyDescent="0.25">
      <c r="L562" s="6"/>
      <c r="M562" s="6"/>
      <c r="N562" s="8"/>
      <c r="O562" s="8"/>
    </row>
    <row r="563" spans="12:15" ht="16.5" customHeight="1" x14ac:dyDescent="0.25">
      <c r="L563" s="6"/>
      <c r="M563" s="6"/>
      <c r="N563" s="8"/>
      <c r="O563" s="8"/>
    </row>
    <row r="564" spans="12:15" ht="16.5" customHeight="1" x14ac:dyDescent="0.25">
      <c r="L564" s="6"/>
      <c r="M564" s="6"/>
      <c r="N564" s="8"/>
      <c r="O564" s="8"/>
    </row>
    <row r="565" spans="12:15" ht="16.5" customHeight="1" x14ac:dyDescent="0.25">
      <c r="L565" s="6"/>
      <c r="M565" s="6"/>
      <c r="N565" s="8"/>
      <c r="O565" s="8"/>
    </row>
    <row r="566" spans="12:15" ht="16.5" customHeight="1" x14ac:dyDescent="0.25">
      <c r="L566" s="6"/>
      <c r="M566" s="6"/>
      <c r="N566" s="8"/>
      <c r="O566" s="8"/>
    </row>
    <row r="567" spans="12:15" ht="16.5" customHeight="1" x14ac:dyDescent="0.25">
      <c r="L567" s="6"/>
      <c r="M567" s="6"/>
      <c r="N567" s="8"/>
      <c r="O567" s="8"/>
    </row>
    <row r="568" spans="12:15" ht="16.5" customHeight="1" x14ac:dyDescent="0.25">
      <c r="L568" s="6"/>
      <c r="M568" s="6"/>
      <c r="N568" s="8"/>
      <c r="O568" s="8"/>
    </row>
    <row r="569" spans="12:15" ht="16.5" customHeight="1" x14ac:dyDescent="0.25">
      <c r="L569" s="6"/>
      <c r="M569" s="6"/>
      <c r="N569" s="8"/>
      <c r="O569" s="8"/>
    </row>
    <row r="570" spans="12:15" ht="16.5" customHeight="1" x14ac:dyDescent="0.25">
      <c r="L570" s="6"/>
      <c r="M570" s="6"/>
      <c r="N570" s="8"/>
      <c r="O570" s="8"/>
    </row>
    <row r="571" spans="12:15" ht="16.5" customHeight="1" x14ac:dyDescent="0.25">
      <c r="L571" s="6"/>
      <c r="M571" s="6"/>
      <c r="N571" s="8"/>
      <c r="O571" s="8"/>
    </row>
    <row r="572" spans="12:15" ht="16.5" customHeight="1" x14ac:dyDescent="0.25">
      <c r="L572" s="6"/>
      <c r="M572" s="6"/>
      <c r="N572" s="8"/>
      <c r="O572" s="8"/>
    </row>
    <row r="573" spans="12:15" ht="16.5" customHeight="1" x14ac:dyDescent="0.25">
      <c r="L573" s="6"/>
      <c r="M573" s="6"/>
      <c r="N573" s="8"/>
      <c r="O573" s="8"/>
    </row>
    <row r="574" spans="12:15" ht="16.5" customHeight="1" x14ac:dyDescent="0.25">
      <c r="L574" s="6"/>
      <c r="M574" s="6"/>
      <c r="N574" s="8"/>
      <c r="O574" s="8"/>
    </row>
    <row r="575" spans="12:15" ht="16.5" customHeight="1" x14ac:dyDescent="0.25">
      <c r="L575" s="6"/>
      <c r="M575" s="6"/>
      <c r="N575" s="8"/>
      <c r="O575" s="8"/>
    </row>
    <row r="576" spans="12:15" ht="16.5" customHeight="1" x14ac:dyDescent="0.25">
      <c r="L576" s="6"/>
      <c r="M576" s="6"/>
      <c r="N576" s="8"/>
      <c r="O576" s="8"/>
    </row>
    <row r="577" spans="12:15" ht="16.5" customHeight="1" x14ac:dyDescent="0.25">
      <c r="L577" s="6"/>
      <c r="M577" s="6"/>
      <c r="N577" s="8"/>
      <c r="O577" s="8"/>
    </row>
    <row r="578" spans="12:15" ht="16.5" customHeight="1" x14ac:dyDescent="0.25">
      <c r="L578" s="6"/>
      <c r="M578" s="6"/>
      <c r="N578" s="8"/>
      <c r="O578" s="8"/>
    </row>
    <row r="579" spans="12:15" ht="16.5" customHeight="1" x14ac:dyDescent="0.25">
      <c r="L579" s="6"/>
      <c r="M579" s="6"/>
      <c r="N579" s="8"/>
      <c r="O579" s="8"/>
    </row>
    <row r="580" spans="12:15" ht="16.5" customHeight="1" x14ac:dyDescent="0.25">
      <c r="L580" s="6"/>
      <c r="M580" s="6"/>
      <c r="N580" s="8"/>
      <c r="O580" s="8"/>
    </row>
    <row r="581" spans="12:15" ht="16.5" customHeight="1" x14ac:dyDescent="0.25">
      <c r="L581" s="6"/>
      <c r="M581" s="6"/>
      <c r="N581" s="8"/>
      <c r="O581" s="8"/>
    </row>
    <row r="582" spans="12:15" ht="16.5" customHeight="1" x14ac:dyDescent="0.25">
      <c r="L582" s="6"/>
      <c r="M582" s="6"/>
      <c r="N582" s="8"/>
      <c r="O582" s="8"/>
    </row>
    <row r="583" spans="12:15" ht="16.5" customHeight="1" x14ac:dyDescent="0.25">
      <c r="L583" s="6"/>
      <c r="M583" s="6"/>
      <c r="N583" s="8"/>
      <c r="O583" s="8"/>
    </row>
    <row r="584" spans="12:15" ht="16.5" customHeight="1" x14ac:dyDescent="0.25">
      <c r="L584" s="6"/>
      <c r="M584" s="6"/>
      <c r="N584" s="8"/>
      <c r="O584" s="8"/>
    </row>
    <row r="585" spans="12:15" ht="16.5" customHeight="1" x14ac:dyDescent="0.25">
      <c r="L585" s="6"/>
      <c r="M585" s="6"/>
      <c r="N585" s="8"/>
      <c r="O585" s="8"/>
    </row>
    <row r="586" spans="12:15" ht="16.5" customHeight="1" x14ac:dyDescent="0.25">
      <c r="L586" s="6"/>
      <c r="M586" s="6"/>
      <c r="N586" s="8"/>
      <c r="O586" s="8"/>
    </row>
    <row r="587" spans="12:15" ht="16.5" customHeight="1" x14ac:dyDescent="0.25">
      <c r="L587" s="6"/>
      <c r="M587" s="6"/>
      <c r="N587" s="8"/>
      <c r="O587" s="8"/>
    </row>
    <row r="588" spans="12:15" ht="16.5" customHeight="1" x14ac:dyDescent="0.25">
      <c r="L588" s="6"/>
      <c r="M588" s="6"/>
      <c r="N588" s="8"/>
      <c r="O588" s="8"/>
    </row>
    <row r="589" spans="12:15" ht="16.5" customHeight="1" x14ac:dyDescent="0.25">
      <c r="L589" s="6"/>
      <c r="M589" s="6"/>
      <c r="N589" s="8"/>
      <c r="O589" s="8"/>
    </row>
    <row r="590" spans="12:15" ht="16.5" customHeight="1" x14ac:dyDescent="0.25">
      <c r="L590" s="6"/>
      <c r="M590" s="6"/>
      <c r="N590" s="8"/>
      <c r="O590" s="8"/>
    </row>
    <row r="591" spans="12:15" ht="16.5" customHeight="1" x14ac:dyDescent="0.25">
      <c r="L591" s="6"/>
      <c r="M591" s="6"/>
      <c r="N591" s="8"/>
      <c r="O591" s="8"/>
    </row>
    <row r="592" spans="12:15" ht="16.5" customHeight="1" x14ac:dyDescent="0.25">
      <c r="L592" s="6"/>
      <c r="M592" s="6"/>
      <c r="N592" s="8"/>
      <c r="O592" s="8"/>
    </row>
    <row r="593" spans="12:15" ht="16.5" customHeight="1" x14ac:dyDescent="0.25">
      <c r="L593" s="6"/>
      <c r="M593" s="6"/>
      <c r="N593" s="8"/>
      <c r="O593" s="8"/>
    </row>
    <row r="594" spans="12:15" ht="16.5" customHeight="1" x14ac:dyDescent="0.25">
      <c r="L594" s="6"/>
      <c r="M594" s="6"/>
      <c r="N594" s="8"/>
      <c r="O594" s="8"/>
    </row>
    <row r="595" spans="12:15" ht="16.5" customHeight="1" x14ac:dyDescent="0.25">
      <c r="L595" s="6"/>
      <c r="M595" s="6"/>
      <c r="N595" s="8"/>
      <c r="O595" s="8"/>
    </row>
    <row r="596" spans="12:15" ht="16.5" customHeight="1" x14ac:dyDescent="0.25">
      <c r="L596" s="6"/>
      <c r="M596" s="6"/>
      <c r="N596" s="8"/>
      <c r="O596" s="8"/>
    </row>
    <row r="597" spans="12:15" ht="16.5" customHeight="1" x14ac:dyDescent="0.25">
      <c r="L597" s="6"/>
      <c r="M597" s="6"/>
      <c r="N597" s="8"/>
      <c r="O597" s="8"/>
    </row>
    <row r="598" spans="12:15" ht="16.5" customHeight="1" x14ac:dyDescent="0.25">
      <c r="L598" s="6"/>
      <c r="M598" s="6"/>
      <c r="N598" s="8"/>
      <c r="O598" s="8"/>
    </row>
    <row r="599" spans="12:15" ht="16.5" customHeight="1" x14ac:dyDescent="0.25">
      <c r="L599" s="6"/>
      <c r="M599" s="6"/>
      <c r="N599" s="8"/>
      <c r="O599" s="8"/>
    </row>
    <row r="600" spans="12:15" ht="16.5" customHeight="1" x14ac:dyDescent="0.25">
      <c r="L600" s="6"/>
      <c r="M600" s="6"/>
      <c r="N600" s="8"/>
      <c r="O600" s="8"/>
    </row>
    <row r="601" spans="12:15" ht="16.5" customHeight="1" x14ac:dyDescent="0.25">
      <c r="L601" s="6"/>
      <c r="M601" s="6"/>
      <c r="N601" s="8"/>
      <c r="O601" s="8"/>
    </row>
    <row r="602" spans="12:15" ht="16.5" customHeight="1" x14ac:dyDescent="0.25">
      <c r="L602" s="6"/>
      <c r="M602" s="6"/>
      <c r="N602" s="8"/>
      <c r="O602" s="8"/>
    </row>
    <row r="603" spans="12:15" ht="16.5" customHeight="1" x14ac:dyDescent="0.25">
      <c r="L603" s="6"/>
      <c r="M603" s="6"/>
      <c r="N603" s="8"/>
      <c r="O603" s="8"/>
    </row>
    <row r="604" spans="12:15" ht="16.5" customHeight="1" x14ac:dyDescent="0.25">
      <c r="L604" s="6"/>
      <c r="M604" s="6"/>
      <c r="N604" s="8"/>
      <c r="O604" s="8"/>
    </row>
    <row r="605" spans="12:15" ht="16.5" customHeight="1" x14ac:dyDescent="0.25">
      <c r="L605" s="6"/>
      <c r="M605" s="6"/>
      <c r="N605" s="8"/>
      <c r="O605" s="8"/>
    </row>
    <row r="606" spans="12:15" ht="16.5" customHeight="1" x14ac:dyDescent="0.25">
      <c r="L606" s="6"/>
      <c r="M606" s="6"/>
      <c r="N606" s="8"/>
      <c r="O606" s="8"/>
    </row>
    <row r="607" spans="12:15" ht="16.5" customHeight="1" x14ac:dyDescent="0.25">
      <c r="L607" s="6"/>
      <c r="M607" s="6"/>
      <c r="N607" s="8"/>
      <c r="O607" s="8"/>
    </row>
    <row r="608" spans="12:15" ht="16.5" customHeight="1" x14ac:dyDescent="0.25">
      <c r="L608" s="6"/>
      <c r="M608" s="6"/>
      <c r="N608" s="8"/>
      <c r="O608" s="8"/>
    </row>
    <row r="609" spans="12:15" ht="16.5" customHeight="1" x14ac:dyDescent="0.25">
      <c r="L609" s="6"/>
      <c r="M609" s="6"/>
      <c r="N609" s="8"/>
      <c r="O609" s="8"/>
    </row>
    <row r="610" spans="12:15" ht="16.5" customHeight="1" x14ac:dyDescent="0.25">
      <c r="L610" s="6"/>
      <c r="M610" s="6"/>
      <c r="N610" s="8"/>
      <c r="O610" s="8"/>
    </row>
    <row r="611" spans="12:15" ht="16.5" customHeight="1" x14ac:dyDescent="0.25">
      <c r="L611" s="6"/>
      <c r="M611" s="6"/>
      <c r="N611" s="8"/>
      <c r="O611" s="8"/>
    </row>
    <row r="612" spans="12:15" ht="16.5" customHeight="1" x14ac:dyDescent="0.25">
      <c r="L612" s="6"/>
      <c r="M612" s="6"/>
      <c r="N612" s="8"/>
      <c r="O612" s="8"/>
    </row>
    <row r="613" spans="12:15" ht="16.5" customHeight="1" x14ac:dyDescent="0.25">
      <c r="L613" s="6"/>
      <c r="M613" s="6"/>
      <c r="N613" s="8"/>
      <c r="O613" s="8"/>
    </row>
    <row r="614" spans="12:15" ht="16.5" customHeight="1" x14ac:dyDescent="0.25">
      <c r="L614" s="6"/>
      <c r="M614" s="6"/>
      <c r="N614" s="8"/>
      <c r="O614" s="8"/>
    </row>
    <row r="615" spans="12:15" ht="16.5" customHeight="1" x14ac:dyDescent="0.25">
      <c r="L615" s="6"/>
      <c r="M615" s="6"/>
      <c r="N615" s="8"/>
      <c r="O615" s="8"/>
    </row>
    <row r="616" spans="12:15" ht="16.5" customHeight="1" x14ac:dyDescent="0.25">
      <c r="L616" s="6"/>
      <c r="M616" s="6"/>
      <c r="N616" s="8"/>
      <c r="O616" s="8"/>
    </row>
    <row r="617" spans="12:15" ht="16.5" customHeight="1" x14ac:dyDescent="0.25">
      <c r="L617" s="6"/>
      <c r="M617" s="6"/>
      <c r="N617" s="8"/>
      <c r="O617" s="8"/>
    </row>
    <row r="618" spans="12:15" ht="16.5" customHeight="1" x14ac:dyDescent="0.25">
      <c r="L618" s="6"/>
      <c r="M618" s="6"/>
      <c r="N618" s="8"/>
      <c r="O618" s="8"/>
    </row>
    <row r="619" spans="12:15" ht="16.5" customHeight="1" x14ac:dyDescent="0.25">
      <c r="L619" s="6"/>
      <c r="M619" s="6"/>
      <c r="N619" s="8"/>
      <c r="O619" s="8"/>
    </row>
    <row r="620" spans="12:15" ht="16.5" customHeight="1" x14ac:dyDescent="0.25">
      <c r="L620" s="6"/>
      <c r="M620" s="6"/>
      <c r="N620" s="8"/>
      <c r="O620" s="8"/>
    </row>
    <row r="621" spans="12:15" ht="16.5" customHeight="1" x14ac:dyDescent="0.25">
      <c r="L621" s="6"/>
      <c r="M621" s="6"/>
      <c r="N621" s="8"/>
      <c r="O621" s="8"/>
    </row>
    <row r="622" spans="12:15" ht="16.5" customHeight="1" x14ac:dyDescent="0.25">
      <c r="L622" s="6"/>
      <c r="M622" s="6"/>
      <c r="N622" s="8"/>
      <c r="O622" s="8"/>
    </row>
    <row r="623" spans="12:15" ht="16.5" customHeight="1" x14ac:dyDescent="0.25">
      <c r="L623" s="6"/>
      <c r="M623" s="6"/>
      <c r="N623" s="8"/>
      <c r="O623" s="8"/>
    </row>
    <row r="624" spans="12:15" ht="16.5" customHeight="1" x14ac:dyDescent="0.25">
      <c r="L624" s="6"/>
      <c r="M624" s="6"/>
      <c r="N624" s="8"/>
      <c r="O624" s="8"/>
    </row>
    <row r="625" spans="12:15" ht="16.5" customHeight="1" x14ac:dyDescent="0.25">
      <c r="L625" s="6"/>
      <c r="M625" s="6"/>
      <c r="N625" s="8"/>
      <c r="O625" s="8"/>
    </row>
    <row r="626" spans="12:15" ht="16.5" customHeight="1" x14ac:dyDescent="0.25">
      <c r="L626" s="6"/>
      <c r="M626" s="6"/>
      <c r="N626" s="8"/>
      <c r="O626" s="8"/>
    </row>
    <row r="627" spans="12:15" ht="16.5" customHeight="1" x14ac:dyDescent="0.25">
      <c r="L627" s="6"/>
      <c r="M627" s="6"/>
      <c r="N627" s="8"/>
      <c r="O627" s="8"/>
    </row>
    <row r="628" spans="12:15" ht="16.5" customHeight="1" x14ac:dyDescent="0.25">
      <c r="L628" s="6"/>
      <c r="M628" s="6"/>
      <c r="N628" s="8"/>
      <c r="O628" s="8"/>
    </row>
    <row r="629" spans="12:15" ht="16.5" customHeight="1" x14ac:dyDescent="0.25">
      <c r="L629" s="6"/>
      <c r="M629" s="6"/>
      <c r="N629" s="8"/>
      <c r="O629" s="8"/>
    </row>
    <row r="630" spans="12:15" ht="16.5" customHeight="1" x14ac:dyDescent="0.25">
      <c r="L630" s="6"/>
      <c r="M630" s="6"/>
      <c r="N630" s="8"/>
      <c r="O630" s="8"/>
    </row>
    <row r="631" spans="12:15" ht="16.5" customHeight="1" x14ac:dyDescent="0.25">
      <c r="L631" s="6"/>
      <c r="M631" s="6"/>
      <c r="N631" s="8"/>
      <c r="O631" s="8"/>
    </row>
    <row r="632" spans="12:15" ht="16.5" customHeight="1" x14ac:dyDescent="0.25">
      <c r="L632" s="6"/>
      <c r="M632" s="6"/>
      <c r="N632" s="8"/>
      <c r="O632" s="8"/>
    </row>
    <row r="633" spans="12:15" ht="16.5" customHeight="1" x14ac:dyDescent="0.25">
      <c r="L633" s="6"/>
      <c r="M633" s="6"/>
      <c r="N633" s="8"/>
      <c r="O633" s="8"/>
    </row>
    <row r="634" spans="12:15" ht="16.5" customHeight="1" x14ac:dyDescent="0.25">
      <c r="L634" s="6"/>
      <c r="M634" s="6"/>
      <c r="N634" s="8"/>
      <c r="O634" s="8"/>
    </row>
    <row r="635" spans="12:15" ht="16.5" customHeight="1" x14ac:dyDescent="0.25">
      <c r="L635" s="6"/>
      <c r="M635" s="6"/>
      <c r="N635" s="8"/>
      <c r="O635" s="8"/>
    </row>
    <row r="636" spans="12:15" ht="16.5" customHeight="1" x14ac:dyDescent="0.25">
      <c r="L636" s="6"/>
      <c r="M636" s="6"/>
      <c r="N636" s="8"/>
      <c r="O636" s="8"/>
    </row>
    <row r="637" spans="12:15" ht="16.5" customHeight="1" x14ac:dyDescent="0.25">
      <c r="L637" s="6"/>
      <c r="M637" s="6"/>
      <c r="N637" s="8"/>
      <c r="O637" s="8"/>
    </row>
    <row r="638" spans="12:15" ht="16.5" customHeight="1" x14ac:dyDescent="0.25">
      <c r="L638" s="6"/>
      <c r="M638" s="6"/>
      <c r="N638" s="8"/>
      <c r="O638" s="8"/>
    </row>
    <row r="639" spans="12:15" ht="16.5" customHeight="1" x14ac:dyDescent="0.25">
      <c r="L639" s="6"/>
      <c r="M639" s="6"/>
      <c r="N639" s="8"/>
      <c r="O639" s="8"/>
    </row>
    <row r="640" spans="12:15" ht="16.5" customHeight="1" x14ac:dyDescent="0.25">
      <c r="L640" s="6"/>
      <c r="M640" s="6"/>
      <c r="N640" s="8"/>
      <c r="O640" s="8"/>
    </row>
    <row r="641" spans="12:15" ht="16.5" customHeight="1" x14ac:dyDescent="0.25">
      <c r="L641" s="6"/>
      <c r="M641" s="6"/>
      <c r="N641" s="8"/>
      <c r="O641" s="8"/>
    </row>
    <row r="642" spans="12:15" ht="16.5" customHeight="1" x14ac:dyDescent="0.25">
      <c r="L642" s="6"/>
      <c r="M642" s="6"/>
      <c r="N642" s="8"/>
      <c r="O642" s="8"/>
    </row>
    <row r="643" spans="12:15" ht="16.5" customHeight="1" x14ac:dyDescent="0.25">
      <c r="L643" s="6"/>
      <c r="M643" s="6"/>
      <c r="N643" s="8"/>
      <c r="O643" s="8"/>
    </row>
    <row r="644" spans="12:15" ht="16.5" customHeight="1" x14ac:dyDescent="0.25">
      <c r="L644" s="6"/>
      <c r="M644" s="6"/>
      <c r="N644" s="8"/>
      <c r="O644" s="8"/>
    </row>
    <row r="645" spans="12:15" ht="16.5" customHeight="1" x14ac:dyDescent="0.25">
      <c r="L645" s="6"/>
      <c r="M645" s="6"/>
      <c r="N645" s="8"/>
      <c r="O645" s="8"/>
    </row>
    <row r="646" spans="12:15" ht="16.5" customHeight="1" x14ac:dyDescent="0.25">
      <c r="L646" s="6"/>
      <c r="M646" s="6"/>
      <c r="N646" s="8"/>
      <c r="O646" s="8"/>
    </row>
    <row r="647" spans="12:15" ht="16.5" customHeight="1" x14ac:dyDescent="0.25">
      <c r="L647" s="6"/>
      <c r="M647" s="6"/>
      <c r="N647" s="8"/>
      <c r="O647" s="8"/>
    </row>
    <row r="648" spans="12:15" ht="16.5" customHeight="1" x14ac:dyDescent="0.25">
      <c r="L648" s="6"/>
      <c r="M648" s="6"/>
      <c r="N648" s="8"/>
      <c r="O648" s="8"/>
    </row>
    <row r="649" spans="12:15" ht="16.5" customHeight="1" x14ac:dyDescent="0.25">
      <c r="L649" s="6"/>
      <c r="M649" s="6"/>
      <c r="N649" s="8"/>
      <c r="O649" s="8"/>
    </row>
    <row r="650" spans="12:15" ht="16.5" customHeight="1" x14ac:dyDescent="0.25">
      <c r="L650" s="6"/>
      <c r="M650" s="6"/>
      <c r="N650" s="8"/>
      <c r="O650" s="8"/>
    </row>
    <row r="651" spans="12:15" ht="16.5" customHeight="1" x14ac:dyDescent="0.25">
      <c r="L651" s="6"/>
      <c r="M651" s="6"/>
      <c r="N651" s="8"/>
      <c r="O651" s="8"/>
    </row>
    <row r="652" spans="12:15" ht="16.5" customHeight="1" x14ac:dyDescent="0.25">
      <c r="L652" s="6"/>
      <c r="M652" s="6"/>
      <c r="N652" s="8"/>
      <c r="O652" s="8"/>
    </row>
    <row r="653" spans="12:15" ht="16.5" customHeight="1" x14ac:dyDescent="0.25">
      <c r="L653" s="6"/>
      <c r="M653" s="6"/>
      <c r="N653" s="8"/>
      <c r="O653" s="8"/>
    </row>
    <row r="654" spans="12:15" ht="16.5" customHeight="1" x14ac:dyDescent="0.25">
      <c r="L654" s="6"/>
      <c r="M654" s="6"/>
      <c r="N654" s="8"/>
      <c r="O654" s="8"/>
    </row>
    <row r="655" spans="12:15" ht="16.5" customHeight="1" x14ac:dyDescent="0.25">
      <c r="L655" s="6"/>
      <c r="M655" s="6"/>
      <c r="N655" s="8"/>
      <c r="O655" s="8"/>
    </row>
    <row r="656" spans="12:15" ht="16.5" customHeight="1" x14ac:dyDescent="0.25">
      <c r="L656" s="6"/>
      <c r="M656" s="6"/>
      <c r="N656" s="8"/>
      <c r="O656" s="8"/>
    </row>
    <row r="657" spans="12:15" ht="16.5" customHeight="1" x14ac:dyDescent="0.25">
      <c r="L657" s="6"/>
      <c r="M657" s="6"/>
      <c r="N657" s="8"/>
      <c r="O657" s="8"/>
    </row>
    <row r="658" spans="12:15" ht="16.5" customHeight="1" x14ac:dyDescent="0.25">
      <c r="L658" s="6"/>
      <c r="M658" s="6"/>
      <c r="N658" s="8"/>
      <c r="O658" s="8"/>
    </row>
    <row r="659" spans="12:15" ht="16.5" customHeight="1" x14ac:dyDescent="0.25">
      <c r="L659" s="6"/>
      <c r="M659" s="6"/>
      <c r="N659" s="8"/>
      <c r="O659" s="8"/>
    </row>
    <row r="660" spans="12:15" ht="16.5" customHeight="1" x14ac:dyDescent="0.25">
      <c r="L660" s="6"/>
      <c r="M660" s="6"/>
      <c r="N660" s="8"/>
      <c r="O660" s="8"/>
    </row>
    <row r="661" spans="12:15" ht="16.5" customHeight="1" x14ac:dyDescent="0.25">
      <c r="L661" s="6"/>
      <c r="M661" s="6"/>
      <c r="N661" s="8"/>
      <c r="O661" s="8"/>
    </row>
    <row r="662" spans="12:15" ht="16.5" customHeight="1" x14ac:dyDescent="0.25">
      <c r="L662" s="6"/>
      <c r="M662" s="6"/>
      <c r="N662" s="8"/>
      <c r="O662" s="8"/>
    </row>
    <row r="663" spans="12:15" ht="16.5" customHeight="1" x14ac:dyDescent="0.25">
      <c r="L663" s="6"/>
      <c r="M663" s="6"/>
      <c r="N663" s="8"/>
      <c r="O663" s="8"/>
    </row>
    <row r="664" spans="12:15" ht="16.5" customHeight="1" x14ac:dyDescent="0.25">
      <c r="L664" s="6"/>
      <c r="M664" s="6"/>
      <c r="N664" s="8"/>
      <c r="O664" s="8"/>
    </row>
    <row r="665" spans="12:15" ht="16.5" customHeight="1" x14ac:dyDescent="0.25">
      <c r="L665" s="6"/>
      <c r="M665" s="6"/>
      <c r="N665" s="8"/>
      <c r="O665" s="8"/>
    </row>
    <row r="666" spans="12:15" ht="16.5" customHeight="1" x14ac:dyDescent="0.25">
      <c r="L666" s="6"/>
      <c r="M666" s="6"/>
      <c r="N666" s="8"/>
      <c r="O666" s="8"/>
    </row>
    <row r="667" spans="12:15" ht="16.5" customHeight="1" x14ac:dyDescent="0.25">
      <c r="L667" s="6"/>
      <c r="M667" s="6"/>
      <c r="N667" s="8"/>
      <c r="O667" s="8"/>
    </row>
    <row r="668" spans="12:15" ht="16.5" customHeight="1" x14ac:dyDescent="0.25">
      <c r="L668" s="6"/>
      <c r="M668" s="6"/>
      <c r="N668" s="8"/>
      <c r="O668" s="8"/>
    </row>
    <row r="669" spans="12:15" ht="16.5" customHeight="1" x14ac:dyDescent="0.25">
      <c r="L669" s="6"/>
      <c r="M669" s="6"/>
      <c r="N669" s="8"/>
      <c r="O669" s="8"/>
    </row>
    <row r="670" spans="12:15" ht="16.5" customHeight="1" x14ac:dyDescent="0.25">
      <c r="L670" s="6"/>
      <c r="M670" s="6"/>
      <c r="N670" s="8"/>
      <c r="O670" s="8"/>
    </row>
    <row r="671" spans="12:15" ht="16.5" customHeight="1" x14ac:dyDescent="0.25">
      <c r="L671" s="6"/>
      <c r="M671" s="6"/>
      <c r="N671" s="8"/>
      <c r="O671" s="8"/>
    </row>
    <row r="672" spans="12:15" ht="16.5" customHeight="1" x14ac:dyDescent="0.25">
      <c r="L672" s="6"/>
      <c r="M672" s="6"/>
      <c r="N672" s="8"/>
      <c r="O672" s="8"/>
    </row>
    <row r="673" spans="12:15" ht="16.5" customHeight="1" x14ac:dyDescent="0.25">
      <c r="L673" s="6"/>
      <c r="M673" s="6"/>
      <c r="N673" s="8"/>
      <c r="O673" s="8"/>
    </row>
    <row r="674" spans="12:15" ht="16.5" customHeight="1" x14ac:dyDescent="0.25">
      <c r="L674" s="6"/>
      <c r="M674" s="6"/>
      <c r="N674" s="8"/>
      <c r="O674" s="8"/>
    </row>
    <row r="675" spans="12:15" ht="16.5" customHeight="1" x14ac:dyDescent="0.25">
      <c r="L675" s="6"/>
      <c r="M675" s="6"/>
      <c r="N675" s="8"/>
      <c r="O675" s="8"/>
    </row>
    <row r="676" spans="12:15" ht="16.5" customHeight="1" x14ac:dyDescent="0.25">
      <c r="L676" s="6"/>
      <c r="M676" s="6"/>
      <c r="N676" s="8"/>
      <c r="O676" s="8"/>
    </row>
    <row r="677" spans="12:15" ht="16.5" customHeight="1" x14ac:dyDescent="0.25">
      <c r="L677" s="6"/>
      <c r="M677" s="6"/>
      <c r="N677" s="8"/>
      <c r="O677" s="8"/>
    </row>
    <row r="678" spans="12:15" ht="16.5" customHeight="1" x14ac:dyDescent="0.25">
      <c r="L678" s="6"/>
      <c r="M678" s="6"/>
      <c r="N678" s="8"/>
      <c r="O678" s="8"/>
    </row>
    <row r="679" spans="12:15" ht="16.5" customHeight="1" x14ac:dyDescent="0.25">
      <c r="L679" s="6"/>
      <c r="M679" s="6"/>
      <c r="N679" s="8"/>
      <c r="O679" s="8"/>
    </row>
    <row r="680" spans="12:15" ht="16.5" customHeight="1" x14ac:dyDescent="0.25">
      <c r="L680" s="6"/>
      <c r="M680" s="6"/>
      <c r="N680" s="8"/>
      <c r="O680" s="8"/>
    </row>
    <row r="681" spans="12:15" ht="16.5" customHeight="1" x14ac:dyDescent="0.25">
      <c r="L681" s="6"/>
      <c r="M681" s="6"/>
      <c r="N681" s="8"/>
      <c r="O681" s="8"/>
    </row>
    <row r="682" spans="12:15" ht="16.5" customHeight="1" x14ac:dyDescent="0.25">
      <c r="L682" s="6"/>
      <c r="M682" s="6"/>
      <c r="N682" s="8"/>
      <c r="O682" s="8"/>
    </row>
    <row r="683" spans="12:15" ht="16.5" customHeight="1" x14ac:dyDescent="0.25">
      <c r="L683" s="6"/>
      <c r="M683" s="6"/>
      <c r="N683" s="8"/>
      <c r="O683" s="8"/>
    </row>
    <row r="684" spans="12:15" ht="16.5" customHeight="1" x14ac:dyDescent="0.25">
      <c r="L684" s="6"/>
      <c r="M684" s="6"/>
      <c r="N684" s="8"/>
      <c r="O684" s="8"/>
    </row>
    <row r="685" spans="12:15" ht="16.5" customHeight="1" x14ac:dyDescent="0.25">
      <c r="L685" s="6"/>
      <c r="M685" s="6"/>
      <c r="N685" s="8"/>
      <c r="O685" s="8"/>
    </row>
    <row r="686" spans="12:15" ht="16.5" customHeight="1" x14ac:dyDescent="0.25">
      <c r="L686" s="6"/>
      <c r="M686" s="6"/>
      <c r="N686" s="8"/>
      <c r="O686" s="8"/>
    </row>
    <row r="687" spans="12:15" ht="16.5" customHeight="1" x14ac:dyDescent="0.25">
      <c r="L687" s="6"/>
      <c r="M687" s="6"/>
      <c r="N687" s="8"/>
      <c r="O687" s="8"/>
    </row>
    <row r="688" spans="12:15" ht="16.5" customHeight="1" x14ac:dyDescent="0.25">
      <c r="L688" s="6"/>
      <c r="M688" s="6"/>
      <c r="N688" s="8"/>
      <c r="O688" s="8"/>
    </row>
    <row r="689" spans="12:15" ht="16.5" customHeight="1" x14ac:dyDescent="0.25">
      <c r="L689" s="6"/>
      <c r="M689" s="6"/>
      <c r="N689" s="8"/>
      <c r="O689" s="8"/>
    </row>
    <row r="690" spans="12:15" ht="16.5" customHeight="1" x14ac:dyDescent="0.25">
      <c r="L690" s="6"/>
      <c r="M690" s="6"/>
      <c r="N690" s="8"/>
      <c r="O690" s="8"/>
    </row>
    <row r="691" spans="12:15" ht="16.5" customHeight="1" x14ac:dyDescent="0.25">
      <c r="L691" s="6"/>
      <c r="M691" s="6"/>
      <c r="N691" s="8"/>
      <c r="O691" s="8"/>
    </row>
    <row r="692" spans="12:15" ht="16.5" customHeight="1" x14ac:dyDescent="0.25">
      <c r="L692" s="6"/>
      <c r="M692" s="6"/>
      <c r="N692" s="8"/>
      <c r="O692" s="8"/>
    </row>
    <row r="693" spans="12:15" ht="16.5" customHeight="1" x14ac:dyDescent="0.25">
      <c r="L693" s="6"/>
      <c r="M693" s="6"/>
      <c r="N693" s="8"/>
      <c r="O693" s="8"/>
    </row>
    <row r="694" spans="12:15" ht="16.5" customHeight="1" x14ac:dyDescent="0.25">
      <c r="L694" s="6"/>
      <c r="M694" s="6"/>
      <c r="N694" s="8"/>
      <c r="O694" s="8"/>
    </row>
    <row r="695" spans="12:15" ht="16.5" customHeight="1" x14ac:dyDescent="0.25">
      <c r="L695" s="6"/>
      <c r="M695" s="6"/>
      <c r="N695" s="8"/>
      <c r="O695" s="8"/>
    </row>
    <row r="696" spans="12:15" ht="16.5" customHeight="1" x14ac:dyDescent="0.25">
      <c r="L696" s="6"/>
      <c r="M696" s="6"/>
      <c r="N696" s="8"/>
      <c r="O696" s="8"/>
    </row>
    <row r="697" spans="12:15" ht="16.5" customHeight="1" x14ac:dyDescent="0.25">
      <c r="L697" s="6"/>
      <c r="M697" s="6"/>
      <c r="N697" s="8"/>
      <c r="O697" s="8"/>
    </row>
    <row r="698" spans="12:15" ht="16.5" customHeight="1" x14ac:dyDescent="0.25">
      <c r="L698" s="6"/>
      <c r="M698" s="6"/>
      <c r="N698" s="8"/>
      <c r="O698" s="8"/>
    </row>
    <row r="699" spans="12:15" ht="16.5" customHeight="1" x14ac:dyDescent="0.25">
      <c r="L699" s="6"/>
      <c r="M699" s="6"/>
      <c r="N699" s="8"/>
      <c r="O699" s="8"/>
    </row>
    <row r="700" spans="12:15" ht="16.5" customHeight="1" x14ac:dyDescent="0.25">
      <c r="L700" s="6"/>
      <c r="M700" s="6"/>
      <c r="N700" s="8"/>
      <c r="O700" s="8"/>
    </row>
    <row r="701" spans="12:15" ht="16.5" customHeight="1" x14ac:dyDescent="0.25">
      <c r="L701" s="6"/>
      <c r="M701" s="6"/>
      <c r="N701" s="8"/>
      <c r="O701" s="8"/>
    </row>
    <row r="702" spans="12:15" ht="16.5" customHeight="1" x14ac:dyDescent="0.25">
      <c r="L702" s="6"/>
      <c r="M702" s="6"/>
      <c r="N702" s="8"/>
      <c r="O702" s="8"/>
    </row>
    <row r="703" spans="12:15" ht="16.5" customHeight="1" x14ac:dyDescent="0.25">
      <c r="L703" s="6"/>
      <c r="M703" s="6"/>
      <c r="N703" s="8"/>
      <c r="O703" s="8"/>
    </row>
    <row r="704" spans="12:15" ht="16.5" customHeight="1" x14ac:dyDescent="0.25">
      <c r="L704" s="6"/>
      <c r="M704" s="6"/>
      <c r="N704" s="8"/>
      <c r="O704" s="8"/>
    </row>
    <row r="705" spans="12:15" ht="16.5" customHeight="1" x14ac:dyDescent="0.25">
      <c r="L705" s="6"/>
      <c r="M705" s="6"/>
      <c r="N705" s="8"/>
      <c r="O705" s="8"/>
    </row>
    <row r="706" spans="12:15" ht="16.5" customHeight="1" x14ac:dyDescent="0.25">
      <c r="L706" s="6"/>
      <c r="M706" s="6"/>
      <c r="N706" s="8"/>
      <c r="O706" s="8"/>
    </row>
    <row r="707" spans="12:15" ht="16.5" customHeight="1" x14ac:dyDescent="0.25">
      <c r="L707" s="6"/>
      <c r="M707" s="6"/>
      <c r="N707" s="8"/>
      <c r="O707" s="8"/>
    </row>
    <row r="708" spans="12:15" ht="16.5" customHeight="1" x14ac:dyDescent="0.25">
      <c r="L708" s="6"/>
      <c r="M708" s="6"/>
      <c r="N708" s="8"/>
      <c r="O708" s="8"/>
    </row>
    <row r="709" spans="12:15" ht="16.5" customHeight="1" x14ac:dyDescent="0.25">
      <c r="L709" s="6"/>
      <c r="M709" s="6"/>
      <c r="N709" s="8"/>
      <c r="O709" s="8"/>
    </row>
    <row r="710" spans="12:15" ht="16.5" customHeight="1" x14ac:dyDescent="0.25">
      <c r="L710" s="6"/>
      <c r="M710" s="6"/>
      <c r="N710" s="8"/>
      <c r="O710" s="8"/>
    </row>
    <row r="711" spans="12:15" ht="16.5" customHeight="1" x14ac:dyDescent="0.25">
      <c r="L711" s="6"/>
      <c r="M711" s="6"/>
      <c r="N711" s="8"/>
      <c r="O711" s="8"/>
    </row>
    <row r="712" spans="12:15" ht="16.5" customHeight="1" x14ac:dyDescent="0.25">
      <c r="L712" s="6"/>
      <c r="M712" s="6"/>
      <c r="N712" s="8"/>
      <c r="O712" s="8"/>
    </row>
    <row r="713" spans="12:15" ht="16.5" customHeight="1" x14ac:dyDescent="0.25">
      <c r="L713" s="6"/>
      <c r="M713" s="6"/>
      <c r="N713" s="8"/>
      <c r="O713" s="8"/>
    </row>
    <row r="714" spans="12:15" ht="16.5" customHeight="1" x14ac:dyDescent="0.25">
      <c r="L714" s="6"/>
      <c r="M714" s="6"/>
      <c r="N714" s="8"/>
      <c r="O714" s="8"/>
    </row>
    <row r="715" spans="12:15" ht="16.5" customHeight="1" x14ac:dyDescent="0.25">
      <c r="L715" s="6"/>
      <c r="M715" s="6"/>
      <c r="N715" s="8"/>
      <c r="O715" s="8"/>
    </row>
    <row r="716" spans="12:15" ht="16.5" customHeight="1" x14ac:dyDescent="0.25">
      <c r="L716" s="6"/>
      <c r="M716" s="6"/>
      <c r="N716" s="8"/>
      <c r="O716" s="8"/>
    </row>
    <row r="717" spans="12:15" ht="16.5" customHeight="1" x14ac:dyDescent="0.25">
      <c r="L717" s="6"/>
      <c r="M717" s="6"/>
      <c r="N717" s="8"/>
      <c r="O717" s="8"/>
    </row>
    <row r="718" spans="12:15" ht="16.5" customHeight="1" x14ac:dyDescent="0.25">
      <c r="L718" s="6"/>
      <c r="M718" s="6"/>
      <c r="N718" s="8"/>
      <c r="O718" s="8"/>
    </row>
    <row r="719" spans="12:15" ht="16.5" customHeight="1" x14ac:dyDescent="0.25">
      <c r="L719" s="6"/>
      <c r="M719" s="6"/>
      <c r="N719" s="8"/>
      <c r="O719" s="8"/>
    </row>
    <row r="720" spans="12:15" ht="16.5" customHeight="1" x14ac:dyDescent="0.25">
      <c r="L720" s="6"/>
      <c r="M720" s="6"/>
      <c r="N720" s="8"/>
      <c r="O720" s="8"/>
    </row>
    <row r="721" spans="12:15" ht="16.5" customHeight="1" x14ac:dyDescent="0.25">
      <c r="L721" s="6"/>
      <c r="M721" s="6"/>
      <c r="N721" s="8"/>
      <c r="O721" s="8"/>
    </row>
    <row r="722" spans="12:15" ht="16.5" customHeight="1" x14ac:dyDescent="0.25">
      <c r="L722" s="6"/>
      <c r="M722" s="6"/>
      <c r="N722" s="8"/>
      <c r="O722" s="8"/>
    </row>
    <row r="723" spans="12:15" ht="16.5" customHeight="1" x14ac:dyDescent="0.25">
      <c r="L723" s="6"/>
      <c r="M723" s="6"/>
      <c r="N723" s="8"/>
      <c r="O723" s="8"/>
    </row>
    <row r="724" spans="12:15" ht="16.5" customHeight="1" x14ac:dyDescent="0.25">
      <c r="L724" s="6"/>
      <c r="M724" s="6"/>
      <c r="N724" s="8"/>
      <c r="O724" s="8"/>
    </row>
    <row r="725" spans="12:15" ht="16.5" customHeight="1" x14ac:dyDescent="0.25">
      <c r="L725" s="6"/>
      <c r="M725" s="6"/>
      <c r="N725" s="8"/>
      <c r="O725" s="8"/>
    </row>
    <row r="726" spans="12:15" ht="16.5" customHeight="1" x14ac:dyDescent="0.25">
      <c r="L726" s="6"/>
      <c r="M726" s="6"/>
      <c r="N726" s="8"/>
      <c r="O726" s="8"/>
    </row>
    <row r="727" spans="12:15" ht="16.5" customHeight="1" x14ac:dyDescent="0.25">
      <c r="L727" s="6"/>
      <c r="M727" s="6"/>
      <c r="N727" s="8"/>
      <c r="O727" s="8"/>
    </row>
    <row r="728" spans="12:15" ht="16.5" customHeight="1" x14ac:dyDescent="0.25">
      <c r="L728" s="6"/>
      <c r="M728" s="6"/>
      <c r="N728" s="8"/>
      <c r="O728" s="8"/>
    </row>
    <row r="729" spans="12:15" ht="16.5" customHeight="1" x14ac:dyDescent="0.25">
      <c r="L729" s="6"/>
      <c r="M729" s="6"/>
      <c r="N729" s="8"/>
      <c r="O729" s="8"/>
    </row>
    <row r="730" spans="12:15" ht="16.5" customHeight="1" x14ac:dyDescent="0.25">
      <c r="L730" s="6"/>
      <c r="M730" s="6"/>
      <c r="N730" s="8"/>
      <c r="O730" s="8"/>
    </row>
    <row r="731" spans="12:15" ht="16.5" customHeight="1" x14ac:dyDescent="0.25">
      <c r="L731" s="6"/>
      <c r="M731" s="6"/>
      <c r="N731" s="8"/>
      <c r="O731" s="8"/>
    </row>
    <row r="732" spans="12:15" ht="16.5" customHeight="1" x14ac:dyDescent="0.25">
      <c r="L732" s="6"/>
      <c r="M732" s="6"/>
      <c r="N732" s="8"/>
      <c r="O732" s="8"/>
    </row>
    <row r="733" spans="12:15" ht="16.5" customHeight="1" x14ac:dyDescent="0.25">
      <c r="L733" s="6"/>
      <c r="M733" s="6"/>
      <c r="N733" s="8"/>
      <c r="O733" s="8"/>
    </row>
    <row r="734" spans="12:15" ht="16.5" customHeight="1" x14ac:dyDescent="0.25">
      <c r="L734" s="6"/>
      <c r="M734" s="6"/>
      <c r="N734" s="8"/>
      <c r="O734" s="8"/>
    </row>
    <row r="735" spans="12:15" ht="16.5" customHeight="1" x14ac:dyDescent="0.25">
      <c r="L735" s="6"/>
      <c r="M735" s="6"/>
      <c r="N735" s="8"/>
      <c r="O735" s="8"/>
    </row>
    <row r="736" spans="12:15" ht="16.5" customHeight="1" x14ac:dyDescent="0.25">
      <c r="L736" s="6"/>
      <c r="M736" s="6"/>
      <c r="N736" s="8"/>
      <c r="O736" s="8"/>
    </row>
    <row r="737" spans="12:15" ht="16.5" customHeight="1" x14ac:dyDescent="0.25">
      <c r="L737" s="6"/>
      <c r="M737" s="6"/>
      <c r="N737" s="8"/>
      <c r="O737" s="8"/>
    </row>
    <row r="738" spans="12:15" ht="16.5" customHeight="1" x14ac:dyDescent="0.25">
      <c r="L738" s="6"/>
      <c r="M738" s="6"/>
      <c r="N738" s="8"/>
      <c r="O738" s="8"/>
    </row>
    <row r="739" spans="12:15" ht="16.5" customHeight="1" x14ac:dyDescent="0.25">
      <c r="L739" s="6"/>
      <c r="M739" s="6"/>
      <c r="N739" s="8"/>
      <c r="O739" s="8"/>
    </row>
    <row r="740" spans="12:15" ht="16.5" customHeight="1" x14ac:dyDescent="0.25">
      <c r="L740" s="6"/>
      <c r="M740" s="6"/>
      <c r="N740" s="8"/>
      <c r="O740" s="8"/>
    </row>
    <row r="741" spans="12:15" ht="16.5" customHeight="1" x14ac:dyDescent="0.25">
      <c r="L741" s="6"/>
      <c r="M741" s="6"/>
      <c r="N741" s="8"/>
      <c r="O741" s="8"/>
    </row>
    <row r="742" spans="12:15" ht="16.5" customHeight="1" x14ac:dyDescent="0.25">
      <c r="L742" s="6"/>
      <c r="M742" s="6"/>
      <c r="N742" s="8"/>
      <c r="O742" s="8"/>
    </row>
    <row r="743" spans="12:15" ht="16.5" customHeight="1" x14ac:dyDescent="0.25">
      <c r="L743" s="6"/>
      <c r="M743" s="6"/>
      <c r="N743" s="8"/>
      <c r="O743" s="8"/>
    </row>
    <row r="744" spans="12:15" ht="16.5" customHeight="1" x14ac:dyDescent="0.25">
      <c r="L744" s="6"/>
      <c r="M744" s="6"/>
      <c r="N744" s="8"/>
      <c r="O744" s="8"/>
    </row>
    <row r="745" spans="12:15" ht="16.5" customHeight="1" x14ac:dyDescent="0.25">
      <c r="L745" s="6"/>
      <c r="M745" s="6"/>
      <c r="N745" s="8"/>
      <c r="O745" s="8"/>
    </row>
    <row r="746" spans="12:15" ht="16.5" customHeight="1" x14ac:dyDescent="0.25">
      <c r="L746" s="6"/>
      <c r="M746" s="6"/>
      <c r="N746" s="8"/>
      <c r="O746" s="8"/>
    </row>
    <row r="747" spans="12:15" ht="16.5" customHeight="1" x14ac:dyDescent="0.25">
      <c r="L747" s="6"/>
      <c r="M747" s="6"/>
      <c r="N747" s="8"/>
      <c r="O747" s="8"/>
    </row>
    <row r="748" spans="12:15" ht="16.5" customHeight="1" x14ac:dyDescent="0.25">
      <c r="L748" s="6"/>
      <c r="M748" s="6"/>
      <c r="N748" s="8"/>
      <c r="O748" s="8"/>
    </row>
    <row r="749" spans="12:15" ht="16.5" customHeight="1" x14ac:dyDescent="0.25">
      <c r="L749" s="6"/>
      <c r="M749" s="6"/>
      <c r="N749" s="8"/>
      <c r="O749" s="8"/>
    </row>
    <row r="750" spans="12:15" ht="16.5" customHeight="1" x14ac:dyDescent="0.25">
      <c r="L750" s="6"/>
      <c r="M750" s="6"/>
      <c r="N750" s="8"/>
      <c r="O750" s="8"/>
    </row>
    <row r="751" spans="12:15" ht="16.5" customHeight="1" x14ac:dyDescent="0.25">
      <c r="L751" s="6"/>
      <c r="M751" s="6"/>
      <c r="N751" s="8"/>
      <c r="O751" s="8"/>
    </row>
    <row r="752" spans="12:15" ht="16.5" customHeight="1" x14ac:dyDescent="0.25">
      <c r="L752" s="6"/>
      <c r="M752" s="6"/>
      <c r="N752" s="8"/>
      <c r="O752" s="8"/>
    </row>
    <row r="753" spans="12:15" ht="16.5" customHeight="1" x14ac:dyDescent="0.25">
      <c r="L753" s="6"/>
      <c r="M753" s="6"/>
      <c r="N753" s="8"/>
      <c r="O753" s="8"/>
    </row>
    <row r="754" spans="12:15" ht="16.5" customHeight="1" x14ac:dyDescent="0.25">
      <c r="L754" s="6"/>
      <c r="M754" s="6"/>
      <c r="N754" s="8"/>
      <c r="O754" s="8"/>
    </row>
    <row r="755" spans="12:15" ht="16.5" customHeight="1" x14ac:dyDescent="0.25">
      <c r="L755" s="6"/>
      <c r="M755" s="6"/>
      <c r="N755" s="8"/>
      <c r="O755" s="8"/>
    </row>
    <row r="756" spans="12:15" ht="16.5" customHeight="1" x14ac:dyDescent="0.25">
      <c r="L756" s="6"/>
      <c r="M756" s="6"/>
      <c r="N756" s="8"/>
      <c r="O756" s="8"/>
    </row>
    <row r="757" spans="12:15" ht="16.5" customHeight="1" x14ac:dyDescent="0.25">
      <c r="L757" s="6"/>
      <c r="M757" s="6"/>
      <c r="N757" s="8"/>
      <c r="O757" s="8"/>
    </row>
    <row r="758" spans="12:15" ht="16.5" customHeight="1" x14ac:dyDescent="0.25">
      <c r="L758" s="6"/>
      <c r="M758" s="6"/>
      <c r="N758" s="8"/>
      <c r="O758" s="8"/>
    </row>
    <row r="759" spans="12:15" ht="16.5" customHeight="1" x14ac:dyDescent="0.25">
      <c r="L759" s="6"/>
      <c r="M759" s="6"/>
      <c r="N759" s="8"/>
      <c r="O759" s="8"/>
    </row>
    <row r="760" spans="12:15" ht="16.5" customHeight="1" x14ac:dyDescent="0.25">
      <c r="L760" s="6"/>
      <c r="M760" s="6"/>
      <c r="N760" s="8"/>
      <c r="O760" s="8"/>
    </row>
    <row r="761" spans="12:15" ht="16.5" customHeight="1" x14ac:dyDescent="0.25">
      <c r="L761" s="6"/>
      <c r="M761" s="6"/>
      <c r="N761" s="8"/>
      <c r="O761" s="8"/>
    </row>
    <row r="762" spans="12:15" ht="16.5" customHeight="1" x14ac:dyDescent="0.25">
      <c r="L762" s="6"/>
      <c r="M762" s="6"/>
      <c r="N762" s="8"/>
      <c r="O762" s="8"/>
    </row>
    <row r="763" spans="12:15" ht="16.5" customHeight="1" x14ac:dyDescent="0.25">
      <c r="L763" s="6"/>
      <c r="M763" s="6"/>
      <c r="N763" s="8"/>
      <c r="O763" s="8"/>
    </row>
    <row r="764" spans="12:15" ht="16.5" customHeight="1" x14ac:dyDescent="0.25">
      <c r="L764" s="6"/>
      <c r="M764" s="6"/>
      <c r="N764" s="8"/>
      <c r="O764" s="8"/>
    </row>
    <row r="765" spans="12:15" ht="16.5" customHeight="1" x14ac:dyDescent="0.25">
      <c r="L765" s="6"/>
      <c r="M765" s="6"/>
      <c r="N765" s="8"/>
      <c r="O765" s="8"/>
    </row>
    <row r="766" spans="12:15" ht="16.5" customHeight="1" x14ac:dyDescent="0.25">
      <c r="L766" s="6"/>
      <c r="M766" s="6"/>
      <c r="N766" s="8"/>
      <c r="O766" s="8"/>
    </row>
    <row r="767" spans="12:15" ht="16.5" customHeight="1" x14ac:dyDescent="0.25">
      <c r="L767" s="6"/>
      <c r="M767" s="6"/>
      <c r="N767" s="8"/>
      <c r="O767" s="8"/>
    </row>
    <row r="768" spans="12:15" ht="16.5" customHeight="1" x14ac:dyDescent="0.25">
      <c r="L768" s="6"/>
      <c r="M768" s="6"/>
      <c r="N768" s="8"/>
      <c r="O768" s="8"/>
    </row>
    <row r="769" spans="12:15" ht="16.5" customHeight="1" x14ac:dyDescent="0.25">
      <c r="L769" s="6"/>
      <c r="M769" s="6"/>
      <c r="N769" s="8"/>
      <c r="O769" s="8"/>
    </row>
    <row r="770" spans="12:15" ht="16.5" customHeight="1" x14ac:dyDescent="0.25">
      <c r="L770" s="6"/>
      <c r="M770" s="6"/>
      <c r="N770" s="8"/>
      <c r="O770" s="8"/>
    </row>
    <row r="771" spans="12:15" ht="16.5" customHeight="1" x14ac:dyDescent="0.25">
      <c r="L771" s="6"/>
      <c r="M771" s="6"/>
      <c r="N771" s="8"/>
      <c r="O771" s="8"/>
    </row>
    <row r="772" spans="12:15" ht="16.5" customHeight="1" x14ac:dyDescent="0.25">
      <c r="L772" s="6"/>
      <c r="M772" s="6"/>
      <c r="N772" s="8"/>
      <c r="O772" s="8"/>
    </row>
    <row r="773" spans="12:15" ht="16.5" customHeight="1" x14ac:dyDescent="0.25">
      <c r="L773" s="6"/>
      <c r="M773" s="6"/>
      <c r="N773" s="8"/>
      <c r="O773" s="8"/>
    </row>
    <row r="774" spans="12:15" ht="16.5" customHeight="1" x14ac:dyDescent="0.25">
      <c r="L774" s="6"/>
      <c r="M774" s="6"/>
      <c r="N774" s="8"/>
      <c r="O774" s="8"/>
    </row>
    <row r="775" spans="12:15" ht="16.5" customHeight="1" x14ac:dyDescent="0.25">
      <c r="L775" s="6"/>
      <c r="M775" s="6"/>
      <c r="N775" s="8"/>
      <c r="O775" s="8"/>
    </row>
    <row r="776" spans="12:15" ht="16.5" customHeight="1" x14ac:dyDescent="0.25">
      <c r="L776" s="6"/>
      <c r="M776" s="6"/>
      <c r="N776" s="8"/>
      <c r="O776" s="8"/>
    </row>
    <row r="777" spans="12:15" ht="16.5" customHeight="1" x14ac:dyDescent="0.25">
      <c r="L777" s="6"/>
      <c r="M777" s="6"/>
      <c r="N777" s="8"/>
      <c r="O777" s="8"/>
    </row>
    <row r="778" spans="12:15" ht="16.5" customHeight="1" x14ac:dyDescent="0.25">
      <c r="L778" s="6"/>
      <c r="M778" s="6"/>
      <c r="N778" s="8"/>
      <c r="O778" s="8"/>
    </row>
    <row r="779" spans="12:15" ht="16.5" customHeight="1" x14ac:dyDescent="0.25">
      <c r="L779" s="6"/>
      <c r="M779" s="6"/>
      <c r="N779" s="8"/>
      <c r="O779" s="8"/>
    </row>
    <row r="780" spans="12:15" ht="16.5" customHeight="1" x14ac:dyDescent="0.25">
      <c r="L780" s="6"/>
      <c r="M780" s="6"/>
      <c r="N780" s="8"/>
      <c r="O780" s="8"/>
    </row>
    <row r="781" spans="12:15" ht="16.5" customHeight="1" x14ac:dyDescent="0.25">
      <c r="L781" s="6"/>
      <c r="M781" s="6"/>
      <c r="N781" s="8"/>
      <c r="O781" s="8"/>
    </row>
    <row r="782" spans="12:15" ht="16.5" customHeight="1" x14ac:dyDescent="0.25">
      <c r="L782" s="6"/>
      <c r="M782" s="6"/>
      <c r="N782" s="8"/>
      <c r="O782" s="8"/>
    </row>
    <row r="783" spans="12:15" ht="16.5" customHeight="1" x14ac:dyDescent="0.25">
      <c r="L783" s="6"/>
      <c r="M783" s="6"/>
      <c r="N783" s="8"/>
      <c r="O783" s="8"/>
    </row>
    <row r="784" spans="12:15" ht="16.5" customHeight="1" x14ac:dyDescent="0.25">
      <c r="L784" s="6"/>
      <c r="M784" s="6"/>
      <c r="N784" s="8"/>
      <c r="O784" s="8"/>
    </row>
    <row r="785" spans="12:15" ht="16.5" customHeight="1" x14ac:dyDescent="0.25">
      <c r="L785" s="6"/>
      <c r="M785" s="6"/>
      <c r="N785" s="8"/>
      <c r="O785" s="8"/>
    </row>
    <row r="786" spans="12:15" ht="16.5" customHeight="1" x14ac:dyDescent="0.25">
      <c r="L786" s="6"/>
      <c r="M786" s="6"/>
      <c r="N786" s="8"/>
      <c r="O786" s="8"/>
    </row>
    <row r="787" spans="12:15" ht="16.5" customHeight="1" x14ac:dyDescent="0.25">
      <c r="L787" s="6"/>
      <c r="M787" s="6"/>
      <c r="N787" s="8"/>
      <c r="O787" s="8"/>
    </row>
    <row r="788" spans="12:15" ht="16.5" customHeight="1" x14ac:dyDescent="0.25">
      <c r="L788" s="6"/>
      <c r="M788" s="6"/>
      <c r="N788" s="8"/>
      <c r="O788" s="8"/>
    </row>
    <row r="789" spans="12:15" ht="16.5" customHeight="1" x14ac:dyDescent="0.25">
      <c r="L789" s="6"/>
      <c r="M789" s="6"/>
      <c r="N789" s="8"/>
      <c r="O789" s="8"/>
    </row>
    <row r="790" spans="12:15" ht="16.5" customHeight="1" x14ac:dyDescent="0.25">
      <c r="L790" s="6"/>
      <c r="M790" s="6"/>
      <c r="N790" s="8"/>
      <c r="O790" s="8"/>
    </row>
    <row r="791" spans="12:15" ht="16.5" customHeight="1" x14ac:dyDescent="0.25">
      <c r="L791" s="6"/>
      <c r="M791" s="6"/>
      <c r="N791" s="8"/>
      <c r="O791" s="8"/>
    </row>
    <row r="792" spans="12:15" ht="16.5" customHeight="1" x14ac:dyDescent="0.25">
      <c r="L792" s="6"/>
      <c r="M792" s="6"/>
      <c r="N792" s="8"/>
      <c r="O792" s="8"/>
    </row>
    <row r="793" spans="12:15" ht="16.5" customHeight="1" x14ac:dyDescent="0.25">
      <c r="L793" s="6"/>
      <c r="M793" s="6"/>
      <c r="N793" s="8"/>
      <c r="O793" s="8"/>
    </row>
    <row r="794" spans="12:15" ht="16.5" customHeight="1" x14ac:dyDescent="0.25">
      <c r="L794" s="6"/>
      <c r="M794" s="6"/>
      <c r="N794" s="8"/>
      <c r="O794" s="8"/>
    </row>
    <row r="795" spans="12:15" ht="16.5" customHeight="1" x14ac:dyDescent="0.25">
      <c r="L795" s="6"/>
      <c r="M795" s="6"/>
      <c r="N795" s="8"/>
      <c r="O795" s="8"/>
    </row>
    <row r="796" spans="12:15" ht="16.5" customHeight="1" x14ac:dyDescent="0.25">
      <c r="L796" s="6"/>
      <c r="M796" s="6"/>
      <c r="N796" s="8"/>
      <c r="O796" s="8"/>
    </row>
    <row r="797" spans="12:15" ht="16.5" customHeight="1" x14ac:dyDescent="0.25">
      <c r="L797" s="6"/>
      <c r="M797" s="6"/>
      <c r="N797" s="8"/>
      <c r="O797" s="8"/>
    </row>
    <row r="798" spans="12:15" ht="16.5" customHeight="1" x14ac:dyDescent="0.25">
      <c r="L798" s="6"/>
      <c r="M798" s="6"/>
      <c r="N798" s="8"/>
      <c r="O798" s="8"/>
    </row>
    <row r="799" spans="12:15" ht="16.5" customHeight="1" x14ac:dyDescent="0.25">
      <c r="L799" s="6"/>
      <c r="M799" s="6"/>
      <c r="N799" s="8"/>
      <c r="O799" s="8"/>
    </row>
    <row r="800" spans="12:15" ht="16.5" customHeight="1" x14ac:dyDescent="0.25">
      <c r="L800" s="6"/>
      <c r="M800" s="6"/>
      <c r="N800" s="8"/>
      <c r="O800" s="8"/>
    </row>
    <row r="801" spans="12:15" ht="16.5" customHeight="1" x14ac:dyDescent="0.25">
      <c r="L801" s="6"/>
      <c r="M801" s="6"/>
      <c r="N801" s="8"/>
      <c r="O801" s="8"/>
    </row>
    <row r="802" spans="12:15" ht="16.5" customHeight="1" x14ac:dyDescent="0.25">
      <c r="L802" s="6"/>
      <c r="M802" s="6"/>
      <c r="N802" s="8"/>
      <c r="O802" s="8"/>
    </row>
    <row r="803" spans="12:15" ht="16.5" customHeight="1" x14ac:dyDescent="0.25">
      <c r="L803" s="6"/>
      <c r="M803" s="6"/>
      <c r="N803" s="8"/>
      <c r="O803" s="8"/>
    </row>
    <row r="804" spans="12:15" ht="16.5" customHeight="1" x14ac:dyDescent="0.25">
      <c r="L804" s="6"/>
      <c r="M804" s="6"/>
      <c r="N804" s="8"/>
      <c r="O804" s="8"/>
    </row>
    <row r="805" spans="12:15" ht="16.5" customHeight="1" x14ac:dyDescent="0.25">
      <c r="L805" s="6"/>
      <c r="M805" s="6"/>
      <c r="N805" s="8"/>
      <c r="O805" s="8"/>
    </row>
    <row r="806" spans="12:15" ht="16.5" customHeight="1" x14ac:dyDescent="0.25">
      <c r="L806" s="6"/>
      <c r="M806" s="6"/>
      <c r="N806" s="8"/>
      <c r="O806" s="8"/>
    </row>
    <row r="807" spans="12:15" ht="16.5" customHeight="1" x14ac:dyDescent="0.25">
      <c r="L807" s="6"/>
      <c r="M807" s="6"/>
      <c r="N807" s="8"/>
      <c r="O807" s="8"/>
    </row>
    <row r="808" spans="12:15" ht="16.5" customHeight="1" x14ac:dyDescent="0.25">
      <c r="L808" s="6"/>
      <c r="M808" s="6"/>
      <c r="N808" s="8"/>
      <c r="O808" s="8"/>
    </row>
    <row r="809" spans="12:15" ht="16.5" customHeight="1" x14ac:dyDescent="0.25">
      <c r="L809" s="6"/>
      <c r="M809" s="6"/>
      <c r="N809" s="8"/>
      <c r="O809" s="8"/>
    </row>
    <row r="810" spans="12:15" ht="16.5" customHeight="1" x14ac:dyDescent="0.25">
      <c r="L810" s="6"/>
      <c r="M810" s="6"/>
      <c r="N810" s="8"/>
      <c r="O810" s="8"/>
    </row>
    <row r="811" spans="12:15" ht="16.5" customHeight="1" x14ac:dyDescent="0.25">
      <c r="L811" s="6"/>
      <c r="M811" s="6"/>
      <c r="N811" s="8"/>
      <c r="O811" s="8"/>
    </row>
    <row r="812" spans="12:15" ht="16.5" customHeight="1" x14ac:dyDescent="0.25">
      <c r="L812" s="6"/>
      <c r="M812" s="6"/>
      <c r="N812" s="8"/>
      <c r="O812" s="8"/>
    </row>
    <row r="813" spans="12:15" ht="16.5" customHeight="1" x14ac:dyDescent="0.25">
      <c r="L813" s="6"/>
      <c r="M813" s="6"/>
      <c r="N813" s="8"/>
      <c r="O813" s="8"/>
    </row>
    <row r="814" spans="12:15" ht="16.5" customHeight="1" x14ac:dyDescent="0.25">
      <c r="L814" s="6"/>
      <c r="M814" s="6"/>
      <c r="N814" s="8"/>
      <c r="O814" s="8"/>
    </row>
    <row r="815" spans="12:15" ht="16.5" customHeight="1" x14ac:dyDescent="0.25">
      <c r="L815" s="6"/>
      <c r="M815" s="6"/>
      <c r="N815" s="8"/>
      <c r="O815" s="8"/>
    </row>
    <row r="816" spans="12:15" ht="16.5" customHeight="1" x14ac:dyDescent="0.25">
      <c r="L816" s="6"/>
      <c r="M816" s="6"/>
      <c r="N816" s="8"/>
      <c r="O816" s="8"/>
    </row>
    <row r="817" spans="12:15" ht="16.5" customHeight="1" x14ac:dyDescent="0.25">
      <c r="L817" s="6"/>
      <c r="M817" s="6"/>
      <c r="N817" s="8"/>
      <c r="O817" s="8"/>
    </row>
    <row r="818" spans="12:15" ht="16.5" customHeight="1" x14ac:dyDescent="0.25">
      <c r="L818" s="6"/>
      <c r="M818" s="6"/>
      <c r="N818" s="8"/>
      <c r="O818" s="8"/>
    </row>
    <row r="819" spans="12:15" ht="16.5" customHeight="1" x14ac:dyDescent="0.25">
      <c r="L819" s="6"/>
      <c r="M819" s="6"/>
      <c r="N819" s="8"/>
      <c r="O819" s="8"/>
    </row>
    <row r="820" spans="12:15" ht="16.5" customHeight="1" x14ac:dyDescent="0.25">
      <c r="L820" s="6"/>
      <c r="M820" s="6"/>
      <c r="N820" s="8"/>
      <c r="O820" s="8"/>
    </row>
    <row r="821" spans="12:15" ht="16.5" customHeight="1" x14ac:dyDescent="0.25">
      <c r="L821" s="6"/>
      <c r="M821" s="6"/>
      <c r="N821" s="8"/>
      <c r="O821" s="8"/>
    </row>
    <row r="822" spans="12:15" ht="16.5" customHeight="1" x14ac:dyDescent="0.25">
      <c r="L822" s="6"/>
      <c r="M822" s="6"/>
      <c r="N822" s="8"/>
      <c r="O822" s="8"/>
    </row>
    <row r="823" spans="12:15" ht="16.5" customHeight="1" x14ac:dyDescent="0.25">
      <c r="L823" s="6"/>
      <c r="M823" s="6"/>
      <c r="N823" s="8"/>
      <c r="O823" s="8"/>
    </row>
    <row r="824" spans="12:15" ht="16.5" customHeight="1" x14ac:dyDescent="0.25">
      <c r="L824" s="6"/>
      <c r="M824" s="6"/>
      <c r="N824" s="8"/>
      <c r="O824" s="8"/>
    </row>
    <row r="825" spans="12:15" ht="16.5" customHeight="1" x14ac:dyDescent="0.25">
      <c r="L825" s="6"/>
      <c r="M825" s="6"/>
      <c r="N825" s="8"/>
      <c r="O825" s="8"/>
    </row>
    <row r="826" spans="12:15" ht="16.5" customHeight="1" x14ac:dyDescent="0.25">
      <c r="L826" s="6"/>
      <c r="M826" s="6"/>
      <c r="N826" s="8"/>
      <c r="O826" s="8"/>
    </row>
    <row r="827" spans="12:15" ht="16.5" customHeight="1" x14ac:dyDescent="0.25">
      <c r="L827" s="6"/>
      <c r="M827" s="6"/>
      <c r="N827" s="8"/>
      <c r="O827" s="8"/>
    </row>
    <row r="828" spans="12:15" ht="16.5" customHeight="1" x14ac:dyDescent="0.25">
      <c r="L828" s="6"/>
      <c r="M828" s="6"/>
      <c r="N828" s="8"/>
      <c r="O828" s="8"/>
    </row>
    <row r="829" spans="12:15" ht="16.5" customHeight="1" x14ac:dyDescent="0.25">
      <c r="L829" s="6"/>
      <c r="M829" s="6"/>
      <c r="N829" s="8"/>
      <c r="O829" s="8"/>
    </row>
    <row r="830" spans="12:15" ht="16.5" customHeight="1" x14ac:dyDescent="0.25">
      <c r="L830" s="6"/>
      <c r="M830" s="6"/>
      <c r="N830" s="8"/>
      <c r="O830" s="8"/>
    </row>
    <row r="831" spans="12:15" ht="16.5" customHeight="1" x14ac:dyDescent="0.25">
      <c r="L831" s="6"/>
      <c r="M831" s="6"/>
      <c r="N831" s="8"/>
      <c r="O831" s="8"/>
    </row>
    <row r="832" spans="12:15" ht="16.5" customHeight="1" x14ac:dyDescent="0.25">
      <c r="L832" s="6"/>
      <c r="M832" s="6"/>
      <c r="N832" s="8"/>
      <c r="O832" s="8"/>
    </row>
    <row r="833" spans="12:15" ht="16.5" customHeight="1" x14ac:dyDescent="0.25">
      <c r="L833" s="6"/>
      <c r="M833" s="6"/>
      <c r="N833" s="8"/>
      <c r="O833" s="8"/>
    </row>
    <row r="834" spans="12:15" ht="16.5" customHeight="1" x14ac:dyDescent="0.25">
      <c r="L834" s="6"/>
      <c r="M834" s="6"/>
      <c r="N834" s="8"/>
      <c r="O834" s="8"/>
    </row>
    <row r="835" spans="12:15" ht="16.5" customHeight="1" x14ac:dyDescent="0.25">
      <c r="L835" s="6"/>
      <c r="M835" s="6"/>
      <c r="N835" s="8"/>
      <c r="O835" s="8"/>
    </row>
    <row r="836" spans="12:15" ht="16.5" customHeight="1" x14ac:dyDescent="0.25">
      <c r="L836" s="6"/>
      <c r="M836" s="6"/>
      <c r="N836" s="8"/>
      <c r="O836" s="8"/>
    </row>
    <row r="837" spans="12:15" ht="16.5" customHeight="1" x14ac:dyDescent="0.25">
      <c r="L837" s="6"/>
      <c r="M837" s="6"/>
      <c r="N837" s="8"/>
      <c r="O837" s="8"/>
    </row>
    <row r="838" spans="12:15" ht="16.5" customHeight="1" x14ac:dyDescent="0.25">
      <c r="L838" s="6"/>
      <c r="M838" s="6"/>
      <c r="N838" s="8"/>
      <c r="O838" s="8"/>
    </row>
    <row r="839" spans="12:15" ht="16.5" customHeight="1" x14ac:dyDescent="0.25">
      <c r="L839" s="6"/>
      <c r="M839" s="6"/>
      <c r="N839" s="8"/>
      <c r="O839" s="8"/>
    </row>
    <row r="840" spans="12:15" ht="16.5" customHeight="1" x14ac:dyDescent="0.25">
      <c r="L840" s="6"/>
      <c r="M840" s="6"/>
      <c r="N840" s="8"/>
      <c r="O840" s="8"/>
    </row>
    <row r="841" spans="12:15" ht="16.5" customHeight="1" x14ac:dyDescent="0.25">
      <c r="L841" s="6"/>
      <c r="M841" s="6"/>
      <c r="N841" s="8"/>
      <c r="O841" s="8"/>
    </row>
    <row r="842" spans="12:15" ht="16.5" customHeight="1" x14ac:dyDescent="0.25">
      <c r="L842" s="6"/>
      <c r="M842" s="6"/>
      <c r="N842" s="8"/>
      <c r="O842" s="8"/>
    </row>
    <row r="843" spans="12:15" ht="16.5" customHeight="1" x14ac:dyDescent="0.25">
      <c r="L843" s="6"/>
      <c r="M843" s="6"/>
      <c r="N843" s="8"/>
      <c r="O843" s="8"/>
    </row>
    <row r="844" spans="12:15" ht="16.5" customHeight="1" x14ac:dyDescent="0.25">
      <c r="L844" s="6"/>
      <c r="M844" s="6"/>
      <c r="N844" s="8"/>
      <c r="O844" s="8"/>
    </row>
    <row r="845" spans="12:15" ht="16.5" customHeight="1" x14ac:dyDescent="0.25">
      <c r="L845" s="6"/>
      <c r="M845" s="6"/>
      <c r="N845" s="8"/>
      <c r="O845" s="8"/>
    </row>
    <row r="846" spans="12:15" ht="16.5" customHeight="1" x14ac:dyDescent="0.25">
      <c r="L846" s="6"/>
      <c r="M846" s="6"/>
      <c r="N846" s="8"/>
      <c r="O846" s="8"/>
    </row>
    <row r="847" spans="12:15" ht="16.5" customHeight="1" x14ac:dyDescent="0.25">
      <c r="L847" s="6"/>
      <c r="M847" s="6"/>
      <c r="N847" s="8"/>
      <c r="O847" s="8"/>
    </row>
    <row r="848" spans="12:15" ht="16.5" customHeight="1" x14ac:dyDescent="0.25">
      <c r="L848" s="6"/>
      <c r="M848" s="6"/>
      <c r="N848" s="8"/>
      <c r="O848" s="8"/>
    </row>
    <row r="849" spans="12:15" ht="16.5" customHeight="1" x14ac:dyDescent="0.25">
      <c r="L849" s="6"/>
      <c r="M849" s="6"/>
      <c r="N849" s="8"/>
      <c r="O849" s="8"/>
    </row>
    <row r="850" spans="12:15" ht="16.5" customHeight="1" x14ac:dyDescent="0.25">
      <c r="L850" s="6"/>
      <c r="M850" s="6"/>
      <c r="N850" s="8"/>
      <c r="O850" s="8"/>
    </row>
    <row r="851" spans="12:15" ht="16.5" customHeight="1" x14ac:dyDescent="0.25">
      <c r="L851" s="6"/>
      <c r="M851" s="6"/>
      <c r="N851" s="8"/>
      <c r="O851" s="8"/>
    </row>
    <row r="852" spans="12:15" ht="16.5" customHeight="1" x14ac:dyDescent="0.25">
      <c r="L852" s="6"/>
      <c r="M852" s="6"/>
      <c r="N852" s="8"/>
      <c r="O852" s="8"/>
    </row>
    <row r="853" spans="12:15" ht="16.5" customHeight="1" x14ac:dyDescent="0.25">
      <c r="L853" s="6"/>
      <c r="M853" s="6"/>
      <c r="N853" s="8"/>
      <c r="O853" s="8"/>
    </row>
    <row r="854" spans="12:15" ht="16.5" customHeight="1" x14ac:dyDescent="0.25">
      <c r="L854" s="6"/>
      <c r="M854" s="6"/>
      <c r="N854" s="8"/>
      <c r="O854" s="8"/>
    </row>
    <row r="855" spans="12:15" ht="16.5" customHeight="1" x14ac:dyDescent="0.25">
      <c r="L855" s="6"/>
      <c r="M855" s="6"/>
      <c r="N855" s="8"/>
      <c r="O855" s="8"/>
    </row>
    <row r="856" spans="12:15" ht="16.5" customHeight="1" x14ac:dyDescent="0.25">
      <c r="L856" s="6"/>
      <c r="M856" s="6"/>
      <c r="N856" s="8"/>
      <c r="O856" s="8"/>
    </row>
    <row r="857" spans="12:15" ht="16.5" customHeight="1" x14ac:dyDescent="0.25">
      <c r="L857" s="6"/>
      <c r="M857" s="6"/>
      <c r="N857" s="8"/>
      <c r="O857" s="8"/>
    </row>
    <row r="858" spans="12:15" ht="16.5" customHeight="1" x14ac:dyDescent="0.25">
      <c r="L858" s="6"/>
      <c r="M858" s="6"/>
      <c r="N858" s="8"/>
      <c r="O858" s="8"/>
    </row>
    <row r="859" spans="12:15" ht="16.5" customHeight="1" x14ac:dyDescent="0.25">
      <c r="L859" s="6"/>
      <c r="M859" s="6"/>
      <c r="N859" s="8"/>
      <c r="O859" s="8"/>
    </row>
    <row r="860" spans="12:15" ht="16.5" customHeight="1" x14ac:dyDescent="0.25">
      <c r="L860" s="6"/>
      <c r="M860" s="6"/>
      <c r="N860" s="8"/>
      <c r="O860" s="8"/>
    </row>
    <row r="861" spans="12:15" ht="16.5" customHeight="1" x14ac:dyDescent="0.25">
      <c r="L861" s="6"/>
      <c r="M861" s="6"/>
      <c r="N861" s="8"/>
      <c r="O861" s="8"/>
    </row>
    <row r="862" spans="12:15" ht="16.5" customHeight="1" x14ac:dyDescent="0.25">
      <c r="L862" s="6"/>
      <c r="M862" s="6"/>
      <c r="N862" s="8"/>
      <c r="O862" s="8"/>
    </row>
    <row r="863" spans="12:15" ht="16.5" customHeight="1" x14ac:dyDescent="0.25">
      <c r="L863" s="6"/>
      <c r="M863" s="6"/>
      <c r="N863" s="8"/>
      <c r="O863" s="8"/>
    </row>
    <row r="864" spans="12:15" ht="16.5" customHeight="1" x14ac:dyDescent="0.25">
      <c r="L864" s="6"/>
      <c r="M864" s="6"/>
      <c r="N864" s="8"/>
      <c r="O864" s="8"/>
    </row>
    <row r="865" spans="12:15" ht="16.5" customHeight="1" x14ac:dyDescent="0.25">
      <c r="L865" s="6"/>
      <c r="M865" s="6"/>
      <c r="N865" s="8"/>
      <c r="O865" s="8"/>
    </row>
    <row r="866" spans="12:15" ht="16.5" customHeight="1" x14ac:dyDescent="0.25">
      <c r="L866" s="6"/>
      <c r="M866" s="6"/>
      <c r="N866" s="8"/>
      <c r="O866" s="8"/>
    </row>
    <row r="867" spans="12:15" ht="16.5" customHeight="1" x14ac:dyDescent="0.25">
      <c r="L867" s="6"/>
      <c r="M867" s="6"/>
      <c r="N867" s="8"/>
      <c r="O867" s="8"/>
    </row>
    <row r="868" spans="12:15" ht="16.5" customHeight="1" x14ac:dyDescent="0.25">
      <c r="L868" s="6"/>
      <c r="M868" s="6"/>
      <c r="N868" s="8"/>
      <c r="O868" s="8"/>
    </row>
    <row r="869" spans="12:15" ht="16.5" customHeight="1" x14ac:dyDescent="0.25">
      <c r="L869" s="6"/>
      <c r="M869" s="6"/>
      <c r="N869" s="8"/>
      <c r="O869" s="8"/>
    </row>
    <row r="870" spans="12:15" ht="16.5" customHeight="1" x14ac:dyDescent="0.25">
      <c r="L870" s="6"/>
      <c r="M870" s="6"/>
      <c r="N870" s="8"/>
      <c r="O870" s="8"/>
    </row>
    <row r="871" spans="12:15" ht="16.5" customHeight="1" x14ac:dyDescent="0.25">
      <c r="L871" s="6"/>
      <c r="M871" s="6"/>
      <c r="N871" s="8"/>
      <c r="O871" s="8"/>
    </row>
    <row r="872" spans="12:15" ht="16.5" customHeight="1" x14ac:dyDescent="0.25">
      <c r="L872" s="6"/>
      <c r="M872" s="6"/>
      <c r="N872" s="8"/>
      <c r="O872" s="8"/>
    </row>
    <row r="873" spans="12:15" ht="16.5" customHeight="1" x14ac:dyDescent="0.25">
      <c r="L873" s="6"/>
      <c r="M873" s="6"/>
      <c r="N873" s="8"/>
      <c r="O873" s="8"/>
    </row>
    <row r="874" spans="12:15" ht="16.5" customHeight="1" x14ac:dyDescent="0.25">
      <c r="L874" s="6"/>
      <c r="M874" s="6"/>
      <c r="N874" s="8"/>
      <c r="O874" s="8"/>
    </row>
    <row r="875" spans="12:15" ht="16.5" customHeight="1" x14ac:dyDescent="0.25">
      <c r="L875" s="6"/>
      <c r="M875" s="6"/>
      <c r="N875" s="8"/>
      <c r="O875" s="8"/>
    </row>
    <row r="876" spans="12:15" ht="16.5" customHeight="1" x14ac:dyDescent="0.25">
      <c r="L876" s="6"/>
      <c r="M876" s="6"/>
      <c r="N876" s="8"/>
      <c r="O876" s="8"/>
    </row>
    <row r="877" spans="12:15" ht="16.5" customHeight="1" x14ac:dyDescent="0.25">
      <c r="L877" s="6"/>
      <c r="M877" s="6"/>
      <c r="N877" s="8"/>
      <c r="O877" s="8"/>
    </row>
    <row r="878" spans="12:15" ht="16.5" customHeight="1" x14ac:dyDescent="0.25">
      <c r="L878" s="6"/>
      <c r="M878" s="6"/>
      <c r="N878" s="8"/>
      <c r="O878" s="8"/>
    </row>
    <row r="879" spans="12:15" ht="16.5" customHeight="1" x14ac:dyDescent="0.25">
      <c r="L879" s="6"/>
      <c r="M879" s="6"/>
      <c r="N879" s="8"/>
      <c r="O879" s="8"/>
    </row>
    <row r="880" spans="12:15" ht="16.5" customHeight="1" x14ac:dyDescent="0.25">
      <c r="L880" s="6"/>
      <c r="M880" s="6"/>
      <c r="N880" s="8"/>
      <c r="O880" s="8"/>
    </row>
    <row r="881" spans="12:15" ht="16.5" customHeight="1" x14ac:dyDescent="0.25">
      <c r="L881" s="6"/>
      <c r="M881" s="6"/>
      <c r="N881" s="8"/>
      <c r="O881" s="8"/>
    </row>
    <row r="882" spans="12:15" ht="16.5" customHeight="1" x14ac:dyDescent="0.25">
      <c r="L882" s="6"/>
      <c r="M882" s="6"/>
      <c r="N882" s="8"/>
      <c r="O882" s="8"/>
    </row>
    <row r="883" spans="12:15" ht="16.5" customHeight="1" x14ac:dyDescent="0.25">
      <c r="L883" s="6"/>
      <c r="M883" s="6"/>
      <c r="N883" s="8"/>
      <c r="O883" s="8"/>
    </row>
    <row r="884" spans="12:15" ht="16.5" customHeight="1" x14ac:dyDescent="0.25">
      <c r="L884" s="6"/>
      <c r="M884" s="6"/>
      <c r="N884" s="8"/>
      <c r="O884" s="8"/>
    </row>
    <row r="885" spans="12:15" ht="16.5" customHeight="1" x14ac:dyDescent="0.25">
      <c r="L885" s="6"/>
      <c r="M885" s="6"/>
      <c r="N885" s="8"/>
      <c r="O885" s="8"/>
    </row>
    <row r="886" spans="12:15" ht="16.5" customHeight="1" x14ac:dyDescent="0.25">
      <c r="L886" s="6"/>
      <c r="M886" s="6"/>
      <c r="N886" s="8"/>
      <c r="O886" s="8"/>
    </row>
    <row r="887" spans="12:15" ht="16.5" customHeight="1" x14ac:dyDescent="0.25">
      <c r="L887" s="6"/>
      <c r="M887" s="6"/>
      <c r="N887" s="8"/>
      <c r="O887" s="8"/>
    </row>
    <row r="888" spans="12:15" ht="16.5" customHeight="1" x14ac:dyDescent="0.25">
      <c r="L888" s="6"/>
      <c r="M888" s="6"/>
      <c r="N888" s="8"/>
      <c r="O888" s="8"/>
    </row>
    <row r="889" spans="12:15" ht="16.5" customHeight="1" x14ac:dyDescent="0.25">
      <c r="L889" s="6"/>
      <c r="M889" s="6"/>
      <c r="N889" s="8"/>
      <c r="O889" s="8"/>
    </row>
    <row r="890" spans="12:15" ht="16.5" customHeight="1" x14ac:dyDescent="0.25">
      <c r="L890" s="6"/>
      <c r="M890" s="6"/>
      <c r="N890" s="8"/>
      <c r="O890" s="8"/>
    </row>
    <row r="891" spans="12:15" ht="16.5" customHeight="1" x14ac:dyDescent="0.25">
      <c r="L891" s="6"/>
      <c r="M891" s="6"/>
      <c r="N891" s="8"/>
      <c r="O891" s="8"/>
    </row>
    <row r="892" spans="12:15" ht="16.5" customHeight="1" x14ac:dyDescent="0.25">
      <c r="L892" s="6"/>
      <c r="M892" s="6"/>
      <c r="N892" s="8"/>
      <c r="O892" s="8"/>
    </row>
    <row r="893" spans="12:15" ht="16.5" customHeight="1" x14ac:dyDescent="0.25">
      <c r="L893" s="6"/>
      <c r="M893" s="6"/>
      <c r="N893" s="8"/>
      <c r="O893" s="8"/>
    </row>
    <row r="894" spans="12:15" ht="16.5" customHeight="1" x14ac:dyDescent="0.25">
      <c r="L894" s="6"/>
      <c r="M894" s="6"/>
      <c r="N894" s="8"/>
      <c r="O894" s="8"/>
    </row>
    <row r="895" spans="12:15" ht="16.5" customHeight="1" x14ac:dyDescent="0.25">
      <c r="L895" s="6"/>
      <c r="M895" s="6"/>
      <c r="N895" s="8"/>
      <c r="O895" s="8"/>
    </row>
    <row r="896" spans="12:15" ht="16.5" customHeight="1" x14ac:dyDescent="0.25">
      <c r="L896" s="6"/>
      <c r="M896" s="6"/>
      <c r="N896" s="8"/>
      <c r="O896" s="8"/>
    </row>
    <row r="897" spans="12:15" ht="16.5" customHeight="1" x14ac:dyDescent="0.25">
      <c r="L897" s="6"/>
      <c r="M897" s="6"/>
      <c r="N897" s="8"/>
      <c r="O897" s="8"/>
    </row>
    <row r="898" spans="12:15" ht="16.5" customHeight="1" x14ac:dyDescent="0.25">
      <c r="L898" s="6"/>
      <c r="M898" s="6"/>
      <c r="N898" s="8"/>
      <c r="O898" s="8"/>
    </row>
    <row r="899" spans="12:15" ht="16.5" customHeight="1" x14ac:dyDescent="0.25">
      <c r="L899" s="6"/>
      <c r="M899" s="6"/>
      <c r="N899" s="8"/>
      <c r="O899" s="8"/>
    </row>
    <row r="900" spans="12:15" ht="16.5" customHeight="1" x14ac:dyDescent="0.25">
      <c r="L900" s="6"/>
      <c r="M900" s="6"/>
      <c r="N900" s="8"/>
      <c r="O900" s="8"/>
    </row>
    <row r="901" spans="12:15" ht="16.5" customHeight="1" x14ac:dyDescent="0.25">
      <c r="L901" s="6"/>
      <c r="M901" s="6"/>
      <c r="N901" s="8"/>
      <c r="O901" s="8"/>
    </row>
    <row r="902" spans="12:15" ht="16.5" customHeight="1" x14ac:dyDescent="0.25">
      <c r="L902" s="6"/>
      <c r="M902" s="6"/>
      <c r="N902" s="8"/>
      <c r="O902" s="8"/>
    </row>
    <row r="903" spans="12:15" ht="16.5" customHeight="1" x14ac:dyDescent="0.25">
      <c r="L903" s="6"/>
      <c r="M903" s="6"/>
      <c r="N903" s="8"/>
      <c r="O903" s="8"/>
    </row>
    <row r="904" spans="12:15" ht="16.5" customHeight="1" x14ac:dyDescent="0.25">
      <c r="L904" s="6"/>
      <c r="M904" s="6"/>
      <c r="N904" s="8"/>
      <c r="O904" s="8"/>
    </row>
    <row r="905" spans="12:15" ht="16.5" customHeight="1" x14ac:dyDescent="0.25">
      <c r="L905" s="6"/>
      <c r="M905" s="6"/>
      <c r="N905" s="8"/>
      <c r="O905" s="8"/>
    </row>
    <row r="906" spans="12:15" ht="16.5" customHeight="1" x14ac:dyDescent="0.25">
      <c r="L906" s="6"/>
      <c r="M906" s="6"/>
      <c r="N906" s="8"/>
      <c r="O906" s="8"/>
    </row>
    <row r="907" spans="12:15" ht="16.5" customHeight="1" x14ac:dyDescent="0.25">
      <c r="L907" s="6"/>
      <c r="M907" s="6"/>
      <c r="N907" s="8"/>
      <c r="O907" s="8"/>
    </row>
    <row r="908" spans="12:15" ht="16.5" customHeight="1" x14ac:dyDescent="0.25">
      <c r="L908" s="6"/>
      <c r="M908" s="6"/>
      <c r="N908" s="8"/>
      <c r="O908" s="8"/>
    </row>
    <row r="909" spans="12:15" ht="16.5" customHeight="1" x14ac:dyDescent="0.25">
      <c r="L909" s="6"/>
      <c r="M909" s="6"/>
      <c r="N909" s="8"/>
      <c r="O909" s="8"/>
    </row>
    <row r="910" spans="12:15" ht="16.5" customHeight="1" x14ac:dyDescent="0.25">
      <c r="L910" s="6"/>
      <c r="M910" s="6"/>
      <c r="N910" s="8"/>
      <c r="O910" s="8"/>
    </row>
    <row r="911" spans="12:15" ht="16.5" customHeight="1" x14ac:dyDescent="0.25">
      <c r="L911" s="6"/>
      <c r="M911" s="6"/>
      <c r="N911" s="8"/>
      <c r="O911" s="8"/>
    </row>
    <row r="912" spans="12:15" ht="16.5" customHeight="1" x14ac:dyDescent="0.25">
      <c r="L912" s="6"/>
      <c r="M912" s="6"/>
      <c r="N912" s="8"/>
      <c r="O912" s="8"/>
    </row>
    <row r="913" spans="12:15" ht="16.5" customHeight="1" x14ac:dyDescent="0.25">
      <c r="L913" s="6"/>
      <c r="M913" s="6"/>
      <c r="N913" s="8"/>
      <c r="O913" s="8"/>
    </row>
    <row r="914" spans="12:15" ht="16.5" customHeight="1" x14ac:dyDescent="0.25">
      <c r="L914" s="6"/>
      <c r="M914" s="6"/>
      <c r="N914" s="8"/>
      <c r="O914" s="8"/>
    </row>
    <row r="915" spans="12:15" ht="16.5" customHeight="1" x14ac:dyDescent="0.25">
      <c r="L915" s="6"/>
      <c r="M915" s="6"/>
      <c r="N915" s="8"/>
      <c r="O915" s="8"/>
    </row>
    <row r="916" spans="12:15" ht="16.5" customHeight="1" x14ac:dyDescent="0.25">
      <c r="L916" s="6"/>
      <c r="M916" s="6"/>
      <c r="N916" s="8"/>
      <c r="O916" s="8"/>
    </row>
    <row r="917" spans="12:15" ht="16.5" customHeight="1" x14ac:dyDescent="0.25">
      <c r="L917" s="6"/>
      <c r="M917" s="6"/>
      <c r="N917" s="8"/>
      <c r="O917" s="8"/>
    </row>
    <row r="918" spans="12:15" ht="16.5" customHeight="1" x14ac:dyDescent="0.25">
      <c r="L918" s="6"/>
      <c r="M918" s="6"/>
      <c r="N918" s="8"/>
      <c r="O918" s="8"/>
    </row>
    <row r="919" spans="12:15" ht="16.5" customHeight="1" x14ac:dyDescent="0.25">
      <c r="L919" s="6"/>
      <c r="M919" s="6"/>
      <c r="N919" s="8"/>
      <c r="O919" s="8"/>
    </row>
    <row r="920" spans="12:15" ht="16.5" customHeight="1" x14ac:dyDescent="0.25">
      <c r="L920" s="6"/>
      <c r="M920" s="6"/>
      <c r="N920" s="8"/>
      <c r="O920" s="8"/>
    </row>
    <row r="921" spans="12:15" ht="16.5" customHeight="1" x14ac:dyDescent="0.25">
      <c r="L921" s="6"/>
      <c r="M921" s="6"/>
      <c r="N921" s="8"/>
      <c r="O921" s="8"/>
    </row>
    <row r="922" spans="12:15" ht="16.5" customHeight="1" x14ac:dyDescent="0.25">
      <c r="L922" s="6"/>
      <c r="M922" s="6"/>
      <c r="N922" s="8"/>
      <c r="O922" s="8"/>
    </row>
    <row r="923" spans="12:15" ht="16.5" customHeight="1" x14ac:dyDescent="0.25">
      <c r="L923" s="6"/>
      <c r="M923" s="6"/>
      <c r="N923" s="8"/>
      <c r="O923" s="8"/>
    </row>
    <row r="924" spans="12:15" ht="16.5" customHeight="1" x14ac:dyDescent="0.25">
      <c r="L924" s="6"/>
      <c r="M924" s="6"/>
      <c r="N924" s="8"/>
      <c r="O924" s="8"/>
    </row>
    <row r="925" spans="12:15" ht="16.5" customHeight="1" x14ac:dyDescent="0.25">
      <c r="L925" s="6"/>
      <c r="M925" s="6"/>
      <c r="N925" s="8"/>
      <c r="O925" s="8"/>
    </row>
    <row r="926" spans="12:15" ht="16.5" customHeight="1" x14ac:dyDescent="0.25">
      <c r="L926" s="6"/>
      <c r="M926" s="6"/>
      <c r="N926" s="8"/>
      <c r="O926" s="8"/>
    </row>
    <row r="927" spans="12:15" ht="16.5" customHeight="1" x14ac:dyDescent="0.25">
      <c r="L927" s="6"/>
      <c r="M927" s="6"/>
      <c r="N927" s="8"/>
      <c r="O927" s="8"/>
    </row>
    <row r="928" spans="12:15" ht="16.5" customHeight="1" x14ac:dyDescent="0.25">
      <c r="L928" s="6"/>
      <c r="M928" s="6"/>
      <c r="N928" s="8"/>
      <c r="O928" s="8"/>
    </row>
    <row r="929" spans="12:15" ht="16.5" customHeight="1" x14ac:dyDescent="0.25">
      <c r="L929" s="6"/>
      <c r="M929" s="6"/>
      <c r="N929" s="8"/>
      <c r="O929" s="8"/>
    </row>
    <row r="930" spans="12:15" ht="16.5" customHeight="1" x14ac:dyDescent="0.25">
      <c r="L930" s="6"/>
      <c r="M930" s="6"/>
      <c r="N930" s="8"/>
      <c r="O930" s="8"/>
    </row>
    <row r="931" spans="12:15" ht="16.5" customHeight="1" x14ac:dyDescent="0.25">
      <c r="L931" s="6"/>
      <c r="M931" s="6"/>
      <c r="N931" s="8"/>
      <c r="O931" s="8"/>
    </row>
    <row r="932" spans="12:15" ht="16.5" customHeight="1" x14ac:dyDescent="0.25">
      <c r="L932" s="6"/>
      <c r="M932" s="6"/>
      <c r="N932" s="8"/>
      <c r="O932" s="8"/>
    </row>
    <row r="933" spans="12:15" ht="16.5" customHeight="1" x14ac:dyDescent="0.25">
      <c r="L933" s="6"/>
      <c r="M933" s="6"/>
      <c r="N933" s="8"/>
      <c r="O933" s="8"/>
    </row>
    <row r="934" spans="12:15" ht="16.5" customHeight="1" x14ac:dyDescent="0.25">
      <c r="L934" s="6"/>
      <c r="M934" s="6"/>
      <c r="N934" s="8"/>
      <c r="O934" s="8"/>
    </row>
    <row r="935" spans="12:15" ht="16.5" customHeight="1" x14ac:dyDescent="0.25">
      <c r="L935" s="6"/>
      <c r="M935" s="6"/>
      <c r="N935" s="8"/>
      <c r="O935" s="8"/>
    </row>
    <row r="936" spans="12:15" ht="16.5" customHeight="1" x14ac:dyDescent="0.25">
      <c r="L936" s="6"/>
      <c r="M936" s="6"/>
      <c r="N936" s="8"/>
      <c r="O936" s="8"/>
    </row>
    <row r="937" spans="12:15" ht="16.5" customHeight="1" x14ac:dyDescent="0.25">
      <c r="L937" s="6"/>
      <c r="M937" s="6"/>
      <c r="N937" s="8"/>
      <c r="O937" s="8"/>
    </row>
    <row r="938" spans="12:15" ht="16.5" customHeight="1" x14ac:dyDescent="0.25">
      <c r="L938" s="6"/>
      <c r="M938" s="6"/>
      <c r="N938" s="8"/>
      <c r="O938" s="8"/>
    </row>
    <row r="939" spans="12:15" ht="16.5" customHeight="1" x14ac:dyDescent="0.25">
      <c r="L939" s="6"/>
      <c r="M939" s="6"/>
      <c r="N939" s="8"/>
      <c r="O939" s="8"/>
    </row>
    <row r="940" spans="12:15" ht="16.5" customHeight="1" x14ac:dyDescent="0.25">
      <c r="L940" s="6"/>
      <c r="M940" s="6"/>
      <c r="N940" s="8"/>
      <c r="O940" s="8"/>
    </row>
    <row r="941" spans="12:15" ht="16.5" customHeight="1" x14ac:dyDescent="0.25">
      <c r="L941" s="6"/>
      <c r="M941" s="6"/>
      <c r="N941" s="8"/>
      <c r="O941" s="8"/>
    </row>
    <row r="942" spans="12:15" ht="16.5" customHeight="1" x14ac:dyDescent="0.25">
      <c r="L942" s="6"/>
      <c r="M942" s="6"/>
      <c r="N942" s="8"/>
      <c r="O942" s="8"/>
    </row>
    <row r="943" spans="12:15" ht="16.5" customHeight="1" x14ac:dyDescent="0.25">
      <c r="L943" s="6"/>
      <c r="M943" s="6"/>
      <c r="N943" s="8"/>
      <c r="O943" s="8"/>
    </row>
    <row r="944" spans="12:15" ht="16.5" customHeight="1" x14ac:dyDescent="0.25">
      <c r="L944" s="6"/>
      <c r="M944" s="6"/>
      <c r="N944" s="8"/>
      <c r="O944" s="8"/>
    </row>
    <row r="945" spans="12:15" ht="16.5" customHeight="1" x14ac:dyDescent="0.25">
      <c r="L945" s="6"/>
      <c r="M945" s="6"/>
      <c r="N945" s="8"/>
      <c r="O945" s="8"/>
    </row>
    <row r="946" spans="12:15" ht="16.5" customHeight="1" x14ac:dyDescent="0.25">
      <c r="L946" s="6"/>
      <c r="M946" s="6"/>
      <c r="N946" s="8"/>
      <c r="O946" s="8"/>
    </row>
    <row r="947" spans="12:15" ht="16.5" customHeight="1" x14ac:dyDescent="0.25">
      <c r="L947" s="6"/>
      <c r="M947" s="6"/>
      <c r="N947" s="8"/>
      <c r="O947" s="8"/>
    </row>
    <row r="948" spans="12:15" ht="16.5" customHeight="1" x14ac:dyDescent="0.25">
      <c r="L948" s="6"/>
      <c r="M948" s="6"/>
      <c r="N948" s="8"/>
      <c r="O948" s="8"/>
    </row>
    <row r="949" spans="12:15" ht="16.5" customHeight="1" x14ac:dyDescent="0.25">
      <c r="L949" s="6"/>
      <c r="M949" s="6"/>
      <c r="N949" s="8"/>
      <c r="O949" s="8"/>
    </row>
    <row r="950" spans="12:15" ht="16.5" customHeight="1" x14ac:dyDescent="0.25">
      <c r="L950" s="6"/>
      <c r="M950" s="6"/>
      <c r="N950" s="8"/>
      <c r="O950" s="8"/>
    </row>
    <row r="951" spans="12:15" ht="16.5" customHeight="1" x14ac:dyDescent="0.25">
      <c r="L951" s="6"/>
      <c r="M951" s="6"/>
      <c r="N951" s="8"/>
      <c r="O951" s="8"/>
    </row>
    <row r="952" spans="12:15" ht="16.5" customHeight="1" x14ac:dyDescent="0.25">
      <c r="L952" s="6"/>
      <c r="M952" s="6"/>
      <c r="N952" s="8"/>
      <c r="O952" s="8"/>
    </row>
    <row r="953" spans="12:15" ht="16.5" customHeight="1" x14ac:dyDescent="0.25">
      <c r="L953" s="6"/>
      <c r="M953" s="6"/>
      <c r="N953" s="8"/>
      <c r="O953" s="8"/>
    </row>
    <row r="954" spans="12:15" ht="16.5" customHeight="1" x14ac:dyDescent="0.25">
      <c r="L954" s="6"/>
      <c r="M954" s="6"/>
      <c r="N954" s="8"/>
      <c r="O954" s="8"/>
    </row>
    <row r="955" spans="12:15" ht="16.5" customHeight="1" x14ac:dyDescent="0.25">
      <c r="L955" s="6"/>
      <c r="M955" s="6"/>
      <c r="N955" s="8"/>
      <c r="O955" s="8"/>
    </row>
    <row r="956" spans="12:15" ht="16.5" customHeight="1" x14ac:dyDescent="0.25">
      <c r="L956" s="6"/>
      <c r="M956" s="6"/>
      <c r="N956" s="8"/>
      <c r="O956" s="8"/>
    </row>
    <row r="957" spans="12:15" ht="16.5" customHeight="1" x14ac:dyDescent="0.25">
      <c r="L957" s="6"/>
      <c r="M957" s="6"/>
      <c r="N957" s="8"/>
      <c r="O957" s="8"/>
    </row>
    <row r="958" spans="12:15" ht="16.5" customHeight="1" x14ac:dyDescent="0.25">
      <c r="L958" s="6"/>
      <c r="M958" s="6"/>
      <c r="N958" s="8"/>
      <c r="O958" s="8"/>
    </row>
    <row r="959" spans="12:15" ht="16.5" customHeight="1" x14ac:dyDescent="0.25">
      <c r="L959" s="6"/>
      <c r="M959" s="6"/>
      <c r="N959" s="8"/>
      <c r="O959" s="8"/>
    </row>
    <row r="960" spans="12:15" ht="16.5" customHeight="1" x14ac:dyDescent="0.25">
      <c r="L960" s="6"/>
      <c r="M960" s="6"/>
      <c r="N960" s="8"/>
      <c r="O960" s="8"/>
    </row>
    <row r="961" spans="12:15" ht="16.5" customHeight="1" x14ac:dyDescent="0.25">
      <c r="L961" s="6"/>
      <c r="M961" s="6"/>
      <c r="N961" s="8"/>
      <c r="O961" s="8"/>
    </row>
    <row r="962" spans="12:15" ht="16.5" customHeight="1" x14ac:dyDescent="0.25">
      <c r="L962" s="6"/>
      <c r="M962" s="6"/>
      <c r="N962" s="8"/>
      <c r="O962" s="8"/>
    </row>
    <row r="963" spans="12:15" ht="16.5" customHeight="1" x14ac:dyDescent="0.25">
      <c r="L963" s="6"/>
      <c r="M963" s="6"/>
      <c r="N963" s="8"/>
      <c r="O963" s="8"/>
    </row>
    <row r="964" spans="12:15" ht="16.5" customHeight="1" x14ac:dyDescent="0.25">
      <c r="L964" s="6"/>
      <c r="M964" s="6"/>
      <c r="N964" s="8"/>
      <c r="O964" s="8"/>
    </row>
    <row r="965" spans="12:15" ht="16.5" customHeight="1" x14ac:dyDescent="0.25">
      <c r="L965" s="6"/>
      <c r="M965" s="6"/>
      <c r="N965" s="8"/>
      <c r="O965" s="8"/>
    </row>
    <row r="966" spans="12:15" ht="16.5" customHeight="1" x14ac:dyDescent="0.25">
      <c r="L966" s="6"/>
      <c r="M966" s="6"/>
      <c r="N966" s="8"/>
      <c r="O966" s="8"/>
    </row>
    <row r="967" spans="12:15" ht="16.5" customHeight="1" x14ac:dyDescent="0.25">
      <c r="L967" s="6"/>
      <c r="M967" s="6"/>
      <c r="N967" s="8"/>
      <c r="O967" s="8"/>
    </row>
    <row r="968" spans="12:15" ht="16.5" customHeight="1" x14ac:dyDescent="0.25">
      <c r="L968" s="6"/>
      <c r="M968" s="6"/>
      <c r="N968" s="8"/>
      <c r="O968" s="8"/>
    </row>
    <row r="969" spans="12:15" ht="16.5" customHeight="1" x14ac:dyDescent="0.25">
      <c r="L969" s="6"/>
      <c r="M969" s="6"/>
      <c r="N969" s="8"/>
      <c r="O969" s="8"/>
    </row>
    <row r="970" spans="12:15" ht="16.5" customHeight="1" x14ac:dyDescent="0.25">
      <c r="L970" s="6"/>
      <c r="M970" s="6"/>
      <c r="N970" s="8"/>
      <c r="O970" s="8"/>
    </row>
    <row r="971" spans="12:15" ht="16.5" customHeight="1" x14ac:dyDescent="0.25">
      <c r="L971" s="6"/>
      <c r="M971" s="6"/>
      <c r="N971" s="8"/>
      <c r="O971" s="8"/>
    </row>
    <row r="972" spans="12:15" ht="16.5" customHeight="1" x14ac:dyDescent="0.25">
      <c r="L972" s="6"/>
      <c r="M972" s="6"/>
      <c r="N972" s="8"/>
      <c r="O972" s="8"/>
    </row>
    <row r="973" spans="12:15" ht="16.5" customHeight="1" x14ac:dyDescent="0.25">
      <c r="L973" s="6"/>
      <c r="M973" s="6"/>
      <c r="N973" s="8"/>
      <c r="O973" s="8"/>
    </row>
    <row r="974" spans="12:15" ht="16.5" customHeight="1" x14ac:dyDescent="0.25">
      <c r="L974" s="6"/>
      <c r="M974" s="6"/>
      <c r="N974" s="8"/>
      <c r="O974" s="8"/>
    </row>
    <row r="975" spans="12:15" ht="16.5" customHeight="1" x14ac:dyDescent="0.25">
      <c r="L975" s="6"/>
      <c r="M975" s="6"/>
      <c r="N975" s="8"/>
      <c r="O975" s="8"/>
    </row>
    <row r="976" spans="12:15" ht="16.5" customHeight="1" x14ac:dyDescent="0.25">
      <c r="L976" s="6"/>
      <c r="M976" s="6"/>
      <c r="N976" s="8"/>
      <c r="O976" s="8"/>
    </row>
    <row r="977" spans="12:15" ht="16.5" customHeight="1" x14ac:dyDescent="0.25">
      <c r="L977" s="6"/>
      <c r="M977" s="6"/>
      <c r="N977" s="8"/>
      <c r="O977" s="8"/>
    </row>
    <row r="978" spans="12:15" ht="16.5" customHeight="1" x14ac:dyDescent="0.25">
      <c r="L978" s="6"/>
      <c r="M978" s="6"/>
      <c r="N978" s="8"/>
      <c r="O978" s="8"/>
    </row>
    <row r="979" spans="12:15" ht="16.5" customHeight="1" x14ac:dyDescent="0.25">
      <c r="L979" s="6"/>
      <c r="M979" s="6"/>
      <c r="N979" s="8"/>
      <c r="O979" s="8"/>
    </row>
    <row r="980" spans="12:15" ht="16.5" customHeight="1" x14ac:dyDescent="0.25">
      <c r="L980" s="6"/>
      <c r="M980" s="6"/>
      <c r="N980" s="8"/>
      <c r="O980" s="8"/>
    </row>
    <row r="981" spans="12:15" ht="16.5" customHeight="1" x14ac:dyDescent="0.25">
      <c r="L981" s="6"/>
      <c r="M981" s="6"/>
      <c r="N981" s="8"/>
      <c r="O981" s="8"/>
    </row>
    <row r="982" spans="12:15" ht="16.5" customHeight="1" x14ac:dyDescent="0.25">
      <c r="L982" s="6"/>
      <c r="M982" s="6"/>
      <c r="N982" s="8"/>
      <c r="O982" s="8"/>
    </row>
    <row r="983" spans="12:15" ht="16.5" customHeight="1" x14ac:dyDescent="0.25">
      <c r="L983" s="6"/>
      <c r="M983" s="6"/>
      <c r="N983" s="8"/>
      <c r="O983" s="8"/>
    </row>
    <row r="984" spans="12:15" ht="16.5" customHeight="1" x14ac:dyDescent="0.25">
      <c r="L984" s="6"/>
      <c r="M984" s="6"/>
      <c r="N984" s="8"/>
      <c r="O984" s="8"/>
    </row>
    <row r="985" spans="12:15" ht="16.5" customHeight="1" x14ac:dyDescent="0.25">
      <c r="L985" s="6"/>
      <c r="M985" s="6"/>
      <c r="N985" s="8"/>
      <c r="O985" s="8"/>
    </row>
    <row r="986" spans="12:15" ht="16.5" customHeight="1" x14ac:dyDescent="0.25">
      <c r="L986" s="6"/>
      <c r="M986" s="6"/>
      <c r="N986" s="8"/>
      <c r="O986" s="8"/>
    </row>
    <row r="987" spans="12:15" ht="16.5" customHeight="1" x14ac:dyDescent="0.25">
      <c r="L987" s="6"/>
      <c r="M987" s="6"/>
      <c r="N987" s="8"/>
      <c r="O987" s="8"/>
    </row>
    <row r="988" spans="12:15" ht="16.5" customHeight="1" x14ac:dyDescent="0.25">
      <c r="L988" s="6"/>
      <c r="M988" s="6"/>
      <c r="N988" s="8"/>
      <c r="O988" s="8"/>
    </row>
    <row r="989" spans="12:15" ht="16.5" customHeight="1" x14ac:dyDescent="0.25">
      <c r="L989" s="6"/>
      <c r="M989" s="6"/>
      <c r="N989" s="8"/>
      <c r="O989" s="8"/>
    </row>
    <row r="990" spans="12:15" ht="16.5" customHeight="1" x14ac:dyDescent="0.25">
      <c r="L990" s="6"/>
      <c r="M990" s="6"/>
      <c r="N990" s="8"/>
      <c r="O990" s="8"/>
    </row>
    <row r="991" spans="12:15" ht="16.5" customHeight="1" x14ac:dyDescent="0.25">
      <c r="L991" s="6"/>
      <c r="M991" s="6"/>
      <c r="N991" s="8"/>
      <c r="O991" s="8"/>
    </row>
    <row r="992" spans="12:15" ht="16.5" customHeight="1" x14ac:dyDescent="0.25">
      <c r="L992" s="6"/>
      <c r="M992" s="6"/>
      <c r="N992" s="8"/>
      <c r="O992" s="8"/>
    </row>
    <row r="993" spans="12:15" ht="16.5" customHeight="1" x14ac:dyDescent="0.25">
      <c r="L993" s="6"/>
      <c r="M993" s="6"/>
      <c r="N993" s="8"/>
      <c r="O993" s="8"/>
    </row>
    <row r="994" spans="12:15" ht="16.5" customHeight="1" x14ac:dyDescent="0.25">
      <c r="L994" s="6"/>
      <c r="M994" s="6"/>
      <c r="N994" s="8"/>
      <c r="O994" s="8"/>
    </row>
    <row r="995" spans="12:15" ht="16.5" customHeight="1" x14ac:dyDescent="0.25">
      <c r="L995" s="6"/>
      <c r="M995" s="6"/>
      <c r="N995" s="8"/>
      <c r="O995" s="8"/>
    </row>
    <row r="996" spans="12:15" ht="16.5" customHeight="1" x14ac:dyDescent="0.25">
      <c r="L996" s="6"/>
      <c r="M996" s="6"/>
      <c r="N996" s="8"/>
      <c r="O996" s="8"/>
    </row>
    <row r="997" spans="12:15" ht="16.5" customHeight="1" x14ac:dyDescent="0.25">
      <c r="L997" s="6"/>
      <c r="M997" s="6"/>
      <c r="N997" s="8"/>
      <c r="O997" s="8"/>
    </row>
    <row r="998" spans="12:15" ht="16.5" customHeight="1" x14ac:dyDescent="0.25">
      <c r="L998" s="6"/>
      <c r="M998" s="6"/>
      <c r="N998" s="8"/>
      <c r="O998" s="8"/>
    </row>
    <row r="999" spans="12:15" ht="16.5" customHeight="1" x14ac:dyDescent="0.25">
      <c r="L999" s="6"/>
      <c r="M999" s="6"/>
      <c r="N999" s="8"/>
      <c r="O999" s="8"/>
    </row>
    <row r="1000" spans="12:15" ht="16.5" customHeight="1" x14ac:dyDescent="0.25">
      <c r="L1000" s="6"/>
      <c r="M1000" s="6"/>
      <c r="N1000" s="8"/>
      <c r="O1000" s="8"/>
    </row>
  </sheetData>
  <mergeCells count="71">
    <mergeCell ref="B34:J34"/>
    <mergeCell ref="B65:J65"/>
    <mergeCell ref="B68:J68"/>
    <mergeCell ref="C29:G29"/>
    <mergeCell ref="C30:I30"/>
    <mergeCell ref="B31:J31"/>
    <mergeCell ref="B32:J32"/>
    <mergeCell ref="C33:I33"/>
    <mergeCell ref="C24:I24"/>
    <mergeCell ref="C25:I25"/>
    <mergeCell ref="C26:G26"/>
    <mergeCell ref="C27:G27"/>
    <mergeCell ref="C28:G28"/>
    <mergeCell ref="C19:I19"/>
    <mergeCell ref="C20:I20"/>
    <mergeCell ref="C21:I21"/>
    <mergeCell ref="C22:I22"/>
    <mergeCell ref="C23:I23"/>
    <mergeCell ref="B12:J12"/>
    <mergeCell ref="B14:K14"/>
    <mergeCell ref="B16:K16"/>
    <mergeCell ref="C17:I17"/>
    <mergeCell ref="C18:I18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  <mergeCell ref="B2:K2"/>
    <mergeCell ref="B4:K4"/>
    <mergeCell ref="B5:G5"/>
    <mergeCell ref="I5:J5"/>
    <mergeCell ref="C6:G6"/>
    <mergeCell ref="I6:J6"/>
    <mergeCell ref="I63:J63"/>
    <mergeCell ref="I64:J64"/>
    <mergeCell ref="B56:F56"/>
    <mergeCell ref="I56:J56"/>
    <mergeCell ref="B57:J57"/>
    <mergeCell ref="B60:J60"/>
    <mergeCell ref="B62:K62"/>
    <mergeCell ref="C63:G63"/>
    <mergeCell ref="C64:G64"/>
    <mergeCell ref="B46:F46"/>
    <mergeCell ref="I46:J46"/>
    <mergeCell ref="I54:J54"/>
    <mergeCell ref="I55:J55"/>
    <mergeCell ref="B48:J48"/>
    <mergeCell ref="B51:K51"/>
    <mergeCell ref="B52:K52"/>
    <mergeCell ref="B53:F53"/>
    <mergeCell ref="I53:J53"/>
    <mergeCell ref="B54:F54"/>
    <mergeCell ref="B55:F55"/>
    <mergeCell ref="I43:J43"/>
    <mergeCell ref="B43:F43"/>
    <mergeCell ref="B44:F44"/>
    <mergeCell ref="I44:J44"/>
    <mergeCell ref="B45:F45"/>
    <mergeCell ref="I45:J45"/>
    <mergeCell ref="B35:J35"/>
    <mergeCell ref="B36:J36"/>
    <mergeCell ref="B39:K39"/>
    <mergeCell ref="B41:K41"/>
    <mergeCell ref="B42:F42"/>
    <mergeCell ref="I42:J42"/>
  </mergeCells>
  <pageMargins left="0.78749999999999998" right="0.78749999999999998" top="1.05277777777778" bottom="1.05277777777778" header="0" footer="0"/>
  <pageSetup paperSize="9" orientation="portrait"/>
  <headerFooter>
    <oddHeader>&amp;Cffffff&amp;A</oddHeader>
    <oddFooter>&amp;CffffffPágina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D1000"/>
  <sheetViews>
    <sheetView showGridLines="0" workbookViewId="0"/>
  </sheetViews>
  <sheetFormatPr defaultColWidth="14.42578125" defaultRowHeight="15" customHeight="1" x14ac:dyDescent="0.25"/>
  <cols>
    <col min="1" max="1" width="14.7109375" customWidth="1"/>
    <col min="2" max="2" width="8.7109375" customWidth="1"/>
    <col min="3" max="3" width="9" customWidth="1"/>
    <col min="4" max="4" width="8.7109375" customWidth="1"/>
    <col min="5" max="5" width="9.7109375" customWidth="1"/>
    <col min="6" max="6" width="12.85546875" customWidth="1"/>
    <col min="7" max="7" width="13.140625" customWidth="1"/>
    <col min="8" max="8" width="13.5703125" customWidth="1"/>
    <col min="9" max="9" width="9.7109375" customWidth="1"/>
    <col min="10" max="10" width="11.28515625" customWidth="1"/>
    <col min="11" max="11" width="18.7109375" customWidth="1"/>
    <col min="12" max="12" width="8.7109375" customWidth="1"/>
    <col min="13" max="13" width="23" customWidth="1"/>
    <col min="14" max="14" width="11.7109375" customWidth="1"/>
    <col min="15" max="15" width="11.140625" customWidth="1"/>
    <col min="16" max="17" width="8.7109375" customWidth="1"/>
    <col min="18" max="18" width="11.42578125" customWidth="1"/>
    <col min="19" max="30" width="8.7109375" customWidth="1"/>
  </cols>
  <sheetData>
    <row r="1" spans="2:18" x14ac:dyDescent="0.25">
      <c r="L1" s="6"/>
      <c r="M1" s="6"/>
      <c r="N1" s="8"/>
      <c r="O1" s="8"/>
      <c r="P1" s="8"/>
      <c r="Q1" s="8"/>
      <c r="R1" s="8"/>
    </row>
    <row r="2" spans="2:18" ht="15.75" x14ac:dyDescent="0.25">
      <c r="B2" s="531" t="s">
        <v>743</v>
      </c>
      <c r="C2" s="532"/>
      <c r="D2" s="532"/>
      <c r="E2" s="532"/>
      <c r="F2" s="532"/>
      <c r="G2" s="532"/>
      <c r="H2" s="532"/>
      <c r="I2" s="532"/>
      <c r="J2" s="532"/>
      <c r="K2" s="533"/>
      <c r="L2" s="12"/>
      <c r="M2" s="12"/>
      <c r="N2" s="8"/>
      <c r="O2" s="8"/>
      <c r="P2" s="8"/>
      <c r="Q2" s="8"/>
      <c r="R2" s="8"/>
    </row>
    <row r="3" spans="2:18" x14ac:dyDescent="0.25">
      <c r="L3" s="6"/>
      <c r="M3" s="6"/>
      <c r="N3" s="8"/>
      <c r="O3" s="8"/>
      <c r="P3" s="8"/>
      <c r="Q3" s="8"/>
      <c r="R3" s="8"/>
    </row>
    <row r="4" spans="2:18" x14ac:dyDescent="0.25">
      <c r="B4" s="551" t="s">
        <v>29</v>
      </c>
      <c r="C4" s="537"/>
      <c r="D4" s="537"/>
      <c r="E4" s="537"/>
      <c r="F4" s="537"/>
      <c r="G4" s="537"/>
      <c r="H4" s="537"/>
      <c r="I4" s="537"/>
      <c r="J4" s="537"/>
      <c r="K4" s="538"/>
      <c r="L4" s="6"/>
      <c r="M4" s="6"/>
      <c r="N4" s="8"/>
      <c r="O4" s="8"/>
      <c r="P4" s="8"/>
      <c r="Q4" s="8"/>
      <c r="R4" s="8"/>
    </row>
    <row r="5" spans="2:18" ht="33" customHeight="1" x14ac:dyDescent="0.25">
      <c r="B5" s="552" t="s">
        <v>31</v>
      </c>
      <c r="C5" s="537"/>
      <c r="D5" s="537"/>
      <c r="E5" s="537"/>
      <c r="F5" s="537"/>
      <c r="G5" s="538"/>
      <c r="H5" s="17" t="s">
        <v>32</v>
      </c>
      <c r="I5" s="553" t="s">
        <v>33</v>
      </c>
      <c r="J5" s="538"/>
      <c r="K5" s="18" t="s">
        <v>34</v>
      </c>
      <c r="L5" s="6"/>
      <c r="M5" s="6"/>
      <c r="N5" s="8"/>
      <c r="O5" s="8"/>
      <c r="P5" s="8"/>
      <c r="Q5" s="8"/>
      <c r="R5" s="8"/>
    </row>
    <row r="6" spans="2:18" x14ac:dyDescent="0.25">
      <c r="B6" s="19" t="s">
        <v>745</v>
      </c>
      <c r="C6" s="554" t="s">
        <v>36</v>
      </c>
      <c r="D6" s="537"/>
      <c r="E6" s="537"/>
      <c r="F6" s="537"/>
      <c r="G6" s="538"/>
      <c r="H6" s="23">
        <f>SUM(H7:H8)</f>
        <v>3</v>
      </c>
      <c r="I6" s="555"/>
      <c r="J6" s="538"/>
      <c r="K6" s="25">
        <f>SUM(K7:K8)</f>
        <v>20485.282590820054</v>
      </c>
      <c r="L6" s="6"/>
      <c r="M6" s="6"/>
      <c r="N6" s="8"/>
      <c r="O6" s="8"/>
      <c r="P6" s="8"/>
      <c r="Q6" s="8"/>
      <c r="R6" s="8"/>
    </row>
    <row r="7" spans="2:18" x14ac:dyDescent="0.25">
      <c r="B7" s="26" t="s">
        <v>748</v>
      </c>
      <c r="C7" s="545" t="s">
        <v>43</v>
      </c>
      <c r="D7" s="537"/>
      <c r="E7" s="537"/>
      <c r="F7" s="537"/>
      <c r="G7" s="538"/>
      <c r="H7" s="3">
        <v>2</v>
      </c>
      <c r="I7" s="590">
        <f>K42</f>
        <v>6465.5533496361713</v>
      </c>
      <c r="J7" s="538"/>
      <c r="K7" s="31">
        <f>K43</f>
        <v>12931.106699272343</v>
      </c>
      <c r="L7" s="6"/>
      <c r="M7" s="6"/>
      <c r="N7" s="8"/>
      <c r="O7" s="8"/>
      <c r="P7" s="8"/>
      <c r="Q7" s="8"/>
      <c r="R7" s="8"/>
    </row>
    <row r="8" spans="2:18" x14ac:dyDescent="0.25">
      <c r="B8" s="26" t="s">
        <v>750</v>
      </c>
      <c r="C8" s="545" t="s">
        <v>52</v>
      </c>
      <c r="D8" s="537"/>
      <c r="E8" s="537"/>
      <c r="F8" s="537"/>
      <c r="G8" s="538"/>
      <c r="H8" s="3">
        <v>1</v>
      </c>
      <c r="I8" s="590">
        <f>K63</f>
        <v>7554.1758915477112</v>
      </c>
      <c r="J8" s="538"/>
      <c r="K8" s="31">
        <f>K64</f>
        <v>7554.1758915477112</v>
      </c>
      <c r="L8" s="6"/>
      <c r="M8" s="6"/>
      <c r="N8" s="8"/>
      <c r="O8" s="8"/>
      <c r="P8" s="8"/>
      <c r="Q8" s="8"/>
      <c r="R8" s="8"/>
    </row>
    <row r="9" spans="2:18" x14ac:dyDescent="0.25">
      <c r="B9" s="19" t="s">
        <v>752</v>
      </c>
      <c r="C9" s="555" t="s">
        <v>58</v>
      </c>
      <c r="D9" s="537"/>
      <c r="E9" s="537"/>
      <c r="F9" s="537"/>
      <c r="G9" s="538"/>
      <c r="H9" s="23">
        <f>SUM(H10:H11)</f>
        <v>3</v>
      </c>
      <c r="I9" s="555"/>
      <c r="J9" s="538"/>
      <c r="K9" s="25">
        <f>SUM(K10:K11)</f>
        <v>472.37444444444446</v>
      </c>
      <c r="L9" s="6"/>
      <c r="M9" s="6"/>
      <c r="N9" s="8"/>
      <c r="O9" s="8"/>
      <c r="P9" s="8"/>
      <c r="Q9" s="8"/>
      <c r="R9" s="8"/>
    </row>
    <row r="10" spans="2:18" x14ac:dyDescent="0.25">
      <c r="B10" s="55" t="s">
        <v>753</v>
      </c>
      <c r="C10" s="545" t="s">
        <v>62</v>
      </c>
      <c r="D10" s="537"/>
      <c r="E10" s="537"/>
      <c r="F10" s="537"/>
      <c r="G10" s="538"/>
      <c r="H10" s="3">
        <v>2</v>
      </c>
      <c r="I10" s="602">
        <f>K85</f>
        <v>190.54388888888889</v>
      </c>
      <c r="J10" s="538"/>
      <c r="K10" s="45">
        <f t="shared" ref="K10:K11" si="0">I10*H10</f>
        <v>381.08777777777777</v>
      </c>
      <c r="L10" s="6"/>
      <c r="M10" s="6"/>
      <c r="N10" s="8"/>
      <c r="O10" s="8"/>
      <c r="P10" s="8"/>
      <c r="Q10" s="8"/>
      <c r="R10" s="8"/>
    </row>
    <row r="11" spans="2:18" ht="15" customHeight="1" x14ac:dyDescent="0.25">
      <c r="B11" s="55" t="s">
        <v>755</v>
      </c>
      <c r="C11" s="561" t="s">
        <v>66</v>
      </c>
      <c r="D11" s="537"/>
      <c r="E11" s="537"/>
      <c r="F11" s="537"/>
      <c r="G11" s="538"/>
      <c r="H11" s="3">
        <v>1</v>
      </c>
      <c r="I11" s="602">
        <f>K98</f>
        <v>91.286666666666676</v>
      </c>
      <c r="J11" s="538"/>
      <c r="K11" s="45">
        <f t="shared" si="0"/>
        <v>91.286666666666676</v>
      </c>
      <c r="L11" s="6"/>
      <c r="M11" s="6"/>
      <c r="N11" s="8"/>
      <c r="O11" s="8"/>
      <c r="P11" s="8"/>
      <c r="Q11" s="8"/>
      <c r="R11" s="8"/>
    </row>
    <row r="12" spans="2:18" x14ac:dyDescent="0.25">
      <c r="B12" s="19" t="s">
        <v>757</v>
      </c>
      <c r="C12" s="555" t="s">
        <v>70</v>
      </c>
      <c r="D12" s="537"/>
      <c r="E12" s="537"/>
      <c r="F12" s="537"/>
      <c r="G12" s="538"/>
      <c r="H12" s="23">
        <f>SUM(H13)</f>
        <v>1</v>
      </c>
      <c r="I12" s="555"/>
      <c r="J12" s="538"/>
      <c r="K12" s="25">
        <f>K205</f>
        <v>8412.5409846764342</v>
      </c>
      <c r="L12" s="6"/>
      <c r="M12" s="6"/>
      <c r="N12" s="8"/>
      <c r="O12" s="8"/>
      <c r="P12" s="8"/>
      <c r="Q12" s="8"/>
      <c r="R12" s="8"/>
    </row>
    <row r="13" spans="2:18" x14ac:dyDescent="0.25">
      <c r="B13" s="26" t="s">
        <v>758</v>
      </c>
      <c r="C13" s="545" t="s">
        <v>759</v>
      </c>
      <c r="D13" s="537"/>
      <c r="E13" s="537"/>
      <c r="F13" s="537"/>
      <c r="G13" s="538"/>
      <c r="H13" s="3">
        <v>1</v>
      </c>
      <c r="I13" s="602">
        <f>K202</f>
        <v>8412.5409846764342</v>
      </c>
      <c r="J13" s="538"/>
      <c r="K13" s="31">
        <f>K203</f>
        <v>8412.5409846764342</v>
      </c>
      <c r="L13" s="6"/>
      <c r="M13" s="6"/>
      <c r="N13" s="8"/>
      <c r="O13" s="8"/>
      <c r="P13" s="8"/>
      <c r="Q13" s="8"/>
      <c r="R13" s="8"/>
    </row>
    <row r="14" spans="2:18" x14ac:dyDescent="0.25">
      <c r="B14" s="19" t="s">
        <v>760</v>
      </c>
      <c r="C14" s="554" t="s">
        <v>92</v>
      </c>
      <c r="D14" s="537"/>
      <c r="E14" s="537"/>
      <c r="F14" s="537"/>
      <c r="G14" s="538"/>
      <c r="H14" s="48"/>
      <c r="I14" s="664"/>
      <c r="J14" s="538"/>
      <c r="K14" s="25">
        <f>K223</f>
        <v>187.50780555555556</v>
      </c>
      <c r="L14" s="6"/>
      <c r="M14" s="6"/>
      <c r="N14" s="8"/>
      <c r="O14" s="8"/>
      <c r="P14" s="8"/>
      <c r="Q14" s="8"/>
      <c r="R14" s="8"/>
    </row>
    <row r="15" spans="2:18" x14ac:dyDescent="0.25">
      <c r="B15" s="19" t="s">
        <v>761</v>
      </c>
      <c r="C15" s="555" t="s">
        <v>215</v>
      </c>
      <c r="D15" s="537"/>
      <c r="E15" s="537"/>
      <c r="F15" s="537"/>
      <c r="G15" s="538"/>
      <c r="H15" s="23"/>
      <c r="I15" s="555"/>
      <c r="J15" s="538"/>
      <c r="K15" s="25">
        <f>K234</f>
        <v>34489.996584507964</v>
      </c>
      <c r="L15" s="6"/>
      <c r="M15" s="6"/>
      <c r="N15" s="8"/>
      <c r="O15" s="8"/>
      <c r="P15" s="8"/>
      <c r="Q15" s="8"/>
      <c r="R15" s="8"/>
    </row>
    <row r="16" spans="2:18" x14ac:dyDescent="0.25">
      <c r="B16" s="26" t="s">
        <v>763</v>
      </c>
      <c r="C16" s="559" t="s">
        <v>99</v>
      </c>
      <c r="D16" s="537"/>
      <c r="E16" s="537"/>
      <c r="F16" s="537"/>
      <c r="G16" s="538"/>
      <c r="H16" s="3">
        <v>1</v>
      </c>
      <c r="I16" s="590">
        <f t="shared" ref="I16:I17" si="1">K232</f>
        <v>26305.499173886594</v>
      </c>
      <c r="J16" s="538"/>
      <c r="K16" s="31">
        <f t="shared" ref="K16:K17" si="2">I16*H16</f>
        <v>26305.499173886594</v>
      </c>
      <c r="L16" s="6"/>
      <c r="M16" s="6"/>
      <c r="N16" s="8"/>
      <c r="O16" s="8"/>
      <c r="P16" s="8"/>
      <c r="Q16" s="8"/>
      <c r="R16" s="8"/>
    </row>
    <row r="17" spans="2:18" x14ac:dyDescent="0.25">
      <c r="B17" s="26" t="s">
        <v>765</v>
      </c>
      <c r="C17" s="559" t="s">
        <v>102</v>
      </c>
      <c r="D17" s="537"/>
      <c r="E17" s="537"/>
      <c r="F17" s="537"/>
      <c r="G17" s="538"/>
      <c r="H17" s="3">
        <v>1</v>
      </c>
      <c r="I17" s="590">
        <f t="shared" si="1"/>
        <v>8184.4974106213704</v>
      </c>
      <c r="J17" s="538"/>
      <c r="K17" s="31">
        <f t="shared" si="2"/>
        <v>8184.4974106213704</v>
      </c>
      <c r="L17" s="6"/>
      <c r="M17" s="6"/>
      <c r="N17" s="8"/>
      <c r="O17" s="8"/>
      <c r="P17" s="8"/>
      <c r="Q17" s="8"/>
      <c r="R17" s="8"/>
    </row>
    <row r="18" spans="2:18" x14ac:dyDescent="0.25">
      <c r="B18" s="551" t="s">
        <v>105</v>
      </c>
      <c r="C18" s="537"/>
      <c r="D18" s="537"/>
      <c r="E18" s="537"/>
      <c r="F18" s="537"/>
      <c r="G18" s="537"/>
      <c r="H18" s="537"/>
      <c r="I18" s="537"/>
      <c r="J18" s="538"/>
      <c r="K18" s="51">
        <f>K15+K12+K9+K6+K14</f>
        <v>64047.702410004451</v>
      </c>
      <c r="L18" s="6"/>
      <c r="M18" s="6"/>
      <c r="N18" s="8"/>
      <c r="O18" s="8"/>
      <c r="P18" s="8"/>
      <c r="Q18" s="8"/>
      <c r="R18" s="8"/>
    </row>
    <row r="19" spans="2:18" x14ac:dyDescent="0.25">
      <c r="B19" s="551" t="s">
        <v>669</v>
      </c>
      <c r="C19" s="537"/>
      <c r="D19" s="537"/>
      <c r="E19" s="537"/>
      <c r="F19" s="537"/>
      <c r="G19" s="537"/>
      <c r="H19" s="537"/>
      <c r="I19" s="537"/>
      <c r="J19" s="538"/>
      <c r="K19" s="51">
        <f>K18*6</f>
        <v>384286.21446002671</v>
      </c>
      <c r="L19" s="6"/>
      <c r="M19" s="6"/>
      <c r="N19" s="8"/>
      <c r="O19" s="8"/>
      <c r="P19" s="8"/>
      <c r="Q19" s="8"/>
      <c r="R19" s="8"/>
    </row>
    <row r="20" spans="2:18" x14ac:dyDescent="0.25">
      <c r="L20" s="6"/>
      <c r="M20" s="6"/>
      <c r="N20" s="8"/>
      <c r="O20" s="8"/>
      <c r="P20" s="8"/>
      <c r="Q20" s="8"/>
      <c r="R20" s="8"/>
    </row>
    <row r="21" spans="2:18" ht="15" customHeight="1" x14ac:dyDescent="0.25">
      <c r="B21" s="566" t="s">
        <v>766</v>
      </c>
      <c r="C21" s="537"/>
      <c r="D21" s="537"/>
      <c r="E21" s="537"/>
      <c r="F21" s="537"/>
      <c r="G21" s="537"/>
      <c r="H21" s="537"/>
      <c r="I21" s="537"/>
      <c r="J21" s="537"/>
      <c r="K21" s="538"/>
      <c r="L21" s="6"/>
      <c r="M21" s="6"/>
      <c r="N21" s="8"/>
      <c r="O21" s="8"/>
      <c r="P21" s="8"/>
      <c r="Q21" s="8"/>
      <c r="R21" s="8"/>
    </row>
    <row r="22" spans="2:18" ht="15.75" customHeight="1" x14ac:dyDescent="0.25">
      <c r="B22" s="662"/>
      <c r="C22" s="625"/>
      <c r="D22" s="625"/>
      <c r="E22" s="625"/>
      <c r="F22" s="625"/>
      <c r="G22" s="625"/>
      <c r="H22" s="625"/>
      <c r="I22" s="625"/>
      <c r="J22" s="625"/>
      <c r="K22" s="625"/>
      <c r="L22" s="6"/>
      <c r="M22" s="6"/>
      <c r="N22" s="8"/>
      <c r="O22" s="8"/>
      <c r="P22" s="8"/>
      <c r="Q22" s="8"/>
      <c r="R22" s="8"/>
    </row>
    <row r="23" spans="2:18" ht="15.75" customHeight="1" x14ac:dyDescent="0.25">
      <c r="B23" s="568" t="s">
        <v>767</v>
      </c>
      <c r="C23" s="537"/>
      <c r="D23" s="537"/>
      <c r="E23" s="537"/>
      <c r="F23" s="537"/>
      <c r="G23" s="537"/>
      <c r="H23" s="537"/>
      <c r="I23" s="537"/>
      <c r="J23" s="537"/>
      <c r="K23" s="538"/>
      <c r="L23" s="6"/>
      <c r="M23" s="6"/>
      <c r="N23" s="8"/>
      <c r="O23" s="8"/>
      <c r="P23" s="8"/>
      <c r="Q23" s="8"/>
      <c r="R23" s="8"/>
    </row>
    <row r="24" spans="2:18" ht="15.75" customHeight="1" x14ac:dyDescent="0.25">
      <c r="B24" s="58" t="s">
        <v>116</v>
      </c>
      <c r="C24" s="569" t="s">
        <v>117</v>
      </c>
      <c r="D24" s="537"/>
      <c r="E24" s="537"/>
      <c r="F24" s="537"/>
      <c r="G24" s="538"/>
      <c r="H24" s="59" t="s">
        <v>118</v>
      </c>
      <c r="I24" s="105" t="s">
        <v>119</v>
      </c>
      <c r="J24" s="61" t="s">
        <v>120</v>
      </c>
      <c r="K24" s="61" t="s">
        <v>121</v>
      </c>
      <c r="L24" s="6"/>
      <c r="M24" s="6"/>
      <c r="N24" s="8"/>
      <c r="O24" s="8"/>
      <c r="P24" s="8"/>
      <c r="Q24" s="8"/>
      <c r="R24" s="8"/>
    </row>
    <row r="25" spans="2:18" ht="15.75" customHeight="1" x14ac:dyDescent="0.25">
      <c r="B25" s="14" t="s">
        <v>122</v>
      </c>
      <c r="C25" s="571" t="s">
        <v>123</v>
      </c>
      <c r="D25" s="537"/>
      <c r="E25" s="537"/>
      <c r="F25" s="537"/>
      <c r="G25" s="538"/>
      <c r="H25" s="3">
        <v>220</v>
      </c>
      <c r="I25" s="14" t="s">
        <v>126</v>
      </c>
      <c r="J25" s="66">
        <f>K25/H25</f>
        <v>9.4650454545454537</v>
      </c>
      <c r="K25" s="67">
        <f>'6 - DADOS CC MO'!E10</f>
        <v>2082.31</v>
      </c>
      <c r="L25" s="6"/>
      <c r="M25" s="6"/>
      <c r="N25" s="8"/>
      <c r="O25" s="8"/>
      <c r="P25" s="8"/>
      <c r="Q25" s="8"/>
      <c r="R25" s="8"/>
    </row>
    <row r="26" spans="2:18" ht="15.75" customHeight="1" x14ac:dyDescent="0.25">
      <c r="B26" s="14" t="s">
        <v>195</v>
      </c>
      <c r="C26" s="63" t="s">
        <v>130</v>
      </c>
      <c r="D26" s="68"/>
      <c r="E26" s="68"/>
      <c r="F26" s="68"/>
      <c r="G26" s="69"/>
      <c r="H26" s="71">
        <f>7+1/3</f>
        <v>7.333333333333333</v>
      </c>
      <c r="I26" s="14" t="s">
        <v>126</v>
      </c>
      <c r="J26" s="66">
        <f>J25*2</f>
        <v>18.930090909090907</v>
      </c>
      <c r="K26" s="67">
        <f>H26*J26</f>
        <v>138.82066666666665</v>
      </c>
      <c r="L26" s="6"/>
      <c r="M26" s="6"/>
      <c r="N26" s="8"/>
      <c r="O26" s="8"/>
      <c r="P26" s="8"/>
      <c r="Q26" s="8"/>
      <c r="R26" s="8"/>
    </row>
    <row r="27" spans="2:18" ht="15.75" customHeight="1" x14ac:dyDescent="0.25">
      <c r="B27" s="14" t="s">
        <v>198</v>
      </c>
      <c r="C27" s="63" t="s">
        <v>135</v>
      </c>
      <c r="D27" s="68"/>
      <c r="E27" s="68"/>
      <c r="F27" s="68"/>
      <c r="G27" s="69"/>
      <c r="H27" s="71"/>
      <c r="I27" s="14"/>
      <c r="J27" s="66">
        <f>61/304*(SUM(K26))</f>
        <v>27.855462719298245</v>
      </c>
      <c r="K27" s="67">
        <f>J27</f>
        <v>27.855462719298245</v>
      </c>
      <c r="L27" s="6"/>
      <c r="M27" s="6"/>
      <c r="N27" s="8"/>
      <c r="O27" s="8"/>
      <c r="P27" s="8"/>
      <c r="Q27" s="8"/>
      <c r="R27" s="8"/>
    </row>
    <row r="28" spans="2:18" ht="15.75" customHeight="1" x14ac:dyDescent="0.25">
      <c r="B28" s="14" t="s">
        <v>129</v>
      </c>
      <c r="C28" s="571" t="s">
        <v>139</v>
      </c>
      <c r="D28" s="537"/>
      <c r="E28" s="537"/>
      <c r="F28" s="537"/>
      <c r="G28" s="538"/>
      <c r="H28" s="3">
        <v>40</v>
      </c>
      <c r="I28" s="14" t="s">
        <v>141</v>
      </c>
      <c r="J28" s="74"/>
      <c r="K28" s="67">
        <f>K25*40%</f>
        <v>832.92399999999998</v>
      </c>
      <c r="L28" s="6"/>
      <c r="M28" s="6"/>
      <c r="N28" s="8"/>
      <c r="O28" s="8"/>
      <c r="P28" s="8"/>
      <c r="Q28" s="8"/>
      <c r="R28" s="8"/>
    </row>
    <row r="29" spans="2:18" ht="15.75" customHeight="1" x14ac:dyDescent="0.25">
      <c r="B29" s="3"/>
      <c r="C29" s="570" t="s">
        <v>142</v>
      </c>
      <c r="D29" s="537"/>
      <c r="E29" s="537"/>
      <c r="F29" s="537"/>
      <c r="G29" s="537"/>
      <c r="H29" s="537"/>
      <c r="I29" s="538"/>
      <c r="J29" s="75"/>
      <c r="K29" s="76">
        <f>SUM(K25:K28)</f>
        <v>3081.9101293859649</v>
      </c>
      <c r="L29" s="6"/>
      <c r="M29" s="6"/>
      <c r="N29" s="8"/>
      <c r="O29" s="8"/>
      <c r="P29" s="8"/>
      <c r="Q29" s="8"/>
      <c r="R29" s="8"/>
    </row>
    <row r="30" spans="2:18" ht="15.75" customHeight="1" x14ac:dyDescent="0.25">
      <c r="B30" s="61" t="s">
        <v>145</v>
      </c>
      <c r="C30" s="569" t="s">
        <v>146</v>
      </c>
      <c r="D30" s="537"/>
      <c r="E30" s="537"/>
      <c r="F30" s="537"/>
      <c r="G30" s="537"/>
      <c r="H30" s="537"/>
      <c r="I30" s="538"/>
      <c r="J30" s="61" t="s">
        <v>141</v>
      </c>
      <c r="K30" s="61" t="s">
        <v>121</v>
      </c>
      <c r="L30" s="6"/>
      <c r="M30" s="6"/>
      <c r="N30" s="8"/>
      <c r="O30" s="8"/>
      <c r="P30" s="8"/>
      <c r="Q30" s="8"/>
      <c r="R30" s="8"/>
    </row>
    <row r="31" spans="2:18" ht="15.75" customHeight="1" x14ac:dyDescent="0.25">
      <c r="B31" s="14" t="s">
        <v>147</v>
      </c>
      <c r="C31" s="571" t="s">
        <v>148</v>
      </c>
      <c r="D31" s="537"/>
      <c r="E31" s="537"/>
      <c r="F31" s="537"/>
      <c r="G31" s="537"/>
      <c r="H31" s="537"/>
      <c r="I31" s="538"/>
      <c r="J31" s="78">
        <f>'7 - ENCARGOS SOCIAIS'!$D$13</f>
        <v>0.36800000000000005</v>
      </c>
      <c r="K31" s="67">
        <f t="shared" ref="K31:K34" si="3">J31*$K$29</f>
        <v>1134.1429276140352</v>
      </c>
      <c r="L31" s="6"/>
      <c r="M31" s="6"/>
      <c r="N31" s="8"/>
      <c r="O31" s="8"/>
      <c r="P31" s="8"/>
      <c r="Q31" s="8"/>
      <c r="R31" s="8"/>
    </row>
    <row r="32" spans="2:18" ht="15.75" customHeight="1" x14ac:dyDescent="0.25">
      <c r="B32" s="14" t="s">
        <v>150</v>
      </c>
      <c r="C32" s="571" t="s">
        <v>151</v>
      </c>
      <c r="D32" s="537"/>
      <c r="E32" s="537"/>
      <c r="F32" s="537"/>
      <c r="G32" s="537"/>
      <c r="H32" s="537"/>
      <c r="I32" s="538"/>
      <c r="J32" s="78">
        <f>'7 - ENCARGOS SOCIAIS'!$D$21</f>
        <v>0.15387245147090212</v>
      </c>
      <c r="K32" s="67">
        <f t="shared" si="3"/>
        <v>474.22106682162354</v>
      </c>
      <c r="L32" s="6"/>
      <c r="M32" s="6"/>
      <c r="N32" s="8"/>
      <c r="O32" s="8"/>
      <c r="P32" s="8"/>
      <c r="Q32" s="8"/>
      <c r="R32" s="8"/>
    </row>
    <row r="33" spans="2:18" ht="15.75" customHeight="1" x14ac:dyDescent="0.25">
      <c r="B33" s="14" t="s">
        <v>152</v>
      </c>
      <c r="C33" s="571" t="s">
        <v>153</v>
      </c>
      <c r="D33" s="537"/>
      <c r="E33" s="537"/>
      <c r="F33" s="537"/>
      <c r="G33" s="537"/>
      <c r="H33" s="537"/>
      <c r="I33" s="538"/>
      <c r="J33" s="78">
        <f>'7 - ENCARGOS SOCIAIS'!$D$28</f>
        <v>0.12666581537651095</v>
      </c>
      <c r="K33" s="67">
        <f t="shared" si="3"/>
        <v>390.37265945580157</v>
      </c>
      <c r="L33" s="6"/>
      <c r="M33" s="6"/>
      <c r="N33" s="8"/>
      <c r="O33" s="8"/>
      <c r="P33" s="8"/>
      <c r="Q33" s="8"/>
      <c r="R33" s="8"/>
    </row>
    <row r="34" spans="2:18" ht="15.75" customHeight="1" x14ac:dyDescent="0.25">
      <c r="B34" s="14" t="s">
        <v>155</v>
      </c>
      <c r="C34" s="571" t="s">
        <v>156</v>
      </c>
      <c r="D34" s="537"/>
      <c r="E34" s="537"/>
      <c r="F34" s="537"/>
      <c r="G34" s="537"/>
      <c r="H34" s="537"/>
      <c r="I34" s="538"/>
      <c r="J34" s="78">
        <f>'7 - ENCARGOS SOCIAIS'!$D$32</f>
        <v>5.9231502118822603E-2</v>
      </c>
      <c r="K34" s="67">
        <f t="shared" si="3"/>
        <v>182.54616635874561</v>
      </c>
      <c r="L34" s="6"/>
      <c r="M34" s="6"/>
      <c r="N34" s="8"/>
      <c r="O34" s="8"/>
      <c r="P34" s="8"/>
      <c r="Q34" s="8"/>
      <c r="R34" s="8"/>
    </row>
    <row r="35" spans="2:18" ht="15.75" customHeight="1" x14ac:dyDescent="0.25">
      <c r="B35" s="17"/>
      <c r="C35" s="552" t="s">
        <v>157</v>
      </c>
      <c r="D35" s="537"/>
      <c r="E35" s="537"/>
      <c r="F35" s="537"/>
      <c r="G35" s="537"/>
      <c r="H35" s="537"/>
      <c r="I35" s="538"/>
      <c r="J35" s="83">
        <f t="shared" ref="J35:K35" si="4">SUM(J31:J34)</f>
        <v>0.70776976896623567</v>
      </c>
      <c r="K35" s="84">
        <f t="shared" si="4"/>
        <v>2181.282820250206</v>
      </c>
      <c r="L35" s="6"/>
      <c r="M35" s="6"/>
      <c r="N35" s="8"/>
      <c r="O35" s="8"/>
      <c r="P35" s="8"/>
      <c r="Q35" s="8"/>
      <c r="R35" s="8"/>
    </row>
    <row r="36" spans="2:18" ht="32.25" customHeight="1" x14ac:dyDescent="0.25">
      <c r="B36" s="61" t="s">
        <v>158</v>
      </c>
      <c r="C36" s="572" t="s">
        <v>159</v>
      </c>
      <c r="D36" s="537"/>
      <c r="E36" s="537"/>
      <c r="F36" s="537"/>
      <c r="G36" s="538"/>
      <c r="H36" s="59" t="s">
        <v>160</v>
      </c>
      <c r="I36" s="61" t="s">
        <v>120</v>
      </c>
      <c r="J36" s="61" t="s">
        <v>161</v>
      </c>
      <c r="K36" s="61" t="s">
        <v>121</v>
      </c>
      <c r="L36" s="6"/>
      <c r="M36" s="6"/>
      <c r="N36" s="8"/>
      <c r="O36" s="8"/>
      <c r="P36" s="8"/>
      <c r="Q36" s="8"/>
      <c r="R36" s="8"/>
    </row>
    <row r="37" spans="2:18" ht="15" customHeight="1" x14ac:dyDescent="0.25">
      <c r="B37" s="14" t="s">
        <v>162</v>
      </c>
      <c r="C37" s="561" t="s">
        <v>163</v>
      </c>
      <c r="D37" s="537"/>
      <c r="E37" s="537"/>
      <c r="F37" s="537"/>
      <c r="G37" s="538"/>
      <c r="H37" s="14">
        <v>26</v>
      </c>
      <c r="I37" s="88">
        <v>27.15</v>
      </c>
      <c r="J37" s="89">
        <v>0.19</v>
      </c>
      <c r="K37" s="31">
        <f>(H37*I37)-((H37*I37)*J37)</f>
        <v>571.779</v>
      </c>
      <c r="L37" s="6"/>
      <c r="M37" s="6"/>
      <c r="N37" s="8"/>
      <c r="O37" s="8"/>
      <c r="P37" s="8"/>
      <c r="Q37" s="8"/>
      <c r="R37" s="8"/>
    </row>
    <row r="38" spans="2:18" ht="15.75" customHeight="1" x14ac:dyDescent="0.25">
      <c r="B38" s="14" t="s">
        <v>164</v>
      </c>
      <c r="C38" s="571" t="s">
        <v>165</v>
      </c>
      <c r="D38" s="537"/>
      <c r="E38" s="537"/>
      <c r="F38" s="537"/>
      <c r="G38" s="538"/>
      <c r="H38" s="14">
        <f>H37*4</f>
        <v>104</v>
      </c>
      <c r="I38" s="93">
        <v>6.25</v>
      </c>
      <c r="J38" s="89">
        <v>0.06</v>
      </c>
      <c r="K38" s="31">
        <f>(H38*I38)-(K25*J38)</f>
        <v>525.06140000000005</v>
      </c>
      <c r="L38" s="6"/>
      <c r="M38" s="6"/>
      <c r="N38" s="8"/>
      <c r="O38" s="8"/>
      <c r="P38" s="8"/>
      <c r="Q38" s="8"/>
      <c r="R38" s="8"/>
    </row>
    <row r="39" spans="2:18" ht="15.75" customHeight="1" x14ac:dyDescent="0.25">
      <c r="B39" s="14" t="s">
        <v>166</v>
      </c>
      <c r="C39" s="571" t="s">
        <v>167</v>
      </c>
      <c r="D39" s="537"/>
      <c r="E39" s="537"/>
      <c r="F39" s="537"/>
      <c r="G39" s="538"/>
      <c r="H39" s="3">
        <v>1</v>
      </c>
      <c r="I39" s="88">
        <v>25.52</v>
      </c>
      <c r="J39" s="26"/>
      <c r="K39" s="94">
        <f t="shared" ref="K39:K40" si="5">I39</f>
        <v>25.52</v>
      </c>
      <c r="L39" s="6"/>
      <c r="M39" s="6"/>
      <c r="N39" s="8"/>
      <c r="O39" s="8"/>
      <c r="P39" s="8"/>
      <c r="Q39" s="8"/>
      <c r="R39" s="8"/>
    </row>
    <row r="40" spans="2:18" ht="15.75" customHeight="1" x14ac:dyDescent="0.25">
      <c r="B40" s="14" t="s">
        <v>168</v>
      </c>
      <c r="C40" s="571" t="s">
        <v>169</v>
      </c>
      <c r="D40" s="537"/>
      <c r="E40" s="537"/>
      <c r="F40" s="537"/>
      <c r="G40" s="538"/>
      <c r="H40" s="3">
        <v>1</v>
      </c>
      <c r="I40" s="88">
        <v>80</v>
      </c>
      <c r="J40" s="26"/>
      <c r="K40" s="94">
        <f t="shared" si="5"/>
        <v>80</v>
      </c>
      <c r="L40" s="6"/>
      <c r="M40" s="6"/>
      <c r="N40" s="8"/>
      <c r="O40" s="8"/>
      <c r="P40" s="8"/>
      <c r="Q40" s="8"/>
      <c r="R40" s="8"/>
    </row>
    <row r="41" spans="2:18" ht="15.75" customHeight="1" x14ac:dyDescent="0.25">
      <c r="B41" s="26"/>
      <c r="C41" s="570" t="s">
        <v>170</v>
      </c>
      <c r="D41" s="537"/>
      <c r="E41" s="537"/>
      <c r="F41" s="537"/>
      <c r="G41" s="537"/>
      <c r="H41" s="537"/>
      <c r="I41" s="538"/>
      <c r="J41" s="75"/>
      <c r="K41" s="45">
        <f>SUM(K37:K40)</f>
        <v>1202.3604</v>
      </c>
      <c r="L41" s="6"/>
      <c r="M41" s="6"/>
      <c r="N41" s="8"/>
      <c r="O41" s="8"/>
      <c r="P41" s="8"/>
      <c r="Q41" s="8"/>
      <c r="R41" s="8"/>
    </row>
    <row r="42" spans="2:18" ht="15" customHeight="1" x14ac:dyDescent="0.25">
      <c r="B42" s="563" t="s">
        <v>171</v>
      </c>
      <c r="C42" s="564"/>
      <c r="D42" s="564"/>
      <c r="E42" s="564"/>
      <c r="F42" s="564"/>
      <c r="G42" s="564"/>
      <c r="H42" s="564"/>
      <c r="I42" s="564"/>
      <c r="J42" s="565"/>
      <c r="K42" s="95">
        <f>K41+K35+K29</f>
        <v>6465.5533496361713</v>
      </c>
      <c r="L42" s="6"/>
      <c r="M42" s="6"/>
      <c r="N42" s="8"/>
      <c r="O42" s="8"/>
      <c r="P42" s="8"/>
      <c r="Q42" s="8"/>
      <c r="R42" s="8"/>
    </row>
    <row r="43" spans="2:18" ht="15.75" customHeight="1" x14ac:dyDescent="0.25">
      <c r="B43" s="574" t="s">
        <v>172</v>
      </c>
      <c r="C43" s="535"/>
      <c r="D43" s="535"/>
      <c r="E43" s="535"/>
      <c r="F43" s="535"/>
      <c r="G43" s="535"/>
      <c r="H43" s="575"/>
      <c r="I43" s="99">
        <v>2</v>
      </c>
      <c r="J43" s="99" t="s">
        <v>173</v>
      </c>
      <c r="K43" s="101">
        <f>K42*I43</f>
        <v>12931.106699272343</v>
      </c>
      <c r="L43" s="6"/>
      <c r="M43" s="6"/>
      <c r="N43" s="8"/>
      <c r="O43" s="8"/>
      <c r="P43" s="8"/>
      <c r="Q43" s="8"/>
      <c r="R43" s="8"/>
    </row>
    <row r="44" spans="2:18" ht="15.75" customHeight="1" x14ac:dyDescent="0.25">
      <c r="L44" s="6"/>
      <c r="M44" s="6"/>
      <c r="N44" s="8"/>
      <c r="O44" s="8"/>
      <c r="P44" s="8"/>
      <c r="Q44" s="8"/>
      <c r="R44" s="8"/>
    </row>
    <row r="45" spans="2:18" ht="15.75" customHeight="1" x14ac:dyDescent="0.25">
      <c r="B45" s="568" t="s">
        <v>772</v>
      </c>
      <c r="C45" s="537"/>
      <c r="D45" s="537"/>
      <c r="E45" s="537"/>
      <c r="F45" s="537"/>
      <c r="G45" s="537"/>
      <c r="H45" s="537"/>
      <c r="I45" s="537"/>
      <c r="J45" s="537"/>
      <c r="K45" s="538"/>
      <c r="L45" s="6"/>
      <c r="M45" s="6"/>
      <c r="N45" s="8"/>
      <c r="O45" s="8"/>
      <c r="P45" s="8"/>
      <c r="Q45" s="8"/>
      <c r="R45" s="8"/>
    </row>
    <row r="46" spans="2:18" ht="15.75" customHeight="1" x14ac:dyDescent="0.25">
      <c r="B46" s="58" t="s">
        <v>116</v>
      </c>
      <c r="C46" s="569" t="s">
        <v>117</v>
      </c>
      <c r="D46" s="537"/>
      <c r="E46" s="537"/>
      <c r="F46" s="537"/>
      <c r="G46" s="538"/>
      <c r="H46" s="59" t="s">
        <v>118</v>
      </c>
      <c r="I46" s="105" t="s">
        <v>119</v>
      </c>
      <c r="J46" s="61" t="s">
        <v>120</v>
      </c>
      <c r="K46" s="61" t="s">
        <v>121</v>
      </c>
      <c r="L46" s="6"/>
      <c r="M46" s="6"/>
      <c r="N46" s="8"/>
      <c r="O46" s="8"/>
      <c r="P46" s="8"/>
      <c r="Q46" s="8"/>
      <c r="R46" s="8"/>
    </row>
    <row r="47" spans="2:18" ht="15.75" customHeight="1" x14ac:dyDescent="0.25">
      <c r="B47" s="14" t="s">
        <v>122</v>
      </c>
      <c r="C47" s="571" t="s">
        <v>123</v>
      </c>
      <c r="D47" s="537"/>
      <c r="E47" s="537"/>
      <c r="F47" s="537"/>
      <c r="G47" s="538"/>
      <c r="H47" s="3">
        <v>220</v>
      </c>
      <c r="I47" s="14" t="s">
        <v>126</v>
      </c>
      <c r="J47" s="66">
        <f>K47/H47</f>
        <v>11.441227272727273</v>
      </c>
      <c r="K47" s="67">
        <f>'6 - DADOS CC MO'!E22</f>
        <v>2517.0700000000002</v>
      </c>
      <c r="L47" s="6"/>
      <c r="M47" s="6"/>
      <c r="N47" s="8"/>
      <c r="O47" s="8"/>
      <c r="P47" s="8"/>
      <c r="Q47" s="8"/>
      <c r="R47" s="8"/>
    </row>
    <row r="48" spans="2:18" ht="15.75" customHeight="1" x14ac:dyDescent="0.25">
      <c r="B48" s="14" t="s">
        <v>195</v>
      </c>
      <c r="C48" s="63" t="s">
        <v>130</v>
      </c>
      <c r="D48" s="68"/>
      <c r="E48" s="68"/>
      <c r="F48" s="68"/>
      <c r="G48" s="69"/>
      <c r="H48" s="71">
        <f>7+1/3</f>
        <v>7.333333333333333</v>
      </c>
      <c r="I48" s="14" t="s">
        <v>126</v>
      </c>
      <c r="J48" s="66">
        <f>J47*2</f>
        <v>22.882454545454546</v>
      </c>
      <c r="K48" s="67">
        <f>H48*J48</f>
        <v>167.80466666666666</v>
      </c>
      <c r="L48" s="6"/>
      <c r="M48" s="6"/>
      <c r="N48" s="8"/>
      <c r="O48" s="8"/>
      <c r="P48" s="8"/>
      <c r="Q48" s="8"/>
      <c r="R48" s="8"/>
    </row>
    <row r="49" spans="2:18" ht="15.75" customHeight="1" x14ac:dyDescent="0.25">
      <c r="B49" s="14" t="s">
        <v>198</v>
      </c>
      <c r="C49" s="63" t="s">
        <v>135</v>
      </c>
      <c r="D49" s="68"/>
      <c r="E49" s="68"/>
      <c r="F49" s="68"/>
      <c r="G49" s="69"/>
      <c r="H49" s="71"/>
      <c r="I49" s="14"/>
      <c r="J49" s="66">
        <f>61/304*(SUM(K48))</f>
        <v>33.67133114035088</v>
      </c>
      <c r="K49" s="67">
        <f>J49</f>
        <v>33.67133114035088</v>
      </c>
      <c r="L49" s="6"/>
      <c r="M49" s="6"/>
      <c r="N49" s="8"/>
      <c r="O49" s="8"/>
      <c r="P49" s="8"/>
      <c r="Q49" s="8"/>
      <c r="R49" s="8"/>
    </row>
    <row r="50" spans="2:18" ht="15.75" customHeight="1" x14ac:dyDescent="0.25">
      <c r="B50" s="14" t="s">
        <v>129</v>
      </c>
      <c r="C50" s="571" t="s">
        <v>139</v>
      </c>
      <c r="D50" s="537"/>
      <c r="E50" s="537"/>
      <c r="F50" s="537"/>
      <c r="G50" s="538"/>
      <c r="H50" s="3">
        <v>40</v>
      </c>
      <c r="I50" s="14" t="s">
        <v>141</v>
      </c>
      <c r="J50" s="74"/>
      <c r="K50" s="67">
        <f>K47*40%</f>
        <v>1006.8280000000001</v>
      </c>
      <c r="L50" s="6"/>
      <c r="M50" s="6"/>
      <c r="N50" s="8"/>
      <c r="O50" s="8"/>
      <c r="P50" s="8"/>
      <c r="Q50" s="8"/>
      <c r="R50" s="8"/>
    </row>
    <row r="51" spans="2:18" ht="15.75" customHeight="1" x14ac:dyDescent="0.25">
      <c r="B51" s="3"/>
      <c r="C51" s="570" t="s">
        <v>142</v>
      </c>
      <c r="D51" s="537"/>
      <c r="E51" s="537"/>
      <c r="F51" s="537"/>
      <c r="G51" s="537"/>
      <c r="H51" s="537"/>
      <c r="I51" s="538"/>
      <c r="J51" s="75"/>
      <c r="K51" s="76">
        <f>SUM(K47:K50)</f>
        <v>3725.3739978070175</v>
      </c>
      <c r="L51" s="6"/>
      <c r="M51" s="6"/>
      <c r="N51" s="8"/>
      <c r="O51" s="8"/>
      <c r="P51" s="8"/>
      <c r="Q51" s="8"/>
      <c r="R51" s="8"/>
    </row>
    <row r="52" spans="2:18" ht="15.75" customHeight="1" x14ac:dyDescent="0.25">
      <c r="B52" s="61" t="s">
        <v>145</v>
      </c>
      <c r="C52" s="569" t="s">
        <v>146</v>
      </c>
      <c r="D52" s="537"/>
      <c r="E52" s="537"/>
      <c r="F52" s="537"/>
      <c r="G52" s="537"/>
      <c r="H52" s="537"/>
      <c r="I52" s="538"/>
      <c r="J52" s="61" t="s">
        <v>141</v>
      </c>
      <c r="K52" s="61" t="s">
        <v>121</v>
      </c>
      <c r="L52" s="6"/>
      <c r="M52" s="6"/>
      <c r="N52" s="8"/>
      <c r="O52" s="8"/>
      <c r="P52" s="8"/>
      <c r="Q52" s="8"/>
      <c r="R52" s="8"/>
    </row>
    <row r="53" spans="2:18" ht="15.75" customHeight="1" x14ac:dyDescent="0.25">
      <c r="B53" s="14" t="s">
        <v>147</v>
      </c>
      <c r="C53" s="571" t="s">
        <v>148</v>
      </c>
      <c r="D53" s="537"/>
      <c r="E53" s="537"/>
      <c r="F53" s="537"/>
      <c r="G53" s="537"/>
      <c r="H53" s="537"/>
      <c r="I53" s="538"/>
      <c r="J53" s="78">
        <f>'7 - ENCARGOS SOCIAIS'!$D$13</f>
        <v>0.36800000000000005</v>
      </c>
      <c r="K53" s="67">
        <f t="shared" ref="K53:K56" si="6">J53*$K$51</f>
        <v>1370.9376311929827</v>
      </c>
      <c r="L53" s="6"/>
      <c r="M53" s="6"/>
      <c r="N53" s="8"/>
      <c r="O53" s="8"/>
      <c r="P53" s="8"/>
      <c r="Q53" s="8"/>
      <c r="R53" s="8"/>
    </row>
    <row r="54" spans="2:18" ht="15.75" customHeight="1" x14ac:dyDescent="0.25">
      <c r="B54" s="14" t="s">
        <v>150</v>
      </c>
      <c r="C54" s="571" t="s">
        <v>151</v>
      </c>
      <c r="D54" s="537"/>
      <c r="E54" s="537"/>
      <c r="F54" s="537"/>
      <c r="G54" s="537"/>
      <c r="H54" s="537"/>
      <c r="I54" s="538"/>
      <c r="J54" s="78">
        <f>'7 - ENCARGOS SOCIAIS'!$D$21</f>
        <v>0.15387245147090212</v>
      </c>
      <c r="K54" s="67">
        <f t="shared" si="6"/>
        <v>573.23242968852094</v>
      </c>
      <c r="L54" s="6"/>
      <c r="M54" s="6"/>
      <c r="N54" s="8"/>
      <c r="O54" s="8"/>
      <c r="P54" s="8"/>
      <c r="Q54" s="8"/>
      <c r="R54" s="8"/>
    </row>
    <row r="55" spans="2:18" ht="15.75" customHeight="1" x14ac:dyDescent="0.25">
      <c r="B55" s="14" t="s">
        <v>152</v>
      </c>
      <c r="C55" s="571" t="s">
        <v>153</v>
      </c>
      <c r="D55" s="537"/>
      <c r="E55" s="537"/>
      <c r="F55" s="537"/>
      <c r="G55" s="537"/>
      <c r="H55" s="537"/>
      <c r="I55" s="538"/>
      <c r="J55" s="78">
        <f>'7 - ENCARGOS SOCIAIS'!$D$28</f>
        <v>0.12666581537651095</v>
      </c>
      <c r="K55" s="67">
        <f t="shared" si="6"/>
        <v>471.87753501467819</v>
      </c>
      <c r="L55" s="6"/>
      <c r="M55" s="6"/>
      <c r="N55" s="8"/>
      <c r="O55" s="8"/>
      <c r="P55" s="8"/>
      <c r="Q55" s="8"/>
      <c r="R55" s="8"/>
    </row>
    <row r="56" spans="2:18" ht="15.75" customHeight="1" x14ac:dyDescent="0.25">
      <c r="B56" s="14" t="s">
        <v>155</v>
      </c>
      <c r="C56" s="571" t="s">
        <v>156</v>
      </c>
      <c r="D56" s="537"/>
      <c r="E56" s="537"/>
      <c r="F56" s="537"/>
      <c r="G56" s="537"/>
      <c r="H56" s="537"/>
      <c r="I56" s="538"/>
      <c r="J56" s="78">
        <f>'7 - ENCARGOS SOCIAIS'!$D$32</f>
        <v>5.9231502118822603E-2</v>
      </c>
      <c r="K56" s="67">
        <f t="shared" si="6"/>
        <v>220.659497844513</v>
      </c>
      <c r="L56" s="6"/>
      <c r="M56" s="6"/>
      <c r="N56" s="8"/>
      <c r="O56" s="8"/>
      <c r="P56" s="8"/>
      <c r="Q56" s="8"/>
      <c r="R56" s="8"/>
    </row>
    <row r="57" spans="2:18" ht="15.75" customHeight="1" x14ac:dyDescent="0.25">
      <c r="B57" s="17"/>
      <c r="C57" s="552" t="s">
        <v>157</v>
      </c>
      <c r="D57" s="537"/>
      <c r="E57" s="537"/>
      <c r="F57" s="537"/>
      <c r="G57" s="537"/>
      <c r="H57" s="537"/>
      <c r="I57" s="538"/>
      <c r="J57" s="83">
        <f t="shared" ref="J57:K57" si="7">SUM(J53:J56)</f>
        <v>0.70776976896623567</v>
      </c>
      <c r="K57" s="84">
        <f t="shared" si="7"/>
        <v>2636.7070937406943</v>
      </c>
      <c r="L57" s="6"/>
      <c r="M57" s="6"/>
      <c r="N57" s="8"/>
      <c r="O57" s="8"/>
      <c r="P57" s="8"/>
      <c r="Q57" s="8"/>
      <c r="R57" s="8"/>
    </row>
    <row r="58" spans="2:18" ht="22.5" customHeight="1" x14ac:dyDescent="0.25">
      <c r="B58" s="61" t="s">
        <v>158</v>
      </c>
      <c r="C58" s="572" t="s">
        <v>159</v>
      </c>
      <c r="D58" s="537"/>
      <c r="E58" s="537"/>
      <c r="F58" s="537"/>
      <c r="G58" s="538"/>
      <c r="H58" s="59" t="s">
        <v>160</v>
      </c>
      <c r="I58" s="61" t="s">
        <v>120</v>
      </c>
      <c r="J58" s="61" t="s">
        <v>161</v>
      </c>
      <c r="K58" s="61" t="s">
        <v>121</v>
      </c>
      <c r="L58" s="6"/>
      <c r="M58" s="6"/>
      <c r="N58" s="8"/>
      <c r="O58" s="8"/>
      <c r="P58" s="8"/>
      <c r="Q58" s="8"/>
      <c r="R58" s="8"/>
    </row>
    <row r="59" spans="2:18" ht="15" customHeight="1" x14ac:dyDescent="0.25">
      <c r="B59" s="14" t="s">
        <v>162</v>
      </c>
      <c r="C59" s="571" t="s">
        <v>174</v>
      </c>
      <c r="D59" s="537"/>
      <c r="E59" s="537"/>
      <c r="F59" s="537"/>
      <c r="G59" s="538"/>
      <c r="H59" s="14">
        <v>26</v>
      </c>
      <c r="I59" s="88">
        <v>27.15</v>
      </c>
      <c r="J59" s="89">
        <v>0.19</v>
      </c>
      <c r="K59" s="31">
        <f>(H59*I59)-((H59*I59)*J59)</f>
        <v>571.779</v>
      </c>
      <c r="L59" s="6"/>
      <c r="M59" s="6"/>
      <c r="N59" s="8"/>
      <c r="O59" s="8"/>
      <c r="P59" s="8"/>
      <c r="Q59" s="8"/>
      <c r="R59" s="8"/>
    </row>
    <row r="60" spans="2:18" ht="15" customHeight="1" x14ac:dyDescent="0.25">
      <c r="B60" s="14" t="s">
        <v>164</v>
      </c>
      <c r="C60" s="571" t="s">
        <v>176</v>
      </c>
      <c r="D60" s="537"/>
      <c r="E60" s="537"/>
      <c r="F60" s="537"/>
      <c r="G60" s="538"/>
      <c r="H60" s="14">
        <f>H59*4</f>
        <v>104</v>
      </c>
      <c r="I60" s="93">
        <v>6.25</v>
      </c>
      <c r="J60" s="89">
        <v>0.06</v>
      </c>
      <c r="K60" s="31">
        <f>(H60*I60)-(K47*J60)</f>
        <v>498.97579999999999</v>
      </c>
      <c r="L60" s="6"/>
      <c r="M60" s="6"/>
      <c r="N60" s="8"/>
      <c r="O60" s="8"/>
      <c r="P60" s="8"/>
      <c r="Q60" s="8"/>
      <c r="R60" s="8"/>
    </row>
    <row r="61" spans="2:18" ht="15" customHeight="1" x14ac:dyDescent="0.25">
      <c r="B61" s="14" t="s">
        <v>166</v>
      </c>
      <c r="C61" s="571" t="s">
        <v>225</v>
      </c>
      <c r="D61" s="537"/>
      <c r="E61" s="537"/>
      <c r="F61" s="537"/>
      <c r="G61" s="538"/>
      <c r="H61" s="14">
        <v>1</v>
      </c>
      <c r="I61" s="93">
        <v>121.34</v>
      </c>
      <c r="J61" s="89"/>
      <c r="K61" s="31">
        <f>I61</f>
        <v>121.34</v>
      </c>
      <c r="L61" s="6"/>
      <c r="M61" s="6"/>
      <c r="N61" s="8"/>
      <c r="O61" s="8"/>
      <c r="P61" s="8"/>
      <c r="Q61" s="8"/>
      <c r="R61" s="8"/>
    </row>
    <row r="62" spans="2:18" ht="15" customHeight="1" x14ac:dyDescent="0.25">
      <c r="B62" s="26"/>
      <c r="C62" s="570" t="s">
        <v>170</v>
      </c>
      <c r="D62" s="537"/>
      <c r="E62" s="537"/>
      <c r="F62" s="537"/>
      <c r="G62" s="537"/>
      <c r="H62" s="537"/>
      <c r="I62" s="538"/>
      <c r="J62" s="75"/>
      <c r="K62" s="45">
        <f>SUM(K59:K61)</f>
        <v>1192.0947999999999</v>
      </c>
      <c r="L62" s="6"/>
      <c r="M62" s="6"/>
      <c r="N62" s="8"/>
      <c r="O62" s="8"/>
      <c r="P62" s="8"/>
      <c r="Q62" s="8"/>
      <c r="R62" s="8"/>
    </row>
    <row r="63" spans="2:18" ht="15.75" customHeight="1" x14ac:dyDescent="0.25">
      <c r="B63" s="563" t="s">
        <v>226</v>
      </c>
      <c r="C63" s="564"/>
      <c r="D63" s="564"/>
      <c r="E63" s="564"/>
      <c r="F63" s="564"/>
      <c r="G63" s="564"/>
      <c r="H63" s="564"/>
      <c r="I63" s="564"/>
      <c r="J63" s="565"/>
      <c r="K63" s="95">
        <f>K62+K57+K51</f>
        <v>7554.1758915477112</v>
      </c>
      <c r="L63" s="6"/>
      <c r="M63" s="6"/>
      <c r="N63" s="8"/>
      <c r="O63" s="8"/>
      <c r="P63" s="8"/>
      <c r="Q63" s="8"/>
      <c r="R63" s="8"/>
    </row>
    <row r="64" spans="2:18" ht="15" customHeight="1" x14ac:dyDescent="0.25">
      <c r="B64" s="574" t="s">
        <v>172</v>
      </c>
      <c r="C64" s="535"/>
      <c r="D64" s="535"/>
      <c r="E64" s="535"/>
      <c r="F64" s="535"/>
      <c r="G64" s="535"/>
      <c r="H64" s="575"/>
      <c r="I64" s="99">
        <v>1</v>
      </c>
      <c r="J64" s="99" t="s">
        <v>173</v>
      </c>
      <c r="K64" s="101">
        <f>K63*I64</f>
        <v>7554.1758915477112</v>
      </c>
      <c r="L64" s="6"/>
      <c r="M64" s="6"/>
      <c r="N64" s="8"/>
      <c r="O64" s="8"/>
      <c r="P64" s="8"/>
      <c r="Q64" s="8"/>
      <c r="R64" s="8"/>
    </row>
    <row r="65" spans="2:18" ht="15.75" customHeight="1" x14ac:dyDescent="0.25">
      <c r="L65" s="6"/>
      <c r="M65" s="6"/>
      <c r="N65" s="8"/>
      <c r="O65" s="8"/>
      <c r="P65" s="8"/>
      <c r="Q65" s="8"/>
      <c r="R65" s="8"/>
    </row>
    <row r="66" spans="2:18" ht="15" customHeight="1" x14ac:dyDescent="0.25">
      <c r="B66" s="589" t="s">
        <v>236</v>
      </c>
      <c r="C66" s="537"/>
      <c r="D66" s="537"/>
      <c r="E66" s="537"/>
      <c r="F66" s="537"/>
      <c r="G66" s="537"/>
      <c r="H66" s="537"/>
      <c r="I66" s="537"/>
      <c r="J66" s="538"/>
      <c r="K66" s="135">
        <f>K64+K43</f>
        <v>20485.282590820054</v>
      </c>
      <c r="L66" s="6"/>
      <c r="M66" s="6"/>
      <c r="N66" s="8"/>
      <c r="O66" s="8"/>
      <c r="P66" s="8"/>
      <c r="Q66" s="8"/>
      <c r="R66" s="8"/>
    </row>
    <row r="67" spans="2:18" ht="15.75" customHeight="1" x14ac:dyDescent="0.25">
      <c r="L67" s="6"/>
      <c r="M67" s="6"/>
      <c r="N67" s="8"/>
      <c r="O67" s="8"/>
      <c r="P67" s="8"/>
      <c r="Q67" s="8"/>
      <c r="R67" s="8"/>
    </row>
    <row r="68" spans="2:18" ht="15.75" customHeight="1" x14ac:dyDescent="0.25">
      <c r="L68" s="6"/>
      <c r="M68" s="6"/>
      <c r="N68" s="8"/>
      <c r="O68" s="8"/>
      <c r="P68" s="8"/>
      <c r="Q68" s="8"/>
      <c r="R68" s="8"/>
    </row>
    <row r="69" spans="2:18" ht="15.75" customHeight="1" x14ac:dyDescent="0.25">
      <c r="B69" s="566" t="s">
        <v>794</v>
      </c>
      <c r="C69" s="537"/>
      <c r="D69" s="537"/>
      <c r="E69" s="537"/>
      <c r="F69" s="537"/>
      <c r="G69" s="537"/>
      <c r="H69" s="537"/>
      <c r="I69" s="537"/>
      <c r="J69" s="537"/>
      <c r="K69" s="538"/>
      <c r="L69" s="6"/>
      <c r="M69" s="6"/>
      <c r="N69" s="8"/>
      <c r="O69" s="8"/>
      <c r="P69" s="8"/>
      <c r="Q69" s="8"/>
      <c r="R69" s="8"/>
    </row>
    <row r="70" spans="2:18" ht="15.75" customHeight="1" x14ac:dyDescent="0.25">
      <c r="L70" s="6"/>
      <c r="M70" s="6"/>
      <c r="N70" s="8"/>
      <c r="O70" s="8"/>
      <c r="P70" s="8"/>
      <c r="Q70" s="8"/>
      <c r="R70" s="8"/>
    </row>
    <row r="71" spans="2:18" ht="15.75" customHeight="1" x14ac:dyDescent="0.25">
      <c r="B71" s="568" t="s">
        <v>797</v>
      </c>
      <c r="C71" s="537"/>
      <c r="D71" s="537"/>
      <c r="E71" s="537"/>
      <c r="F71" s="537"/>
      <c r="G71" s="537"/>
      <c r="H71" s="537"/>
      <c r="I71" s="537"/>
      <c r="J71" s="537"/>
      <c r="K71" s="538"/>
      <c r="L71" s="6"/>
      <c r="M71" s="6"/>
      <c r="N71" s="8"/>
      <c r="O71" s="8"/>
      <c r="P71" s="8"/>
      <c r="Q71" s="8"/>
      <c r="R71" s="8"/>
    </row>
    <row r="72" spans="2:18" ht="30" customHeight="1" x14ac:dyDescent="0.25">
      <c r="B72" s="552" t="s">
        <v>239</v>
      </c>
      <c r="C72" s="537"/>
      <c r="D72" s="537"/>
      <c r="E72" s="537"/>
      <c r="F72" s="538"/>
      <c r="G72" s="18" t="s">
        <v>318</v>
      </c>
      <c r="H72" s="18" t="s">
        <v>241</v>
      </c>
      <c r="I72" s="553" t="s">
        <v>242</v>
      </c>
      <c r="J72" s="538"/>
      <c r="K72" s="17" t="s">
        <v>243</v>
      </c>
      <c r="L72" s="6"/>
      <c r="M72" s="199"/>
      <c r="N72" s="8"/>
      <c r="O72" s="8"/>
      <c r="P72" s="8"/>
      <c r="Q72" s="8"/>
      <c r="R72" s="8"/>
    </row>
    <row r="73" spans="2:18" ht="15.75" customHeight="1" x14ac:dyDescent="0.25">
      <c r="B73" s="545" t="s">
        <v>244</v>
      </c>
      <c r="C73" s="537"/>
      <c r="D73" s="537"/>
      <c r="E73" s="537"/>
      <c r="F73" s="538"/>
      <c r="G73" s="3">
        <v>2</v>
      </c>
      <c r="H73" s="31">
        <f>'10 - CUSTOS UN'!J39</f>
        <v>42.74</v>
      </c>
      <c r="I73" s="602">
        <f t="shared" ref="I73:I76" si="8">H73/6</f>
        <v>7.123333333333334</v>
      </c>
      <c r="J73" s="538"/>
      <c r="K73" s="31">
        <f t="shared" ref="K73:K84" si="9">I73*G73</f>
        <v>14.246666666666668</v>
      </c>
      <c r="L73" s="6"/>
      <c r="M73" s="6"/>
      <c r="N73" s="8"/>
      <c r="O73" s="8"/>
      <c r="P73" s="8"/>
      <c r="Q73" s="8"/>
      <c r="R73" s="8"/>
    </row>
    <row r="74" spans="2:18" ht="15.75" customHeight="1" x14ac:dyDescent="0.25">
      <c r="B74" s="545" t="s">
        <v>245</v>
      </c>
      <c r="C74" s="537"/>
      <c r="D74" s="537"/>
      <c r="E74" s="537"/>
      <c r="F74" s="538"/>
      <c r="G74" s="3">
        <v>2</v>
      </c>
      <c r="H74" s="31">
        <f>'10 - CUSTOS UN'!J33</f>
        <v>44.47</v>
      </c>
      <c r="I74" s="602">
        <f t="shared" si="8"/>
        <v>7.4116666666666662</v>
      </c>
      <c r="J74" s="538"/>
      <c r="K74" s="31">
        <f t="shared" si="9"/>
        <v>14.823333333333332</v>
      </c>
      <c r="L74" s="6"/>
      <c r="M74" s="6"/>
      <c r="N74" s="8"/>
      <c r="O74" s="8"/>
      <c r="P74" s="8"/>
      <c r="Q74" s="8"/>
      <c r="R74" s="8"/>
    </row>
    <row r="75" spans="2:18" ht="15.75" customHeight="1" x14ac:dyDescent="0.25">
      <c r="B75" s="545" t="s">
        <v>246</v>
      </c>
      <c r="C75" s="537"/>
      <c r="D75" s="537"/>
      <c r="E75" s="537"/>
      <c r="F75" s="538"/>
      <c r="G75" s="3">
        <v>2</v>
      </c>
      <c r="H75" s="31">
        <f>'10 - CUSTOS UN'!J24</f>
        <v>55.079999999999991</v>
      </c>
      <c r="I75" s="602">
        <f t="shared" si="8"/>
        <v>9.1799999999999979</v>
      </c>
      <c r="J75" s="538"/>
      <c r="K75" s="31">
        <f t="shared" si="9"/>
        <v>18.359999999999996</v>
      </c>
      <c r="L75" s="6"/>
      <c r="M75" s="6"/>
      <c r="N75" s="8"/>
      <c r="O75" s="8"/>
      <c r="P75" s="8"/>
      <c r="Q75" s="8"/>
      <c r="R75" s="8"/>
    </row>
    <row r="76" spans="2:18" ht="15.75" customHeight="1" x14ac:dyDescent="0.25">
      <c r="B76" s="545" t="s">
        <v>247</v>
      </c>
      <c r="C76" s="537"/>
      <c r="D76" s="537"/>
      <c r="E76" s="537"/>
      <c r="F76" s="538"/>
      <c r="G76" s="3">
        <v>2</v>
      </c>
      <c r="H76" s="31">
        <f>'10 - CUSTOS UN'!J15</f>
        <v>44.393333333333338</v>
      </c>
      <c r="I76" s="602">
        <f t="shared" si="8"/>
        <v>7.39888888888889</v>
      </c>
      <c r="J76" s="538"/>
      <c r="K76" s="31">
        <f t="shared" si="9"/>
        <v>14.79777777777778</v>
      </c>
      <c r="L76" s="6"/>
      <c r="M76" s="6"/>
      <c r="N76" s="8"/>
      <c r="O76" s="8"/>
      <c r="P76" s="8"/>
      <c r="Q76" s="8"/>
      <c r="R76" s="8"/>
    </row>
    <row r="77" spans="2:18" ht="15.75" customHeight="1" x14ac:dyDescent="0.25">
      <c r="B77" s="545" t="s">
        <v>248</v>
      </c>
      <c r="C77" s="537"/>
      <c r="D77" s="537"/>
      <c r="E77" s="537"/>
      <c r="F77" s="538"/>
      <c r="G77" s="3">
        <v>3</v>
      </c>
      <c r="H77" s="21">
        <f>'10 - CUSTOS UN'!J84</f>
        <v>17.73</v>
      </c>
      <c r="I77" s="602">
        <f>H78/6</f>
        <v>1.5349999999999999</v>
      </c>
      <c r="J77" s="538"/>
      <c r="K77" s="31">
        <f t="shared" si="9"/>
        <v>4.6049999999999995</v>
      </c>
      <c r="L77" s="6"/>
      <c r="M77" s="6"/>
      <c r="N77" s="8"/>
      <c r="O77" s="8"/>
      <c r="P77" s="8"/>
      <c r="Q77" s="8"/>
      <c r="R77" s="8"/>
    </row>
    <row r="78" spans="2:18" ht="15.75" customHeight="1" x14ac:dyDescent="0.25">
      <c r="B78" s="545" t="s">
        <v>249</v>
      </c>
      <c r="C78" s="537"/>
      <c r="D78" s="537"/>
      <c r="E78" s="537"/>
      <c r="F78" s="538"/>
      <c r="G78" s="3">
        <v>1</v>
      </c>
      <c r="H78" s="31">
        <f>'10 - CUSTOS UN'!J21</f>
        <v>9.2099999999999991</v>
      </c>
      <c r="I78" s="602">
        <f t="shared" ref="I78:I84" si="10">H78/6</f>
        <v>1.5349999999999999</v>
      </c>
      <c r="J78" s="538"/>
      <c r="K78" s="31">
        <f t="shared" si="9"/>
        <v>1.5349999999999999</v>
      </c>
      <c r="L78" s="6"/>
      <c r="M78" s="6"/>
      <c r="N78" s="8"/>
      <c r="O78" s="8"/>
      <c r="P78" s="8"/>
      <c r="Q78" s="8"/>
      <c r="R78" s="8"/>
    </row>
    <row r="79" spans="2:18" ht="15.75" customHeight="1" x14ac:dyDescent="0.25">
      <c r="B79" s="545" t="s">
        <v>250</v>
      </c>
      <c r="C79" s="537"/>
      <c r="D79" s="537"/>
      <c r="E79" s="537"/>
      <c r="F79" s="538"/>
      <c r="G79" s="3">
        <v>1</v>
      </c>
      <c r="H79" s="31">
        <f>'10 - CUSTOS UN'!J66</f>
        <v>156.05666666666664</v>
      </c>
      <c r="I79" s="602">
        <f t="shared" si="10"/>
        <v>26.009444444444441</v>
      </c>
      <c r="J79" s="538"/>
      <c r="K79" s="31">
        <f t="shared" si="9"/>
        <v>26.009444444444441</v>
      </c>
      <c r="L79" s="6"/>
      <c r="M79" s="6"/>
      <c r="N79" s="8"/>
      <c r="O79" s="8"/>
      <c r="P79" s="8"/>
      <c r="Q79" s="8"/>
      <c r="R79" s="8"/>
    </row>
    <row r="80" spans="2:18" ht="15.75" customHeight="1" x14ac:dyDescent="0.25">
      <c r="B80" s="545" t="s">
        <v>252</v>
      </c>
      <c r="C80" s="537"/>
      <c r="D80" s="537"/>
      <c r="E80" s="537"/>
      <c r="F80" s="538"/>
      <c r="G80" s="3">
        <v>1</v>
      </c>
      <c r="H80" s="31">
        <f>'10 - CUSTOS UN'!J111</f>
        <v>116.83</v>
      </c>
      <c r="I80" s="602">
        <f t="shared" si="10"/>
        <v>19.471666666666668</v>
      </c>
      <c r="J80" s="538"/>
      <c r="K80" s="31">
        <f t="shared" si="9"/>
        <v>19.471666666666668</v>
      </c>
      <c r="L80" s="6"/>
      <c r="M80" s="6"/>
      <c r="N80" s="8"/>
      <c r="O80" s="8"/>
      <c r="P80" s="8"/>
      <c r="Q80" s="8"/>
      <c r="R80" s="8"/>
    </row>
    <row r="81" spans="2:18" ht="15" customHeight="1" x14ac:dyDescent="0.25">
      <c r="B81" s="545" t="s">
        <v>254</v>
      </c>
      <c r="C81" s="537"/>
      <c r="D81" s="537"/>
      <c r="E81" s="537"/>
      <c r="F81" s="538"/>
      <c r="G81" s="140">
        <v>1</v>
      </c>
      <c r="H81" s="141">
        <f>'10 - CUSTOS UN'!$J$87</f>
        <v>4.7966666666666669</v>
      </c>
      <c r="I81" s="602">
        <f t="shared" si="10"/>
        <v>0.79944444444444451</v>
      </c>
      <c r="J81" s="538"/>
      <c r="K81" s="31">
        <f t="shared" si="9"/>
        <v>0.79944444444444451</v>
      </c>
      <c r="L81" s="6"/>
      <c r="M81" s="6"/>
      <c r="N81" s="8"/>
      <c r="O81" s="8"/>
      <c r="P81" s="8"/>
      <c r="Q81" s="8"/>
      <c r="R81" s="8"/>
    </row>
    <row r="82" spans="2:18" ht="15.75" customHeight="1" x14ac:dyDescent="0.25">
      <c r="B82" s="545" t="s">
        <v>256</v>
      </c>
      <c r="C82" s="537"/>
      <c r="D82" s="537"/>
      <c r="E82" s="537"/>
      <c r="F82" s="538"/>
      <c r="G82" s="140">
        <v>1</v>
      </c>
      <c r="H82" s="141">
        <f>'10 - CUSTOS UN'!J51</f>
        <v>212.1933333333333</v>
      </c>
      <c r="I82" s="602">
        <f t="shared" si="10"/>
        <v>35.365555555555552</v>
      </c>
      <c r="J82" s="538"/>
      <c r="K82" s="31">
        <f t="shared" si="9"/>
        <v>35.365555555555552</v>
      </c>
      <c r="L82" s="6"/>
      <c r="M82" s="6"/>
      <c r="N82" s="8"/>
      <c r="O82" s="8"/>
      <c r="P82" s="8"/>
      <c r="Q82" s="8"/>
      <c r="R82" s="8"/>
    </row>
    <row r="83" spans="2:18" ht="15.75" customHeight="1" x14ac:dyDescent="0.25">
      <c r="B83" s="545" t="s">
        <v>258</v>
      </c>
      <c r="C83" s="537"/>
      <c r="D83" s="537"/>
      <c r="E83" s="537"/>
      <c r="F83" s="538"/>
      <c r="G83" s="140">
        <v>24</v>
      </c>
      <c r="H83" s="141">
        <f>'10 - CUSTOS UN'!J72</f>
        <v>8.2700000000000014</v>
      </c>
      <c r="I83" s="602">
        <f t="shared" si="10"/>
        <v>1.3783333333333336</v>
      </c>
      <c r="J83" s="538"/>
      <c r="K83" s="31">
        <f t="shared" si="9"/>
        <v>33.080000000000005</v>
      </c>
      <c r="L83" s="6"/>
      <c r="M83" s="6"/>
      <c r="N83" s="8"/>
      <c r="O83" s="8"/>
      <c r="P83" s="8"/>
      <c r="Q83" s="8"/>
      <c r="R83" s="8"/>
    </row>
    <row r="84" spans="2:18" ht="15.75" customHeight="1" x14ac:dyDescent="0.25">
      <c r="B84" s="591" t="s">
        <v>259</v>
      </c>
      <c r="C84" s="564"/>
      <c r="D84" s="564"/>
      <c r="E84" s="564"/>
      <c r="F84" s="565"/>
      <c r="G84" s="142">
        <v>3</v>
      </c>
      <c r="H84" s="143">
        <f>'10 - CUSTOS UN'!$J$99</f>
        <v>14.9</v>
      </c>
      <c r="I84" s="641">
        <f t="shared" si="10"/>
        <v>2.4833333333333334</v>
      </c>
      <c r="J84" s="565"/>
      <c r="K84" s="143">
        <f t="shared" si="9"/>
        <v>7.45</v>
      </c>
      <c r="L84" s="6"/>
      <c r="M84" s="6"/>
      <c r="N84" s="8"/>
      <c r="O84" s="8"/>
      <c r="P84" s="8"/>
      <c r="Q84" s="8"/>
      <c r="R84" s="8"/>
    </row>
    <row r="85" spans="2:18" ht="15.75" customHeight="1" x14ac:dyDescent="0.25">
      <c r="B85" s="603" t="s">
        <v>260</v>
      </c>
      <c r="C85" s="544"/>
      <c r="D85" s="544"/>
      <c r="E85" s="544"/>
      <c r="F85" s="579"/>
      <c r="G85" s="145"/>
      <c r="H85" s="145"/>
      <c r="I85" s="594"/>
      <c r="J85" s="575"/>
      <c r="K85" s="146">
        <f>SUM(K73:K84)</f>
        <v>190.54388888888889</v>
      </c>
      <c r="L85" s="6"/>
      <c r="M85" s="6"/>
      <c r="N85" s="8"/>
      <c r="O85" s="8"/>
      <c r="P85" s="8"/>
      <c r="Q85" s="8"/>
      <c r="R85" s="8"/>
    </row>
    <row r="86" spans="2:18" ht="15.75" customHeight="1" x14ac:dyDescent="0.25">
      <c r="B86" s="570" t="s">
        <v>261</v>
      </c>
      <c r="C86" s="537"/>
      <c r="D86" s="537"/>
      <c r="E86" s="537"/>
      <c r="F86" s="538"/>
      <c r="G86" s="3">
        <v>2</v>
      </c>
      <c r="H86" s="3" t="s">
        <v>173</v>
      </c>
      <c r="I86" s="602">
        <f>K85</f>
        <v>190.54388888888889</v>
      </c>
      <c r="J86" s="538"/>
      <c r="K86" s="45">
        <f>K85*G86</f>
        <v>381.08777777777777</v>
      </c>
      <c r="L86" s="6"/>
      <c r="M86" s="6"/>
      <c r="N86" s="8"/>
      <c r="O86" s="8"/>
      <c r="P86" s="8"/>
      <c r="Q86" s="8"/>
      <c r="R86" s="8"/>
    </row>
    <row r="87" spans="2:18" ht="15.75" customHeight="1" x14ac:dyDescent="0.25">
      <c r="L87" s="6"/>
      <c r="M87" s="6"/>
      <c r="N87" s="8"/>
      <c r="O87" s="8"/>
      <c r="P87" s="8"/>
      <c r="Q87" s="8"/>
      <c r="R87" s="8"/>
    </row>
    <row r="88" spans="2:18" ht="15.75" customHeight="1" x14ac:dyDescent="0.25">
      <c r="B88" s="568" t="s">
        <v>829</v>
      </c>
      <c r="C88" s="537"/>
      <c r="D88" s="537"/>
      <c r="E88" s="537"/>
      <c r="F88" s="537"/>
      <c r="G88" s="537"/>
      <c r="H88" s="537"/>
      <c r="I88" s="537"/>
      <c r="J88" s="537"/>
      <c r="K88" s="538"/>
      <c r="L88" s="6"/>
      <c r="M88" s="6"/>
      <c r="N88" s="8"/>
      <c r="O88" s="8"/>
      <c r="P88" s="8"/>
      <c r="Q88" s="8"/>
      <c r="R88" s="8"/>
    </row>
    <row r="89" spans="2:18" ht="34.5" customHeight="1" x14ac:dyDescent="0.25">
      <c r="B89" s="552" t="s">
        <v>239</v>
      </c>
      <c r="C89" s="537"/>
      <c r="D89" s="537"/>
      <c r="E89" s="537"/>
      <c r="F89" s="538"/>
      <c r="G89" s="18" t="s">
        <v>318</v>
      </c>
      <c r="H89" s="18" t="s">
        <v>241</v>
      </c>
      <c r="I89" s="553" t="s">
        <v>242</v>
      </c>
      <c r="J89" s="538"/>
      <c r="K89" s="17" t="s">
        <v>243</v>
      </c>
      <c r="L89" s="6"/>
      <c r="M89" s="6"/>
      <c r="N89" s="8"/>
      <c r="O89" s="8"/>
      <c r="P89" s="8"/>
      <c r="Q89" s="8"/>
      <c r="R89" s="8"/>
    </row>
    <row r="90" spans="2:18" ht="15.75" customHeight="1" x14ac:dyDescent="0.25">
      <c r="B90" s="545" t="s">
        <v>263</v>
      </c>
      <c r="C90" s="537"/>
      <c r="D90" s="537"/>
      <c r="E90" s="537"/>
      <c r="F90" s="538"/>
      <c r="G90" s="3">
        <v>2</v>
      </c>
      <c r="H90" s="31">
        <f>'10 - CUSTOS UN'!J36</f>
        <v>21.349999999999998</v>
      </c>
      <c r="I90" s="602">
        <f t="shared" ref="I90:I97" si="11">H90/6</f>
        <v>3.5583333333333331</v>
      </c>
      <c r="J90" s="538"/>
      <c r="K90" s="31">
        <f t="shared" ref="K90:K97" si="12">I90*G90</f>
        <v>7.1166666666666663</v>
      </c>
      <c r="L90" s="6"/>
      <c r="M90" s="6"/>
      <c r="N90" s="8"/>
      <c r="O90" s="8"/>
      <c r="P90" s="8"/>
      <c r="Q90" s="8"/>
      <c r="R90" s="8"/>
    </row>
    <row r="91" spans="2:18" ht="15.75" customHeight="1" x14ac:dyDescent="0.25">
      <c r="B91" s="545" t="s">
        <v>264</v>
      </c>
      <c r="C91" s="537"/>
      <c r="D91" s="537"/>
      <c r="E91" s="537"/>
      <c r="F91" s="538"/>
      <c r="G91" s="3">
        <v>2</v>
      </c>
      <c r="H91" s="31">
        <f>'10 - CUSTOS UN'!J27</f>
        <v>67.736666666666665</v>
      </c>
      <c r="I91" s="602">
        <f t="shared" si="11"/>
        <v>11.289444444444444</v>
      </c>
      <c r="J91" s="538"/>
      <c r="K91" s="31">
        <f t="shared" si="12"/>
        <v>22.578888888888887</v>
      </c>
      <c r="L91" s="6"/>
      <c r="M91" s="6"/>
      <c r="N91" s="8"/>
      <c r="O91" s="8"/>
      <c r="P91" s="8"/>
      <c r="Q91" s="8"/>
      <c r="R91" s="8"/>
    </row>
    <row r="92" spans="2:18" ht="15.75" customHeight="1" x14ac:dyDescent="0.25">
      <c r="B92" s="545" t="s">
        <v>250</v>
      </c>
      <c r="C92" s="537"/>
      <c r="D92" s="537"/>
      <c r="E92" s="537"/>
      <c r="F92" s="538"/>
      <c r="G92" s="3">
        <v>1</v>
      </c>
      <c r="H92" s="31">
        <f>'10 - CUSTOS UN'!J66</f>
        <v>156.05666666666664</v>
      </c>
      <c r="I92" s="602">
        <f t="shared" si="11"/>
        <v>26.009444444444441</v>
      </c>
      <c r="J92" s="538"/>
      <c r="K92" s="31">
        <f t="shared" si="12"/>
        <v>26.009444444444441</v>
      </c>
      <c r="L92" s="6"/>
      <c r="M92" s="6"/>
      <c r="N92" s="8"/>
      <c r="O92" s="8"/>
      <c r="P92" s="8"/>
      <c r="Q92" s="8"/>
      <c r="R92" s="8"/>
    </row>
    <row r="93" spans="2:18" ht="15.75" customHeight="1" x14ac:dyDescent="0.25">
      <c r="B93" s="545" t="s">
        <v>265</v>
      </c>
      <c r="C93" s="537"/>
      <c r="D93" s="537"/>
      <c r="E93" s="537"/>
      <c r="F93" s="538"/>
      <c r="G93" s="3">
        <v>1</v>
      </c>
      <c r="H93" s="31">
        <f>'10 - CUSTOS UN'!J30</f>
        <v>84.38</v>
      </c>
      <c r="I93" s="602">
        <f t="shared" si="11"/>
        <v>14.063333333333333</v>
      </c>
      <c r="J93" s="538"/>
      <c r="K93" s="31">
        <f t="shared" si="12"/>
        <v>14.063333333333333</v>
      </c>
      <c r="L93" s="6"/>
      <c r="M93" s="6"/>
      <c r="N93" s="8"/>
      <c r="O93" s="8"/>
      <c r="P93" s="8"/>
      <c r="Q93" s="8"/>
      <c r="R93" s="8"/>
    </row>
    <row r="94" spans="2:18" ht="15.75" customHeight="1" x14ac:dyDescent="0.25">
      <c r="B94" s="545" t="s">
        <v>254</v>
      </c>
      <c r="C94" s="537"/>
      <c r="D94" s="537"/>
      <c r="E94" s="537"/>
      <c r="F94" s="538"/>
      <c r="G94" s="3">
        <v>1</v>
      </c>
      <c r="H94" s="141">
        <f>'10 - CUSTOS UN'!$J$87</f>
        <v>4.7966666666666669</v>
      </c>
      <c r="I94" s="602">
        <f t="shared" si="11"/>
        <v>0.79944444444444451</v>
      </c>
      <c r="J94" s="538"/>
      <c r="K94" s="31">
        <f t="shared" si="12"/>
        <v>0.79944444444444451</v>
      </c>
      <c r="L94" s="6"/>
      <c r="M94" s="6"/>
      <c r="N94" s="8"/>
      <c r="O94" s="8"/>
      <c r="P94" s="8"/>
      <c r="Q94" s="8"/>
      <c r="R94" s="8"/>
    </row>
    <row r="95" spans="2:18" ht="15" customHeight="1" x14ac:dyDescent="0.25">
      <c r="B95" s="545" t="s">
        <v>266</v>
      </c>
      <c r="C95" s="537"/>
      <c r="D95" s="537"/>
      <c r="E95" s="537"/>
      <c r="F95" s="538"/>
      <c r="G95" s="3">
        <v>1</v>
      </c>
      <c r="H95" s="31">
        <f>'10 - CUSTOS UN'!J42</f>
        <v>16.393333333333334</v>
      </c>
      <c r="I95" s="602">
        <f t="shared" si="11"/>
        <v>2.7322222222222226</v>
      </c>
      <c r="J95" s="538"/>
      <c r="K95" s="31">
        <f t="shared" si="12"/>
        <v>2.7322222222222226</v>
      </c>
      <c r="L95" s="6"/>
      <c r="M95" s="6"/>
      <c r="N95" s="8"/>
      <c r="O95" s="8"/>
      <c r="P95" s="8"/>
      <c r="Q95" s="8"/>
      <c r="R95" s="8"/>
    </row>
    <row r="96" spans="2:18" ht="15" customHeight="1" x14ac:dyDescent="0.25">
      <c r="B96" s="545" t="s">
        <v>259</v>
      </c>
      <c r="C96" s="537"/>
      <c r="D96" s="537"/>
      <c r="E96" s="537"/>
      <c r="F96" s="538"/>
      <c r="G96" s="3">
        <v>6</v>
      </c>
      <c r="H96" s="31">
        <f>'10 - CUSTOS UN'!$J$99</f>
        <v>14.9</v>
      </c>
      <c r="I96" s="602">
        <f t="shared" si="11"/>
        <v>2.4833333333333334</v>
      </c>
      <c r="J96" s="538"/>
      <c r="K96" s="31">
        <f t="shared" si="12"/>
        <v>14.9</v>
      </c>
      <c r="L96" s="6"/>
      <c r="M96" s="6"/>
      <c r="N96" s="8"/>
      <c r="O96" s="8"/>
      <c r="P96" s="8"/>
      <c r="Q96" s="8"/>
      <c r="R96" s="8"/>
    </row>
    <row r="97" spans="2:23" ht="15" customHeight="1" x14ac:dyDescent="0.25">
      <c r="B97" s="666" t="s">
        <v>267</v>
      </c>
      <c r="C97" s="667"/>
      <c r="D97" s="667"/>
      <c r="E97" s="667"/>
      <c r="F97" s="668"/>
      <c r="G97" s="142">
        <v>1</v>
      </c>
      <c r="H97" s="143">
        <f>'10 - CUSTOS UN'!J48</f>
        <v>18.52</v>
      </c>
      <c r="I97" s="592">
        <f t="shared" si="11"/>
        <v>3.0866666666666664</v>
      </c>
      <c r="J97" s="565"/>
      <c r="K97" s="143">
        <f t="shared" si="12"/>
        <v>3.0866666666666664</v>
      </c>
      <c r="L97" s="6"/>
      <c r="M97" s="6"/>
      <c r="N97" s="8"/>
      <c r="O97" s="8"/>
      <c r="P97" s="8"/>
      <c r="Q97" s="8"/>
      <c r="R97" s="8"/>
    </row>
    <row r="98" spans="2:23" ht="15.75" customHeight="1" x14ac:dyDescent="0.25">
      <c r="B98" s="603" t="s">
        <v>260</v>
      </c>
      <c r="C98" s="544"/>
      <c r="D98" s="544"/>
      <c r="E98" s="544"/>
      <c r="F98" s="579"/>
      <c r="G98" s="145"/>
      <c r="H98" s="145"/>
      <c r="I98" s="621"/>
      <c r="J98" s="579"/>
      <c r="K98" s="146">
        <f>SUM(K90:K97)</f>
        <v>91.286666666666676</v>
      </c>
      <c r="L98" s="6"/>
      <c r="M98" s="6"/>
      <c r="N98" s="8"/>
      <c r="O98" s="8"/>
      <c r="P98" s="8"/>
      <c r="Q98" s="8"/>
      <c r="R98" s="8"/>
    </row>
    <row r="99" spans="2:23" ht="15" customHeight="1" x14ac:dyDescent="0.25">
      <c r="B99" s="570" t="s">
        <v>261</v>
      </c>
      <c r="C99" s="537"/>
      <c r="D99" s="537"/>
      <c r="E99" s="537"/>
      <c r="F99" s="538"/>
      <c r="G99" s="3">
        <v>1</v>
      </c>
      <c r="H99" s="3" t="s">
        <v>173</v>
      </c>
      <c r="I99" s="602">
        <f>K98</f>
        <v>91.286666666666676</v>
      </c>
      <c r="J99" s="538"/>
      <c r="K99" s="45">
        <f>I99*G99</f>
        <v>91.286666666666676</v>
      </c>
      <c r="L99" s="6"/>
      <c r="M99" s="6"/>
      <c r="N99" s="8"/>
      <c r="O99" s="8"/>
      <c r="P99" s="8"/>
      <c r="Q99" s="8"/>
      <c r="R99" s="8"/>
    </row>
    <row r="100" spans="2:23" ht="15.75" customHeight="1" x14ac:dyDescent="0.25">
      <c r="B100" s="669"/>
      <c r="C100" s="625"/>
      <c r="D100" s="625"/>
      <c r="E100" s="625"/>
      <c r="F100" s="625"/>
      <c r="I100" s="669"/>
      <c r="J100" s="625"/>
      <c r="L100" s="6"/>
      <c r="M100" s="64"/>
      <c r="N100" s="147"/>
      <c r="O100" s="147"/>
      <c r="P100" s="147"/>
      <c r="Q100" s="147"/>
      <c r="R100" s="147"/>
      <c r="S100" s="148"/>
      <c r="T100" s="148"/>
      <c r="U100" s="148"/>
      <c r="V100" s="148"/>
      <c r="W100" s="148"/>
    </row>
    <row r="101" spans="2:23" ht="15" customHeight="1" x14ac:dyDescent="0.25">
      <c r="B101" s="589" t="s">
        <v>270</v>
      </c>
      <c r="C101" s="537"/>
      <c r="D101" s="537"/>
      <c r="E101" s="537"/>
      <c r="F101" s="537"/>
      <c r="G101" s="537"/>
      <c r="H101" s="537"/>
      <c r="I101" s="537"/>
      <c r="J101" s="538"/>
      <c r="K101" s="352">
        <f>K99+K86</f>
        <v>472.37444444444446</v>
      </c>
      <c r="L101" s="6"/>
      <c r="M101" s="64"/>
      <c r="N101" s="147"/>
      <c r="O101" s="147"/>
      <c r="P101" s="147"/>
      <c r="Q101" s="147"/>
      <c r="R101" s="147"/>
      <c r="S101" s="148"/>
      <c r="T101" s="148"/>
      <c r="U101" s="148"/>
      <c r="V101" s="148"/>
      <c r="W101" s="148"/>
    </row>
    <row r="102" spans="2:23" ht="15.75" customHeight="1" x14ac:dyDescent="0.25">
      <c r="L102" s="6"/>
      <c r="M102" s="6"/>
      <c r="N102" s="8"/>
      <c r="O102" s="8"/>
      <c r="P102" s="8"/>
      <c r="Q102" s="8"/>
      <c r="R102" s="8"/>
      <c r="T102" s="149"/>
      <c r="U102" s="149"/>
      <c r="V102" s="21"/>
      <c r="W102" s="21"/>
    </row>
    <row r="103" spans="2:23" ht="15.75" customHeight="1" x14ac:dyDescent="0.25">
      <c r="L103" s="6"/>
      <c r="M103" s="6"/>
      <c r="N103" s="150"/>
      <c r="O103" s="150"/>
      <c r="P103" s="150"/>
      <c r="Q103" s="150"/>
      <c r="R103" s="8"/>
      <c r="V103" s="21"/>
      <c r="W103" s="21"/>
    </row>
    <row r="104" spans="2:23" ht="15" customHeight="1" x14ac:dyDescent="0.25">
      <c r="B104" s="566" t="s">
        <v>847</v>
      </c>
      <c r="C104" s="537"/>
      <c r="D104" s="537"/>
      <c r="E104" s="537"/>
      <c r="F104" s="537"/>
      <c r="G104" s="537"/>
      <c r="H104" s="537"/>
      <c r="I104" s="537"/>
      <c r="J104" s="537"/>
      <c r="K104" s="538"/>
      <c r="L104" s="6"/>
      <c r="M104" s="6"/>
      <c r="N104" s="8"/>
      <c r="O104" s="8"/>
      <c r="P104" s="8"/>
      <c r="Q104" s="8"/>
      <c r="R104" s="8"/>
    </row>
    <row r="105" spans="2:23" ht="15.75" customHeight="1" x14ac:dyDescent="0.25">
      <c r="B105" s="311"/>
      <c r="C105" s="311"/>
      <c r="D105" s="311"/>
      <c r="E105" s="311"/>
      <c r="F105" s="311"/>
      <c r="G105" s="311"/>
      <c r="H105" s="311"/>
      <c r="I105" s="311"/>
      <c r="J105" s="311"/>
      <c r="K105" s="311"/>
      <c r="L105" s="6"/>
      <c r="M105" s="64"/>
      <c r="N105" s="147"/>
      <c r="O105" s="147"/>
      <c r="P105" s="147"/>
      <c r="Q105" s="147"/>
      <c r="R105" s="147"/>
      <c r="S105" s="148"/>
      <c r="T105" s="148"/>
      <c r="U105" s="148"/>
      <c r="V105" s="148"/>
      <c r="W105" s="148"/>
    </row>
    <row r="106" spans="2:23" ht="15.75" customHeight="1" x14ac:dyDescent="0.25">
      <c r="B106" s="604" t="s">
        <v>272</v>
      </c>
      <c r="C106" s="537"/>
      <c r="D106" s="537"/>
      <c r="E106" s="537"/>
      <c r="F106" s="537"/>
      <c r="G106" s="537"/>
      <c r="H106" s="537"/>
      <c r="I106" s="537"/>
      <c r="J106" s="537"/>
      <c r="K106" s="538"/>
      <c r="L106" s="6"/>
      <c r="M106" s="64"/>
      <c r="N106" s="147"/>
      <c r="O106" s="147"/>
      <c r="P106" s="147"/>
      <c r="Q106" s="147"/>
      <c r="R106" s="147"/>
      <c r="S106" s="148"/>
      <c r="T106" s="148"/>
      <c r="U106" s="148"/>
      <c r="V106" s="148"/>
      <c r="W106" s="148"/>
    </row>
    <row r="107" spans="2:23" ht="15" customHeight="1" x14ac:dyDescent="0.25">
      <c r="B107" s="154" t="s">
        <v>273</v>
      </c>
      <c r="C107" s="637" t="s">
        <v>239</v>
      </c>
      <c r="D107" s="564"/>
      <c r="E107" s="564"/>
      <c r="F107" s="564"/>
      <c r="G107" s="564"/>
      <c r="H107" s="565"/>
      <c r="I107" s="654" t="s">
        <v>274</v>
      </c>
      <c r="J107" s="565"/>
      <c r="K107" s="155" t="s">
        <v>275</v>
      </c>
      <c r="L107" s="6"/>
      <c r="M107" s="6"/>
      <c r="N107" s="150"/>
      <c r="O107" s="150"/>
      <c r="P107" s="150"/>
      <c r="Q107" s="150"/>
      <c r="R107" s="150"/>
      <c r="S107" s="151"/>
      <c r="T107" s="152"/>
      <c r="U107" s="152"/>
      <c r="V107" s="152"/>
      <c r="W107" s="152"/>
    </row>
    <row r="108" spans="2:23" ht="15.75" customHeight="1" x14ac:dyDescent="0.25">
      <c r="B108" s="156" t="s">
        <v>758</v>
      </c>
      <c r="C108" s="655" t="s">
        <v>848</v>
      </c>
      <c r="D108" s="535"/>
      <c r="E108" s="535"/>
      <c r="F108" s="535"/>
      <c r="G108" s="535"/>
      <c r="H108" s="575"/>
      <c r="I108" s="656">
        <f>K202</f>
        <v>8412.5409846764342</v>
      </c>
      <c r="J108" s="575"/>
      <c r="K108" s="157">
        <f>K203</f>
        <v>8412.5409846764342</v>
      </c>
      <c r="L108" s="6"/>
      <c r="M108" s="6"/>
      <c r="N108" s="8"/>
      <c r="O108" s="8"/>
      <c r="P108" s="8"/>
      <c r="Q108" s="8"/>
      <c r="R108" s="8"/>
    </row>
    <row r="109" spans="2:23" ht="15.75" customHeight="1" x14ac:dyDescent="0.25">
      <c r="B109" s="26" t="s">
        <v>850</v>
      </c>
      <c r="C109" s="545" t="s">
        <v>278</v>
      </c>
      <c r="D109" s="537"/>
      <c r="E109" s="537"/>
      <c r="F109" s="537"/>
      <c r="G109" s="537"/>
      <c r="H109" s="538"/>
      <c r="I109" s="602">
        <f>I134</f>
        <v>3889.04</v>
      </c>
      <c r="J109" s="538"/>
      <c r="K109" s="159">
        <f>K134</f>
        <v>3889.04</v>
      </c>
      <c r="L109" s="6"/>
      <c r="M109" s="6"/>
      <c r="N109" s="8"/>
      <c r="O109" s="8"/>
      <c r="P109" s="8"/>
      <c r="Q109" s="8"/>
      <c r="R109" s="8"/>
    </row>
    <row r="110" spans="2:23" ht="15.75" customHeight="1" x14ac:dyDescent="0.25">
      <c r="B110" s="26" t="s">
        <v>851</v>
      </c>
      <c r="C110" s="545" t="s">
        <v>281</v>
      </c>
      <c r="D110" s="537"/>
      <c r="E110" s="537"/>
      <c r="F110" s="537"/>
      <c r="G110" s="537"/>
      <c r="H110" s="538"/>
      <c r="I110" s="602">
        <f>I149</f>
        <v>778.4287499999997</v>
      </c>
      <c r="J110" s="538"/>
      <c r="K110" s="159">
        <f>K149</f>
        <v>778.4287499999997</v>
      </c>
      <c r="L110" s="6"/>
      <c r="M110" s="6"/>
      <c r="N110" s="8"/>
      <c r="O110" s="8"/>
      <c r="P110" s="8"/>
      <c r="Q110" s="8"/>
      <c r="R110" s="8"/>
      <c r="T110" s="21"/>
      <c r="U110" s="21"/>
      <c r="V110" s="21"/>
      <c r="W110" s="21"/>
    </row>
    <row r="111" spans="2:23" ht="15.75" customHeight="1" x14ac:dyDescent="0.25">
      <c r="B111" s="26" t="s">
        <v>852</v>
      </c>
      <c r="C111" s="545" t="s">
        <v>283</v>
      </c>
      <c r="D111" s="537"/>
      <c r="E111" s="537"/>
      <c r="F111" s="537"/>
      <c r="G111" s="537"/>
      <c r="H111" s="538"/>
      <c r="I111" s="602">
        <f>I161</f>
        <v>517.61305555555555</v>
      </c>
      <c r="J111" s="538"/>
      <c r="K111" s="159">
        <f>K161</f>
        <v>517.61305555555555</v>
      </c>
      <c r="L111" s="6"/>
      <c r="M111" s="6"/>
      <c r="N111" s="8"/>
      <c r="O111" s="8"/>
      <c r="P111" s="8"/>
      <c r="Q111" s="8"/>
      <c r="R111" s="8"/>
      <c r="T111" s="21"/>
      <c r="U111" s="21"/>
      <c r="V111" s="152"/>
      <c r="W111" s="152"/>
    </row>
    <row r="112" spans="2:23" ht="15.75" customHeight="1" x14ac:dyDescent="0.25">
      <c r="B112" s="26" t="s">
        <v>853</v>
      </c>
      <c r="C112" s="545" t="s">
        <v>286</v>
      </c>
      <c r="D112" s="537"/>
      <c r="E112" s="537"/>
      <c r="F112" s="537"/>
      <c r="G112" s="537"/>
      <c r="H112" s="538"/>
      <c r="I112" s="602">
        <f>I169</f>
        <v>1923.4285714285718</v>
      </c>
      <c r="J112" s="538"/>
      <c r="K112" s="159">
        <f>K169</f>
        <v>1923.4285714285718</v>
      </c>
      <c r="L112" s="6"/>
      <c r="M112" s="6"/>
      <c r="N112" s="150"/>
      <c r="O112" s="150"/>
      <c r="P112" s="150"/>
      <c r="Q112" s="150"/>
      <c r="R112" s="150"/>
      <c r="S112" s="151"/>
      <c r="T112" s="151"/>
      <c r="U112" s="151"/>
      <c r="V112" s="151"/>
      <c r="W112" s="151"/>
    </row>
    <row r="113" spans="2:23" ht="15.75" customHeight="1" x14ac:dyDescent="0.25">
      <c r="B113" s="26" t="s">
        <v>856</v>
      </c>
      <c r="C113" s="545" t="s">
        <v>288</v>
      </c>
      <c r="D113" s="537"/>
      <c r="E113" s="537"/>
      <c r="F113" s="537"/>
      <c r="G113" s="537"/>
      <c r="H113" s="538"/>
      <c r="I113" s="602">
        <f>I180</f>
        <v>131.10149999999999</v>
      </c>
      <c r="J113" s="538"/>
      <c r="K113" s="159">
        <f>K180</f>
        <v>131.10149999999999</v>
      </c>
      <c r="L113" s="6"/>
      <c r="M113" s="6"/>
      <c r="N113" s="8"/>
      <c r="O113" s="8"/>
      <c r="P113" s="8"/>
      <c r="Q113" s="8"/>
      <c r="R113" s="8"/>
    </row>
    <row r="114" spans="2:23" ht="15.75" customHeight="1" x14ac:dyDescent="0.25">
      <c r="B114" s="26" t="s">
        <v>858</v>
      </c>
      <c r="C114" s="545" t="s">
        <v>290</v>
      </c>
      <c r="D114" s="537"/>
      <c r="E114" s="537"/>
      <c r="F114" s="537"/>
      <c r="G114" s="537"/>
      <c r="H114" s="538"/>
      <c r="I114" s="602">
        <f>I191</f>
        <v>110.92910769230768</v>
      </c>
      <c r="J114" s="538"/>
      <c r="K114" s="159">
        <f>K191</f>
        <v>110.92910769230768</v>
      </c>
      <c r="L114" s="6"/>
      <c r="M114" s="64"/>
      <c r="N114" s="147"/>
      <c r="O114" s="147"/>
      <c r="P114" s="147"/>
      <c r="Q114" s="147"/>
      <c r="R114" s="147"/>
      <c r="S114" s="148"/>
      <c r="T114" s="148"/>
      <c r="U114" s="148"/>
      <c r="V114" s="148"/>
      <c r="W114" s="148"/>
    </row>
    <row r="115" spans="2:23" ht="15.75" customHeight="1" x14ac:dyDescent="0.25">
      <c r="B115" s="26" t="s">
        <v>860</v>
      </c>
      <c r="C115" s="545" t="s">
        <v>292</v>
      </c>
      <c r="D115" s="537"/>
      <c r="E115" s="537"/>
      <c r="F115" s="537"/>
      <c r="G115" s="537"/>
      <c r="H115" s="538"/>
      <c r="I115" s="602">
        <f>I196</f>
        <v>1062</v>
      </c>
      <c r="J115" s="538"/>
      <c r="K115" s="159">
        <f>K196</f>
        <v>1062</v>
      </c>
      <c r="L115" s="6"/>
      <c r="M115" s="64"/>
      <c r="N115" s="147"/>
      <c r="O115" s="147"/>
      <c r="P115" s="147"/>
      <c r="Q115" s="147"/>
      <c r="R115" s="147"/>
      <c r="S115" s="148"/>
      <c r="T115" s="148"/>
      <c r="U115" s="148"/>
      <c r="V115" s="148"/>
      <c r="W115" s="148"/>
    </row>
    <row r="116" spans="2:23" ht="15.75" customHeight="1" x14ac:dyDescent="0.25">
      <c r="B116" s="167"/>
      <c r="C116" s="595" t="s">
        <v>312</v>
      </c>
      <c r="D116" s="537"/>
      <c r="E116" s="537"/>
      <c r="F116" s="537"/>
      <c r="G116" s="537"/>
      <c r="H116" s="538"/>
      <c r="I116" s="595"/>
      <c r="J116" s="538"/>
      <c r="K116" s="168">
        <f>SUM(K109:K115)</f>
        <v>8412.5409846764342</v>
      </c>
      <c r="L116" s="6"/>
      <c r="M116" s="6"/>
      <c r="N116" s="150"/>
      <c r="O116" s="150"/>
      <c r="P116" s="150"/>
      <c r="Q116" s="150"/>
      <c r="R116" s="150"/>
      <c r="S116" s="151"/>
      <c r="T116" s="152"/>
      <c r="U116" s="151"/>
      <c r="V116" s="152"/>
      <c r="W116" s="151"/>
    </row>
    <row r="117" spans="2:23" ht="15.75" customHeight="1" x14ac:dyDescent="0.25">
      <c r="B117" s="151"/>
      <c r="C117" s="189"/>
      <c r="D117" s="189"/>
      <c r="E117" s="189"/>
      <c r="F117" s="189"/>
      <c r="G117" s="189"/>
      <c r="H117" s="189"/>
      <c r="I117" s="189"/>
      <c r="J117" s="189"/>
      <c r="K117" s="235"/>
      <c r="L117" s="6"/>
      <c r="M117" s="6"/>
      <c r="N117" s="8"/>
      <c r="O117" s="8"/>
      <c r="P117" s="8"/>
      <c r="Q117" s="8"/>
      <c r="R117" s="8"/>
      <c r="T117" s="21"/>
    </row>
    <row r="118" spans="2:23" ht="15.75" customHeight="1" x14ac:dyDescent="0.25">
      <c r="L118" s="6"/>
      <c r="M118" s="6"/>
      <c r="N118" s="8"/>
      <c r="O118" s="8"/>
      <c r="P118" s="8"/>
      <c r="Q118" s="8"/>
      <c r="R118" s="8"/>
      <c r="S118" s="38"/>
    </row>
    <row r="119" spans="2:23" ht="15.75" customHeight="1" x14ac:dyDescent="0.25">
      <c r="B119" s="596" t="s">
        <v>862</v>
      </c>
      <c r="C119" s="537"/>
      <c r="D119" s="537"/>
      <c r="E119" s="537"/>
      <c r="F119" s="537"/>
      <c r="G119" s="537"/>
      <c r="H119" s="537"/>
      <c r="I119" s="537"/>
      <c r="J119" s="537"/>
      <c r="K119" s="538"/>
      <c r="L119" s="6"/>
      <c r="M119" s="6"/>
      <c r="N119" s="8"/>
      <c r="O119" s="8"/>
      <c r="P119" s="8"/>
      <c r="Q119" s="8"/>
      <c r="R119" s="8"/>
      <c r="T119" s="21"/>
    </row>
    <row r="120" spans="2:23" ht="15.75" customHeight="1" x14ac:dyDescent="0.25">
      <c r="L120" s="6"/>
      <c r="M120" s="6"/>
      <c r="N120" s="8"/>
      <c r="O120" s="8"/>
      <c r="P120" s="8"/>
      <c r="Q120" s="8"/>
      <c r="R120" s="8"/>
      <c r="T120" s="21"/>
      <c r="V120" s="21"/>
    </row>
    <row r="121" spans="2:23" ht="15.75" customHeight="1" x14ac:dyDescent="0.25">
      <c r="B121" s="598" t="s">
        <v>863</v>
      </c>
      <c r="C121" s="537"/>
      <c r="D121" s="537"/>
      <c r="E121" s="537"/>
      <c r="F121" s="537"/>
      <c r="G121" s="537"/>
      <c r="H121" s="537"/>
      <c r="I121" s="537"/>
      <c r="J121" s="537"/>
      <c r="K121" s="538"/>
      <c r="L121" s="6"/>
      <c r="M121" s="6"/>
      <c r="N121" s="150"/>
      <c r="O121" s="150"/>
      <c r="P121" s="150"/>
      <c r="Q121" s="150"/>
      <c r="R121" s="150"/>
      <c r="S121" s="151"/>
      <c r="T121" s="151"/>
      <c r="U121" s="151"/>
      <c r="V121" s="151"/>
      <c r="W121" s="151"/>
    </row>
    <row r="122" spans="2:23" ht="15.75" customHeight="1" x14ac:dyDescent="0.25">
      <c r="B122" s="773" t="s">
        <v>239</v>
      </c>
      <c r="C122" s="782"/>
      <c r="D122" s="782"/>
      <c r="E122" s="782"/>
      <c r="F122" s="738"/>
      <c r="G122" s="170" t="s">
        <v>118</v>
      </c>
      <c r="H122" s="155" t="s">
        <v>119</v>
      </c>
      <c r="I122" s="637" t="s">
        <v>319</v>
      </c>
      <c r="J122" s="565"/>
      <c r="K122" s="155" t="s">
        <v>320</v>
      </c>
      <c r="L122" s="6"/>
      <c r="M122" s="6"/>
      <c r="N122" s="150"/>
      <c r="O122" s="150"/>
      <c r="P122" s="150"/>
      <c r="Q122" s="150"/>
      <c r="R122" s="150"/>
      <c r="S122" s="151"/>
      <c r="T122" s="151"/>
      <c r="U122" s="151"/>
      <c r="V122" s="151"/>
      <c r="W122" s="151"/>
    </row>
    <row r="123" spans="2:23" ht="15" customHeight="1" x14ac:dyDescent="0.25">
      <c r="B123" s="675" t="s">
        <v>488</v>
      </c>
      <c r="C123" s="535"/>
      <c r="D123" s="535"/>
      <c r="E123" s="535"/>
      <c r="F123" s="575"/>
      <c r="G123" s="253">
        <v>1</v>
      </c>
      <c r="H123" s="171" t="s">
        <v>119</v>
      </c>
      <c r="I123" s="771">
        <v>271678</v>
      </c>
      <c r="J123" s="579"/>
      <c r="K123" s="172">
        <f>I123*G123</f>
        <v>271678</v>
      </c>
      <c r="L123" s="6"/>
      <c r="M123" s="6"/>
      <c r="N123" s="8"/>
      <c r="O123" s="8"/>
      <c r="P123" s="8"/>
      <c r="Q123" s="8"/>
      <c r="R123" s="8"/>
    </row>
    <row r="124" spans="2:23" ht="15.75" customHeight="1" x14ac:dyDescent="0.25">
      <c r="B124" s="571" t="s">
        <v>490</v>
      </c>
      <c r="C124" s="537"/>
      <c r="D124" s="537"/>
      <c r="E124" s="537"/>
      <c r="F124" s="538"/>
      <c r="G124" s="14">
        <v>5</v>
      </c>
      <c r="H124" s="14" t="s">
        <v>323</v>
      </c>
      <c r="I124" s="617"/>
      <c r="J124" s="538"/>
      <c r="K124" s="173"/>
      <c r="L124" s="6"/>
      <c r="M124" s="64"/>
      <c r="N124" s="147"/>
      <c r="O124" s="147"/>
      <c r="P124" s="147"/>
      <c r="Q124" s="147"/>
      <c r="R124" s="147"/>
      <c r="S124" s="148"/>
      <c r="T124" s="148"/>
      <c r="U124" s="148"/>
      <c r="V124" s="148"/>
      <c r="W124" s="148"/>
    </row>
    <row r="125" spans="2:23" ht="15.75" customHeight="1" x14ac:dyDescent="0.25">
      <c r="B125" s="571" t="s">
        <v>324</v>
      </c>
      <c r="C125" s="537"/>
      <c r="D125" s="537"/>
      <c r="E125" s="537"/>
      <c r="F125" s="538"/>
      <c r="G125" s="14">
        <v>5</v>
      </c>
      <c r="H125" s="14" t="s">
        <v>323</v>
      </c>
      <c r="I125" s="617"/>
      <c r="J125" s="538"/>
      <c r="K125" s="173"/>
      <c r="L125" s="6"/>
      <c r="M125" s="64"/>
      <c r="N125" s="147"/>
      <c r="O125" s="147"/>
      <c r="P125" s="147"/>
      <c r="Q125" s="147"/>
      <c r="R125" s="147"/>
      <c r="S125" s="148"/>
      <c r="T125" s="148"/>
      <c r="U125" s="148"/>
      <c r="V125" s="148"/>
      <c r="W125" s="148"/>
    </row>
    <row r="126" spans="2:23" ht="15" customHeight="1" x14ac:dyDescent="0.25">
      <c r="B126" s="605" t="s">
        <v>491</v>
      </c>
      <c r="C126" s="537"/>
      <c r="D126" s="537"/>
      <c r="E126" s="537"/>
      <c r="F126" s="538"/>
      <c r="G126" s="14">
        <v>80</v>
      </c>
      <c r="H126" s="14" t="s">
        <v>141</v>
      </c>
      <c r="I126" s="556">
        <f>I123</f>
        <v>271678</v>
      </c>
      <c r="J126" s="538"/>
      <c r="K126" s="60">
        <f>I126*G126/100</f>
        <v>217342.4</v>
      </c>
      <c r="L126" s="6"/>
      <c r="M126" s="64"/>
      <c r="N126" s="147"/>
      <c r="O126" s="147"/>
      <c r="P126" s="147"/>
      <c r="Q126" s="147"/>
      <c r="R126" s="147"/>
      <c r="S126" s="148"/>
      <c r="T126" s="148"/>
      <c r="U126" s="148"/>
      <c r="V126" s="148"/>
      <c r="W126" s="148"/>
    </row>
    <row r="127" spans="2:23" ht="15" customHeight="1" x14ac:dyDescent="0.25">
      <c r="B127" s="608" t="s">
        <v>868</v>
      </c>
      <c r="C127" s="564"/>
      <c r="D127" s="564"/>
      <c r="E127" s="564"/>
      <c r="F127" s="565"/>
      <c r="G127" s="174">
        <v>60</v>
      </c>
      <c r="H127" s="174" t="s">
        <v>327</v>
      </c>
      <c r="I127" s="657">
        <f>K126</f>
        <v>217342.4</v>
      </c>
      <c r="J127" s="565"/>
      <c r="K127" s="175">
        <f>I127/G127</f>
        <v>3622.3733333333334</v>
      </c>
      <c r="L127" s="6"/>
      <c r="M127" s="64"/>
      <c r="N127" s="147"/>
      <c r="O127" s="147"/>
      <c r="P127" s="147"/>
      <c r="Q127" s="147"/>
      <c r="R127" s="147"/>
      <c r="S127" s="148"/>
      <c r="T127" s="148"/>
      <c r="U127" s="148"/>
      <c r="V127" s="148"/>
      <c r="W127" s="148"/>
    </row>
    <row r="128" spans="2:23" ht="28.5" customHeight="1" x14ac:dyDescent="0.25">
      <c r="B128" s="784" t="s">
        <v>870</v>
      </c>
      <c r="C128" s="535"/>
      <c r="D128" s="535"/>
      <c r="E128" s="535"/>
      <c r="F128" s="575"/>
      <c r="G128" s="171">
        <f>G123</f>
        <v>1</v>
      </c>
      <c r="H128" s="171" t="s">
        <v>119</v>
      </c>
      <c r="I128" s="676">
        <v>20000</v>
      </c>
      <c r="J128" s="575"/>
      <c r="K128" s="172">
        <f>I128*G128</f>
        <v>20000</v>
      </c>
      <c r="L128" s="6"/>
      <c r="M128" s="64"/>
      <c r="N128" s="147"/>
      <c r="O128" s="147"/>
      <c r="P128" s="147"/>
      <c r="Q128" s="147"/>
      <c r="R128" s="147"/>
      <c r="S128" s="148"/>
      <c r="T128" s="148"/>
      <c r="U128" s="148"/>
      <c r="V128" s="148"/>
      <c r="W128" s="148"/>
    </row>
    <row r="129" spans="2:23" ht="27.75" customHeight="1" x14ac:dyDescent="0.25">
      <c r="B129" s="561" t="s">
        <v>872</v>
      </c>
      <c r="C129" s="537"/>
      <c r="D129" s="537"/>
      <c r="E129" s="537"/>
      <c r="F129" s="538"/>
      <c r="G129" s="14">
        <v>5</v>
      </c>
      <c r="H129" s="14" t="s">
        <v>323</v>
      </c>
      <c r="I129" s="617"/>
      <c r="J129" s="538"/>
      <c r="K129" s="173"/>
      <c r="L129" s="6"/>
      <c r="M129" s="64"/>
      <c r="N129" s="147"/>
      <c r="O129" s="147"/>
      <c r="P129" s="147"/>
      <c r="Q129" s="147"/>
      <c r="R129" s="147"/>
      <c r="S129" s="148"/>
      <c r="T129" s="148"/>
      <c r="U129" s="148"/>
      <c r="V129" s="148"/>
      <c r="W129" s="148"/>
    </row>
    <row r="130" spans="2:23" ht="15" customHeight="1" x14ac:dyDescent="0.25">
      <c r="B130" s="571" t="s">
        <v>874</v>
      </c>
      <c r="C130" s="537"/>
      <c r="D130" s="537"/>
      <c r="E130" s="537"/>
      <c r="F130" s="538"/>
      <c r="G130" s="14">
        <v>0</v>
      </c>
      <c r="H130" s="14" t="s">
        <v>323</v>
      </c>
      <c r="I130" s="617"/>
      <c r="J130" s="538"/>
      <c r="K130" s="173"/>
      <c r="L130" s="6"/>
      <c r="M130" s="64"/>
      <c r="N130" s="147"/>
      <c r="O130" s="147"/>
      <c r="P130" s="147"/>
      <c r="Q130" s="147"/>
      <c r="R130" s="147"/>
      <c r="S130" s="148"/>
      <c r="T130" s="148"/>
      <c r="U130" s="148"/>
      <c r="V130" s="148"/>
      <c r="W130" s="148"/>
    </row>
    <row r="131" spans="2:23" ht="27.75" customHeight="1" x14ac:dyDescent="0.25">
      <c r="B131" s="787" t="s">
        <v>875</v>
      </c>
      <c r="C131" s="537"/>
      <c r="D131" s="537"/>
      <c r="E131" s="537"/>
      <c r="F131" s="538"/>
      <c r="G131" s="14">
        <v>80</v>
      </c>
      <c r="H131" s="14" t="s">
        <v>141</v>
      </c>
      <c r="I131" s="556">
        <f>I128</f>
        <v>20000</v>
      </c>
      <c r="J131" s="538"/>
      <c r="K131" s="60">
        <f>I131*G131/100</f>
        <v>16000</v>
      </c>
      <c r="L131" s="6"/>
      <c r="M131" s="64"/>
      <c r="N131" s="147"/>
      <c r="O131" s="147"/>
      <c r="P131" s="147"/>
      <c r="Q131" s="147"/>
      <c r="R131" s="147"/>
      <c r="S131" s="148"/>
      <c r="T131" s="148"/>
      <c r="U131" s="148"/>
      <c r="V131" s="148"/>
      <c r="W131" s="148"/>
    </row>
    <row r="132" spans="2:23" ht="31.5" customHeight="1" x14ac:dyDescent="0.25">
      <c r="B132" s="788" t="s">
        <v>876</v>
      </c>
      <c r="C132" s="564"/>
      <c r="D132" s="564"/>
      <c r="E132" s="564"/>
      <c r="F132" s="565"/>
      <c r="G132" s="174">
        <f>G129*12</f>
        <v>60</v>
      </c>
      <c r="H132" s="174" t="s">
        <v>327</v>
      </c>
      <c r="I132" s="657">
        <f>K131</f>
        <v>16000</v>
      </c>
      <c r="J132" s="565"/>
      <c r="K132" s="175">
        <f>I132/G132</f>
        <v>266.66666666666669</v>
      </c>
      <c r="L132" s="6"/>
      <c r="M132" s="6"/>
      <c r="N132" s="8"/>
      <c r="O132" s="8"/>
      <c r="P132" s="8"/>
      <c r="Q132" s="8"/>
      <c r="R132" s="8"/>
    </row>
    <row r="133" spans="2:23" ht="15.75" customHeight="1" x14ac:dyDescent="0.25">
      <c r="B133" s="677" t="s">
        <v>333</v>
      </c>
      <c r="C133" s="535"/>
      <c r="D133" s="535"/>
      <c r="E133" s="535"/>
      <c r="F133" s="575"/>
      <c r="G133" s="176"/>
      <c r="H133" s="176"/>
      <c r="I133" s="593"/>
      <c r="J133" s="575"/>
      <c r="K133" s="177">
        <f>SUM(K127+K132)</f>
        <v>3889.04</v>
      </c>
      <c r="L133" s="6"/>
      <c r="M133" s="64"/>
      <c r="N133" s="147"/>
      <c r="O133" s="147"/>
      <c r="P133" s="147"/>
      <c r="Q133" s="147"/>
      <c r="R133" s="147"/>
      <c r="S133" s="148"/>
      <c r="T133" s="148"/>
      <c r="U133" s="148"/>
      <c r="V133" s="148"/>
      <c r="W133" s="148"/>
    </row>
    <row r="134" spans="2:23" ht="15.75" customHeight="1" x14ac:dyDescent="0.25">
      <c r="B134" s="658" t="s">
        <v>334</v>
      </c>
      <c r="C134" s="537"/>
      <c r="D134" s="537"/>
      <c r="E134" s="537"/>
      <c r="F134" s="538"/>
      <c r="G134" s="61">
        <v>1</v>
      </c>
      <c r="H134" s="61" t="s">
        <v>335</v>
      </c>
      <c r="I134" s="659">
        <f>K133</f>
        <v>3889.04</v>
      </c>
      <c r="J134" s="538"/>
      <c r="K134" s="51">
        <f>I134*G134</f>
        <v>3889.04</v>
      </c>
      <c r="L134" s="6"/>
      <c r="M134" s="64"/>
      <c r="N134" s="147"/>
      <c r="O134" s="147"/>
      <c r="P134" s="147"/>
      <c r="Q134" s="147"/>
      <c r="R134" s="147"/>
      <c r="S134" s="148"/>
      <c r="T134" s="148"/>
      <c r="U134" s="148"/>
      <c r="V134" s="148"/>
      <c r="W134" s="148"/>
    </row>
    <row r="135" spans="2:23" ht="15.75" customHeight="1" x14ac:dyDescent="0.25">
      <c r="B135" s="1"/>
      <c r="L135" s="6"/>
      <c r="M135" s="64"/>
      <c r="N135" s="64"/>
      <c r="O135" s="64"/>
      <c r="P135" s="64"/>
      <c r="Q135" s="64"/>
      <c r="R135" s="147"/>
      <c r="S135" s="148"/>
      <c r="T135" s="148"/>
      <c r="U135" s="148"/>
      <c r="V135" s="148"/>
      <c r="W135" s="148"/>
    </row>
    <row r="136" spans="2:23" ht="15.75" customHeight="1" x14ac:dyDescent="0.25">
      <c r="B136" s="598" t="s">
        <v>877</v>
      </c>
      <c r="C136" s="537"/>
      <c r="D136" s="537"/>
      <c r="E136" s="537"/>
      <c r="F136" s="537"/>
      <c r="G136" s="537"/>
      <c r="H136" s="537"/>
      <c r="I136" s="537"/>
      <c r="J136" s="537"/>
      <c r="K136" s="538"/>
      <c r="L136" s="6"/>
      <c r="M136" s="6"/>
      <c r="N136" s="150"/>
      <c r="O136" s="150"/>
      <c r="P136" s="150"/>
      <c r="Q136" s="150"/>
      <c r="R136" s="150"/>
      <c r="S136" s="151"/>
      <c r="T136" s="151"/>
      <c r="U136" s="151"/>
      <c r="V136" s="151"/>
      <c r="W136" s="151"/>
    </row>
    <row r="137" spans="2:23" ht="15.75" customHeight="1" x14ac:dyDescent="0.25">
      <c r="B137" s="637" t="s">
        <v>239</v>
      </c>
      <c r="C137" s="564"/>
      <c r="D137" s="564"/>
      <c r="E137" s="564"/>
      <c r="F137" s="565"/>
      <c r="G137" s="374" t="s">
        <v>118</v>
      </c>
      <c r="H137" s="182" t="s">
        <v>119</v>
      </c>
      <c r="I137" s="637" t="s">
        <v>319</v>
      </c>
      <c r="J137" s="565"/>
      <c r="K137" s="155" t="s">
        <v>320</v>
      </c>
      <c r="L137" s="6"/>
      <c r="M137" s="6"/>
      <c r="N137" s="8"/>
      <c r="O137" s="8"/>
      <c r="P137" s="8"/>
      <c r="Q137" s="8"/>
      <c r="R137" s="8"/>
    </row>
    <row r="138" spans="2:23" ht="15.75" customHeight="1" x14ac:dyDescent="0.25">
      <c r="B138" s="605" t="s">
        <v>498</v>
      </c>
      <c r="C138" s="537"/>
      <c r="D138" s="537"/>
      <c r="E138" s="537"/>
      <c r="F138" s="538"/>
      <c r="G138" s="14">
        <v>1</v>
      </c>
      <c r="H138" s="14" t="s">
        <v>335</v>
      </c>
      <c r="I138" s="556">
        <f>I123</f>
        <v>271678</v>
      </c>
      <c r="J138" s="538"/>
      <c r="K138" s="60">
        <f>I138*G138</f>
        <v>271678</v>
      </c>
      <c r="L138" s="6"/>
      <c r="M138" s="6"/>
      <c r="N138" s="8"/>
      <c r="O138" s="8"/>
      <c r="P138" s="8"/>
      <c r="Q138" s="8"/>
      <c r="R138" s="8"/>
      <c r="T138" s="151"/>
      <c r="U138" s="151"/>
      <c r="V138" s="151"/>
      <c r="W138" s="151"/>
    </row>
    <row r="139" spans="2:23" ht="15.75" customHeight="1" x14ac:dyDescent="0.25">
      <c r="B139" s="605" t="s">
        <v>338</v>
      </c>
      <c r="C139" s="537"/>
      <c r="D139" s="537"/>
      <c r="E139" s="537"/>
      <c r="F139" s="538"/>
      <c r="G139" s="73">
        <v>13.75</v>
      </c>
      <c r="H139" s="14" t="s">
        <v>141</v>
      </c>
      <c r="I139" s="617"/>
      <c r="J139" s="538"/>
      <c r="K139" s="60"/>
      <c r="L139" s="6"/>
      <c r="M139" s="6"/>
      <c r="N139" s="8"/>
      <c r="O139" s="8"/>
      <c r="P139" s="8"/>
      <c r="Q139" s="8"/>
      <c r="R139" s="8"/>
    </row>
    <row r="140" spans="2:23" ht="15.75" customHeight="1" x14ac:dyDescent="0.25">
      <c r="B140" s="605" t="s">
        <v>882</v>
      </c>
      <c r="C140" s="537"/>
      <c r="D140" s="537"/>
      <c r="E140" s="537"/>
      <c r="F140" s="538"/>
      <c r="G140" s="14"/>
      <c r="H140" s="14"/>
      <c r="I140" s="556">
        <f>IFERROR(IF(G125&lt;=G124,I123-(G126/(100*G124)*G125)*I123,I123-K126),0)</f>
        <v>54335.599999999977</v>
      </c>
      <c r="J140" s="538"/>
      <c r="K140" s="60"/>
      <c r="L140" s="6"/>
      <c r="M140" s="6"/>
      <c r="N140" s="150"/>
      <c r="O140" s="150"/>
      <c r="P140" s="150"/>
      <c r="Q140" s="150"/>
      <c r="R140" s="150"/>
      <c r="S140" s="151"/>
      <c r="T140" s="151"/>
      <c r="U140" s="151"/>
      <c r="V140" s="151"/>
      <c r="W140" s="151"/>
    </row>
    <row r="141" spans="2:23" ht="15.75" customHeight="1" x14ac:dyDescent="0.25">
      <c r="B141" s="605" t="s">
        <v>504</v>
      </c>
      <c r="C141" s="537"/>
      <c r="D141" s="537"/>
      <c r="E141" s="537"/>
      <c r="F141" s="538"/>
      <c r="G141" s="14"/>
      <c r="H141" s="14"/>
      <c r="I141" s="556">
        <f>IFERROR(IF(G125&gt;=G124,I140,((((I140)-(I123-K126))*(((G124-G125)+1)/(2*(G124-G125))))+(I123-K126))),0)</f>
        <v>54335.599999999977</v>
      </c>
      <c r="J141" s="538"/>
      <c r="K141" s="60"/>
      <c r="L141" s="6"/>
      <c r="M141" s="6"/>
      <c r="N141" s="150"/>
      <c r="O141" s="150"/>
      <c r="P141" s="150"/>
      <c r="Q141" s="150"/>
      <c r="R141" s="150"/>
      <c r="S141" s="151"/>
      <c r="T141" s="151"/>
      <c r="U141" s="151"/>
      <c r="V141" s="151"/>
      <c r="W141" s="151"/>
    </row>
    <row r="142" spans="2:23" ht="15.75" customHeight="1" x14ac:dyDescent="0.25">
      <c r="B142" s="608" t="s">
        <v>506</v>
      </c>
      <c r="C142" s="564"/>
      <c r="D142" s="564"/>
      <c r="E142" s="564"/>
      <c r="F142" s="565"/>
      <c r="G142" s="178"/>
      <c r="H142" s="178"/>
      <c r="I142" s="657">
        <f>G139*I141/12/100</f>
        <v>622.59541666666632</v>
      </c>
      <c r="J142" s="565"/>
      <c r="K142" s="175">
        <f>I142</f>
        <v>622.59541666666632</v>
      </c>
      <c r="L142" s="6"/>
      <c r="M142" s="6"/>
      <c r="N142" s="150"/>
      <c r="O142" s="150"/>
      <c r="P142" s="150"/>
      <c r="Q142" s="150"/>
      <c r="R142" s="150"/>
      <c r="S142" s="151"/>
      <c r="T142" s="151"/>
      <c r="U142" s="151"/>
      <c r="V142" s="151"/>
      <c r="W142" s="151"/>
    </row>
    <row r="143" spans="2:23" ht="15.75" customHeight="1" x14ac:dyDescent="0.25">
      <c r="B143" s="678" t="s">
        <v>883</v>
      </c>
      <c r="C143" s="544"/>
      <c r="D143" s="544"/>
      <c r="E143" s="544"/>
      <c r="F143" s="579"/>
      <c r="G143" s="171">
        <f>G138</f>
        <v>1</v>
      </c>
      <c r="H143" s="171" t="s">
        <v>335</v>
      </c>
      <c r="I143" s="676">
        <f>I128</f>
        <v>20000</v>
      </c>
      <c r="J143" s="575"/>
      <c r="K143" s="172">
        <f>I143*G143</f>
        <v>20000</v>
      </c>
      <c r="L143" s="6"/>
      <c r="M143" s="6"/>
      <c r="N143" s="150"/>
      <c r="O143" s="150"/>
      <c r="P143" s="150"/>
      <c r="Q143" s="150"/>
      <c r="R143" s="150"/>
      <c r="S143" s="151"/>
      <c r="T143" s="151"/>
      <c r="U143" s="151"/>
      <c r="V143" s="151"/>
      <c r="W143" s="151"/>
    </row>
    <row r="144" spans="2:23" ht="15.75" customHeight="1" x14ac:dyDescent="0.25">
      <c r="B144" s="605" t="s">
        <v>338</v>
      </c>
      <c r="C144" s="537"/>
      <c r="D144" s="537"/>
      <c r="E144" s="537"/>
      <c r="F144" s="538"/>
      <c r="G144" s="73">
        <v>13.75</v>
      </c>
      <c r="H144" s="14" t="s">
        <v>141</v>
      </c>
      <c r="I144" s="617"/>
      <c r="J144" s="538"/>
      <c r="K144" s="60"/>
      <c r="L144" s="6"/>
      <c r="M144" s="64"/>
      <c r="N144" s="147"/>
      <c r="O144" s="147"/>
      <c r="P144" s="147"/>
      <c r="Q144" s="147"/>
      <c r="R144" s="147"/>
      <c r="S144" s="148"/>
      <c r="T144" s="148"/>
      <c r="U144" s="148"/>
      <c r="V144" s="148"/>
      <c r="W144" s="148"/>
    </row>
    <row r="145" spans="2:30" ht="15" customHeight="1" x14ac:dyDescent="0.25">
      <c r="B145" s="787" t="s">
        <v>884</v>
      </c>
      <c r="C145" s="537"/>
      <c r="D145" s="537"/>
      <c r="E145" s="537"/>
      <c r="F145" s="538"/>
      <c r="G145" s="14"/>
      <c r="H145" s="14"/>
      <c r="I145" s="556">
        <f>IFERROR(IF(G130&lt;=G129,I128-(G131/(100*G129)*G130)*I128,I128-K131),0)</f>
        <v>20000</v>
      </c>
      <c r="J145" s="538"/>
      <c r="K145" s="60"/>
      <c r="L145" s="6"/>
      <c r="M145" s="64"/>
      <c r="N145" s="64"/>
      <c r="O145" s="64"/>
      <c r="P145" s="64"/>
      <c r="Q145" s="64"/>
      <c r="R145" s="147"/>
      <c r="S145" s="148"/>
      <c r="T145" s="148"/>
      <c r="U145" s="148"/>
      <c r="V145" s="148"/>
      <c r="W145" s="148"/>
    </row>
    <row r="146" spans="2:30" ht="33.75" customHeight="1" x14ac:dyDescent="0.25">
      <c r="B146" s="787" t="s">
        <v>886</v>
      </c>
      <c r="C146" s="537"/>
      <c r="D146" s="537"/>
      <c r="E146" s="537"/>
      <c r="F146" s="538"/>
      <c r="G146" s="14"/>
      <c r="H146" s="14"/>
      <c r="I146" s="556">
        <f>IFERROR(IF(G130&gt;=G129,I145,((((I145)-(I128-K131))*(((G129-G130)+1)/(2*(G129-G130))))+(I128-K131))),0)</f>
        <v>13600</v>
      </c>
      <c r="J146" s="538"/>
      <c r="K146" s="60"/>
      <c r="L146" s="6"/>
      <c r="M146" s="6"/>
      <c r="N146" s="150"/>
      <c r="O146" s="150"/>
      <c r="P146" s="150"/>
      <c r="Q146" s="150"/>
      <c r="R146" s="150"/>
      <c r="S146" s="151"/>
      <c r="T146" s="151"/>
      <c r="U146" s="151"/>
      <c r="V146" s="151"/>
      <c r="W146" s="151"/>
    </row>
    <row r="147" spans="2:30" ht="44.25" customHeight="1" x14ac:dyDescent="0.25">
      <c r="B147" s="788" t="s">
        <v>888</v>
      </c>
      <c r="C147" s="564"/>
      <c r="D147" s="564"/>
      <c r="E147" s="564"/>
      <c r="F147" s="565"/>
      <c r="G147" s="178"/>
      <c r="H147" s="178"/>
      <c r="I147" s="657">
        <f>G144*I146/12/100</f>
        <v>155.83333333333334</v>
      </c>
      <c r="J147" s="565"/>
      <c r="K147" s="175">
        <f>I147</f>
        <v>155.83333333333334</v>
      </c>
      <c r="L147" s="6"/>
      <c r="M147" s="6"/>
      <c r="N147" s="8"/>
      <c r="O147" s="8"/>
      <c r="P147" s="8"/>
      <c r="Q147" s="8"/>
      <c r="R147" s="8"/>
    </row>
    <row r="148" spans="2:30" ht="15.75" customHeight="1" x14ac:dyDescent="0.25">
      <c r="B148" s="677" t="s">
        <v>348</v>
      </c>
      <c r="C148" s="535"/>
      <c r="D148" s="535"/>
      <c r="E148" s="535"/>
      <c r="F148" s="575"/>
      <c r="G148" s="176"/>
      <c r="H148" s="176"/>
      <c r="I148" s="593"/>
      <c r="J148" s="575"/>
      <c r="K148" s="177">
        <f>SUM(K142+K147)</f>
        <v>778.4287499999997</v>
      </c>
      <c r="L148" s="6"/>
      <c r="M148" s="6"/>
      <c r="N148" s="150"/>
      <c r="O148" s="150"/>
      <c r="P148" s="150"/>
      <c r="Q148" s="150"/>
      <c r="R148" s="150"/>
      <c r="S148" s="151"/>
      <c r="T148" s="151"/>
      <c r="U148" s="151"/>
      <c r="V148" s="151"/>
      <c r="W148" s="151"/>
    </row>
    <row r="149" spans="2:30" ht="15.75" customHeight="1" x14ac:dyDescent="0.25">
      <c r="B149" s="658" t="s">
        <v>349</v>
      </c>
      <c r="C149" s="537"/>
      <c r="D149" s="537"/>
      <c r="E149" s="537"/>
      <c r="F149" s="538"/>
      <c r="G149" s="61">
        <v>1</v>
      </c>
      <c r="H149" s="61" t="s">
        <v>335</v>
      </c>
      <c r="I149" s="659">
        <f>K148</f>
        <v>778.4287499999997</v>
      </c>
      <c r="J149" s="538"/>
      <c r="K149" s="51">
        <f>I149*G149</f>
        <v>778.4287499999997</v>
      </c>
      <c r="L149" s="6"/>
      <c r="M149" s="6"/>
      <c r="N149" s="8"/>
      <c r="O149" s="8"/>
      <c r="P149" s="8"/>
      <c r="Q149" s="8"/>
      <c r="R149" s="8"/>
    </row>
    <row r="150" spans="2:30" ht="15" customHeight="1" x14ac:dyDescent="0.25">
      <c r="B150" s="789" t="s">
        <v>565</v>
      </c>
      <c r="C150" s="542"/>
      <c r="D150" s="542"/>
      <c r="E150" s="542"/>
      <c r="F150" s="542"/>
      <c r="G150" s="542"/>
      <c r="H150" s="542"/>
      <c r="I150" s="542"/>
      <c r="J150" s="542"/>
      <c r="K150" s="577"/>
      <c r="L150" s="6"/>
      <c r="M150" s="6"/>
      <c r="N150" s="150"/>
      <c r="O150" s="150"/>
      <c r="P150" s="150"/>
      <c r="Q150" s="150"/>
      <c r="R150" s="150"/>
      <c r="S150" s="151"/>
      <c r="T150" s="151"/>
      <c r="U150" s="151"/>
      <c r="V150" s="151"/>
      <c r="W150" s="151"/>
    </row>
    <row r="151" spans="2:30" ht="15.75" customHeight="1" x14ac:dyDescent="0.25">
      <c r="B151" s="624"/>
      <c r="C151" s="625"/>
      <c r="D151" s="625"/>
      <c r="E151" s="625"/>
      <c r="F151" s="625"/>
      <c r="G151" s="625"/>
      <c r="H151" s="625"/>
      <c r="I151" s="625"/>
      <c r="J151" s="625"/>
      <c r="K151" s="626"/>
      <c r="L151" s="6"/>
      <c r="M151" s="6"/>
      <c r="N151" s="8"/>
      <c r="O151" s="8"/>
      <c r="P151" s="8"/>
      <c r="Q151" s="8"/>
      <c r="R151" s="8"/>
    </row>
    <row r="152" spans="2:30" ht="24" customHeight="1" x14ac:dyDescent="0.25">
      <c r="B152" s="578"/>
      <c r="C152" s="544"/>
      <c r="D152" s="544"/>
      <c r="E152" s="544"/>
      <c r="F152" s="544"/>
      <c r="G152" s="544"/>
      <c r="H152" s="544"/>
      <c r="I152" s="544"/>
      <c r="J152" s="544"/>
      <c r="K152" s="579"/>
      <c r="L152" s="6"/>
      <c r="M152" s="6"/>
      <c r="N152" s="150"/>
      <c r="O152" s="150"/>
      <c r="P152" s="150"/>
      <c r="Q152" s="150"/>
      <c r="R152" s="8"/>
      <c r="S152" s="151"/>
    </row>
    <row r="153" spans="2:30" ht="15.75" customHeight="1" x14ac:dyDescent="0.25">
      <c r="L153" s="6"/>
      <c r="M153" s="6"/>
      <c r="N153" s="150"/>
      <c r="O153" s="150"/>
      <c r="P153" s="150"/>
      <c r="Q153" s="150"/>
      <c r="R153" s="150"/>
      <c r="S153" s="151"/>
      <c r="T153" s="151"/>
      <c r="U153" s="151"/>
      <c r="V153" s="151"/>
      <c r="W153" s="151"/>
    </row>
    <row r="154" spans="2:30" ht="15.75" customHeight="1" x14ac:dyDescent="0.25">
      <c r="B154" s="598" t="s">
        <v>891</v>
      </c>
      <c r="C154" s="537"/>
      <c r="D154" s="537"/>
      <c r="E154" s="537"/>
      <c r="F154" s="537"/>
      <c r="G154" s="537"/>
      <c r="H154" s="537"/>
      <c r="I154" s="537"/>
      <c r="J154" s="537"/>
      <c r="K154" s="538"/>
      <c r="L154" s="6"/>
      <c r="M154" s="599"/>
      <c r="N154" s="147"/>
      <c r="O154" s="147"/>
      <c r="P154" s="147"/>
      <c r="Q154" s="147"/>
      <c r="R154" s="147"/>
      <c r="S154" s="148"/>
      <c r="T154" s="148"/>
      <c r="U154" s="148"/>
      <c r="V154" s="148"/>
      <c r="W154" s="148"/>
    </row>
    <row r="155" spans="2:30" ht="15.75" customHeight="1" x14ac:dyDescent="0.25">
      <c r="B155" s="637" t="s">
        <v>239</v>
      </c>
      <c r="C155" s="564"/>
      <c r="D155" s="564"/>
      <c r="E155" s="564"/>
      <c r="F155" s="565"/>
      <c r="G155" s="374" t="s">
        <v>118</v>
      </c>
      <c r="H155" s="155" t="s">
        <v>119</v>
      </c>
      <c r="I155" s="637" t="s">
        <v>319</v>
      </c>
      <c r="J155" s="565"/>
      <c r="K155" s="155" t="s">
        <v>275</v>
      </c>
      <c r="L155" s="6"/>
      <c r="M155" s="600"/>
      <c r="N155" s="147"/>
      <c r="O155" s="147"/>
      <c r="P155" s="147"/>
      <c r="Q155" s="147"/>
      <c r="R155" s="147"/>
      <c r="S155" s="148"/>
      <c r="T155" s="148"/>
      <c r="U155" s="148"/>
      <c r="V155" s="148"/>
      <c r="W155" s="148"/>
    </row>
    <row r="156" spans="2:30" ht="15" customHeight="1" x14ac:dyDescent="0.25">
      <c r="B156" s="784" t="s">
        <v>355</v>
      </c>
      <c r="C156" s="535"/>
      <c r="D156" s="535"/>
      <c r="E156" s="535"/>
      <c r="F156" s="575"/>
      <c r="G156" s="194">
        <v>1</v>
      </c>
      <c r="H156" s="194" t="s">
        <v>579</v>
      </c>
      <c r="I156" s="556">
        <f>I123*0.01</f>
        <v>2716.78</v>
      </c>
      <c r="J156" s="538"/>
      <c r="K156" s="60">
        <f>(I156*G156)/12</f>
        <v>226.39833333333334</v>
      </c>
      <c r="L156" s="6"/>
      <c r="M156" s="600"/>
      <c r="N156" s="150"/>
      <c r="O156" s="150"/>
      <c r="P156" s="150"/>
      <c r="Q156" s="150"/>
      <c r="R156" s="150"/>
      <c r="S156" s="151"/>
      <c r="T156" s="151"/>
      <c r="U156" s="151"/>
      <c r="V156" s="151"/>
      <c r="W156" s="151"/>
    </row>
    <row r="157" spans="2:30" ht="15" customHeight="1" x14ac:dyDescent="0.25">
      <c r="B157" s="561" t="s">
        <v>356</v>
      </c>
      <c r="C157" s="537"/>
      <c r="D157" s="537"/>
      <c r="E157" s="537"/>
      <c r="F157" s="538"/>
      <c r="G157" s="194">
        <v>1</v>
      </c>
      <c r="H157" s="194" t="s">
        <v>579</v>
      </c>
      <c r="I157" s="648">
        <v>109.27</v>
      </c>
      <c r="J157" s="538"/>
      <c r="K157" s="376">
        <f>I157/12</f>
        <v>9.105833333333333</v>
      </c>
      <c r="L157" s="6"/>
      <c r="M157" s="600"/>
      <c r="N157" s="8"/>
      <c r="O157" s="8"/>
      <c r="P157" s="8"/>
      <c r="Q157" s="8"/>
      <c r="R157" s="8"/>
    </row>
    <row r="158" spans="2:30" ht="15" customHeight="1" x14ac:dyDescent="0.25">
      <c r="B158" s="561" t="s">
        <v>895</v>
      </c>
      <c r="C158" s="537"/>
      <c r="D158" s="537"/>
      <c r="E158" s="537"/>
      <c r="F158" s="538"/>
      <c r="G158" s="194">
        <v>1</v>
      </c>
      <c r="H158" s="194" t="s">
        <v>579</v>
      </c>
      <c r="I158" s="648">
        <v>0</v>
      </c>
      <c r="J158" s="538"/>
      <c r="K158" s="376">
        <f>I158/60</f>
        <v>0</v>
      </c>
      <c r="L158" s="6"/>
      <c r="M158" s="600"/>
      <c r="N158" s="150"/>
      <c r="O158" s="150"/>
      <c r="P158" s="150"/>
      <c r="Q158" s="150"/>
      <c r="R158" s="150"/>
      <c r="S158" s="151"/>
      <c r="T158" s="151"/>
      <c r="U158" s="151"/>
      <c r="V158" s="151"/>
      <c r="W158" s="151"/>
      <c r="AD158" s="29"/>
    </row>
    <row r="159" spans="2:30" ht="15" customHeight="1" x14ac:dyDescent="0.25">
      <c r="B159" s="561" t="s">
        <v>358</v>
      </c>
      <c r="C159" s="537"/>
      <c r="D159" s="537"/>
      <c r="E159" s="537"/>
      <c r="F159" s="538"/>
      <c r="G159" s="194">
        <v>1</v>
      </c>
      <c r="H159" s="194" t="s">
        <v>579</v>
      </c>
      <c r="I159" s="648">
        <f>'10 - CUSTOS UN'!J255</f>
        <v>2750.0266666666666</v>
      </c>
      <c r="J159" s="538"/>
      <c r="K159" s="226">
        <f>I159/12</f>
        <v>229.16888888888889</v>
      </c>
      <c r="L159" s="6"/>
      <c r="M159" s="600"/>
      <c r="N159" s="8"/>
      <c r="O159" s="8"/>
      <c r="P159" s="8"/>
      <c r="Q159" s="8"/>
      <c r="R159" s="8"/>
      <c r="AD159" s="29"/>
    </row>
    <row r="160" spans="2:30" ht="15" customHeight="1" x14ac:dyDescent="0.25">
      <c r="B160" s="783" t="s">
        <v>359</v>
      </c>
      <c r="C160" s="564"/>
      <c r="D160" s="564"/>
      <c r="E160" s="564"/>
      <c r="F160" s="565"/>
      <c r="G160" s="377">
        <v>1</v>
      </c>
      <c r="H160" s="377" t="s">
        <v>579</v>
      </c>
      <c r="I160" s="649">
        <f>'10 - CUSTOS UN'!J233</f>
        <v>57.093333333333334</v>
      </c>
      <c r="J160" s="565"/>
      <c r="K160" s="378">
        <v>52.94</v>
      </c>
      <c r="L160" s="6"/>
      <c r="M160" s="600"/>
      <c r="N160" s="150"/>
      <c r="O160" s="150"/>
      <c r="P160" s="150"/>
      <c r="Q160" s="150"/>
      <c r="R160" s="150"/>
      <c r="S160" s="151"/>
      <c r="T160" s="151"/>
      <c r="U160" s="151"/>
      <c r="V160" s="151"/>
      <c r="W160" s="151"/>
      <c r="AD160" s="29"/>
    </row>
    <row r="161" spans="2:30" ht="15.75" customHeight="1" x14ac:dyDescent="0.25">
      <c r="B161" s="628" t="s">
        <v>360</v>
      </c>
      <c r="C161" s="611"/>
      <c r="D161" s="611"/>
      <c r="E161" s="611"/>
      <c r="F161" s="612"/>
      <c r="G161" s="181">
        <v>1</v>
      </c>
      <c r="H161" s="181" t="s">
        <v>119</v>
      </c>
      <c r="I161" s="629">
        <f>SUM(K156:K160)/G161</f>
        <v>517.61305555555555</v>
      </c>
      <c r="J161" s="612"/>
      <c r="K161" s="184">
        <f>I161*G161</f>
        <v>517.61305555555555</v>
      </c>
      <c r="L161" s="6"/>
      <c r="M161" s="601"/>
      <c r="N161" s="8"/>
      <c r="O161" s="8"/>
      <c r="P161" s="8"/>
      <c r="Q161" s="8"/>
      <c r="R161" s="8"/>
      <c r="AD161" s="29"/>
    </row>
    <row r="162" spans="2:30" ht="15.75" customHeight="1" x14ac:dyDescent="0.25">
      <c r="B162" s="148"/>
      <c r="C162" s="148"/>
      <c r="D162" s="148"/>
      <c r="E162" s="148"/>
      <c r="F162" s="148"/>
      <c r="G162" s="148"/>
      <c r="H162" s="148"/>
      <c r="I162" s="148"/>
      <c r="J162" s="148"/>
      <c r="K162" s="148"/>
      <c r="L162" s="6"/>
      <c r="M162" s="6"/>
      <c r="N162" s="150"/>
      <c r="O162" s="150"/>
      <c r="P162" s="150"/>
      <c r="Q162" s="150"/>
      <c r="R162" s="150"/>
      <c r="S162" s="151"/>
      <c r="T162" s="151"/>
      <c r="U162" s="151"/>
      <c r="V162" s="151"/>
      <c r="W162" s="151"/>
      <c r="AD162" s="29"/>
    </row>
    <row r="163" spans="2:30" ht="15.75" customHeight="1" x14ac:dyDescent="0.25">
      <c r="B163" s="598" t="s">
        <v>913</v>
      </c>
      <c r="C163" s="537"/>
      <c r="D163" s="537"/>
      <c r="E163" s="537"/>
      <c r="F163" s="537"/>
      <c r="G163" s="537"/>
      <c r="H163" s="537"/>
      <c r="I163" s="537"/>
      <c r="J163" s="537"/>
      <c r="K163" s="538"/>
      <c r="L163" s="6"/>
      <c r="M163" s="6"/>
      <c r="N163" s="8"/>
      <c r="O163" s="8"/>
      <c r="P163" s="8"/>
      <c r="Q163" s="8"/>
      <c r="R163" s="150"/>
      <c r="T163" s="151"/>
      <c r="U163" s="151"/>
      <c r="V163" s="151"/>
      <c r="W163" s="151"/>
      <c r="AD163" s="29"/>
    </row>
    <row r="164" spans="2:30" ht="15.75" customHeight="1" x14ac:dyDescent="0.25">
      <c r="B164" s="637" t="s">
        <v>239</v>
      </c>
      <c r="C164" s="564"/>
      <c r="D164" s="564"/>
      <c r="E164" s="564"/>
      <c r="F164" s="565"/>
      <c r="G164" s="170" t="s">
        <v>118</v>
      </c>
      <c r="H164" s="155" t="s">
        <v>119</v>
      </c>
      <c r="I164" s="637" t="s">
        <v>319</v>
      </c>
      <c r="J164" s="565"/>
      <c r="K164" s="155" t="s">
        <v>275</v>
      </c>
      <c r="L164" s="6"/>
      <c r="M164" s="6"/>
      <c r="N164" s="150"/>
      <c r="O164" s="150"/>
      <c r="P164" s="150"/>
      <c r="Q164" s="150"/>
      <c r="R164" s="150"/>
      <c r="S164" s="151"/>
      <c r="T164" s="151"/>
      <c r="U164" s="151"/>
      <c r="V164" s="151"/>
      <c r="W164" s="151"/>
    </row>
    <row r="165" spans="2:30" ht="15" customHeight="1" x14ac:dyDescent="0.25">
      <c r="B165" s="675" t="s">
        <v>363</v>
      </c>
      <c r="C165" s="535"/>
      <c r="D165" s="535"/>
      <c r="E165" s="535"/>
      <c r="F165" s="575"/>
      <c r="G165" s="186">
        <v>900</v>
      </c>
      <c r="H165" s="14" t="s">
        <v>364</v>
      </c>
      <c r="I165" s="556"/>
      <c r="J165" s="538"/>
      <c r="K165" s="60"/>
      <c r="L165" s="6"/>
      <c r="M165" s="6"/>
      <c r="N165" s="8"/>
      <c r="O165" s="8"/>
      <c r="P165" s="8"/>
      <c r="Q165" s="8"/>
      <c r="R165" s="8"/>
    </row>
    <row r="166" spans="2:30" ht="15.75" customHeight="1" x14ac:dyDescent="0.25">
      <c r="B166" s="571" t="s">
        <v>365</v>
      </c>
      <c r="C166" s="537"/>
      <c r="D166" s="537"/>
      <c r="E166" s="537"/>
      <c r="F166" s="538"/>
      <c r="G166" s="14">
        <v>3.5</v>
      </c>
      <c r="H166" s="14" t="s">
        <v>367</v>
      </c>
      <c r="I166" s="680"/>
      <c r="J166" s="538"/>
      <c r="K166" s="193"/>
      <c r="L166" s="6"/>
      <c r="M166" s="64"/>
      <c r="N166" s="147"/>
      <c r="O166" s="147"/>
      <c r="P166" s="147"/>
      <c r="Q166" s="147"/>
      <c r="R166" s="147"/>
      <c r="S166" s="148"/>
      <c r="T166" s="148"/>
      <c r="U166" s="148"/>
      <c r="V166" s="148"/>
      <c r="W166" s="148"/>
    </row>
    <row r="167" spans="2:30" ht="15.75" customHeight="1" x14ac:dyDescent="0.25">
      <c r="B167" s="571" t="s">
        <v>930</v>
      </c>
      <c r="C167" s="537"/>
      <c r="D167" s="537"/>
      <c r="E167" s="537"/>
      <c r="F167" s="538"/>
      <c r="G167" s="14">
        <v>1</v>
      </c>
      <c r="H167" s="14" t="s">
        <v>369</v>
      </c>
      <c r="I167" s="683">
        <v>7.48</v>
      </c>
      <c r="J167" s="538"/>
      <c r="K167" s="60"/>
      <c r="L167" s="6"/>
      <c r="M167" s="64"/>
      <c r="N167" s="147"/>
      <c r="O167" s="147"/>
      <c r="P167" s="147"/>
      <c r="Q167" s="147"/>
      <c r="R167" s="147"/>
      <c r="S167" s="148"/>
      <c r="T167" s="148"/>
      <c r="U167" s="148"/>
      <c r="V167" s="148"/>
      <c r="W167" s="148"/>
    </row>
    <row r="168" spans="2:30" ht="15.75" customHeight="1" x14ac:dyDescent="0.25">
      <c r="B168" s="684" t="s">
        <v>371</v>
      </c>
      <c r="C168" s="564"/>
      <c r="D168" s="564"/>
      <c r="E168" s="564"/>
      <c r="F168" s="565"/>
      <c r="G168" s="188">
        <f>G165/G166</f>
        <v>257.14285714285717</v>
      </c>
      <c r="H168" s="174" t="s">
        <v>372</v>
      </c>
      <c r="I168" s="657">
        <f>I167</f>
        <v>7.48</v>
      </c>
      <c r="J168" s="565"/>
      <c r="K168" s="175">
        <f t="shared" ref="K168:K169" si="13">I168*G168</f>
        <v>1923.4285714285718</v>
      </c>
      <c r="L168" s="6"/>
      <c r="M168" s="6"/>
      <c r="N168" s="8"/>
      <c r="O168" s="8"/>
      <c r="P168" s="8"/>
      <c r="Q168" s="8"/>
      <c r="R168" s="8"/>
      <c r="T168" s="227"/>
      <c r="U168" s="227"/>
    </row>
    <row r="169" spans="2:30" ht="15.75" customHeight="1" x14ac:dyDescent="0.25">
      <c r="B169" s="628" t="s">
        <v>374</v>
      </c>
      <c r="C169" s="611"/>
      <c r="D169" s="611"/>
      <c r="E169" s="611"/>
      <c r="F169" s="612"/>
      <c r="G169" s="181">
        <v>1</v>
      </c>
      <c r="H169" s="181" t="s">
        <v>119</v>
      </c>
      <c r="I169" s="629">
        <f>K168</f>
        <v>1923.4285714285718</v>
      </c>
      <c r="J169" s="612"/>
      <c r="K169" s="184">
        <f t="shared" si="13"/>
        <v>1923.4285714285718</v>
      </c>
      <c r="L169" s="6"/>
      <c r="M169" s="6"/>
      <c r="N169" s="150"/>
      <c r="O169" s="150"/>
      <c r="P169" s="150"/>
      <c r="Q169" s="150"/>
      <c r="R169" s="150"/>
      <c r="S169" s="151"/>
      <c r="T169" s="151"/>
      <c r="U169" s="151"/>
      <c r="V169" s="151"/>
      <c r="W169" s="151"/>
    </row>
    <row r="170" spans="2:30" ht="15" customHeight="1" x14ac:dyDescent="0.25">
      <c r="B170" s="785" t="s">
        <v>376</v>
      </c>
      <c r="C170" s="537"/>
      <c r="D170" s="537"/>
      <c r="E170" s="537"/>
      <c r="F170" s="537"/>
      <c r="G170" s="537"/>
      <c r="H170" s="537"/>
      <c r="I170" s="537"/>
      <c r="J170" s="537"/>
      <c r="K170" s="538"/>
      <c r="L170" s="6"/>
      <c r="M170" s="6"/>
      <c r="N170" s="8"/>
      <c r="O170" s="8"/>
      <c r="P170" s="8"/>
      <c r="Q170" s="8"/>
      <c r="R170" s="8"/>
    </row>
    <row r="171" spans="2:30" ht="15.75" customHeight="1" x14ac:dyDescent="0.25"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6"/>
      <c r="M171" s="6"/>
      <c r="N171" s="8"/>
      <c r="O171" s="8"/>
      <c r="P171" s="8"/>
      <c r="Q171" s="8"/>
      <c r="R171" s="8"/>
    </row>
    <row r="172" spans="2:30" ht="15.75" customHeight="1" x14ac:dyDescent="0.25">
      <c r="B172" s="598" t="s">
        <v>948</v>
      </c>
      <c r="C172" s="537"/>
      <c r="D172" s="537"/>
      <c r="E172" s="537"/>
      <c r="F172" s="537"/>
      <c r="G172" s="537"/>
      <c r="H172" s="537"/>
      <c r="I172" s="537"/>
      <c r="J172" s="537"/>
      <c r="K172" s="538"/>
      <c r="L172" s="6"/>
      <c r="M172" s="6"/>
      <c r="N172" s="150"/>
      <c r="O172" s="150"/>
      <c r="P172" s="150"/>
      <c r="Q172" s="150"/>
      <c r="R172" s="150"/>
      <c r="S172" s="151"/>
      <c r="T172" s="151"/>
      <c r="U172" s="151"/>
      <c r="V172" s="151"/>
      <c r="W172" s="151"/>
    </row>
    <row r="173" spans="2:30" ht="15.75" customHeight="1" x14ac:dyDescent="0.25">
      <c r="B173" s="637" t="s">
        <v>239</v>
      </c>
      <c r="C173" s="564"/>
      <c r="D173" s="564"/>
      <c r="E173" s="564"/>
      <c r="F173" s="565"/>
      <c r="G173" s="170" t="s">
        <v>118</v>
      </c>
      <c r="H173" s="155" t="s">
        <v>119</v>
      </c>
      <c r="I173" s="637" t="s">
        <v>319</v>
      </c>
      <c r="J173" s="565"/>
      <c r="K173" s="155" t="s">
        <v>320</v>
      </c>
      <c r="L173" s="6"/>
      <c r="M173" s="6"/>
      <c r="N173" s="150"/>
      <c r="O173" s="150"/>
      <c r="P173" s="150"/>
      <c r="Q173" s="150"/>
      <c r="R173" s="150"/>
      <c r="S173" s="151"/>
      <c r="T173" s="151"/>
      <c r="U173" s="151"/>
      <c r="V173" s="151"/>
      <c r="W173" s="151"/>
    </row>
    <row r="174" spans="2:30" ht="15.75" customHeight="1" x14ac:dyDescent="0.25">
      <c r="B174" s="675" t="s">
        <v>381</v>
      </c>
      <c r="C174" s="535"/>
      <c r="D174" s="535"/>
      <c r="E174" s="535"/>
      <c r="F174" s="575"/>
      <c r="G174" s="73">
        <v>2</v>
      </c>
      <c r="H174" s="14" t="s">
        <v>382</v>
      </c>
      <c r="I174" s="556">
        <f>'10 - CUSTOS UN'!J216</f>
        <v>20.973333333333333</v>
      </c>
      <c r="J174" s="538"/>
      <c r="K174" s="60">
        <f t="shared" ref="K174:K175" si="14">I174*G174</f>
        <v>41.946666666666665</v>
      </c>
      <c r="L174" s="232"/>
      <c r="M174" s="232"/>
      <c r="N174" s="234"/>
      <c r="O174" s="236"/>
      <c r="P174" s="150"/>
      <c r="Q174" s="150"/>
      <c r="R174" s="150"/>
      <c r="S174" s="151"/>
      <c r="T174" s="151"/>
      <c r="U174" s="151"/>
      <c r="V174" s="151"/>
      <c r="W174" s="151"/>
    </row>
    <row r="175" spans="2:30" ht="15.75" customHeight="1" x14ac:dyDescent="0.25">
      <c r="B175" s="679" t="s">
        <v>384</v>
      </c>
      <c r="C175" s="537"/>
      <c r="D175" s="537"/>
      <c r="E175" s="537"/>
      <c r="F175" s="538"/>
      <c r="G175" s="15">
        <f>G165</f>
        <v>900</v>
      </c>
      <c r="H175" s="17" t="s">
        <v>364</v>
      </c>
      <c r="I175" s="680">
        <f>K174/1000</f>
        <v>4.1946666666666667E-2</v>
      </c>
      <c r="J175" s="538"/>
      <c r="K175" s="193">
        <f t="shared" si="14"/>
        <v>37.752000000000002</v>
      </c>
      <c r="L175" s="6"/>
      <c r="M175" s="6"/>
      <c r="N175" s="150"/>
      <c r="O175" s="150"/>
      <c r="P175" s="150"/>
      <c r="Q175" s="150"/>
      <c r="R175" s="150"/>
      <c r="S175" s="151"/>
      <c r="T175" s="151"/>
      <c r="U175" s="151"/>
      <c r="V175" s="151"/>
      <c r="W175" s="151"/>
    </row>
    <row r="176" spans="2:30" ht="15.75" customHeight="1" x14ac:dyDescent="0.25">
      <c r="B176" s="571" t="s">
        <v>387</v>
      </c>
      <c r="C176" s="537"/>
      <c r="D176" s="537"/>
      <c r="E176" s="537"/>
      <c r="F176" s="538"/>
      <c r="G176" s="171">
        <v>0.5</v>
      </c>
      <c r="H176" s="14" t="s">
        <v>382</v>
      </c>
      <c r="I176" s="556">
        <f>'10 - CUSTOS UN'!J219</f>
        <v>34.336666666666666</v>
      </c>
      <c r="J176" s="538"/>
      <c r="K176" s="60">
        <f>G176*I176</f>
        <v>17.168333333333333</v>
      </c>
      <c r="L176" s="6"/>
      <c r="M176" s="6"/>
      <c r="N176" s="150"/>
      <c r="O176" s="150"/>
      <c r="P176" s="150"/>
      <c r="Q176" s="150"/>
      <c r="R176" s="150"/>
      <c r="S176" s="151"/>
      <c r="T176" s="151"/>
      <c r="U176" s="151"/>
      <c r="V176" s="151"/>
      <c r="W176" s="151"/>
    </row>
    <row r="177" spans="2:23" ht="15.75" customHeight="1" x14ac:dyDescent="0.25">
      <c r="B177" s="679" t="s">
        <v>390</v>
      </c>
      <c r="C177" s="537"/>
      <c r="D177" s="537"/>
      <c r="E177" s="537"/>
      <c r="F177" s="538"/>
      <c r="G177" s="15">
        <f>G165</f>
        <v>900</v>
      </c>
      <c r="H177" s="17" t="s">
        <v>364</v>
      </c>
      <c r="I177" s="680">
        <f>K176/1000</f>
        <v>1.7168333333333334E-2</v>
      </c>
      <c r="J177" s="538"/>
      <c r="K177" s="193">
        <f t="shared" ref="K177:K180" si="15">I177*G177</f>
        <v>15.451500000000001</v>
      </c>
      <c r="L177" s="6"/>
      <c r="M177" s="6"/>
      <c r="N177" s="150"/>
      <c r="O177" s="150"/>
      <c r="P177" s="150"/>
      <c r="Q177" s="150"/>
      <c r="R177" s="150"/>
      <c r="S177" s="151"/>
      <c r="T177" s="151"/>
      <c r="U177" s="151"/>
      <c r="V177" s="151"/>
      <c r="W177" s="151"/>
    </row>
    <row r="178" spans="2:23" ht="15.75" customHeight="1" x14ac:dyDescent="0.25">
      <c r="B178" s="571" t="s">
        <v>397</v>
      </c>
      <c r="C178" s="537"/>
      <c r="D178" s="537"/>
      <c r="E178" s="537"/>
      <c r="F178" s="538"/>
      <c r="G178" s="14">
        <v>2</v>
      </c>
      <c r="H178" s="14" t="s">
        <v>398</v>
      </c>
      <c r="I178" s="556">
        <f>'10 - CUSTOS UN'!J228</f>
        <v>43.276666666666664</v>
      </c>
      <c r="J178" s="538"/>
      <c r="K178" s="60">
        <f t="shared" si="15"/>
        <v>86.553333333333327</v>
      </c>
      <c r="L178" s="6"/>
      <c r="M178" s="6"/>
      <c r="N178" s="150"/>
      <c r="O178" s="150"/>
      <c r="P178" s="150"/>
      <c r="Q178" s="150"/>
      <c r="R178" s="150"/>
      <c r="S178" s="151"/>
      <c r="T178" s="151"/>
      <c r="U178" s="151"/>
      <c r="V178" s="151"/>
      <c r="W178" s="151"/>
    </row>
    <row r="179" spans="2:23" ht="15.75" customHeight="1" x14ac:dyDescent="0.25">
      <c r="B179" s="684" t="s">
        <v>399</v>
      </c>
      <c r="C179" s="564"/>
      <c r="D179" s="564"/>
      <c r="E179" s="564"/>
      <c r="F179" s="565"/>
      <c r="G179" s="395">
        <f>G165</f>
        <v>900</v>
      </c>
      <c r="H179" s="174" t="s">
        <v>364</v>
      </c>
      <c r="I179" s="657">
        <f>K178/1000</f>
        <v>8.6553333333333329E-2</v>
      </c>
      <c r="J179" s="565"/>
      <c r="K179" s="175">
        <f t="shared" si="15"/>
        <v>77.897999999999996</v>
      </c>
      <c r="L179" s="6"/>
      <c r="M179" s="6"/>
      <c r="N179" s="8"/>
      <c r="O179" s="8"/>
      <c r="P179" s="8"/>
      <c r="Q179" s="8"/>
      <c r="R179" s="150"/>
      <c r="T179" s="151"/>
      <c r="U179" s="151"/>
      <c r="V179" s="151"/>
      <c r="W179" s="151"/>
    </row>
    <row r="180" spans="2:23" ht="15.75" customHeight="1" x14ac:dyDescent="0.25">
      <c r="B180" s="628" t="s">
        <v>401</v>
      </c>
      <c r="C180" s="611"/>
      <c r="D180" s="611"/>
      <c r="E180" s="611"/>
      <c r="F180" s="612"/>
      <c r="G180" s="181">
        <v>1</v>
      </c>
      <c r="H180" s="181" t="s">
        <v>119</v>
      </c>
      <c r="I180" s="629">
        <f>SUM(K175,K177,K179)</f>
        <v>131.10149999999999</v>
      </c>
      <c r="J180" s="612"/>
      <c r="K180" s="184">
        <f t="shared" si="15"/>
        <v>131.10149999999999</v>
      </c>
      <c r="L180" s="6"/>
      <c r="M180" s="6"/>
      <c r="N180" s="150"/>
      <c r="O180" s="150"/>
      <c r="P180" s="150"/>
      <c r="Q180" s="150"/>
      <c r="R180" s="8"/>
      <c r="S180" s="151"/>
    </row>
    <row r="181" spans="2:23" ht="15.75" customHeight="1" x14ac:dyDescent="0.25">
      <c r="B181" s="151"/>
      <c r="C181" s="151"/>
      <c r="D181" s="151"/>
      <c r="E181" s="151"/>
      <c r="F181" s="151"/>
      <c r="G181" s="151"/>
      <c r="H181" s="151"/>
      <c r="I181" s="151"/>
      <c r="J181" s="151"/>
      <c r="K181" s="151"/>
      <c r="L181" s="6"/>
      <c r="M181" s="6"/>
      <c r="N181" s="150"/>
      <c r="O181" s="150"/>
      <c r="P181" s="150"/>
      <c r="Q181" s="150"/>
      <c r="R181" s="150"/>
      <c r="S181" s="151"/>
      <c r="T181" s="151"/>
      <c r="U181" s="151"/>
      <c r="V181" s="151"/>
      <c r="W181" s="151"/>
    </row>
    <row r="182" spans="2:23" ht="15.75" customHeight="1" x14ac:dyDescent="0.25">
      <c r="B182" s="598" t="s">
        <v>964</v>
      </c>
      <c r="C182" s="537"/>
      <c r="D182" s="537"/>
      <c r="E182" s="537"/>
      <c r="F182" s="537"/>
      <c r="G182" s="537"/>
      <c r="H182" s="537"/>
      <c r="I182" s="537"/>
      <c r="J182" s="537"/>
      <c r="K182" s="538"/>
      <c r="L182" s="6"/>
      <c r="M182" s="6"/>
      <c r="N182" s="8"/>
      <c r="O182" s="8"/>
      <c r="P182" s="8"/>
      <c r="Q182" s="8"/>
      <c r="R182" s="8"/>
    </row>
    <row r="183" spans="2:23" ht="15" customHeight="1" x14ac:dyDescent="0.25">
      <c r="B183" s="637" t="s">
        <v>239</v>
      </c>
      <c r="C183" s="564"/>
      <c r="D183" s="564"/>
      <c r="E183" s="564"/>
      <c r="F183" s="565"/>
      <c r="G183" s="170" t="s">
        <v>118</v>
      </c>
      <c r="H183" s="155" t="s">
        <v>119</v>
      </c>
      <c r="I183" s="637" t="s">
        <v>319</v>
      </c>
      <c r="J183" s="565"/>
      <c r="K183" s="155" t="s">
        <v>320</v>
      </c>
      <c r="L183" s="6"/>
      <c r="M183" s="6"/>
      <c r="N183" s="8"/>
      <c r="O183" s="8"/>
      <c r="P183" s="8"/>
      <c r="Q183" s="8"/>
      <c r="R183" s="8"/>
    </row>
    <row r="184" spans="2:23" ht="15.75" customHeight="1" x14ac:dyDescent="0.25">
      <c r="B184" s="675" t="s">
        <v>965</v>
      </c>
      <c r="C184" s="535"/>
      <c r="D184" s="535"/>
      <c r="E184" s="535"/>
      <c r="F184" s="575"/>
      <c r="G184" s="14">
        <v>6</v>
      </c>
      <c r="H184" s="14" t="s">
        <v>335</v>
      </c>
      <c r="I184" s="786">
        <f>'10 - CUSTOS UN'!J201</f>
        <v>720.73666666666668</v>
      </c>
      <c r="J184" s="538"/>
      <c r="K184" s="86">
        <f>I184*G184</f>
        <v>4324.42</v>
      </c>
      <c r="L184" s="6"/>
      <c r="M184" s="6"/>
      <c r="N184" s="8"/>
      <c r="O184" s="8"/>
      <c r="P184" s="8"/>
      <c r="Q184" s="8"/>
      <c r="R184" s="8"/>
    </row>
    <row r="185" spans="2:23" ht="15.75" customHeight="1" x14ac:dyDescent="0.25">
      <c r="B185" s="571" t="s">
        <v>407</v>
      </c>
      <c r="C185" s="537"/>
      <c r="D185" s="537"/>
      <c r="E185" s="537"/>
      <c r="F185" s="538"/>
      <c r="G185" s="14">
        <v>3</v>
      </c>
      <c r="H185" s="14" t="s">
        <v>335</v>
      </c>
      <c r="I185" s="617"/>
      <c r="J185" s="538"/>
      <c r="K185" s="173"/>
      <c r="L185" s="6"/>
      <c r="M185" s="6"/>
      <c r="N185" s="8"/>
      <c r="O185" s="8"/>
      <c r="P185" s="8"/>
      <c r="Q185" s="8"/>
      <c r="R185" s="8"/>
    </row>
    <row r="186" spans="2:23" ht="15.75" customHeight="1" x14ac:dyDescent="0.25">
      <c r="B186" s="571" t="s">
        <v>408</v>
      </c>
      <c r="C186" s="537"/>
      <c r="D186" s="537"/>
      <c r="E186" s="537"/>
      <c r="F186" s="538"/>
      <c r="G186" s="14">
        <f>G185*G184</f>
        <v>18</v>
      </c>
      <c r="H186" s="14" t="s">
        <v>335</v>
      </c>
      <c r="I186" s="556">
        <f>'10 - CUSTOS UN'!J265</f>
        <v>427.38333333333338</v>
      </c>
      <c r="J186" s="538"/>
      <c r="K186" s="60">
        <f>I186*G186</f>
        <v>7692.9000000000005</v>
      </c>
      <c r="L186" s="6"/>
      <c r="M186" s="6"/>
      <c r="N186" s="8"/>
      <c r="O186" s="8"/>
      <c r="P186" s="8"/>
      <c r="Q186" s="8"/>
      <c r="R186" s="8"/>
    </row>
    <row r="187" spans="2:23" ht="15.75" customHeight="1" x14ac:dyDescent="0.25">
      <c r="B187" s="571" t="s">
        <v>411</v>
      </c>
      <c r="C187" s="537"/>
      <c r="D187" s="537"/>
      <c r="E187" s="537"/>
      <c r="F187" s="538"/>
      <c r="G187" s="15">
        <v>30000</v>
      </c>
      <c r="H187" s="14" t="s">
        <v>413</v>
      </c>
      <c r="I187" s="617"/>
      <c r="J187" s="538"/>
      <c r="K187" s="173"/>
      <c r="L187" s="6"/>
      <c r="M187" s="6"/>
      <c r="N187" s="8"/>
      <c r="O187" s="8"/>
      <c r="P187" s="8"/>
      <c r="Q187" s="8"/>
      <c r="R187" s="8"/>
    </row>
    <row r="188" spans="2:23" ht="15.75" customHeight="1" x14ac:dyDescent="0.25">
      <c r="B188" s="571" t="s">
        <v>414</v>
      </c>
      <c r="C188" s="537"/>
      <c r="D188" s="537"/>
      <c r="E188" s="537"/>
      <c r="F188" s="538"/>
      <c r="G188" s="15">
        <f>15/20*G187</f>
        <v>22500</v>
      </c>
      <c r="H188" s="14" t="s">
        <v>413</v>
      </c>
      <c r="I188" s="617"/>
      <c r="J188" s="538"/>
      <c r="K188" s="173"/>
      <c r="L188" s="6"/>
      <c r="M188" s="6"/>
      <c r="N188" s="8"/>
      <c r="O188" s="8"/>
      <c r="P188" s="8"/>
      <c r="Q188" s="8"/>
      <c r="R188" s="8"/>
    </row>
    <row r="189" spans="2:23" ht="15.75" customHeight="1" x14ac:dyDescent="0.25">
      <c r="B189" s="571" t="s">
        <v>415</v>
      </c>
      <c r="C189" s="537"/>
      <c r="D189" s="537"/>
      <c r="E189" s="537"/>
      <c r="F189" s="538"/>
      <c r="G189" s="15">
        <f>G187+G188*G185</f>
        <v>97500</v>
      </c>
      <c r="H189" s="14" t="s">
        <v>417</v>
      </c>
      <c r="I189" s="556">
        <f>K186+K184</f>
        <v>12017.32</v>
      </c>
      <c r="J189" s="538"/>
      <c r="K189" s="60">
        <f>I189/G189</f>
        <v>0.12325456410256409</v>
      </c>
      <c r="L189" s="6"/>
      <c r="M189" s="6"/>
      <c r="N189" s="8"/>
      <c r="O189" s="8"/>
      <c r="P189" s="8"/>
      <c r="Q189" s="8"/>
      <c r="R189" s="8"/>
    </row>
    <row r="190" spans="2:23" ht="15.75" customHeight="1" x14ac:dyDescent="0.25">
      <c r="B190" s="684" t="s">
        <v>418</v>
      </c>
      <c r="C190" s="564"/>
      <c r="D190" s="564"/>
      <c r="E190" s="564"/>
      <c r="F190" s="565"/>
      <c r="G190" s="188">
        <f>G165</f>
        <v>900</v>
      </c>
      <c r="H190" s="174" t="s">
        <v>413</v>
      </c>
      <c r="I190" s="657">
        <f t="shared" ref="I190:I191" si="16">K189</f>
        <v>0.12325456410256409</v>
      </c>
      <c r="J190" s="565"/>
      <c r="K190" s="175">
        <f t="shared" ref="K190:K191" si="17">I190*G190</f>
        <v>110.92910769230768</v>
      </c>
      <c r="L190" s="6"/>
      <c r="M190" s="6"/>
      <c r="N190" s="8"/>
      <c r="O190" s="8"/>
      <c r="P190" s="8"/>
      <c r="Q190" s="8"/>
      <c r="R190" s="8"/>
    </row>
    <row r="191" spans="2:23" ht="15.75" customHeight="1" x14ac:dyDescent="0.25">
      <c r="B191" s="628" t="s">
        <v>420</v>
      </c>
      <c r="C191" s="611"/>
      <c r="D191" s="611"/>
      <c r="E191" s="611"/>
      <c r="F191" s="612"/>
      <c r="G191" s="181">
        <v>1</v>
      </c>
      <c r="H191" s="181" t="s">
        <v>119</v>
      </c>
      <c r="I191" s="629">
        <f t="shared" si="16"/>
        <v>110.92910769230768</v>
      </c>
      <c r="J191" s="612"/>
      <c r="K191" s="184">
        <f t="shared" si="17"/>
        <v>110.92910769230768</v>
      </c>
      <c r="L191" s="6"/>
      <c r="M191" s="6"/>
      <c r="N191" s="8"/>
      <c r="O191" s="8"/>
      <c r="P191" s="8"/>
      <c r="Q191" s="8"/>
      <c r="R191" s="8"/>
    </row>
    <row r="192" spans="2:23" ht="15.75" customHeight="1" x14ac:dyDescent="0.25">
      <c r="L192" s="6"/>
      <c r="M192" s="6"/>
      <c r="N192" s="8"/>
      <c r="O192" s="8"/>
      <c r="P192" s="8"/>
      <c r="Q192" s="8"/>
      <c r="R192" s="8"/>
    </row>
    <row r="193" spans="2:18" ht="15.75" customHeight="1" x14ac:dyDescent="0.25">
      <c r="B193" s="598" t="s">
        <v>966</v>
      </c>
      <c r="C193" s="537"/>
      <c r="D193" s="537"/>
      <c r="E193" s="537"/>
      <c r="F193" s="537"/>
      <c r="G193" s="537"/>
      <c r="H193" s="537"/>
      <c r="I193" s="537"/>
      <c r="J193" s="537"/>
      <c r="K193" s="538"/>
      <c r="L193" s="6"/>
      <c r="M193" s="6"/>
      <c r="N193" s="8"/>
      <c r="O193" s="8"/>
      <c r="P193" s="8"/>
      <c r="Q193" s="8"/>
      <c r="R193" s="8"/>
    </row>
    <row r="194" spans="2:18" ht="15.75" customHeight="1" x14ac:dyDescent="0.25">
      <c r="B194" s="637" t="s">
        <v>239</v>
      </c>
      <c r="C194" s="564"/>
      <c r="D194" s="564"/>
      <c r="E194" s="564"/>
      <c r="F194" s="565"/>
      <c r="G194" s="170" t="s">
        <v>118</v>
      </c>
      <c r="H194" s="155" t="s">
        <v>119</v>
      </c>
      <c r="I194" s="637" t="s">
        <v>319</v>
      </c>
      <c r="J194" s="565"/>
      <c r="K194" s="155" t="s">
        <v>320</v>
      </c>
      <c r="L194" s="6"/>
      <c r="M194" s="6"/>
      <c r="N194" s="8"/>
      <c r="O194" s="8"/>
      <c r="P194" s="8"/>
      <c r="Q194" s="8"/>
      <c r="R194" s="8"/>
    </row>
    <row r="195" spans="2:18" ht="15.75" customHeight="1" x14ac:dyDescent="0.25">
      <c r="B195" s="687" t="s">
        <v>967</v>
      </c>
      <c r="C195" s="532"/>
      <c r="D195" s="532"/>
      <c r="E195" s="532"/>
      <c r="F195" s="688"/>
      <c r="G195" s="203">
        <f>G165</f>
        <v>900</v>
      </c>
      <c r="H195" s="204" t="s">
        <v>364</v>
      </c>
      <c r="I195" s="689">
        <v>1.18</v>
      </c>
      <c r="J195" s="688"/>
      <c r="K195" s="397">
        <f t="shared" ref="K195:K196" si="18">I195*G195</f>
        <v>1062</v>
      </c>
      <c r="L195" s="6"/>
      <c r="M195" s="6"/>
      <c r="N195" s="8"/>
      <c r="O195" s="8"/>
      <c r="P195" s="8"/>
      <c r="Q195" s="8"/>
      <c r="R195" s="8"/>
    </row>
    <row r="196" spans="2:18" ht="15.75" customHeight="1" x14ac:dyDescent="0.25">
      <c r="B196" s="628" t="s">
        <v>427</v>
      </c>
      <c r="C196" s="611"/>
      <c r="D196" s="611"/>
      <c r="E196" s="611"/>
      <c r="F196" s="612"/>
      <c r="G196" s="181">
        <v>1</v>
      </c>
      <c r="H196" s="181" t="s">
        <v>335</v>
      </c>
      <c r="I196" s="629">
        <f>K195</f>
        <v>1062</v>
      </c>
      <c r="J196" s="612"/>
      <c r="K196" s="184">
        <f t="shared" si="18"/>
        <v>1062</v>
      </c>
      <c r="L196" s="6"/>
      <c r="M196" s="6"/>
      <c r="N196" s="8"/>
      <c r="O196" s="8"/>
      <c r="P196" s="8"/>
      <c r="Q196" s="8"/>
      <c r="R196" s="8"/>
    </row>
    <row r="197" spans="2:18" ht="15" customHeight="1" x14ac:dyDescent="0.25">
      <c r="B197" s="623" t="s">
        <v>429</v>
      </c>
      <c r="C197" s="542"/>
      <c r="D197" s="542"/>
      <c r="E197" s="542"/>
      <c r="F197" s="542"/>
      <c r="G197" s="542"/>
      <c r="H197" s="542"/>
      <c r="I197" s="542"/>
      <c r="J197" s="542"/>
      <c r="K197" s="577"/>
      <c r="L197" s="6"/>
      <c r="M197" s="6"/>
      <c r="N197" s="8"/>
      <c r="O197" s="8"/>
      <c r="P197" s="8"/>
      <c r="Q197" s="8"/>
      <c r="R197" s="8"/>
    </row>
    <row r="198" spans="2:18" ht="15.75" customHeight="1" x14ac:dyDescent="0.25">
      <c r="B198" s="624"/>
      <c r="C198" s="625"/>
      <c r="D198" s="625"/>
      <c r="E198" s="625"/>
      <c r="F198" s="625"/>
      <c r="G198" s="625"/>
      <c r="H198" s="625"/>
      <c r="I198" s="625"/>
      <c r="J198" s="625"/>
      <c r="K198" s="626"/>
      <c r="L198" s="6"/>
      <c r="M198" s="6"/>
      <c r="N198" s="8"/>
      <c r="O198" s="8"/>
      <c r="P198" s="8"/>
      <c r="Q198" s="8"/>
      <c r="R198" s="8"/>
    </row>
    <row r="199" spans="2:18" ht="15.75" customHeight="1" x14ac:dyDescent="0.25">
      <c r="B199" s="624"/>
      <c r="C199" s="625"/>
      <c r="D199" s="625"/>
      <c r="E199" s="625"/>
      <c r="F199" s="625"/>
      <c r="G199" s="625"/>
      <c r="H199" s="625"/>
      <c r="I199" s="625"/>
      <c r="J199" s="625"/>
      <c r="K199" s="626"/>
      <c r="L199" s="6"/>
      <c r="M199" s="6"/>
      <c r="N199" s="8"/>
      <c r="O199" s="8"/>
      <c r="P199" s="8"/>
      <c r="Q199" s="8"/>
      <c r="R199" s="8"/>
    </row>
    <row r="200" spans="2:18" ht="15.75" customHeight="1" x14ac:dyDescent="0.25">
      <c r="B200" s="578"/>
      <c r="C200" s="544"/>
      <c r="D200" s="544"/>
      <c r="E200" s="544"/>
      <c r="F200" s="544"/>
      <c r="G200" s="544"/>
      <c r="H200" s="544"/>
      <c r="I200" s="544"/>
      <c r="J200" s="544"/>
      <c r="K200" s="579"/>
      <c r="L200" s="6"/>
      <c r="M200" s="6"/>
      <c r="N200" s="8"/>
      <c r="O200" s="8"/>
      <c r="P200" s="8"/>
      <c r="Q200" s="8"/>
      <c r="R200" s="8"/>
    </row>
    <row r="201" spans="2:18" ht="15.75" customHeight="1" x14ac:dyDescent="0.25">
      <c r="G201" s="338"/>
      <c r="H201" s="1"/>
      <c r="I201" s="21"/>
      <c r="J201" s="21"/>
      <c r="K201" s="235"/>
      <c r="L201" s="6"/>
      <c r="M201" s="6"/>
      <c r="N201" s="8"/>
      <c r="O201" s="8"/>
      <c r="P201" s="8"/>
      <c r="Q201" s="8"/>
      <c r="R201" s="8"/>
    </row>
    <row r="202" spans="2:18" ht="15.75" customHeight="1" x14ac:dyDescent="0.25">
      <c r="B202" s="552" t="s">
        <v>980</v>
      </c>
      <c r="C202" s="537"/>
      <c r="D202" s="537"/>
      <c r="E202" s="537"/>
      <c r="F202" s="537"/>
      <c r="G202" s="537"/>
      <c r="H202" s="537"/>
      <c r="I202" s="537"/>
      <c r="J202" s="538"/>
      <c r="K202" s="209">
        <f>SUM(I196,I191,I180,I169,I161,I149,I134)</f>
        <v>8412.5409846764342</v>
      </c>
      <c r="L202" s="6"/>
      <c r="M202" s="6"/>
      <c r="N202" s="8"/>
      <c r="O202" s="8"/>
      <c r="P202" s="8"/>
      <c r="Q202" s="8"/>
      <c r="R202" s="8"/>
    </row>
    <row r="203" spans="2:18" ht="15.75" customHeight="1" x14ac:dyDescent="0.25">
      <c r="B203" s="552" t="s">
        <v>433</v>
      </c>
      <c r="C203" s="537"/>
      <c r="D203" s="537"/>
      <c r="E203" s="537"/>
      <c r="F203" s="537"/>
      <c r="G203" s="537"/>
      <c r="H203" s="537"/>
      <c r="I203" s="537"/>
      <c r="J203" s="538"/>
      <c r="K203" s="209">
        <f>SUM(K196,K191,K180,K169,K161,K149,K134)</f>
        <v>8412.5409846764342</v>
      </c>
      <c r="L203" s="6"/>
      <c r="M203" s="6"/>
      <c r="N203" s="8"/>
      <c r="O203" s="8"/>
      <c r="P203" s="8"/>
      <c r="Q203" s="8"/>
      <c r="R203" s="8"/>
    </row>
    <row r="204" spans="2:18" ht="15" customHeight="1" x14ac:dyDescent="0.25">
      <c r="B204" s="179"/>
      <c r="C204" s="179"/>
      <c r="D204" s="179"/>
      <c r="E204" s="179"/>
      <c r="F204" s="179"/>
      <c r="G204" s="38"/>
      <c r="H204" s="38"/>
      <c r="I204" s="239"/>
      <c r="J204" s="239"/>
      <c r="K204" s="239"/>
      <c r="L204" s="6"/>
      <c r="M204" s="6"/>
      <c r="N204" s="8"/>
      <c r="O204" s="8"/>
      <c r="P204" s="8"/>
      <c r="Q204" s="8"/>
      <c r="R204" s="8"/>
    </row>
    <row r="205" spans="2:18" ht="15" customHeight="1" x14ac:dyDescent="0.25">
      <c r="B205" s="589" t="s">
        <v>992</v>
      </c>
      <c r="C205" s="537"/>
      <c r="D205" s="537"/>
      <c r="E205" s="537"/>
      <c r="F205" s="537"/>
      <c r="G205" s="537"/>
      <c r="H205" s="537"/>
      <c r="I205" s="537"/>
      <c r="J205" s="538"/>
      <c r="K205" s="283">
        <f>K203</f>
        <v>8412.5409846764342</v>
      </c>
      <c r="L205" s="6"/>
      <c r="M205" s="6"/>
      <c r="N205" s="8"/>
      <c r="O205" s="8"/>
      <c r="P205" s="8"/>
      <c r="Q205" s="8"/>
      <c r="R205" s="8"/>
    </row>
    <row r="206" spans="2:18" ht="15.75" customHeight="1" x14ac:dyDescent="0.25">
      <c r="B206" s="286"/>
      <c r="C206" s="286"/>
      <c r="D206" s="286"/>
      <c r="E206" s="286"/>
      <c r="F206" s="286"/>
      <c r="G206" s="286"/>
      <c r="H206" s="286"/>
      <c r="I206" s="286"/>
      <c r="J206" s="286"/>
      <c r="K206" s="287"/>
      <c r="L206" s="6"/>
      <c r="M206" s="6"/>
      <c r="N206" s="8"/>
      <c r="O206" s="8"/>
      <c r="P206" s="8"/>
      <c r="Q206" s="8"/>
      <c r="R206" s="8"/>
    </row>
    <row r="207" spans="2:18" ht="15.75" customHeight="1" x14ac:dyDescent="0.25">
      <c r="B207" s="286"/>
      <c r="C207" s="286"/>
      <c r="D207" s="286"/>
      <c r="E207" s="286"/>
      <c r="F207" s="286"/>
      <c r="G207" s="286"/>
      <c r="H207" s="286"/>
      <c r="I207" s="286"/>
      <c r="J207" s="286"/>
      <c r="K207" s="287"/>
      <c r="L207" s="6"/>
      <c r="M207" s="6"/>
      <c r="N207" s="8"/>
      <c r="O207" s="8"/>
      <c r="P207" s="8"/>
      <c r="Q207" s="8"/>
      <c r="R207" s="8"/>
    </row>
    <row r="208" spans="2:18" ht="15.75" customHeight="1" x14ac:dyDescent="0.25">
      <c r="B208" s="566" t="s">
        <v>993</v>
      </c>
      <c r="C208" s="537"/>
      <c r="D208" s="537"/>
      <c r="E208" s="537"/>
      <c r="F208" s="537"/>
      <c r="G208" s="537"/>
      <c r="H208" s="537"/>
      <c r="I208" s="537"/>
      <c r="J208" s="537"/>
      <c r="K208" s="538"/>
      <c r="L208" s="6"/>
      <c r="M208" s="6"/>
      <c r="N208" s="8"/>
      <c r="O208" s="8"/>
      <c r="P208" s="8"/>
      <c r="Q208" s="8"/>
      <c r="R208" s="8"/>
    </row>
    <row r="209" spans="2:18" ht="15.75" customHeight="1" x14ac:dyDescent="0.25">
      <c r="B209" s="286"/>
      <c r="C209" s="286"/>
      <c r="D209" s="286"/>
      <c r="E209" s="286"/>
      <c r="F209" s="286"/>
      <c r="G209" s="286"/>
      <c r="H209" s="286"/>
      <c r="I209" s="286"/>
      <c r="J209" s="286"/>
      <c r="K209" s="287"/>
      <c r="L209" s="6"/>
      <c r="M209" s="6"/>
      <c r="N209" s="8"/>
      <c r="O209" s="8"/>
      <c r="P209" s="8"/>
      <c r="Q209" s="8"/>
      <c r="R209" s="8"/>
    </row>
    <row r="210" spans="2:18" ht="15.75" customHeight="1" x14ac:dyDescent="0.25">
      <c r="B210" s="155" t="s">
        <v>273</v>
      </c>
      <c r="C210" s="637" t="s">
        <v>239</v>
      </c>
      <c r="D210" s="564"/>
      <c r="E210" s="564"/>
      <c r="F210" s="565"/>
      <c r="G210" s="170" t="s">
        <v>118</v>
      </c>
      <c r="H210" s="288" t="s">
        <v>578</v>
      </c>
      <c r="I210" s="637" t="s">
        <v>319</v>
      </c>
      <c r="J210" s="565"/>
      <c r="K210" s="155" t="s">
        <v>354</v>
      </c>
      <c r="L210" s="6"/>
      <c r="M210" s="6"/>
      <c r="N210" s="8"/>
      <c r="O210" s="8"/>
      <c r="P210" s="8"/>
      <c r="Q210" s="8"/>
      <c r="R210" s="8"/>
    </row>
    <row r="211" spans="2:18" ht="15.75" customHeight="1" x14ac:dyDescent="0.25">
      <c r="B211" s="145" t="s">
        <v>994</v>
      </c>
      <c r="C211" s="621" t="s">
        <v>582</v>
      </c>
      <c r="D211" s="544"/>
      <c r="E211" s="544"/>
      <c r="F211" s="579"/>
      <c r="G211" s="290">
        <v>3</v>
      </c>
      <c r="H211" s="291">
        <v>24</v>
      </c>
      <c r="I211" s="694">
        <f>'10 - CUSTOS UN'!$J$117</f>
        <v>53.346666666666664</v>
      </c>
      <c r="J211" s="579"/>
      <c r="K211" s="177">
        <f>(I211*G211)/H211</f>
        <v>6.668333333333333</v>
      </c>
      <c r="L211" s="6"/>
      <c r="M211" s="6"/>
      <c r="N211" s="8"/>
      <c r="O211" s="8"/>
      <c r="P211" s="8"/>
      <c r="Q211" s="8"/>
      <c r="R211" s="8"/>
    </row>
    <row r="212" spans="2:18" ht="15.75" customHeight="1" x14ac:dyDescent="0.25">
      <c r="B212" s="26" t="s">
        <v>995</v>
      </c>
      <c r="C212" s="545" t="s">
        <v>996</v>
      </c>
      <c r="D212" s="537"/>
      <c r="E212" s="537"/>
      <c r="F212" s="538"/>
      <c r="G212" s="293">
        <v>1</v>
      </c>
      <c r="H212" s="291">
        <v>60</v>
      </c>
      <c r="I212" s="590">
        <f>'10 - CUSTOS UN'!$J$243</f>
        <v>1727.96</v>
      </c>
      <c r="J212" s="538"/>
      <c r="K212" s="44">
        <f>I212/H212</f>
        <v>28.799333333333333</v>
      </c>
      <c r="L212" s="6"/>
      <c r="M212" s="6"/>
      <c r="N212" s="8"/>
      <c r="O212" s="8"/>
      <c r="P212" s="8"/>
      <c r="Q212" s="8"/>
      <c r="R212" s="8"/>
    </row>
    <row r="213" spans="2:18" ht="15.75" customHeight="1" x14ac:dyDescent="0.25">
      <c r="B213" s="145" t="s">
        <v>997</v>
      </c>
      <c r="C213" s="545" t="s">
        <v>592</v>
      </c>
      <c r="D213" s="537"/>
      <c r="E213" s="537"/>
      <c r="F213" s="538"/>
      <c r="G213" s="294">
        <v>1</v>
      </c>
      <c r="H213" s="3">
        <v>12</v>
      </c>
      <c r="I213" s="590">
        <f>'10 - CUSTOS UN'!$J$18</f>
        <v>83.660000000000011</v>
      </c>
      <c r="J213" s="538"/>
      <c r="K213" s="295">
        <f>(G213*I213)/H213</f>
        <v>6.9716666666666676</v>
      </c>
      <c r="L213" s="6"/>
      <c r="M213" s="6"/>
      <c r="N213" s="8"/>
      <c r="O213" s="8"/>
      <c r="P213" s="8"/>
      <c r="Q213" s="8"/>
      <c r="R213" s="8"/>
    </row>
    <row r="214" spans="2:18" ht="15.75" customHeight="1" x14ac:dyDescent="0.25">
      <c r="B214" s="26" t="s">
        <v>998</v>
      </c>
      <c r="C214" s="559" t="s">
        <v>596</v>
      </c>
      <c r="D214" s="537"/>
      <c r="E214" s="537"/>
      <c r="F214" s="538"/>
      <c r="G214" s="294">
        <v>2</v>
      </c>
      <c r="H214" s="3">
        <v>12</v>
      </c>
      <c r="I214" s="590">
        <f>'10 - CUSTOS UN'!$J$60</f>
        <v>4.1399999999999997</v>
      </c>
      <c r="J214" s="538"/>
      <c r="K214" s="295">
        <f t="shared" ref="K214:K215" si="19">(I214*G214)/H214</f>
        <v>0.69</v>
      </c>
      <c r="L214" s="6"/>
      <c r="M214" s="6"/>
      <c r="N214" s="8"/>
      <c r="O214" s="8"/>
      <c r="P214" s="8"/>
      <c r="Q214" s="8"/>
      <c r="R214" s="8"/>
    </row>
    <row r="215" spans="2:18" ht="15" customHeight="1" x14ac:dyDescent="0.25">
      <c r="B215" s="145" t="s">
        <v>999</v>
      </c>
      <c r="C215" s="545" t="s">
        <v>599</v>
      </c>
      <c r="D215" s="537"/>
      <c r="E215" s="537"/>
      <c r="F215" s="538"/>
      <c r="G215" s="294">
        <v>1</v>
      </c>
      <c r="H215" s="3">
        <v>1</v>
      </c>
      <c r="I215" s="590">
        <f>'10 - CUSTOS UN'!$J$105</f>
        <v>22.343333333333334</v>
      </c>
      <c r="J215" s="538"/>
      <c r="K215" s="295">
        <f t="shared" si="19"/>
        <v>22.343333333333334</v>
      </c>
      <c r="L215" s="6"/>
      <c r="M215" s="6"/>
      <c r="N215" s="8"/>
      <c r="O215" s="8"/>
      <c r="P215" s="8"/>
      <c r="Q215" s="8"/>
      <c r="R215" s="8"/>
    </row>
    <row r="216" spans="2:18" ht="15.75" customHeight="1" x14ac:dyDescent="0.25">
      <c r="B216" s="26" t="s">
        <v>1000</v>
      </c>
      <c r="C216" s="545" t="s">
        <v>603</v>
      </c>
      <c r="D216" s="537"/>
      <c r="E216" s="537"/>
      <c r="F216" s="538"/>
      <c r="G216" s="294">
        <v>1</v>
      </c>
      <c r="H216" s="3">
        <v>1</v>
      </c>
      <c r="I216" s="590">
        <f>'10 - CUSTOS UN'!$J$96</f>
        <v>13.38</v>
      </c>
      <c r="J216" s="538"/>
      <c r="K216" s="295">
        <f t="shared" ref="K216:K217" si="20">G216*I216/H216</f>
        <v>13.38</v>
      </c>
      <c r="L216" s="6"/>
      <c r="M216" s="6"/>
      <c r="N216" s="8"/>
      <c r="O216" s="8"/>
      <c r="P216" s="8"/>
      <c r="Q216" s="8"/>
      <c r="R216" s="8"/>
    </row>
    <row r="217" spans="2:18" ht="15.75" customHeight="1" x14ac:dyDescent="0.25">
      <c r="B217" s="145" t="s">
        <v>1001</v>
      </c>
      <c r="C217" s="545" t="s">
        <v>605</v>
      </c>
      <c r="D217" s="537"/>
      <c r="E217" s="537"/>
      <c r="F217" s="538"/>
      <c r="G217" s="293">
        <v>1</v>
      </c>
      <c r="H217" s="3">
        <v>1</v>
      </c>
      <c r="I217" s="590">
        <f>'10 - CUSTOS UN'!$J$6</f>
        <v>34.836666666666666</v>
      </c>
      <c r="J217" s="538"/>
      <c r="K217" s="44">
        <f t="shared" si="20"/>
        <v>34.836666666666666</v>
      </c>
      <c r="L217" s="6"/>
      <c r="M217" s="6"/>
      <c r="N217" s="8"/>
      <c r="O217" s="8"/>
      <c r="P217" s="8"/>
      <c r="Q217" s="8"/>
      <c r="R217" s="8"/>
    </row>
    <row r="218" spans="2:18" ht="15.75" customHeight="1" x14ac:dyDescent="0.25">
      <c r="B218" s="26" t="s">
        <v>1002</v>
      </c>
      <c r="C218" s="545" t="s">
        <v>1003</v>
      </c>
      <c r="D218" s="537"/>
      <c r="E218" s="537"/>
      <c r="F218" s="538"/>
      <c r="G218" s="293">
        <v>1</v>
      </c>
      <c r="H218" s="3">
        <v>24</v>
      </c>
      <c r="I218" s="590">
        <f>'10 - CUSTOS UN'!J45</f>
        <v>416.23</v>
      </c>
      <c r="J218" s="538"/>
      <c r="K218" s="44">
        <f>(I218*G218)/H218</f>
        <v>17.342916666666667</v>
      </c>
      <c r="L218" s="6"/>
      <c r="M218" s="6"/>
      <c r="N218" s="8"/>
      <c r="O218" s="8"/>
      <c r="P218" s="8"/>
      <c r="Q218" s="8"/>
      <c r="R218" s="8"/>
    </row>
    <row r="219" spans="2:18" ht="15.75" customHeight="1" x14ac:dyDescent="0.25">
      <c r="B219" s="145" t="s">
        <v>1005</v>
      </c>
      <c r="C219" s="559" t="s">
        <v>1006</v>
      </c>
      <c r="D219" s="537"/>
      <c r="E219" s="537"/>
      <c r="F219" s="538"/>
      <c r="G219" s="290">
        <v>4</v>
      </c>
      <c r="H219" s="291">
        <v>1</v>
      </c>
      <c r="I219" s="590">
        <f>'10 - CUSTOS UN'!J57</f>
        <v>8.4466666666666672</v>
      </c>
      <c r="J219" s="538"/>
      <c r="K219" s="177">
        <f>I219*G219</f>
        <v>33.786666666666669</v>
      </c>
      <c r="L219" s="6"/>
      <c r="M219" s="6"/>
      <c r="N219" s="8"/>
      <c r="O219" s="8"/>
      <c r="P219" s="8"/>
      <c r="Q219" s="8"/>
      <c r="R219" s="8"/>
    </row>
    <row r="220" spans="2:18" ht="15.75" customHeight="1" x14ac:dyDescent="0.25">
      <c r="B220" s="26" t="s">
        <v>1011</v>
      </c>
      <c r="C220" s="559" t="s">
        <v>1012</v>
      </c>
      <c r="D220" s="537"/>
      <c r="E220" s="537"/>
      <c r="F220" s="538"/>
      <c r="G220" s="290">
        <v>1</v>
      </c>
      <c r="H220" s="291">
        <v>3</v>
      </c>
      <c r="I220" s="590">
        <f>'10 - CUSTOS UN'!J120</f>
        <v>11.75</v>
      </c>
      <c r="J220" s="538"/>
      <c r="K220" s="177">
        <f t="shared" ref="K220:K221" si="21">(I220/H220)*G220</f>
        <v>3.9166666666666665</v>
      </c>
      <c r="L220" s="6"/>
      <c r="M220" s="6"/>
      <c r="N220" s="8"/>
      <c r="O220" s="8"/>
      <c r="P220" s="8"/>
      <c r="Q220" s="8"/>
      <c r="R220" s="8"/>
    </row>
    <row r="221" spans="2:18" ht="15.75" customHeight="1" x14ac:dyDescent="0.25">
      <c r="B221" s="145" t="s">
        <v>1015</v>
      </c>
      <c r="C221" s="559" t="s">
        <v>1016</v>
      </c>
      <c r="D221" s="537"/>
      <c r="E221" s="537"/>
      <c r="F221" s="538"/>
      <c r="G221" s="290">
        <v>1</v>
      </c>
      <c r="H221" s="291">
        <v>3</v>
      </c>
      <c r="I221" s="590">
        <f>'10 - CUSTOS UN'!J93</f>
        <v>9.4666666666666668</v>
      </c>
      <c r="J221" s="538"/>
      <c r="K221" s="177">
        <f t="shared" si="21"/>
        <v>3.1555555555555554</v>
      </c>
      <c r="L221" s="6"/>
      <c r="M221" s="6"/>
      <c r="N221" s="8"/>
      <c r="O221" s="8"/>
      <c r="P221" s="8"/>
      <c r="Q221" s="8"/>
      <c r="R221" s="8"/>
    </row>
    <row r="222" spans="2:18" ht="15" customHeight="1" x14ac:dyDescent="0.25">
      <c r="B222" s="26" t="s">
        <v>1022</v>
      </c>
      <c r="C222" s="559" t="s">
        <v>1024</v>
      </c>
      <c r="D222" s="537"/>
      <c r="E222" s="537"/>
      <c r="F222" s="538"/>
      <c r="G222" s="290">
        <v>5</v>
      </c>
      <c r="H222" s="291">
        <v>1</v>
      </c>
      <c r="I222" s="590">
        <f>'10 - CUSTOS UN'!J114</f>
        <v>3.1233333333333335</v>
      </c>
      <c r="J222" s="538"/>
      <c r="K222" s="177">
        <f>I222*G222</f>
        <v>15.616666666666667</v>
      </c>
      <c r="L222" s="6"/>
      <c r="M222" s="6"/>
      <c r="N222" s="8"/>
      <c r="O222" s="8"/>
      <c r="P222" s="8"/>
      <c r="Q222" s="8"/>
      <c r="R222" s="8"/>
    </row>
    <row r="223" spans="2:18" ht="15" customHeight="1" x14ac:dyDescent="0.25">
      <c r="B223" s="642" t="s">
        <v>608</v>
      </c>
      <c r="C223" s="611"/>
      <c r="D223" s="611"/>
      <c r="E223" s="611"/>
      <c r="F223" s="611"/>
      <c r="G223" s="611"/>
      <c r="H223" s="611"/>
      <c r="I223" s="611"/>
      <c r="J223" s="612"/>
      <c r="K223" s="184">
        <f>SUM(K211:K222)</f>
        <v>187.50780555555556</v>
      </c>
      <c r="L223" s="6"/>
      <c r="M223" s="6"/>
      <c r="N223" s="8"/>
      <c r="O223" s="8"/>
      <c r="P223" s="8"/>
      <c r="Q223" s="8"/>
      <c r="R223" s="8"/>
    </row>
    <row r="224" spans="2:18" ht="15" customHeight="1" x14ac:dyDescent="0.25">
      <c r="B224" s="286"/>
      <c r="C224" s="286"/>
      <c r="D224" s="286"/>
      <c r="E224" s="286"/>
      <c r="F224" s="286"/>
      <c r="G224" s="286"/>
      <c r="H224" s="286"/>
      <c r="I224" s="286"/>
      <c r="J224" s="286"/>
      <c r="K224" s="287"/>
      <c r="L224" s="6"/>
      <c r="M224" s="6"/>
      <c r="N224" s="8"/>
      <c r="O224" s="8"/>
      <c r="P224" s="8"/>
      <c r="Q224" s="8"/>
      <c r="R224" s="8"/>
    </row>
    <row r="225" spans="1:18" ht="15" customHeight="1" x14ac:dyDescent="0.25">
      <c r="B225" s="286"/>
      <c r="C225" s="286"/>
      <c r="D225" s="286"/>
      <c r="E225" s="286"/>
      <c r="F225" s="286"/>
      <c r="G225" s="286"/>
      <c r="H225" s="286"/>
      <c r="I225" s="286"/>
      <c r="J225" s="286"/>
      <c r="K225" s="287"/>
      <c r="L225" s="6"/>
      <c r="M225" s="6"/>
      <c r="N225" s="8"/>
      <c r="O225" s="8"/>
      <c r="P225" s="8"/>
      <c r="Q225" s="8"/>
      <c r="R225" s="8"/>
    </row>
    <row r="226" spans="1:18" ht="15" customHeight="1" x14ac:dyDescent="0.25">
      <c r="B226" s="589" t="s">
        <v>711</v>
      </c>
      <c r="C226" s="537"/>
      <c r="D226" s="537"/>
      <c r="E226" s="537"/>
      <c r="F226" s="537"/>
      <c r="G226" s="537"/>
      <c r="H226" s="537"/>
      <c r="I226" s="537"/>
      <c r="J226" s="538"/>
      <c r="K226" s="283">
        <f>SUM(K223,K205,K101,K66)</f>
        <v>29557.705825496487</v>
      </c>
      <c r="L226" s="6"/>
      <c r="M226" s="6"/>
      <c r="N226" s="8"/>
      <c r="O226" s="8"/>
      <c r="P226" s="8"/>
      <c r="Q226" s="8"/>
      <c r="R226" s="8"/>
    </row>
    <row r="227" spans="1:18" ht="15" customHeight="1" x14ac:dyDescent="0.25">
      <c r="B227" s="286"/>
      <c r="C227" s="286"/>
      <c r="D227" s="286"/>
      <c r="E227" s="286"/>
      <c r="F227" s="286"/>
      <c r="G227" s="286"/>
      <c r="H227" s="286"/>
      <c r="I227" s="286"/>
      <c r="J227" s="286"/>
      <c r="K227" s="287"/>
      <c r="L227" s="6"/>
      <c r="M227" s="6"/>
      <c r="N227" s="8"/>
      <c r="O227" s="8"/>
      <c r="P227" s="8"/>
      <c r="Q227" s="8"/>
      <c r="R227" s="8"/>
    </row>
    <row r="228" spans="1:18" ht="15" customHeight="1" x14ac:dyDescent="0.25">
      <c r="B228" s="286"/>
      <c r="C228" s="286"/>
      <c r="D228" s="286"/>
      <c r="E228" s="286"/>
      <c r="F228" s="286"/>
      <c r="G228" s="286"/>
      <c r="H228" s="286"/>
      <c r="I228" s="286"/>
      <c r="J228" s="286"/>
      <c r="K228" s="287"/>
      <c r="L228" s="6"/>
      <c r="M228" s="6"/>
      <c r="N228" s="8"/>
      <c r="O228" s="8"/>
      <c r="P228" s="8"/>
      <c r="Q228" s="8"/>
      <c r="R228" s="8"/>
    </row>
    <row r="229" spans="1:18" ht="15" customHeight="1" x14ac:dyDescent="0.25">
      <c r="B229" s="566" t="s">
        <v>1034</v>
      </c>
      <c r="C229" s="537"/>
      <c r="D229" s="537"/>
      <c r="E229" s="537"/>
      <c r="F229" s="537"/>
      <c r="G229" s="537"/>
      <c r="H229" s="537"/>
      <c r="I229" s="537"/>
      <c r="J229" s="537"/>
      <c r="K229" s="538"/>
      <c r="L229" s="6"/>
      <c r="M229" s="6"/>
      <c r="N229" s="8"/>
      <c r="O229" s="8"/>
      <c r="P229" s="8"/>
      <c r="Q229" s="8"/>
      <c r="R229" s="8"/>
    </row>
    <row r="230" spans="1:18" ht="15" customHeight="1" x14ac:dyDescent="0.25">
      <c r="K230" s="21"/>
      <c r="L230" s="6"/>
      <c r="M230" s="6"/>
      <c r="N230" s="8"/>
      <c r="O230" s="8"/>
      <c r="P230" s="8"/>
      <c r="Q230" s="8"/>
      <c r="R230" s="8"/>
    </row>
    <row r="231" spans="1:18" ht="15" customHeight="1" x14ac:dyDescent="0.25">
      <c r="B231" s="344" t="s">
        <v>273</v>
      </c>
      <c r="C231" s="569" t="s">
        <v>239</v>
      </c>
      <c r="D231" s="537"/>
      <c r="E231" s="537"/>
      <c r="F231" s="537"/>
      <c r="G231" s="538"/>
      <c r="H231" s="345" t="s">
        <v>141</v>
      </c>
      <c r="I231" s="773" t="s">
        <v>615</v>
      </c>
      <c r="J231" s="738"/>
      <c r="K231" s="344" t="s">
        <v>616</v>
      </c>
      <c r="L231" s="6"/>
      <c r="M231" s="6"/>
      <c r="N231" s="8"/>
      <c r="O231" s="8"/>
      <c r="P231" s="8"/>
      <c r="Q231" s="8"/>
      <c r="R231" s="8"/>
    </row>
    <row r="232" spans="1:18" ht="15" customHeight="1" x14ac:dyDescent="0.25">
      <c r="B232" s="26" t="s">
        <v>763</v>
      </c>
      <c r="C232" s="545" t="s">
        <v>619</v>
      </c>
      <c r="D232" s="537"/>
      <c r="E232" s="537"/>
      <c r="F232" s="537"/>
      <c r="G232" s="538"/>
      <c r="H232" s="26"/>
      <c r="I232" s="602">
        <f>'OK 5 - ADM LOCAL - ÓLEOS'!K68</f>
        <v>26305.499173886594</v>
      </c>
      <c r="J232" s="538"/>
      <c r="K232" s="31">
        <f>I232</f>
        <v>26305.499173886594</v>
      </c>
      <c r="L232" s="6"/>
      <c r="M232" s="6"/>
      <c r="N232" s="8"/>
      <c r="O232" s="8"/>
      <c r="P232" s="8"/>
      <c r="Q232" s="8"/>
      <c r="R232" s="8"/>
    </row>
    <row r="233" spans="1:18" ht="15" customHeight="1" x14ac:dyDescent="0.25">
      <c r="B233" s="26" t="s">
        <v>765</v>
      </c>
      <c r="C233" s="545" t="s">
        <v>102</v>
      </c>
      <c r="D233" s="537"/>
      <c r="E233" s="537"/>
      <c r="F233" s="537"/>
      <c r="G233" s="538"/>
      <c r="H233" s="133">
        <f>'9 - BDI'!D15</f>
        <v>0.27689893995634196</v>
      </c>
      <c r="I233" s="602">
        <f>K226</f>
        <v>29557.705825496487</v>
      </c>
      <c r="J233" s="538"/>
      <c r="K233" s="31">
        <f>I233*H233</f>
        <v>8184.4974106213704</v>
      </c>
      <c r="L233" s="6"/>
      <c r="M233" s="6"/>
      <c r="N233" s="8"/>
      <c r="O233" s="8"/>
      <c r="P233" s="8"/>
      <c r="Q233" s="8"/>
      <c r="R233" s="8"/>
    </row>
    <row r="234" spans="1:18" ht="15" customHeight="1" x14ac:dyDescent="0.25">
      <c r="B234" s="690" t="s">
        <v>636</v>
      </c>
      <c r="C234" s="537"/>
      <c r="D234" s="537"/>
      <c r="E234" s="537"/>
      <c r="F234" s="537"/>
      <c r="G234" s="537"/>
      <c r="H234" s="537"/>
      <c r="I234" s="537"/>
      <c r="J234" s="538"/>
      <c r="K234" s="309">
        <f>SUM(K232:K233)</f>
        <v>34489.996584507964</v>
      </c>
      <c r="L234" s="6"/>
      <c r="M234" s="6"/>
      <c r="N234" s="8"/>
      <c r="O234" s="8"/>
      <c r="P234" s="8"/>
      <c r="Q234" s="8"/>
      <c r="R234" s="8"/>
    </row>
    <row r="235" spans="1:18" ht="15" customHeight="1" x14ac:dyDescent="0.25">
      <c r="B235" s="311"/>
      <c r="C235" s="311"/>
      <c r="D235" s="311"/>
      <c r="E235" s="311"/>
      <c r="F235" s="311"/>
      <c r="I235" s="1"/>
      <c r="J235" s="1"/>
      <c r="K235" s="211"/>
      <c r="L235" s="6"/>
      <c r="M235" s="6"/>
      <c r="N235" s="8"/>
      <c r="O235" s="8"/>
      <c r="P235" s="8"/>
      <c r="Q235" s="8"/>
      <c r="R235" s="8"/>
    </row>
    <row r="236" spans="1:18" ht="15" customHeight="1" x14ac:dyDescent="0.25">
      <c r="B236" s="311"/>
      <c r="C236" s="311"/>
      <c r="D236" s="311"/>
      <c r="E236" s="311"/>
      <c r="F236" s="311"/>
      <c r="I236" s="1"/>
      <c r="J236" s="1"/>
      <c r="K236" s="211"/>
      <c r="L236" s="6"/>
      <c r="M236" s="6"/>
      <c r="N236" s="8"/>
      <c r="O236" s="8"/>
      <c r="P236" s="8"/>
      <c r="Q236" s="8"/>
      <c r="R236" s="8"/>
    </row>
    <row r="237" spans="1:18" ht="15" customHeight="1" x14ac:dyDescent="0.25">
      <c r="B237" s="589" t="s">
        <v>1035</v>
      </c>
      <c r="C237" s="537"/>
      <c r="D237" s="537"/>
      <c r="E237" s="537"/>
      <c r="F237" s="537"/>
      <c r="G237" s="537"/>
      <c r="H237" s="537"/>
      <c r="I237" s="537"/>
      <c r="J237" s="538"/>
      <c r="K237" s="283">
        <f>K226+K234</f>
        <v>64047.702410004451</v>
      </c>
      <c r="L237" s="6"/>
      <c r="M237" s="6"/>
      <c r="N237" s="8"/>
      <c r="O237" s="8"/>
      <c r="P237" s="8"/>
      <c r="Q237" s="8"/>
      <c r="R237" s="8"/>
    </row>
    <row r="238" spans="1:18" ht="15" customHeight="1" x14ac:dyDescent="0.25">
      <c r="B238" s="148"/>
      <c r="C238" s="148"/>
      <c r="D238" s="148"/>
      <c r="E238" s="148"/>
      <c r="F238" s="148"/>
      <c r="G238" s="289"/>
      <c r="H238" s="289"/>
      <c r="I238" s="148"/>
      <c r="J238" s="148"/>
      <c r="K238" s="289"/>
      <c r="L238" s="6"/>
      <c r="M238" s="6"/>
      <c r="N238" s="8"/>
      <c r="O238" s="8"/>
      <c r="P238" s="8"/>
      <c r="Q238" s="8"/>
      <c r="R238" s="8"/>
    </row>
    <row r="239" spans="1:18" ht="15" customHeight="1" x14ac:dyDescent="0.25">
      <c r="A239" s="1"/>
      <c r="B239" s="314"/>
      <c r="C239" s="1"/>
      <c r="D239" s="1"/>
      <c r="E239" s="1"/>
      <c r="F239" s="1"/>
      <c r="G239" s="1"/>
      <c r="H239" s="1"/>
      <c r="I239" s="1"/>
      <c r="J239" s="1"/>
      <c r="K239" s="316"/>
      <c r="L239" s="6"/>
      <c r="M239" s="6"/>
      <c r="N239" s="8"/>
      <c r="O239" s="8"/>
      <c r="P239" s="8"/>
      <c r="Q239" s="8"/>
      <c r="R239" s="8"/>
    </row>
    <row r="240" spans="1:18" ht="15" customHeight="1" x14ac:dyDescent="0.25">
      <c r="A240" s="1"/>
      <c r="B240" s="314"/>
      <c r="C240" s="1"/>
      <c r="D240" s="1"/>
      <c r="E240" s="1"/>
      <c r="F240" s="1"/>
      <c r="G240" s="1"/>
      <c r="H240" s="1"/>
      <c r="I240" s="1"/>
      <c r="J240" s="1"/>
      <c r="K240" s="1"/>
      <c r="L240" s="6"/>
      <c r="M240" s="6"/>
      <c r="N240" s="8"/>
      <c r="O240" s="8"/>
      <c r="P240" s="8"/>
      <c r="Q240" s="8"/>
      <c r="R240" s="8"/>
    </row>
    <row r="241" spans="1:18" ht="34.5" customHeight="1" x14ac:dyDescent="0.25">
      <c r="A241" s="1"/>
      <c r="B241" s="643"/>
      <c r="C241" s="625"/>
      <c r="D241" s="625"/>
      <c r="E241" s="625"/>
      <c r="F241" s="625"/>
      <c r="G241" s="625"/>
      <c r="H241" s="625"/>
      <c r="I241" s="625"/>
      <c r="J241" s="625"/>
      <c r="K241" s="317"/>
      <c r="L241" s="6"/>
      <c r="M241" s="6"/>
      <c r="N241" s="8"/>
      <c r="O241" s="8"/>
      <c r="P241" s="8"/>
      <c r="Q241" s="8"/>
      <c r="R241" s="8"/>
    </row>
    <row r="242" spans="1:18" ht="15" customHeight="1" x14ac:dyDescent="0.25">
      <c r="A242" s="1"/>
      <c r="B242" s="1"/>
      <c r="C242" s="1"/>
      <c r="D242" s="1"/>
      <c r="E242" s="1"/>
      <c r="F242" s="1"/>
      <c r="G242" s="21"/>
      <c r="H242" s="21"/>
      <c r="I242" s="333"/>
      <c r="J242" s="333"/>
      <c r="K242" s="21"/>
      <c r="L242" s="6"/>
      <c r="M242" s="6"/>
      <c r="N242" s="8"/>
      <c r="O242" s="8"/>
      <c r="P242" s="8"/>
      <c r="Q242" s="8"/>
      <c r="R242" s="8"/>
    </row>
    <row r="243" spans="1:18" ht="15" customHeight="1" x14ac:dyDescent="0.25">
      <c r="A243" s="1"/>
      <c r="B243" s="1"/>
      <c r="C243" s="1"/>
      <c r="D243" s="1"/>
      <c r="E243" s="1"/>
      <c r="F243" s="1"/>
      <c r="G243" s="21"/>
      <c r="H243" s="1"/>
      <c r="I243" s="333"/>
      <c r="J243" s="1"/>
      <c r="K243" s="152"/>
      <c r="L243" s="6"/>
      <c r="M243" s="6"/>
      <c r="N243" s="8"/>
      <c r="O243" s="8"/>
      <c r="P243" s="8"/>
      <c r="Q243" s="8"/>
      <c r="R243" s="8"/>
    </row>
    <row r="244" spans="1:18" ht="15.75" customHeight="1" x14ac:dyDescent="0.25">
      <c r="L244" s="6"/>
      <c r="M244" s="6"/>
      <c r="N244" s="8"/>
      <c r="O244" s="8"/>
      <c r="P244" s="8"/>
      <c r="Q244" s="8"/>
      <c r="R244" s="8"/>
    </row>
    <row r="245" spans="1:18" ht="15.75" customHeight="1" x14ac:dyDescent="0.25">
      <c r="L245" s="6"/>
      <c r="M245" s="6"/>
      <c r="N245" s="8"/>
      <c r="O245" s="8"/>
      <c r="P245" s="8"/>
      <c r="Q245" s="8"/>
      <c r="R245" s="8"/>
    </row>
    <row r="246" spans="1:18" ht="15.75" customHeight="1" x14ac:dyDescent="0.25">
      <c r="L246" s="6"/>
      <c r="M246" s="6"/>
      <c r="N246" s="8"/>
      <c r="O246" s="8"/>
      <c r="P246" s="8"/>
      <c r="Q246" s="8"/>
      <c r="R246" s="8"/>
    </row>
    <row r="247" spans="1:18" ht="15.75" customHeight="1" x14ac:dyDescent="0.25">
      <c r="L247" s="6"/>
      <c r="M247" s="6"/>
      <c r="N247" s="8"/>
      <c r="O247" s="8"/>
      <c r="P247" s="8"/>
      <c r="Q247" s="8"/>
      <c r="R247" s="8"/>
    </row>
    <row r="248" spans="1:18" ht="15.75" customHeight="1" x14ac:dyDescent="0.25">
      <c r="L248" s="6"/>
      <c r="M248" s="6"/>
      <c r="N248" s="8"/>
      <c r="O248" s="8"/>
      <c r="P248" s="8"/>
      <c r="Q248" s="8"/>
      <c r="R248" s="8"/>
    </row>
    <row r="249" spans="1:18" ht="15.75" customHeight="1" x14ac:dyDescent="0.25">
      <c r="L249" s="6"/>
      <c r="M249" s="6"/>
      <c r="N249" s="8"/>
      <c r="O249" s="8"/>
      <c r="P249" s="8"/>
      <c r="Q249" s="8"/>
      <c r="R249" s="8"/>
    </row>
    <row r="250" spans="1:18" ht="15.75" customHeight="1" x14ac:dyDescent="0.25">
      <c r="L250" s="6"/>
      <c r="M250" s="6"/>
      <c r="N250" s="8"/>
      <c r="O250" s="8"/>
      <c r="P250" s="8"/>
      <c r="Q250" s="8"/>
      <c r="R250" s="8"/>
    </row>
    <row r="251" spans="1:18" ht="15.75" customHeight="1" x14ac:dyDescent="0.25">
      <c r="L251" s="6"/>
      <c r="M251" s="6"/>
      <c r="N251" s="8"/>
      <c r="O251" s="8"/>
      <c r="P251" s="8"/>
      <c r="Q251" s="8"/>
      <c r="R251" s="8"/>
    </row>
    <row r="252" spans="1:18" ht="15.75" customHeight="1" x14ac:dyDescent="0.25">
      <c r="L252" s="6"/>
      <c r="M252" s="6"/>
      <c r="N252" s="8"/>
      <c r="O252" s="8"/>
      <c r="P252" s="8"/>
      <c r="Q252" s="8"/>
      <c r="R252" s="8"/>
    </row>
    <row r="253" spans="1:18" ht="15.75" customHeight="1" x14ac:dyDescent="0.25">
      <c r="L253" s="6"/>
      <c r="M253" s="6"/>
      <c r="N253" s="8"/>
      <c r="O253" s="8"/>
      <c r="P253" s="8"/>
      <c r="Q253" s="8"/>
      <c r="R253" s="8"/>
    </row>
    <row r="254" spans="1:18" ht="15.75" customHeight="1" x14ac:dyDescent="0.25">
      <c r="L254" s="6"/>
      <c r="M254" s="6"/>
      <c r="N254" s="8"/>
      <c r="O254" s="8"/>
      <c r="P254" s="8"/>
      <c r="Q254" s="8"/>
      <c r="R254" s="8"/>
    </row>
    <row r="255" spans="1:18" ht="15.75" customHeight="1" x14ac:dyDescent="0.25">
      <c r="L255" s="6"/>
      <c r="M255" s="6"/>
      <c r="N255" s="8"/>
      <c r="O255" s="8"/>
      <c r="P255" s="8"/>
      <c r="Q255" s="8"/>
      <c r="R255" s="8"/>
    </row>
    <row r="256" spans="1:18" ht="15.75" customHeight="1" x14ac:dyDescent="0.25">
      <c r="L256" s="6"/>
      <c r="M256" s="6"/>
      <c r="N256" s="8"/>
      <c r="O256" s="8"/>
      <c r="P256" s="8"/>
      <c r="Q256" s="8"/>
      <c r="R256" s="8"/>
    </row>
    <row r="257" spans="12:18" ht="15.75" customHeight="1" x14ac:dyDescent="0.25">
      <c r="L257" s="6"/>
      <c r="M257" s="6"/>
      <c r="N257" s="8"/>
      <c r="O257" s="8"/>
      <c r="P257" s="8"/>
      <c r="Q257" s="8"/>
      <c r="R257" s="8"/>
    </row>
    <row r="258" spans="12:18" ht="15.75" customHeight="1" x14ac:dyDescent="0.25">
      <c r="L258" s="6"/>
      <c r="M258" s="6"/>
      <c r="N258" s="8"/>
      <c r="O258" s="8"/>
      <c r="P258" s="8"/>
      <c r="Q258" s="8"/>
      <c r="R258" s="8"/>
    </row>
    <row r="259" spans="12:18" ht="15.75" customHeight="1" x14ac:dyDescent="0.25">
      <c r="L259" s="6"/>
      <c r="M259" s="6"/>
      <c r="N259" s="8"/>
      <c r="O259" s="8"/>
      <c r="P259" s="8"/>
      <c r="Q259" s="8"/>
      <c r="R259" s="8"/>
    </row>
    <row r="260" spans="12:18" ht="15.75" customHeight="1" x14ac:dyDescent="0.25">
      <c r="L260" s="6"/>
      <c r="M260" s="6"/>
      <c r="N260" s="8"/>
      <c r="O260" s="8"/>
      <c r="P260" s="8"/>
      <c r="Q260" s="8"/>
      <c r="R260" s="8"/>
    </row>
    <row r="261" spans="12:18" ht="15.75" customHeight="1" x14ac:dyDescent="0.25">
      <c r="L261" s="6"/>
      <c r="M261" s="6"/>
      <c r="N261" s="8"/>
      <c r="O261" s="8"/>
      <c r="P261" s="8"/>
      <c r="Q261" s="8"/>
      <c r="R261" s="8"/>
    </row>
    <row r="262" spans="12:18" ht="15.75" customHeight="1" x14ac:dyDescent="0.25">
      <c r="L262" s="6"/>
      <c r="M262" s="6"/>
      <c r="N262" s="8"/>
      <c r="O262" s="8"/>
      <c r="P262" s="8"/>
      <c r="Q262" s="8"/>
      <c r="R262" s="8"/>
    </row>
    <row r="263" spans="12:18" ht="15.75" customHeight="1" x14ac:dyDescent="0.25">
      <c r="L263" s="6"/>
      <c r="M263" s="6"/>
      <c r="N263" s="8"/>
      <c r="O263" s="8"/>
      <c r="P263" s="8"/>
      <c r="Q263" s="8"/>
      <c r="R263" s="8"/>
    </row>
    <row r="264" spans="12:18" ht="15.75" customHeight="1" x14ac:dyDescent="0.25">
      <c r="L264" s="6"/>
      <c r="M264" s="6"/>
      <c r="N264" s="8"/>
      <c r="O264" s="8"/>
      <c r="P264" s="8"/>
      <c r="Q264" s="8"/>
      <c r="R264" s="8"/>
    </row>
    <row r="265" spans="12:18" ht="15.75" customHeight="1" x14ac:dyDescent="0.25">
      <c r="L265" s="6"/>
      <c r="M265" s="6"/>
      <c r="N265" s="8"/>
      <c r="O265" s="8"/>
      <c r="P265" s="8"/>
      <c r="Q265" s="8"/>
      <c r="R265" s="8"/>
    </row>
    <row r="266" spans="12:18" ht="15.75" customHeight="1" x14ac:dyDescent="0.25">
      <c r="L266" s="6"/>
      <c r="M266" s="6"/>
      <c r="N266" s="8"/>
      <c r="O266" s="8"/>
      <c r="P266" s="8"/>
      <c r="Q266" s="8"/>
      <c r="R266" s="8"/>
    </row>
    <row r="267" spans="12:18" ht="15.75" customHeight="1" x14ac:dyDescent="0.25">
      <c r="L267" s="6"/>
      <c r="M267" s="6"/>
      <c r="N267" s="8"/>
      <c r="O267" s="8"/>
      <c r="P267" s="8"/>
      <c r="Q267" s="8"/>
      <c r="R267" s="8"/>
    </row>
    <row r="268" spans="12:18" ht="15.75" customHeight="1" x14ac:dyDescent="0.25">
      <c r="L268" s="6"/>
      <c r="M268" s="6"/>
      <c r="N268" s="8"/>
      <c r="O268" s="8"/>
      <c r="P268" s="8"/>
      <c r="Q268" s="8"/>
      <c r="R268" s="8"/>
    </row>
    <row r="269" spans="12:18" ht="15.75" customHeight="1" x14ac:dyDescent="0.25">
      <c r="L269" s="6"/>
      <c r="M269" s="6"/>
      <c r="N269" s="8"/>
      <c r="O269" s="8"/>
      <c r="P269" s="8"/>
      <c r="Q269" s="8"/>
      <c r="R269" s="8"/>
    </row>
    <row r="270" spans="12:18" ht="15.75" customHeight="1" x14ac:dyDescent="0.25">
      <c r="L270" s="6"/>
      <c r="M270" s="6"/>
      <c r="N270" s="8"/>
      <c r="O270" s="8"/>
      <c r="P270" s="8"/>
      <c r="Q270" s="8"/>
      <c r="R270" s="8"/>
    </row>
    <row r="271" spans="12:18" ht="15.75" customHeight="1" x14ac:dyDescent="0.25">
      <c r="L271" s="6"/>
      <c r="M271" s="6"/>
      <c r="N271" s="8"/>
      <c r="O271" s="8"/>
      <c r="P271" s="8"/>
      <c r="Q271" s="8"/>
      <c r="R271" s="8"/>
    </row>
    <row r="272" spans="12:18" ht="15.75" customHeight="1" x14ac:dyDescent="0.25">
      <c r="L272" s="6"/>
      <c r="M272" s="6"/>
      <c r="N272" s="8"/>
      <c r="O272" s="8"/>
      <c r="P272" s="8"/>
      <c r="Q272" s="8"/>
      <c r="R272" s="8"/>
    </row>
    <row r="273" spans="12:18" ht="15.75" customHeight="1" x14ac:dyDescent="0.25">
      <c r="L273" s="6"/>
      <c r="M273" s="6"/>
      <c r="N273" s="8"/>
      <c r="O273" s="8"/>
      <c r="P273" s="8"/>
      <c r="Q273" s="8"/>
      <c r="R273" s="8"/>
    </row>
    <row r="274" spans="12:18" ht="15.75" customHeight="1" x14ac:dyDescent="0.25">
      <c r="L274" s="6"/>
      <c r="M274" s="6"/>
      <c r="N274" s="8"/>
      <c r="O274" s="8"/>
      <c r="P274" s="8"/>
      <c r="Q274" s="8"/>
      <c r="R274" s="8"/>
    </row>
    <row r="275" spans="12:18" ht="15.75" customHeight="1" x14ac:dyDescent="0.25">
      <c r="L275" s="6"/>
      <c r="M275" s="6"/>
      <c r="N275" s="8"/>
      <c r="O275" s="8"/>
      <c r="P275" s="8"/>
      <c r="Q275" s="8"/>
      <c r="R275" s="8"/>
    </row>
    <row r="276" spans="12:18" ht="15.75" customHeight="1" x14ac:dyDescent="0.25">
      <c r="L276" s="6"/>
      <c r="M276" s="6"/>
      <c r="N276" s="8"/>
      <c r="O276" s="8"/>
      <c r="P276" s="8"/>
      <c r="Q276" s="8"/>
      <c r="R276" s="8"/>
    </row>
    <row r="277" spans="12:18" ht="15.75" customHeight="1" x14ac:dyDescent="0.25">
      <c r="L277" s="6"/>
      <c r="M277" s="6"/>
      <c r="N277" s="8"/>
      <c r="O277" s="8"/>
      <c r="P277" s="8"/>
      <c r="Q277" s="8"/>
      <c r="R277" s="8"/>
    </row>
    <row r="278" spans="12:18" ht="15.75" customHeight="1" x14ac:dyDescent="0.25">
      <c r="L278" s="6"/>
      <c r="M278" s="6"/>
      <c r="N278" s="8"/>
      <c r="O278" s="8"/>
      <c r="P278" s="8"/>
      <c r="Q278" s="8"/>
      <c r="R278" s="8"/>
    </row>
    <row r="279" spans="12:18" ht="15.75" customHeight="1" x14ac:dyDescent="0.25">
      <c r="L279" s="6"/>
      <c r="M279" s="6"/>
      <c r="N279" s="8"/>
      <c r="O279" s="8"/>
      <c r="P279" s="8"/>
      <c r="Q279" s="8"/>
      <c r="R279" s="8"/>
    </row>
    <row r="280" spans="12:18" ht="15.75" customHeight="1" x14ac:dyDescent="0.25">
      <c r="L280" s="6"/>
      <c r="M280" s="6"/>
      <c r="N280" s="8"/>
      <c r="O280" s="8"/>
      <c r="P280" s="8"/>
      <c r="Q280" s="8"/>
      <c r="R280" s="8"/>
    </row>
    <row r="281" spans="12:18" ht="15.75" customHeight="1" x14ac:dyDescent="0.25">
      <c r="L281" s="6"/>
      <c r="M281" s="6"/>
      <c r="N281" s="8"/>
      <c r="O281" s="8"/>
      <c r="P281" s="8"/>
      <c r="Q281" s="8"/>
      <c r="R281" s="8"/>
    </row>
    <row r="282" spans="12:18" ht="15.75" customHeight="1" x14ac:dyDescent="0.25">
      <c r="L282" s="6"/>
      <c r="M282" s="6"/>
      <c r="N282" s="8"/>
      <c r="O282" s="8"/>
      <c r="P282" s="8"/>
      <c r="Q282" s="8"/>
      <c r="R282" s="8"/>
    </row>
    <row r="283" spans="12:18" ht="15.75" customHeight="1" x14ac:dyDescent="0.25">
      <c r="L283" s="6"/>
      <c r="M283" s="6"/>
      <c r="N283" s="8"/>
      <c r="O283" s="8"/>
      <c r="P283" s="8"/>
      <c r="Q283" s="8"/>
      <c r="R283" s="8"/>
    </row>
    <row r="284" spans="12:18" ht="15.75" customHeight="1" x14ac:dyDescent="0.25">
      <c r="L284" s="6"/>
      <c r="M284" s="6"/>
      <c r="N284" s="8"/>
      <c r="O284" s="8"/>
      <c r="P284" s="8"/>
      <c r="Q284" s="8"/>
      <c r="R284" s="8"/>
    </row>
    <row r="285" spans="12:18" ht="15.75" customHeight="1" x14ac:dyDescent="0.25">
      <c r="L285" s="6"/>
      <c r="M285" s="6"/>
      <c r="N285" s="8"/>
      <c r="O285" s="8"/>
      <c r="P285" s="8"/>
      <c r="Q285" s="8"/>
      <c r="R285" s="8"/>
    </row>
    <row r="286" spans="12:18" ht="15.75" customHeight="1" x14ac:dyDescent="0.25">
      <c r="L286" s="6"/>
      <c r="M286" s="6"/>
      <c r="N286" s="8"/>
      <c r="O286" s="8"/>
      <c r="P286" s="8"/>
      <c r="Q286" s="8"/>
      <c r="R286" s="8"/>
    </row>
    <row r="287" spans="12:18" ht="15.75" customHeight="1" x14ac:dyDescent="0.25">
      <c r="L287" s="6"/>
      <c r="M287" s="6"/>
      <c r="N287" s="8"/>
      <c r="O287" s="8"/>
      <c r="P287" s="8"/>
      <c r="Q287" s="8"/>
      <c r="R287" s="8"/>
    </row>
    <row r="288" spans="12:18" ht="15.75" customHeight="1" x14ac:dyDescent="0.25">
      <c r="L288" s="6"/>
      <c r="M288" s="6"/>
      <c r="N288" s="8"/>
      <c r="O288" s="8"/>
      <c r="P288" s="8"/>
      <c r="Q288" s="8"/>
      <c r="R288" s="8"/>
    </row>
    <row r="289" spans="12:18" ht="15.75" customHeight="1" x14ac:dyDescent="0.25">
      <c r="L289" s="6"/>
      <c r="M289" s="6"/>
      <c r="N289" s="8"/>
      <c r="O289" s="8"/>
      <c r="P289" s="8"/>
      <c r="Q289" s="8"/>
      <c r="R289" s="8"/>
    </row>
    <row r="290" spans="12:18" ht="15.75" customHeight="1" x14ac:dyDescent="0.25">
      <c r="L290" s="6"/>
      <c r="M290" s="6"/>
      <c r="N290" s="8"/>
      <c r="O290" s="8"/>
      <c r="P290" s="8"/>
      <c r="Q290" s="8"/>
      <c r="R290" s="8"/>
    </row>
    <row r="291" spans="12:18" ht="15.75" customHeight="1" x14ac:dyDescent="0.25">
      <c r="L291" s="6"/>
      <c r="M291" s="6"/>
      <c r="N291" s="8"/>
      <c r="O291" s="8"/>
      <c r="P291" s="8"/>
      <c r="Q291" s="8"/>
      <c r="R291" s="8"/>
    </row>
    <row r="292" spans="12:18" ht="15.75" customHeight="1" x14ac:dyDescent="0.25">
      <c r="L292" s="6"/>
      <c r="M292" s="6"/>
      <c r="N292" s="8"/>
      <c r="O292" s="8"/>
      <c r="P292" s="8"/>
      <c r="Q292" s="8"/>
      <c r="R292" s="8"/>
    </row>
    <row r="293" spans="12:18" ht="15.75" customHeight="1" x14ac:dyDescent="0.25">
      <c r="L293" s="6"/>
      <c r="M293" s="6"/>
      <c r="N293" s="8"/>
      <c r="O293" s="8"/>
      <c r="P293" s="8"/>
      <c r="Q293" s="8"/>
      <c r="R293" s="8"/>
    </row>
    <row r="294" spans="12:18" ht="15.75" customHeight="1" x14ac:dyDescent="0.25">
      <c r="L294" s="6"/>
      <c r="M294" s="6"/>
      <c r="N294" s="8"/>
      <c r="O294" s="8"/>
      <c r="P294" s="8"/>
      <c r="Q294" s="8"/>
      <c r="R294" s="8"/>
    </row>
    <row r="295" spans="12:18" ht="15.75" customHeight="1" x14ac:dyDescent="0.25">
      <c r="L295" s="6"/>
      <c r="M295" s="6"/>
      <c r="N295" s="8"/>
      <c r="O295" s="8"/>
      <c r="P295" s="8"/>
      <c r="Q295" s="8"/>
      <c r="R295" s="8"/>
    </row>
    <row r="296" spans="12:18" ht="15.75" customHeight="1" x14ac:dyDescent="0.25">
      <c r="L296" s="6"/>
      <c r="M296" s="6"/>
      <c r="N296" s="8"/>
      <c r="O296" s="8"/>
      <c r="P296" s="8"/>
      <c r="Q296" s="8"/>
      <c r="R296" s="8"/>
    </row>
    <row r="297" spans="12:18" ht="15.75" customHeight="1" x14ac:dyDescent="0.25">
      <c r="L297" s="6"/>
      <c r="M297" s="6"/>
      <c r="N297" s="8"/>
      <c r="O297" s="8"/>
      <c r="P297" s="8"/>
      <c r="Q297" s="8"/>
      <c r="R297" s="8"/>
    </row>
    <row r="298" spans="12:18" ht="15.75" customHeight="1" x14ac:dyDescent="0.25">
      <c r="L298" s="6"/>
      <c r="M298" s="6"/>
      <c r="N298" s="8"/>
      <c r="O298" s="8"/>
      <c r="P298" s="8"/>
      <c r="Q298" s="8"/>
      <c r="R298" s="8"/>
    </row>
    <row r="299" spans="12:18" ht="15.75" customHeight="1" x14ac:dyDescent="0.25">
      <c r="L299" s="6"/>
      <c r="M299" s="6"/>
      <c r="N299" s="8"/>
      <c r="O299" s="8"/>
      <c r="P299" s="8"/>
      <c r="Q299" s="8"/>
      <c r="R299" s="8"/>
    </row>
    <row r="300" spans="12:18" ht="15.75" customHeight="1" x14ac:dyDescent="0.25">
      <c r="L300" s="6"/>
      <c r="M300" s="6"/>
      <c r="N300" s="8"/>
      <c r="O300" s="8"/>
      <c r="P300" s="8"/>
      <c r="Q300" s="8"/>
      <c r="R300" s="8"/>
    </row>
    <row r="301" spans="12:18" ht="15.75" customHeight="1" x14ac:dyDescent="0.25">
      <c r="L301" s="6"/>
      <c r="M301" s="6"/>
      <c r="N301" s="8"/>
      <c r="O301" s="8"/>
      <c r="P301" s="8"/>
      <c r="Q301" s="8"/>
      <c r="R301" s="8"/>
    </row>
    <row r="302" spans="12:18" ht="15.75" customHeight="1" x14ac:dyDescent="0.25">
      <c r="L302" s="6"/>
      <c r="M302" s="6"/>
      <c r="N302" s="8"/>
      <c r="O302" s="8"/>
      <c r="P302" s="8"/>
      <c r="Q302" s="8"/>
      <c r="R302" s="8"/>
    </row>
    <row r="303" spans="12:18" ht="15.75" customHeight="1" x14ac:dyDescent="0.25">
      <c r="L303" s="6"/>
      <c r="M303" s="6"/>
      <c r="N303" s="8"/>
      <c r="O303" s="8"/>
      <c r="P303" s="8"/>
      <c r="Q303" s="8"/>
      <c r="R303" s="8"/>
    </row>
    <row r="304" spans="12:18" ht="15.75" customHeight="1" x14ac:dyDescent="0.25">
      <c r="L304" s="6"/>
      <c r="M304" s="6"/>
      <c r="N304" s="8"/>
      <c r="O304" s="8"/>
      <c r="P304" s="8"/>
      <c r="Q304" s="8"/>
      <c r="R304" s="8"/>
    </row>
    <row r="305" spans="12:18" ht="15.75" customHeight="1" x14ac:dyDescent="0.25">
      <c r="L305" s="6"/>
      <c r="M305" s="6"/>
      <c r="N305" s="8"/>
      <c r="O305" s="8"/>
      <c r="P305" s="8"/>
      <c r="Q305" s="8"/>
      <c r="R305" s="8"/>
    </row>
    <row r="306" spans="12:18" ht="15.75" customHeight="1" x14ac:dyDescent="0.25">
      <c r="L306" s="6"/>
      <c r="M306" s="6"/>
      <c r="N306" s="8"/>
      <c r="O306" s="8"/>
      <c r="P306" s="8"/>
      <c r="Q306" s="8"/>
      <c r="R306" s="8"/>
    </row>
    <row r="307" spans="12:18" ht="15.75" customHeight="1" x14ac:dyDescent="0.25">
      <c r="L307" s="6"/>
      <c r="M307" s="6"/>
      <c r="N307" s="8"/>
      <c r="O307" s="8"/>
      <c r="P307" s="8"/>
      <c r="Q307" s="8"/>
      <c r="R307" s="8"/>
    </row>
    <row r="308" spans="12:18" ht="15.75" customHeight="1" x14ac:dyDescent="0.25">
      <c r="L308" s="6"/>
      <c r="M308" s="6"/>
      <c r="N308" s="8"/>
      <c r="O308" s="8"/>
      <c r="P308" s="8"/>
      <c r="Q308" s="8"/>
      <c r="R308" s="8"/>
    </row>
    <row r="309" spans="12:18" ht="15.75" customHeight="1" x14ac:dyDescent="0.25">
      <c r="L309" s="6"/>
      <c r="M309" s="6"/>
      <c r="N309" s="8"/>
      <c r="O309" s="8"/>
      <c r="P309" s="8"/>
      <c r="Q309" s="8"/>
      <c r="R309" s="8"/>
    </row>
    <row r="310" spans="12:18" ht="15.75" customHeight="1" x14ac:dyDescent="0.25">
      <c r="L310" s="6"/>
      <c r="M310" s="6"/>
      <c r="N310" s="8"/>
      <c r="O310" s="8"/>
      <c r="P310" s="8"/>
      <c r="Q310" s="8"/>
      <c r="R310" s="8"/>
    </row>
    <row r="311" spans="12:18" ht="15.75" customHeight="1" x14ac:dyDescent="0.25">
      <c r="L311" s="6"/>
      <c r="M311" s="6"/>
      <c r="N311" s="8"/>
      <c r="O311" s="8"/>
      <c r="P311" s="8"/>
      <c r="Q311" s="8"/>
      <c r="R311" s="8"/>
    </row>
    <row r="312" spans="12:18" ht="15.75" customHeight="1" x14ac:dyDescent="0.25">
      <c r="L312" s="6"/>
      <c r="M312" s="6"/>
      <c r="N312" s="8"/>
      <c r="O312" s="8"/>
      <c r="P312" s="8"/>
      <c r="Q312" s="8"/>
      <c r="R312" s="8"/>
    </row>
    <row r="313" spans="12:18" ht="15.75" customHeight="1" x14ac:dyDescent="0.25">
      <c r="L313" s="6"/>
      <c r="M313" s="6"/>
      <c r="N313" s="8"/>
      <c r="O313" s="8"/>
      <c r="P313" s="8"/>
      <c r="Q313" s="8"/>
      <c r="R313" s="8"/>
    </row>
    <row r="314" spans="12:18" ht="15.75" customHeight="1" x14ac:dyDescent="0.25">
      <c r="L314" s="6"/>
      <c r="M314" s="6"/>
      <c r="N314" s="8"/>
      <c r="O314" s="8"/>
      <c r="P314" s="8"/>
      <c r="Q314" s="8"/>
      <c r="R314" s="8"/>
    </row>
    <row r="315" spans="12:18" ht="15.75" customHeight="1" x14ac:dyDescent="0.25">
      <c r="L315" s="6"/>
      <c r="M315" s="6"/>
      <c r="N315" s="8"/>
      <c r="O315" s="8"/>
      <c r="P315" s="8"/>
      <c r="Q315" s="8"/>
      <c r="R315" s="8"/>
    </row>
    <row r="316" spans="12:18" ht="15.75" customHeight="1" x14ac:dyDescent="0.25">
      <c r="L316" s="6"/>
      <c r="M316" s="6"/>
      <c r="N316" s="8"/>
      <c r="O316" s="8"/>
      <c r="P316" s="8"/>
      <c r="Q316" s="8"/>
      <c r="R316" s="8"/>
    </row>
    <row r="317" spans="12:18" ht="15.75" customHeight="1" x14ac:dyDescent="0.25">
      <c r="L317" s="6"/>
      <c r="M317" s="6"/>
      <c r="N317" s="8"/>
      <c r="O317" s="8"/>
      <c r="P317" s="8"/>
      <c r="Q317" s="8"/>
      <c r="R317" s="8"/>
    </row>
    <row r="318" spans="12:18" ht="15.75" customHeight="1" x14ac:dyDescent="0.25">
      <c r="L318" s="6"/>
      <c r="M318" s="6"/>
      <c r="N318" s="8"/>
      <c r="O318" s="8"/>
      <c r="P318" s="8"/>
      <c r="Q318" s="8"/>
      <c r="R318" s="8"/>
    </row>
    <row r="319" spans="12:18" ht="15.75" customHeight="1" x14ac:dyDescent="0.25">
      <c r="L319" s="6"/>
      <c r="M319" s="6"/>
      <c r="N319" s="8"/>
      <c r="O319" s="8"/>
      <c r="P319" s="8"/>
      <c r="Q319" s="8"/>
      <c r="R319" s="8"/>
    </row>
    <row r="320" spans="12:18" ht="15.75" customHeight="1" x14ac:dyDescent="0.25">
      <c r="L320" s="6"/>
      <c r="M320" s="6"/>
      <c r="N320" s="8"/>
      <c r="O320" s="8"/>
      <c r="P320" s="8"/>
      <c r="Q320" s="8"/>
      <c r="R320" s="8"/>
    </row>
    <row r="321" spans="12:18" ht="15.75" customHeight="1" x14ac:dyDescent="0.25">
      <c r="L321" s="6"/>
      <c r="M321" s="6"/>
      <c r="N321" s="8"/>
      <c r="O321" s="8"/>
      <c r="P321" s="8"/>
      <c r="Q321" s="8"/>
      <c r="R321" s="8"/>
    </row>
    <row r="322" spans="12:18" ht="15.75" customHeight="1" x14ac:dyDescent="0.25">
      <c r="L322" s="6"/>
      <c r="M322" s="6"/>
      <c r="N322" s="8"/>
      <c r="O322" s="8"/>
      <c r="P322" s="8"/>
      <c r="Q322" s="8"/>
      <c r="R322" s="8"/>
    </row>
    <row r="323" spans="12:18" ht="15.75" customHeight="1" x14ac:dyDescent="0.25">
      <c r="L323" s="6"/>
      <c r="M323" s="6"/>
      <c r="N323" s="8"/>
      <c r="O323" s="8"/>
      <c r="P323" s="8"/>
      <c r="Q323" s="8"/>
      <c r="R323" s="8"/>
    </row>
    <row r="324" spans="12:18" ht="15.75" customHeight="1" x14ac:dyDescent="0.25">
      <c r="L324" s="6"/>
      <c r="M324" s="6"/>
      <c r="N324" s="8"/>
      <c r="O324" s="8"/>
      <c r="P324" s="8"/>
      <c r="Q324" s="8"/>
      <c r="R324" s="8"/>
    </row>
    <row r="325" spans="12:18" ht="15.75" customHeight="1" x14ac:dyDescent="0.25">
      <c r="L325" s="6"/>
      <c r="M325" s="6"/>
      <c r="N325" s="8"/>
      <c r="O325" s="8"/>
      <c r="P325" s="8"/>
      <c r="Q325" s="8"/>
      <c r="R325" s="8"/>
    </row>
    <row r="326" spans="12:18" ht="15.75" customHeight="1" x14ac:dyDescent="0.25">
      <c r="L326" s="6"/>
      <c r="M326" s="6"/>
      <c r="N326" s="8"/>
      <c r="O326" s="8"/>
      <c r="P326" s="8"/>
      <c r="Q326" s="8"/>
      <c r="R326" s="8"/>
    </row>
    <row r="327" spans="12:18" ht="15.75" customHeight="1" x14ac:dyDescent="0.25">
      <c r="L327" s="6"/>
      <c r="M327" s="6"/>
      <c r="N327" s="8"/>
      <c r="O327" s="8"/>
      <c r="P327" s="8"/>
      <c r="Q327" s="8"/>
      <c r="R327" s="8"/>
    </row>
    <row r="328" spans="12:18" ht="15.75" customHeight="1" x14ac:dyDescent="0.25">
      <c r="L328" s="6"/>
      <c r="M328" s="6"/>
      <c r="N328" s="8"/>
      <c r="O328" s="8"/>
      <c r="P328" s="8"/>
      <c r="Q328" s="8"/>
      <c r="R328" s="8"/>
    </row>
    <row r="329" spans="12:18" ht="15.75" customHeight="1" x14ac:dyDescent="0.25">
      <c r="L329" s="6"/>
      <c r="M329" s="6"/>
      <c r="N329" s="8"/>
      <c r="O329" s="8"/>
      <c r="P329" s="8"/>
      <c r="Q329" s="8"/>
      <c r="R329" s="8"/>
    </row>
    <row r="330" spans="12:18" ht="15.75" customHeight="1" x14ac:dyDescent="0.25">
      <c r="L330" s="6"/>
      <c r="M330" s="6"/>
      <c r="N330" s="8"/>
      <c r="O330" s="8"/>
      <c r="P330" s="8"/>
      <c r="Q330" s="8"/>
      <c r="R330" s="8"/>
    </row>
    <row r="331" spans="12:18" ht="15.75" customHeight="1" x14ac:dyDescent="0.25">
      <c r="L331" s="6"/>
      <c r="M331" s="6"/>
      <c r="N331" s="8"/>
      <c r="O331" s="8"/>
      <c r="P331" s="8"/>
      <c r="Q331" s="8"/>
      <c r="R331" s="8"/>
    </row>
    <row r="332" spans="12:18" ht="15.75" customHeight="1" x14ac:dyDescent="0.25">
      <c r="L332" s="6"/>
      <c r="M332" s="6"/>
      <c r="N332" s="8"/>
      <c r="O332" s="8"/>
      <c r="P332" s="8"/>
      <c r="Q332" s="8"/>
      <c r="R332" s="8"/>
    </row>
    <row r="333" spans="12:18" ht="15.75" customHeight="1" x14ac:dyDescent="0.25">
      <c r="L333" s="6"/>
      <c r="M333" s="6"/>
      <c r="N333" s="8"/>
      <c r="O333" s="8"/>
      <c r="P333" s="8"/>
      <c r="Q333" s="8"/>
      <c r="R333" s="8"/>
    </row>
    <row r="334" spans="12:18" ht="15.75" customHeight="1" x14ac:dyDescent="0.25">
      <c r="L334" s="6"/>
      <c r="M334" s="6"/>
      <c r="N334" s="8"/>
      <c r="O334" s="8"/>
      <c r="P334" s="8"/>
      <c r="Q334" s="8"/>
      <c r="R334" s="8"/>
    </row>
    <row r="335" spans="12:18" ht="15.75" customHeight="1" x14ac:dyDescent="0.25">
      <c r="L335" s="6"/>
      <c r="M335" s="6"/>
      <c r="N335" s="8"/>
      <c r="O335" s="8"/>
      <c r="P335" s="8"/>
      <c r="Q335" s="8"/>
      <c r="R335" s="8"/>
    </row>
    <row r="336" spans="12:18" ht="15.75" customHeight="1" x14ac:dyDescent="0.25">
      <c r="L336" s="6"/>
      <c r="M336" s="6"/>
      <c r="N336" s="8"/>
      <c r="O336" s="8"/>
      <c r="P336" s="8"/>
      <c r="Q336" s="8"/>
      <c r="R336" s="8"/>
    </row>
    <row r="337" spans="12:18" ht="15.75" customHeight="1" x14ac:dyDescent="0.25">
      <c r="L337" s="6"/>
      <c r="M337" s="6"/>
      <c r="N337" s="8"/>
      <c r="O337" s="8"/>
      <c r="P337" s="8"/>
      <c r="Q337" s="8"/>
      <c r="R337" s="8"/>
    </row>
    <row r="338" spans="12:18" ht="15.75" customHeight="1" x14ac:dyDescent="0.25">
      <c r="L338" s="6"/>
      <c r="M338" s="6"/>
      <c r="N338" s="8"/>
      <c r="O338" s="8"/>
      <c r="P338" s="8"/>
      <c r="Q338" s="8"/>
      <c r="R338" s="8"/>
    </row>
    <row r="339" spans="12:18" ht="15.75" customHeight="1" x14ac:dyDescent="0.25">
      <c r="L339" s="6"/>
      <c r="M339" s="6"/>
      <c r="N339" s="8"/>
      <c r="O339" s="8"/>
      <c r="P339" s="8"/>
      <c r="Q339" s="8"/>
      <c r="R339" s="8"/>
    </row>
    <row r="340" spans="12:18" ht="15.75" customHeight="1" x14ac:dyDescent="0.25">
      <c r="L340" s="6"/>
      <c r="M340" s="6"/>
      <c r="N340" s="8"/>
      <c r="O340" s="8"/>
      <c r="P340" s="8"/>
      <c r="Q340" s="8"/>
      <c r="R340" s="8"/>
    </row>
    <row r="341" spans="12:18" ht="15.75" customHeight="1" x14ac:dyDescent="0.25">
      <c r="L341" s="6"/>
      <c r="M341" s="6"/>
      <c r="N341" s="8"/>
      <c r="O341" s="8"/>
      <c r="P341" s="8"/>
      <c r="Q341" s="8"/>
      <c r="R341" s="8"/>
    </row>
    <row r="342" spans="12:18" ht="15.75" customHeight="1" x14ac:dyDescent="0.25">
      <c r="L342" s="6"/>
      <c r="M342" s="6"/>
      <c r="N342" s="8"/>
      <c r="O342" s="8"/>
      <c r="P342" s="8"/>
      <c r="Q342" s="8"/>
      <c r="R342" s="8"/>
    </row>
    <row r="343" spans="12:18" ht="15.75" customHeight="1" x14ac:dyDescent="0.25">
      <c r="L343" s="6"/>
      <c r="M343" s="6"/>
      <c r="N343" s="8"/>
      <c r="O343" s="8"/>
      <c r="P343" s="8"/>
      <c r="Q343" s="8"/>
      <c r="R343" s="8"/>
    </row>
    <row r="344" spans="12:18" ht="15.75" customHeight="1" x14ac:dyDescent="0.25">
      <c r="L344" s="6"/>
      <c r="M344" s="6"/>
      <c r="N344" s="8"/>
      <c r="O344" s="8"/>
      <c r="P344" s="8"/>
      <c r="Q344" s="8"/>
      <c r="R344" s="8"/>
    </row>
    <row r="345" spans="12:18" ht="15.75" customHeight="1" x14ac:dyDescent="0.25">
      <c r="L345" s="6"/>
      <c r="M345" s="6"/>
      <c r="N345" s="8"/>
      <c r="O345" s="8"/>
      <c r="P345" s="8"/>
      <c r="Q345" s="8"/>
      <c r="R345" s="8"/>
    </row>
    <row r="346" spans="12:18" ht="15.75" customHeight="1" x14ac:dyDescent="0.25">
      <c r="L346" s="6"/>
      <c r="M346" s="6"/>
      <c r="N346" s="8"/>
      <c r="O346" s="8"/>
      <c r="P346" s="8"/>
      <c r="Q346" s="8"/>
      <c r="R346" s="8"/>
    </row>
    <row r="347" spans="12:18" ht="15.75" customHeight="1" x14ac:dyDescent="0.25">
      <c r="L347" s="6"/>
      <c r="M347" s="6"/>
      <c r="N347" s="8"/>
      <c r="O347" s="8"/>
      <c r="P347" s="8"/>
      <c r="Q347" s="8"/>
      <c r="R347" s="8"/>
    </row>
    <row r="348" spans="12:18" ht="15.75" customHeight="1" x14ac:dyDescent="0.25">
      <c r="L348" s="6"/>
      <c r="M348" s="6"/>
      <c r="N348" s="8"/>
      <c r="O348" s="8"/>
      <c r="P348" s="8"/>
      <c r="Q348" s="8"/>
      <c r="R348" s="8"/>
    </row>
    <row r="349" spans="12:18" ht="15.75" customHeight="1" x14ac:dyDescent="0.25">
      <c r="L349" s="6"/>
      <c r="M349" s="6"/>
      <c r="N349" s="8"/>
      <c r="O349" s="8"/>
      <c r="P349" s="8"/>
      <c r="Q349" s="8"/>
      <c r="R349" s="8"/>
    </row>
    <row r="350" spans="12:18" ht="15.75" customHeight="1" x14ac:dyDescent="0.25">
      <c r="L350" s="6"/>
      <c r="M350" s="6"/>
      <c r="N350" s="8"/>
      <c r="O350" s="8"/>
      <c r="P350" s="8"/>
      <c r="Q350" s="8"/>
      <c r="R350" s="8"/>
    </row>
    <row r="351" spans="12:18" ht="15.75" customHeight="1" x14ac:dyDescent="0.25">
      <c r="L351" s="6"/>
      <c r="M351" s="6"/>
      <c r="N351" s="8"/>
      <c r="O351" s="8"/>
      <c r="P351" s="8"/>
      <c r="Q351" s="8"/>
      <c r="R351" s="8"/>
    </row>
    <row r="352" spans="12:18" ht="15.75" customHeight="1" x14ac:dyDescent="0.25">
      <c r="L352" s="6"/>
      <c r="M352" s="6"/>
      <c r="N352" s="8"/>
      <c r="O352" s="8"/>
      <c r="P352" s="8"/>
      <c r="Q352" s="8"/>
      <c r="R352" s="8"/>
    </row>
    <row r="353" spans="12:18" ht="15.75" customHeight="1" x14ac:dyDescent="0.25">
      <c r="L353" s="6"/>
      <c r="M353" s="6"/>
      <c r="N353" s="8"/>
      <c r="O353" s="8"/>
      <c r="P353" s="8"/>
      <c r="Q353" s="8"/>
      <c r="R353" s="8"/>
    </row>
    <row r="354" spans="12:18" ht="15.75" customHeight="1" x14ac:dyDescent="0.25">
      <c r="L354" s="6"/>
      <c r="M354" s="6"/>
      <c r="N354" s="8"/>
      <c r="O354" s="8"/>
      <c r="P354" s="8"/>
      <c r="Q354" s="8"/>
      <c r="R354" s="8"/>
    </row>
    <row r="355" spans="12:18" ht="15.75" customHeight="1" x14ac:dyDescent="0.25">
      <c r="L355" s="6"/>
      <c r="M355" s="6"/>
      <c r="N355" s="8"/>
      <c r="O355" s="8"/>
      <c r="P355" s="8"/>
      <c r="Q355" s="8"/>
      <c r="R355" s="8"/>
    </row>
    <row r="356" spans="12:18" ht="15.75" customHeight="1" x14ac:dyDescent="0.25">
      <c r="L356" s="6"/>
      <c r="M356" s="6"/>
      <c r="N356" s="8"/>
      <c r="O356" s="8"/>
      <c r="P356" s="8"/>
      <c r="Q356" s="8"/>
      <c r="R356" s="8"/>
    </row>
    <row r="357" spans="12:18" ht="15.75" customHeight="1" x14ac:dyDescent="0.25">
      <c r="L357" s="6"/>
      <c r="M357" s="6"/>
      <c r="N357" s="8"/>
      <c r="O357" s="8"/>
      <c r="P357" s="8"/>
      <c r="Q357" s="8"/>
      <c r="R357" s="8"/>
    </row>
    <row r="358" spans="12:18" ht="15.75" customHeight="1" x14ac:dyDescent="0.25">
      <c r="L358" s="6"/>
      <c r="M358" s="6"/>
      <c r="N358" s="8"/>
      <c r="O358" s="8"/>
      <c r="P358" s="8"/>
      <c r="Q358" s="8"/>
      <c r="R358" s="8"/>
    </row>
    <row r="359" spans="12:18" ht="15.75" customHeight="1" x14ac:dyDescent="0.25">
      <c r="L359" s="6"/>
      <c r="M359" s="6"/>
      <c r="N359" s="8"/>
      <c r="O359" s="8"/>
      <c r="P359" s="8"/>
      <c r="Q359" s="8"/>
      <c r="R359" s="8"/>
    </row>
    <row r="360" spans="12:18" ht="15.75" customHeight="1" x14ac:dyDescent="0.25">
      <c r="L360" s="6"/>
      <c r="M360" s="6"/>
      <c r="N360" s="8"/>
      <c r="O360" s="8"/>
      <c r="P360" s="8"/>
      <c r="Q360" s="8"/>
      <c r="R360" s="8"/>
    </row>
    <row r="361" spans="12:18" ht="15.75" customHeight="1" x14ac:dyDescent="0.25">
      <c r="L361" s="6"/>
      <c r="M361" s="6"/>
      <c r="N361" s="8"/>
      <c r="O361" s="8"/>
      <c r="P361" s="8"/>
      <c r="Q361" s="8"/>
      <c r="R361" s="8"/>
    </row>
    <row r="362" spans="12:18" ht="15.75" customHeight="1" x14ac:dyDescent="0.25">
      <c r="L362" s="6"/>
      <c r="M362" s="6"/>
      <c r="N362" s="8"/>
      <c r="O362" s="8"/>
      <c r="P362" s="8"/>
      <c r="Q362" s="8"/>
      <c r="R362" s="8"/>
    </row>
    <row r="363" spans="12:18" ht="15.75" customHeight="1" x14ac:dyDescent="0.25">
      <c r="L363" s="6"/>
      <c r="M363" s="6"/>
      <c r="N363" s="8"/>
      <c r="O363" s="8"/>
      <c r="P363" s="8"/>
      <c r="Q363" s="8"/>
      <c r="R363" s="8"/>
    </row>
    <row r="364" spans="12:18" ht="15.75" customHeight="1" x14ac:dyDescent="0.25">
      <c r="L364" s="6"/>
      <c r="M364" s="6"/>
      <c r="N364" s="8"/>
      <c r="O364" s="8"/>
      <c r="P364" s="8"/>
      <c r="Q364" s="8"/>
      <c r="R364" s="8"/>
    </row>
    <row r="365" spans="12:18" ht="15.75" customHeight="1" x14ac:dyDescent="0.25">
      <c r="L365" s="6"/>
      <c r="M365" s="6"/>
      <c r="N365" s="8"/>
      <c r="O365" s="8"/>
      <c r="P365" s="8"/>
      <c r="Q365" s="8"/>
      <c r="R365" s="8"/>
    </row>
    <row r="366" spans="12:18" ht="15.75" customHeight="1" x14ac:dyDescent="0.25">
      <c r="L366" s="6"/>
      <c r="M366" s="6"/>
      <c r="N366" s="8"/>
      <c r="O366" s="8"/>
      <c r="P366" s="8"/>
      <c r="Q366" s="8"/>
      <c r="R366" s="8"/>
    </row>
    <row r="367" spans="12:18" ht="15.75" customHeight="1" x14ac:dyDescent="0.25">
      <c r="L367" s="6"/>
      <c r="M367" s="6"/>
      <c r="N367" s="8"/>
      <c r="O367" s="8"/>
      <c r="P367" s="8"/>
      <c r="Q367" s="8"/>
      <c r="R367" s="8"/>
    </row>
    <row r="368" spans="12:18" ht="15.75" customHeight="1" x14ac:dyDescent="0.25">
      <c r="L368" s="6"/>
      <c r="M368" s="6"/>
      <c r="N368" s="8"/>
      <c r="O368" s="8"/>
      <c r="P368" s="8"/>
      <c r="Q368" s="8"/>
      <c r="R368" s="8"/>
    </row>
    <row r="369" spans="12:18" ht="15.75" customHeight="1" x14ac:dyDescent="0.25">
      <c r="L369" s="6"/>
      <c r="M369" s="6"/>
      <c r="N369" s="8"/>
      <c r="O369" s="8"/>
      <c r="P369" s="8"/>
      <c r="Q369" s="8"/>
      <c r="R369" s="8"/>
    </row>
    <row r="370" spans="12:18" ht="15.75" customHeight="1" x14ac:dyDescent="0.25">
      <c r="L370" s="6"/>
      <c r="M370" s="6"/>
      <c r="N370" s="8"/>
      <c r="O370" s="8"/>
      <c r="P370" s="8"/>
      <c r="Q370" s="8"/>
      <c r="R370" s="8"/>
    </row>
    <row r="371" spans="12:18" ht="15.75" customHeight="1" x14ac:dyDescent="0.25">
      <c r="L371" s="6"/>
      <c r="M371" s="6"/>
      <c r="N371" s="8"/>
      <c r="O371" s="8"/>
      <c r="P371" s="8"/>
      <c r="Q371" s="8"/>
      <c r="R371" s="8"/>
    </row>
    <row r="372" spans="12:18" ht="15.75" customHeight="1" x14ac:dyDescent="0.25">
      <c r="L372" s="6"/>
      <c r="M372" s="6"/>
      <c r="N372" s="8"/>
      <c r="O372" s="8"/>
      <c r="P372" s="8"/>
      <c r="Q372" s="8"/>
      <c r="R372" s="8"/>
    </row>
    <row r="373" spans="12:18" ht="15.75" customHeight="1" x14ac:dyDescent="0.25">
      <c r="L373" s="6"/>
      <c r="M373" s="6"/>
      <c r="N373" s="8"/>
      <c r="O373" s="8"/>
      <c r="P373" s="8"/>
      <c r="Q373" s="8"/>
      <c r="R373" s="8"/>
    </row>
    <row r="374" spans="12:18" ht="15.75" customHeight="1" x14ac:dyDescent="0.25">
      <c r="L374" s="6"/>
      <c r="M374" s="6"/>
      <c r="N374" s="8"/>
      <c r="O374" s="8"/>
      <c r="P374" s="8"/>
      <c r="Q374" s="8"/>
      <c r="R374" s="8"/>
    </row>
    <row r="375" spans="12:18" ht="15.75" customHeight="1" x14ac:dyDescent="0.25">
      <c r="L375" s="6"/>
      <c r="M375" s="6"/>
      <c r="N375" s="8"/>
      <c r="O375" s="8"/>
      <c r="P375" s="8"/>
      <c r="Q375" s="8"/>
      <c r="R375" s="8"/>
    </row>
    <row r="376" spans="12:18" ht="15.75" customHeight="1" x14ac:dyDescent="0.25">
      <c r="L376" s="6"/>
      <c r="M376" s="6"/>
      <c r="N376" s="8"/>
      <c r="O376" s="8"/>
      <c r="P376" s="8"/>
      <c r="Q376" s="8"/>
      <c r="R376" s="8"/>
    </row>
    <row r="377" spans="12:18" ht="15.75" customHeight="1" x14ac:dyDescent="0.25">
      <c r="L377" s="6"/>
      <c r="M377" s="6"/>
      <c r="N377" s="8"/>
      <c r="O377" s="8"/>
      <c r="P377" s="8"/>
      <c r="Q377" s="8"/>
      <c r="R377" s="8"/>
    </row>
    <row r="378" spans="12:18" ht="15.75" customHeight="1" x14ac:dyDescent="0.25">
      <c r="L378" s="6"/>
      <c r="M378" s="6"/>
      <c r="N378" s="8"/>
      <c r="O378" s="8"/>
      <c r="P378" s="8"/>
      <c r="Q378" s="8"/>
      <c r="R378" s="8"/>
    </row>
    <row r="379" spans="12:18" ht="15.75" customHeight="1" x14ac:dyDescent="0.25">
      <c r="L379" s="6"/>
      <c r="M379" s="6"/>
      <c r="N379" s="8"/>
      <c r="O379" s="8"/>
      <c r="P379" s="8"/>
      <c r="Q379" s="8"/>
      <c r="R379" s="8"/>
    </row>
    <row r="380" spans="12:18" ht="15.75" customHeight="1" x14ac:dyDescent="0.25">
      <c r="L380" s="6"/>
      <c r="M380" s="6"/>
      <c r="N380" s="8"/>
      <c r="O380" s="8"/>
      <c r="P380" s="8"/>
      <c r="Q380" s="8"/>
      <c r="R380" s="8"/>
    </row>
    <row r="381" spans="12:18" ht="15.75" customHeight="1" x14ac:dyDescent="0.25">
      <c r="L381" s="6"/>
      <c r="M381" s="6"/>
      <c r="N381" s="8"/>
      <c r="O381" s="8"/>
      <c r="P381" s="8"/>
      <c r="Q381" s="8"/>
      <c r="R381" s="8"/>
    </row>
    <row r="382" spans="12:18" ht="15.75" customHeight="1" x14ac:dyDescent="0.25">
      <c r="L382" s="6"/>
      <c r="M382" s="6"/>
      <c r="N382" s="8"/>
      <c r="O382" s="8"/>
      <c r="P382" s="8"/>
      <c r="Q382" s="8"/>
      <c r="R382" s="8"/>
    </row>
    <row r="383" spans="12:18" ht="15.75" customHeight="1" x14ac:dyDescent="0.25">
      <c r="L383" s="6"/>
      <c r="M383" s="6"/>
      <c r="N383" s="8"/>
      <c r="O383" s="8"/>
      <c r="P383" s="8"/>
      <c r="Q383" s="8"/>
      <c r="R383" s="8"/>
    </row>
    <row r="384" spans="12:18" ht="15.75" customHeight="1" x14ac:dyDescent="0.25">
      <c r="L384" s="6"/>
      <c r="M384" s="6"/>
      <c r="N384" s="8"/>
      <c r="O384" s="8"/>
      <c r="P384" s="8"/>
      <c r="Q384" s="8"/>
      <c r="R384" s="8"/>
    </row>
    <row r="385" spans="12:18" ht="15.75" customHeight="1" x14ac:dyDescent="0.25">
      <c r="L385" s="6"/>
      <c r="M385" s="6"/>
      <c r="N385" s="8"/>
      <c r="O385" s="8"/>
      <c r="P385" s="8"/>
      <c r="Q385" s="8"/>
      <c r="R385" s="8"/>
    </row>
    <row r="386" spans="12:18" ht="15.75" customHeight="1" x14ac:dyDescent="0.25">
      <c r="L386" s="6"/>
      <c r="M386" s="6"/>
      <c r="N386" s="8"/>
      <c r="O386" s="8"/>
      <c r="P386" s="8"/>
      <c r="Q386" s="8"/>
      <c r="R386" s="8"/>
    </row>
    <row r="387" spans="12:18" ht="15.75" customHeight="1" x14ac:dyDescent="0.25">
      <c r="L387" s="6"/>
      <c r="M387" s="6"/>
      <c r="N387" s="8"/>
      <c r="O387" s="8"/>
      <c r="P387" s="8"/>
      <c r="Q387" s="8"/>
      <c r="R387" s="8"/>
    </row>
    <row r="388" spans="12:18" ht="15.75" customHeight="1" x14ac:dyDescent="0.25">
      <c r="L388" s="6"/>
      <c r="M388" s="6"/>
      <c r="N388" s="8"/>
      <c r="O388" s="8"/>
      <c r="P388" s="8"/>
      <c r="Q388" s="8"/>
      <c r="R388" s="8"/>
    </row>
    <row r="389" spans="12:18" ht="15.75" customHeight="1" x14ac:dyDescent="0.25">
      <c r="L389" s="6"/>
      <c r="M389" s="6"/>
      <c r="N389" s="8"/>
      <c r="O389" s="8"/>
      <c r="P389" s="8"/>
      <c r="Q389" s="8"/>
      <c r="R389" s="8"/>
    </row>
    <row r="390" spans="12:18" ht="15.75" customHeight="1" x14ac:dyDescent="0.25">
      <c r="L390" s="6"/>
      <c r="M390" s="6"/>
      <c r="N390" s="8"/>
      <c r="O390" s="8"/>
      <c r="P390" s="8"/>
      <c r="Q390" s="8"/>
      <c r="R390" s="8"/>
    </row>
    <row r="391" spans="12:18" ht="15.75" customHeight="1" x14ac:dyDescent="0.25">
      <c r="L391" s="6"/>
      <c r="M391" s="6"/>
      <c r="N391" s="8"/>
      <c r="O391" s="8"/>
      <c r="P391" s="8"/>
      <c r="Q391" s="8"/>
      <c r="R391" s="8"/>
    </row>
    <row r="392" spans="12:18" ht="15.75" customHeight="1" x14ac:dyDescent="0.25">
      <c r="L392" s="6"/>
      <c r="M392" s="6"/>
      <c r="N392" s="8"/>
      <c r="O392" s="8"/>
      <c r="P392" s="8"/>
      <c r="Q392" s="8"/>
      <c r="R392" s="8"/>
    </row>
    <row r="393" spans="12:18" ht="15.75" customHeight="1" x14ac:dyDescent="0.25">
      <c r="L393" s="6"/>
      <c r="M393" s="6"/>
      <c r="N393" s="8"/>
      <c r="O393" s="8"/>
      <c r="P393" s="8"/>
      <c r="Q393" s="8"/>
      <c r="R393" s="8"/>
    </row>
    <row r="394" spans="12:18" ht="15.75" customHeight="1" x14ac:dyDescent="0.25">
      <c r="L394" s="6"/>
      <c r="M394" s="6"/>
      <c r="N394" s="8"/>
      <c r="O394" s="8"/>
      <c r="P394" s="8"/>
      <c r="Q394" s="8"/>
      <c r="R394" s="8"/>
    </row>
    <row r="395" spans="12:18" ht="15.75" customHeight="1" x14ac:dyDescent="0.25">
      <c r="L395" s="6"/>
      <c r="M395" s="6"/>
      <c r="N395" s="8"/>
      <c r="O395" s="8"/>
      <c r="P395" s="8"/>
      <c r="Q395" s="8"/>
      <c r="R395" s="8"/>
    </row>
    <row r="396" spans="12:18" ht="15.75" customHeight="1" x14ac:dyDescent="0.25">
      <c r="L396" s="6"/>
      <c r="M396" s="6"/>
      <c r="N396" s="8"/>
      <c r="O396" s="8"/>
      <c r="P396" s="8"/>
      <c r="Q396" s="8"/>
      <c r="R396" s="8"/>
    </row>
    <row r="397" spans="12:18" ht="15.75" customHeight="1" x14ac:dyDescent="0.25">
      <c r="L397" s="6"/>
      <c r="M397" s="6"/>
      <c r="N397" s="8"/>
      <c r="O397" s="8"/>
      <c r="P397" s="8"/>
      <c r="Q397" s="8"/>
      <c r="R397" s="8"/>
    </row>
    <row r="398" spans="12:18" ht="15.75" customHeight="1" x14ac:dyDescent="0.25">
      <c r="L398" s="6"/>
      <c r="M398" s="6"/>
      <c r="N398" s="8"/>
      <c r="O398" s="8"/>
      <c r="P398" s="8"/>
      <c r="Q398" s="8"/>
      <c r="R398" s="8"/>
    </row>
    <row r="399" spans="12:18" ht="15.75" customHeight="1" x14ac:dyDescent="0.25">
      <c r="L399" s="6"/>
      <c r="M399" s="6"/>
      <c r="N399" s="8"/>
      <c r="O399" s="8"/>
      <c r="P399" s="8"/>
      <c r="Q399" s="8"/>
      <c r="R399" s="8"/>
    </row>
    <row r="400" spans="12:18" ht="15.75" customHeight="1" x14ac:dyDescent="0.25">
      <c r="L400" s="6"/>
      <c r="M400" s="6"/>
      <c r="N400" s="8"/>
      <c r="O400" s="8"/>
      <c r="P400" s="8"/>
      <c r="Q400" s="8"/>
      <c r="R400" s="8"/>
    </row>
    <row r="401" spans="12:18" ht="15.75" customHeight="1" x14ac:dyDescent="0.25">
      <c r="L401" s="6"/>
      <c r="M401" s="6"/>
      <c r="N401" s="8"/>
      <c r="O401" s="8"/>
      <c r="P401" s="8"/>
      <c r="Q401" s="8"/>
      <c r="R401" s="8"/>
    </row>
    <row r="402" spans="12:18" ht="15.75" customHeight="1" x14ac:dyDescent="0.25">
      <c r="L402" s="6"/>
      <c r="M402" s="6"/>
      <c r="N402" s="8"/>
      <c r="O402" s="8"/>
      <c r="P402" s="8"/>
      <c r="Q402" s="8"/>
      <c r="R402" s="8"/>
    </row>
    <row r="403" spans="12:18" ht="15.75" customHeight="1" x14ac:dyDescent="0.25">
      <c r="L403" s="6"/>
      <c r="M403" s="6"/>
      <c r="N403" s="8"/>
      <c r="O403" s="8"/>
      <c r="P403" s="8"/>
      <c r="Q403" s="8"/>
      <c r="R403" s="8"/>
    </row>
    <row r="404" spans="12:18" ht="15.75" customHeight="1" x14ac:dyDescent="0.25">
      <c r="L404" s="6"/>
      <c r="M404" s="6"/>
      <c r="N404" s="8"/>
      <c r="O404" s="8"/>
      <c r="P404" s="8"/>
      <c r="Q404" s="8"/>
      <c r="R404" s="8"/>
    </row>
    <row r="405" spans="12:18" ht="15.75" customHeight="1" x14ac:dyDescent="0.25">
      <c r="L405" s="6"/>
      <c r="M405" s="6"/>
      <c r="N405" s="8"/>
      <c r="O405" s="8"/>
      <c r="P405" s="8"/>
      <c r="Q405" s="8"/>
      <c r="R405" s="8"/>
    </row>
    <row r="406" spans="12:18" ht="15.75" customHeight="1" x14ac:dyDescent="0.25">
      <c r="L406" s="6"/>
      <c r="M406" s="6"/>
      <c r="N406" s="8"/>
      <c r="O406" s="8"/>
      <c r="P406" s="8"/>
      <c r="Q406" s="8"/>
      <c r="R406" s="8"/>
    </row>
    <row r="407" spans="12:18" ht="15.75" customHeight="1" x14ac:dyDescent="0.25">
      <c r="L407" s="6"/>
      <c r="M407" s="6"/>
      <c r="N407" s="8"/>
      <c r="O407" s="8"/>
      <c r="P407" s="8"/>
      <c r="Q407" s="8"/>
      <c r="R407" s="8"/>
    </row>
    <row r="408" spans="12:18" ht="15.75" customHeight="1" x14ac:dyDescent="0.25">
      <c r="L408" s="6"/>
      <c r="M408" s="6"/>
      <c r="N408" s="8"/>
      <c r="O408" s="8"/>
      <c r="P408" s="8"/>
      <c r="Q408" s="8"/>
      <c r="R408" s="8"/>
    </row>
    <row r="409" spans="12:18" ht="15.75" customHeight="1" x14ac:dyDescent="0.25">
      <c r="L409" s="6"/>
      <c r="M409" s="6"/>
      <c r="N409" s="8"/>
      <c r="O409" s="8"/>
      <c r="P409" s="8"/>
      <c r="Q409" s="8"/>
      <c r="R409" s="8"/>
    </row>
    <row r="410" spans="12:18" ht="15.75" customHeight="1" x14ac:dyDescent="0.25">
      <c r="L410" s="6"/>
      <c r="M410" s="6"/>
      <c r="N410" s="8"/>
      <c r="O410" s="8"/>
      <c r="P410" s="8"/>
      <c r="Q410" s="8"/>
      <c r="R410" s="8"/>
    </row>
    <row r="411" spans="12:18" ht="15.75" customHeight="1" x14ac:dyDescent="0.25">
      <c r="L411" s="6"/>
      <c r="M411" s="6"/>
      <c r="N411" s="8"/>
      <c r="O411" s="8"/>
      <c r="P411" s="8"/>
      <c r="Q411" s="8"/>
      <c r="R411" s="8"/>
    </row>
    <row r="412" spans="12:18" ht="15.75" customHeight="1" x14ac:dyDescent="0.25">
      <c r="L412" s="6"/>
      <c r="M412" s="6"/>
      <c r="N412" s="8"/>
      <c r="O412" s="8"/>
      <c r="P412" s="8"/>
      <c r="Q412" s="8"/>
      <c r="R412" s="8"/>
    </row>
    <row r="413" spans="12:18" ht="15.75" customHeight="1" x14ac:dyDescent="0.25">
      <c r="L413" s="6"/>
      <c r="M413" s="6"/>
      <c r="N413" s="8"/>
      <c r="O413" s="8"/>
      <c r="P413" s="8"/>
      <c r="Q413" s="8"/>
      <c r="R413" s="8"/>
    </row>
    <row r="414" spans="12:18" ht="15.75" customHeight="1" x14ac:dyDescent="0.25">
      <c r="L414" s="6"/>
      <c r="M414" s="6"/>
      <c r="N414" s="8"/>
      <c r="O414" s="8"/>
      <c r="P414" s="8"/>
      <c r="Q414" s="8"/>
      <c r="R414" s="8"/>
    </row>
    <row r="415" spans="12:18" ht="15.75" customHeight="1" x14ac:dyDescent="0.25">
      <c r="L415" s="6"/>
      <c r="M415" s="6"/>
      <c r="N415" s="8"/>
      <c r="O415" s="8"/>
      <c r="P415" s="8"/>
      <c r="Q415" s="8"/>
      <c r="R415" s="8"/>
    </row>
    <row r="416" spans="12:18" ht="15.75" customHeight="1" x14ac:dyDescent="0.25">
      <c r="L416" s="6"/>
      <c r="M416" s="6"/>
      <c r="N416" s="8"/>
      <c r="O416" s="8"/>
      <c r="P416" s="8"/>
      <c r="Q416" s="8"/>
      <c r="R416" s="8"/>
    </row>
    <row r="417" spans="12:18" ht="15.75" customHeight="1" x14ac:dyDescent="0.25">
      <c r="L417" s="6"/>
      <c r="M417" s="6"/>
      <c r="N417" s="8"/>
      <c r="O417" s="8"/>
      <c r="P417" s="8"/>
      <c r="Q417" s="8"/>
      <c r="R417" s="8"/>
    </row>
    <row r="418" spans="12:18" ht="15.75" customHeight="1" x14ac:dyDescent="0.25">
      <c r="L418" s="6"/>
      <c r="M418" s="6"/>
      <c r="N418" s="8"/>
      <c r="O418" s="8"/>
      <c r="P418" s="8"/>
      <c r="Q418" s="8"/>
      <c r="R418" s="8"/>
    </row>
    <row r="419" spans="12:18" ht="15.75" customHeight="1" x14ac:dyDescent="0.25">
      <c r="L419" s="6"/>
      <c r="M419" s="6"/>
      <c r="N419" s="8"/>
      <c r="O419" s="8"/>
      <c r="P419" s="8"/>
      <c r="Q419" s="8"/>
      <c r="R419" s="8"/>
    </row>
    <row r="420" spans="12:18" ht="15.75" customHeight="1" x14ac:dyDescent="0.25">
      <c r="L420" s="6"/>
      <c r="M420" s="6"/>
      <c r="N420" s="8"/>
      <c r="O420" s="8"/>
      <c r="P420" s="8"/>
      <c r="Q420" s="8"/>
      <c r="R420" s="8"/>
    </row>
    <row r="421" spans="12:18" ht="15.75" customHeight="1" x14ac:dyDescent="0.25">
      <c r="L421" s="6"/>
      <c r="M421" s="6"/>
      <c r="N421" s="8"/>
      <c r="O421" s="8"/>
      <c r="P421" s="8"/>
      <c r="Q421" s="8"/>
      <c r="R421" s="8"/>
    </row>
    <row r="422" spans="12:18" ht="15.75" customHeight="1" x14ac:dyDescent="0.25">
      <c r="L422" s="6"/>
      <c r="M422" s="6"/>
      <c r="N422" s="8"/>
      <c r="O422" s="8"/>
      <c r="P422" s="8"/>
      <c r="Q422" s="8"/>
      <c r="R422" s="8"/>
    </row>
    <row r="423" spans="12:18" ht="15.75" customHeight="1" x14ac:dyDescent="0.25">
      <c r="L423" s="6"/>
      <c r="M423" s="6"/>
      <c r="N423" s="8"/>
      <c r="O423" s="8"/>
      <c r="P423" s="8"/>
      <c r="Q423" s="8"/>
      <c r="R423" s="8"/>
    </row>
    <row r="424" spans="12:18" ht="15.75" customHeight="1" x14ac:dyDescent="0.25">
      <c r="L424" s="6"/>
      <c r="M424" s="6"/>
      <c r="N424" s="8"/>
      <c r="O424" s="8"/>
      <c r="P424" s="8"/>
      <c r="Q424" s="8"/>
      <c r="R424" s="8"/>
    </row>
    <row r="425" spans="12:18" ht="15.75" customHeight="1" x14ac:dyDescent="0.25">
      <c r="L425" s="6"/>
      <c r="M425" s="6"/>
      <c r="N425" s="8"/>
      <c r="O425" s="8"/>
      <c r="P425" s="8"/>
      <c r="Q425" s="8"/>
      <c r="R425" s="8"/>
    </row>
    <row r="426" spans="12:18" ht="15.75" customHeight="1" x14ac:dyDescent="0.25">
      <c r="L426" s="6"/>
      <c r="M426" s="6"/>
      <c r="N426" s="8"/>
      <c r="O426" s="8"/>
      <c r="P426" s="8"/>
      <c r="Q426" s="8"/>
      <c r="R426" s="8"/>
    </row>
    <row r="427" spans="12:18" ht="15.75" customHeight="1" x14ac:dyDescent="0.25">
      <c r="L427" s="6"/>
      <c r="M427" s="6"/>
      <c r="N427" s="8"/>
      <c r="O427" s="8"/>
      <c r="P427" s="8"/>
      <c r="Q427" s="8"/>
      <c r="R427" s="8"/>
    </row>
    <row r="428" spans="12:18" ht="15.75" customHeight="1" x14ac:dyDescent="0.25">
      <c r="L428" s="6"/>
      <c r="M428" s="6"/>
      <c r="N428" s="8"/>
      <c r="O428" s="8"/>
      <c r="P428" s="8"/>
      <c r="Q428" s="8"/>
      <c r="R428" s="8"/>
    </row>
    <row r="429" spans="12:18" ht="15.75" customHeight="1" x14ac:dyDescent="0.25">
      <c r="L429" s="6"/>
      <c r="M429" s="6"/>
      <c r="N429" s="8"/>
      <c r="O429" s="8"/>
      <c r="P429" s="8"/>
      <c r="Q429" s="8"/>
      <c r="R429" s="8"/>
    </row>
    <row r="430" spans="12:18" ht="15.75" customHeight="1" x14ac:dyDescent="0.25">
      <c r="L430" s="6"/>
      <c r="M430" s="6"/>
      <c r="N430" s="8"/>
      <c r="O430" s="8"/>
      <c r="P430" s="8"/>
      <c r="Q430" s="8"/>
      <c r="R430" s="8"/>
    </row>
    <row r="431" spans="12:18" ht="15.75" customHeight="1" x14ac:dyDescent="0.25">
      <c r="L431" s="6"/>
      <c r="M431" s="6"/>
      <c r="N431" s="8"/>
      <c r="O431" s="8"/>
      <c r="P431" s="8"/>
      <c r="Q431" s="8"/>
      <c r="R431" s="8"/>
    </row>
    <row r="432" spans="12:18" ht="15.75" customHeight="1" x14ac:dyDescent="0.25">
      <c r="L432" s="6"/>
      <c r="M432" s="6"/>
      <c r="N432" s="8"/>
      <c r="O432" s="8"/>
      <c r="P432" s="8"/>
      <c r="Q432" s="8"/>
      <c r="R432" s="8"/>
    </row>
    <row r="433" spans="12:18" ht="15.75" customHeight="1" x14ac:dyDescent="0.25">
      <c r="L433" s="6"/>
      <c r="M433" s="6"/>
      <c r="N433" s="8"/>
      <c r="O433" s="8"/>
      <c r="P433" s="8"/>
      <c r="Q433" s="8"/>
      <c r="R433" s="8"/>
    </row>
    <row r="434" spans="12:18" ht="15.75" customHeight="1" x14ac:dyDescent="0.25">
      <c r="L434" s="6"/>
      <c r="M434" s="6"/>
      <c r="N434" s="8"/>
      <c r="O434" s="8"/>
      <c r="P434" s="8"/>
      <c r="Q434" s="8"/>
      <c r="R434" s="8"/>
    </row>
    <row r="435" spans="12:18" ht="15.75" customHeight="1" x14ac:dyDescent="0.25">
      <c r="L435" s="6"/>
      <c r="M435" s="6"/>
      <c r="N435" s="8"/>
      <c r="O435" s="8"/>
      <c r="P435" s="8"/>
      <c r="Q435" s="8"/>
      <c r="R435" s="8"/>
    </row>
    <row r="436" spans="12:18" ht="15.75" customHeight="1" x14ac:dyDescent="0.25">
      <c r="L436" s="6"/>
      <c r="M436" s="6"/>
      <c r="N436" s="8"/>
      <c r="O436" s="8"/>
      <c r="P436" s="8"/>
      <c r="Q436" s="8"/>
      <c r="R436" s="8"/>
    </row>
    <row r="437" spans="12:18" ht="15.75" customHeight="1" x14ac:dyDescent="0.25">
      <c r="L437" s="6"/>
      <c r="M437" s="6"/>
      <c r="N437" s="8"/>
      <c r="O437" s="8"/>
      <c r="P437" s="8"/>
      <c r="Q437" s="8"/>
      <c r="R437" s="8"/>
    </row>
    <row r="438" spans="12:18" ht="15.75" customHeight="1" x14ac:dyDescent="0.25">
      <c r="L438" s="6"/>
      <c r="M438" s="6"/>
      <c r="N438" s="8"/>
      <c r="O438" s="8"/>
      <c r="P438" s="8"/>
      <c r="Q438" s="8"/>
      <c r="R438" s="8"/>
    </row>
    <row r="439" spans="12:18" ht="15.75" customHeight="1" x14ac:dyDescent="0.25">
      <c r="L439" s="6"/>
      <c r="M439" s="6"/>
      <c r="N439" s="8"/>
      <c r="O439" s="8"/>
      <c r="P439" s="8"/>
      <c r="Q439" s="8"/>
      <c r="R439" s="8"/>
    </row>
    <row r="440" spans="12:18" ht="15.75" customHeight="1" x14ac:dyDescent="0.25">
      <c r="L440" s="6"/>
      <c r="M440" s="6"/>
      <c r="N440" s="8"/>
      <c r="O440" s="8"/>
      <c r="P440" s="8"/>
      <c r="Q440" s="8"/>
      <c r="R440" s="8"/>
    </row>
    <row r="441" spans="12:18" ht="15.75" customHeight="1" x14ac:dyDescent="0.25">
      <c r="L441" s="6"/>
      <c r="M441" s="6"/>
      <c r="N441" s="8"/>
      <c r="O441" s="8"/>
      <c r="P441" s="8"/>
      <c r="Q441" s="8"/>
      <c r="R441" s="8"/>
    </row>
    <row r="442" spans="12:18" ht="15.75" customHeight="1" x14ac:dyDescent="0.25">
      <c r="L442" s="6"/>
      <c r="M442" s="6"/>
      <c r="N442" s="8"/>
      <c r="O442" s="8"/>
      <c r="P442" s="8"/>
      <c r="Q442" s="8"/>
      <c r="R442" s="8"/>
    </row>
    <row r="443" spans="12:18" ht="15.75" customHeight="1" x14ac:dyDescent="0.25">
      <c r="L443" s="6"/>
      <c r="M443" s="6"/>
      <c r="N443" s="8"/>
      <c r="O443" s="8"/>
      <c r="P443" s="8"/>
      <c r="Q443" s="8"/>
      <c r="R443" s="8"/>
    </row>
    <row r="444" spans="12:18" ht="15.75" customHeight="1" x14ac:dyDescent="0.25">
      <c r="L444" s="6"/>
      <c r="M444" s="6"/>
      <c r="N444" s="8"/>
      <c r="O444" s="8"/>
      <c r="P444" s="8"/>
      <c r="Q444" s="8"/>
      <c r="R444" s="8"/>
    </row>
    <row r="445" spans="12:18" ht="15.75" customHeight="1" x14ac:dyDescent="0.25">
      <c r="L445" s="6"/>
      <c r="M445" s="6"/>
      <c r="N445" s="8"/>
      <c r="O445" s="8"/>
      <c r="P445" s="8"/>
      <c r="Q445" s="8"/>
      <c r="R445" s="8"/>
    </row>
    <row r="446" spans="12:18" ht="15.75" customHeight="1" x14ac:dyDescent="0.25">
      <c r="L446" s="6"/>
      <c r="M446" s="6"/>
      <c r="N446" s="8"/>
      <c r="O446" s="8"/>
      <c r="P446" s="8"/>
      <c r="Q446" s="8"/>
      <c r="R446" s="8"/>
    </row>
    <row r="447" spans="12:18" ht="15.75" customHeight="1" x14ac:dyDescent="0.25">
      <c r="L447" s="6"/>
      <c r="M447" s="6"/>
      <c r="N447" s="8"/>
      <c r="O447" s="8"/>
      <c r="P447" s="8"/>
      <c r="Q447" s="8"/>
      <c r="R447" s="8"/>
    </row>
    <row r="448" spans="12:18" ht="15.75" customHeight="1" x14ac:dyDescent="0.25">
      <c r="L448" s="6"/>
      <c r="M448" s="6"/>
      <c r="N448" s="8"/>
      <c r="O448" s="8"/>
      <c r="P448" s="8"/>
      <c r="Q448" s="8"/>
      <c r="R448" s="8"/>
    </row>
    <row r="449" spans="12:18" ht="15.75" customHeight="1" x14ac:dyDescent="0.25">
      <c r="L449" s="6"/>
      <c r="M449" s="6"/>
      <c r="N449" s="8"/>
      <c r="O449" s="8"/>
      <c r="P449" s="8"/>
      <c r="Q449" s="8"/>
      <c r="R449" s="8"/>
    </row>
    <row r="450" spans="12:18" ht="15.75" customHeight="1" x14ac:dyDescent="0.25">
      <c r="L450" s="6"/>
      <c r="M450" s="6"/>
      <c r="N450" s="8"/>
      <c r="O450" s="8"/>
      <c r="P450" s="8"/>
      <c r="Q450" s="8"/>
      <c r="R450" s="8"/>
    </row>
    <row r="451" spans="12:18" ht="15.75" customHeight="1" x14ac:dyDescent="0.25">
      <c r="L451" s="6"/>
      <c r="M451" s="6"/>
      <c r="N451" s="8"/>
      <c r="O451" s="8"/>
      <c r="P451" s="8"/>
      <c r="Q451" s="8"/>
      <c r="R451" s="8"/>
    </row>
    <row r="452" spans="12:18" ht="15.75" customHeight="1" x14ac:dyDescent="0.25">
      <c r="L452" s="6"/>
      <c r="M452" s="6"/>
      <c r="N452" s="8"/>
      <c r="O452" s="8"/>
      <c r="P452" s="8"/>
      <c r="Q452" s="8"/>
      <c r="R452" s="8"/>
    </row>
    <row r="453" spans="12:18" ht="15.75" customHeight="1" x14ac:dyDescent="0.25">
      <c r="L453" s="6"/>
      <c r="M453" s="6"/>
      <c r="N453" s="8"/>
      <c r="O453" s="8"/>
      <c r="P453" s="8"/>
      <c r="Q453" s="8"/>
      <c r="R453" s="8"/>
    </row>
    <row r="454" spans="12:18" ht="15.75" customHeight="1" x14ac:dyDescent="0.25">
      <c r="L454" s="6"/>
      <c r="M454" s="6"/>
      <c r="N454" s="8"/>
      <c r="O454" s="8"/>
      <c r="P454" s="8"/>
      <c r="Q454" s="8"/>
      <c r="R454" s="8"/>
    </row>
    <row r="455" spans="12:18" ht="15.75" customHeight="1" x14ac:dyDescent="0.25">
      <c r="L455" s="6"/>
      <c r="M455" s="6"/>
      <c r="N455" s="8"/>
      <c r="O455" s="8"/>
      <c r="P455" s="8"/>
      <c r="Q455" s="8"/>
      <c r="R455" s="8"/>
    </row>
    <row r="456" spans="12:18" ht="15.75" customHeight="1" x14ac:dyDescent="0.25">
      <c r="L456" s="6"/>
      <c r="M456" s="6"/>
      <c r="N456" s="8"/>
      <c r="O456" s="8"/>
      <c r="P456" s="8"/>
      <c r="Q456" s="8"/>
      <c r="R456" s="8"/>
    </row>
    <row r="457" spans="12:18" ht="15.75" customHeight="1" x14ac:dyDescent="0.25">
      <c r="L457" s="6"/>
      <c r="M457" s="6"/>
      <c r="N457" s="8"/>
      <c r="O457" s="8"/>
      <c r="P457" s="8"/>
      <c r="Q457" s="8"/>
      <c r="R457" s="8"/>
    </row>
    <row r="458" spans="12:18" ht="15.75" customHeight="1" x14ac:dyDescent="0.25">
      <c r="L458" s="6"/>
      <c r="M458" s="6"/>
      <c r="N458" s="8"/>
      <c r="O458" s="8"/>
      <c r="P458" s="8"/>
      <c r="Q458" s="8"/>
      <c r="R458" s="8"/>
    </row>
    <row r="459" spans="12:18" ht="15.75" customHeight="1" x14ac:dyDescent="0.25">
      <c r="L459" s="6"/>
      <c r="M459" s="6"/>
      <c r="N459" s="8"/>
      <c r="O459" s="8"/>
      <c r="P459" s="8"/>
      <c r="Q459" s="8"/>
      <c r="R459" s="8"/>
    </row>
    <row r="460" spans="12:18" ht="15.75" customHeight="1" x14ac:dyDescent="0.25">
      <c r="L460" s="6"/>
      <c r="M460" s="6"/>
      <c r="N460" s="8"/>
      <c r="O460" s="8"/>
      <c r="P460" s="8"/>
      <c r="Q460" s="8"/>
      <c r="R460" s="8"/>
    </row>
    <row r="461" spans="12:18" ht="15.75" customHeight="1" x14ac:dyDescent="0.25">
      <c r="L461" s="6"/>
      <c r="M461" s="6"/>
      <c r="N461" s="8"/>
      <c r="O461" s="8"/>
      <c r="P461" s="8"/>
      <c r="Q461" s="8"/>
      <c r="R461" s="8"/>
    </row>
    <row r="462" spans="12:18" ht="15.75" customHeight="1" x14ac:dyDescent="0.25">
      <c r="L462" s="6"/>
      <c r="M462" s="6"/>
      <c r="N462" s="8"/>
      <c r="O462" s="8"/>
      <c r="P462" s="8"/>
      <c r="Q462" s="8"/>
      <c r="R462" s="8"/>
    </row>
    <row r="463" spans="12:18" ht="15.75" customHeight="1" x14ac:dyDescent="0.25">
      <c r="L463" s="6"/>
      <c r="M463" s="6"/>
      <c r="N463" s="8"/>
      <c r="O463" s="8"/>
      <c r="P463" s="8"/>
      <c r="Q463" s="8"/>
      <c r="R463" s="8"/>
    </row>
    <row r="464" spans="12:18" ht="15.75" customHeight="1" x14ac:dyDescent="0.25">
      <c r="L464" s="6"/>
      <c r="M464" s="6"/>
      <c r="N464" s="8"/>
      <c r="O464" s="8"/>
      <c r="P464" s="8"/>
      <c r="Q464" s="8"/>
      <c r="R464" s="8"/>
    </row>
    <row r="465" spans="12:18" ht="15.75" customHeight="1" x14ac:dyDescent="0.25">
      <c r="L465" s="6"/>
      <c r="M465" s="6"/>
      <c r="N465" s="8"/>
      <c r="O465" s="8"/>
      <c r="P465" s="8"/>
      <c r="Q465" s="8"/>
      <c r="R465" s="8"/>
    </row>
    <row r="466" spans="12:18" ht="15.75" customHeight="1" x14ac:dyDescent="0.25">
      <c r="L466" s="6"/>
      <c r="M466" s="6"/>
      <c r="N466" s="8"/>
      <c r="O466" s="8"/>
      <c r="P466" s="8"/>
      <c r="Q466" s="8"/>
      <c r="R466" s="8"/>
    </row>
    <row r="467" spans="12:18" ht="15.75" customHeight="1" x14ac:dyDescent="0.25">
      <c r="L467" s="6"/>
      <c r="M467" s="6"/>
      <c r="N467" s="8"/>
      <c r="O467" s="8"/>
      <c r="P467" s="8"/>
      <c r="Q467" s="8"/>
      <c r="R467" s="8"/>
    </row>
    <row r="468" spans="12:18" ht="15.75" customHeight="1" x14ac:dyDescent="0.25">
      <c r="L468" s="6"/>
      <c r="M468" s="6"/>
      <c r="N468" s="8"/>
      <c r="O468" s="8"/>
      <c r="P468" s="8"/>
      <c r="Q468" s="8"/>
      <c r="R468" s="8"/>
    </row>
    <row r="469" spans="12:18" ht="15.75" customHeight="1" x14ac:dyDescent="0.25">
      <c r="L469" s="6"/>
      <c r="M469" s="6"/>
      <c r="N469" s="8"/>
      <c r="O469" s="8"/>
      <c r="P469" s="8"/>
      <c r="Q469" s="8"/>
      <c r="R469" s="8"/>
    </row>
    <row r="470" spans="12:18" ht="15.75" customHeight="1" x14ac:dyDescent="0.25">
      <c r="L470" s="6"/>
      <c r="M470" s="6"/>
      <c r="N470" s="8"/>
      <c r="O470" s="8"/>
      <c r="P470" s="8"/>
      <c r="Q470" s="8"/>
      <c r="R470" s="8"/>
    </row>
    <row r="471" spans="12:18" ht="15.75" customHeight="1" x14ac:dyDescent="0.25">
      <c r="L471" s="6"/>
      <c r="M471" s="6"/>
      <c r="N471" s="8"/>
      <c r="O471" s="8"/>
      <c r="P471" s="8"/>
      <c r="Q471" s="8"/>
      <c r="R471" s="8"/>
    </row>
    <row r="472" spans="12:18" ht="15.75" customHeight="1" x14ac:dyDescent="0.25">
      <c r="L472" s="6"/>
      <c r="M472" s="6"/>
      <c r="N472" s="8"/>
      <c r="O472" s="8"/>
      <c r="P472" s="8"/>
      <c r="Q472" s="8"/>
      <c r="R472" s="8"/>
    </row>
    <row r="473" spans="12:18" ht="15.75" customHeight="1" x14ac:dyDescent="0.25">
      <c r="L473" s="6"/>
      <c r="M473" s="6"/>
      <c r="N473" s="8"/>
      <c r="O473" s="8"/>
      <c r="P473" s="8"/>
      <c r="Q473" s="8"/>
      <c r="R473" s="8"/>
    </row>
    <row r="474" spans="12:18" ht="15.75" customHeight="1" x14ac:dyDescent="0.25">
      <c r="L474" s="6"/>
      <c r="M474" s="6"/>
      <c r="N474" s="8"/>
      <c r="O474" s="8"/>
      <c r="P474" s="8"/>
      <c r="Q474" s="8"/>
      <c r="R474" s="8"/>
    </row>
    <row r="475" spans="12:18" ht="15.75" customHeight="1" x14ac:dyDescent="0.25">
      <c r="L475" s="6"/>
      <c r="M475" s="6"/>
      <c r="N475" s="8"/>
      <c r="O475" s="8"/>
      <c r="P475" s="8"/>
      <c r="Q475" s="8"/>
      <c r="R475" s="8"/>
    </row>
    <row r="476" spans="12:18" ht="15.75" customHeight="1" x14ac:dyDescent="0.25">
      <c r="L476" s="6"/>
      <c r="M476" s="6"/>
      <c r="N476" s="8"/>
      <c r="O476" s="8"/>
      <c r="P476" s="8"/>
      <c r="Q476" s="8"/>
      <c r="R476" s="8"/>
    </row>
    <row r="477" spans="12:18" ht="15.75" customHeight="1" x14ac:dyDescent="0.25">
      <c r="L477" s="6"/>
      <c r="M477" s="6"/>
      <c r="N477" s="8"/>
      <c r="O477" s="8"/>
      <c r="P477" s="8"/>
      <c r="Q477" s="8"/>
      <c r="R477" s="8"/>
    </row>
    <row r="478" spans="12:18" ht="15.75" customHeight="1" x14ac:dyDescent="0.25">
      <c r="L478" s="6"/>
      <c r="M478" s="6"/>
      <c r="N478" s="8"/>
      <c r="O478" s="8"/>
      <c r="P478" s="8"/>
      <c r="Q478" s="8"/>
      <c r="R478" s="8"/>
    </row>
    <row r="479" spans="12:18" ht="15.75" customHeight="1" x14ac:dyDescent="0.25">
      <c r="L479" s="6"/>
      <c r="M479" s="6"/>
      <c r="N479" s="8"/>
      <c r="O479" s="8"/>
      <c r="P479" s="8"/>
      <c r="Q479" s="8"/>
      <c r="R479" s="8"/>
    </row>
    <row r="480" spans="12:18" ht="15.75" customHeight="1" x14ac:dyDescent="0.25">
      <c r="L480" s="6"/>
      <c r="M480" s="6"/>
      <c r="N480" s="8"/>
      <c r="O480" s="8"/>
      <c r="P480" s="8"/>
      <c r="Q480" s="8"/>
      <c r="R480" s="8"/>
    </row>
    <row r="481" spans="12:18" ht="15.75" customHeight="1" x14ac:dyDescent="0.25">
      <c r="L481" s="6"/>
      <c r="M481" s="6"/>
      <c r="N481" s="8"/>
      <c r="O481" s="8"/>
      <c r="P481" s="8"/>
      <c r="Q481" s="8"/>
      <c r="R481" s="8"/>
    </row>
    <row r="482" spans="12:18" ht="15.75" customHeight="1" x14ac:dyDescent="0.25">
      <c r="L482" s="6"/>
      <c r="M482" s="6"/>
      <c r="N482" s="8"/>
      <c r="O482" s="8"/>
      <c r="P482" s="8"/>
      <c r="Q482" s="8"/>
      <c r="R482" s="8"/>
    </row>
    <row r="483" spans="12:18" ht="15.75" customHeight="1" x14ac:dyDescent="0.25">
      <c r="L483" s="6"/>
      <c r="M483" s="6"/>
      <c r="N483" s="8"/>
      <c r="O483" s="8"/>
      <c r="P483" s="8"/>
      <c r="Q483" s="8"/>
      <c r="R483" s="8"/>
    </row>
    <row r="484" spans="12:18" ht="15.75" customHeight="1" x14ac:dyDescent="0.25">
      <c r="L484" s="6"/>
      <c r="M484" s="6"/>
      <c r="N484" s="8"/>
      <c r="O484" s="8"/>
      <c r="P484" s="8"/>
      <c r="Q484" s="8"/>
      <c r="R484" s="8"/>
    </row>
    <row r="485" spans="12:18" ht="15.75" customHeight="1" x14ac:dyDescent="0.25">
      <c r="L485" s="6"/>
      <c r="M485" s="6"/>
      <c r="N485" s="8"/>
      <c r="O485" s="8"/>
      <c r="P485" s="8"/>
      <c r="Q485" s="8"/>
      <c r="R485" s="8"/>
    </row>
    <row r="486" spans="12:18" ht="15.75" customHeight="1" x14ac:dyDescent="0.25">
      <c r="L486" s="6"/>
      <c r="M486" s="6"/>
      <c r="N486" s="8"/>
      <c r="O486" s="8"/>
      <c r="P486" s="8"/>
      <c r="Q486" s="8"/>
      <c r="R486" s="8"/>
    </row>
    <row r="487" spans="12:18" ht="15.75" customHeight="1" x14ac:dyDescent="0.25">
      <c r="L487" s="6"/>
      <c r="M487" s="6"/>
      <c r="N487" s="8"/>
      <c r="O487" s="8"/>
      <c r="P487" s="8"/>
      <c r="Q487" s="8"/>
      <c r="R487" s="8"/>
    </row>
    <row r="488" spans="12:18" ht="15.75" customHeight="1" x14ac:dyDescent="0.25">
      <c r="L488" s="6"/>
      <c r="M488" s="6"/>
      <c r="N488" s="8"/>
      <c r="O488" s="8"/>
      <c r="P488" s="8"/>
      <c r="Q488" s="8"/>
      <c r="R488" s="8"/>
    </row>
    <row r="489" spans="12:18" ht="15.75" customHeight="1" x14ac:dyDescent="0.25">
      <c r="L489" s="6"/>
      <c r="M489" s="6"/>
      <c r="N489" s="8"/>
      <c r="O489" s="8"/>
      <c r="P489" s="8"/>
      <c r="Q489" s="8"/>
      <c r="R489" s="8"/>
    </row>
    <row r="490" spans="12:18" ht="15.75" customHeight="1" x14ac:dyDescent="0.25">
      <c r="L490" s="6"/>
      <c r="M490" s="6"/>
      <c r="N490" s="8"/>
      <c r="O490" s="8"/>
      <c r="P490" s="8"/>
      <c r="Q490" s="8"/>
      <c r="R490" s="8"/>
    </row>
    <row r="491" spans="12:18" ht="15.75" customHeight="1" x14ac:dyDescent="0.25">
      <c r="L491" s="6"/>
      <c r="M491" s="6"/>
      <c r="N491" s="8"/>
      <c r="O491" s="8"/>
      <c r="P491" s="8"/>
      <c r="Q491" s="8"/>
      <c r="R491" s="8"/>
    </row>
    <row r="492" spans="12:18" ht="15.75" customHeight="1" x14ac:dyDescent="0.25">
      <c r="L492" s="6"/>
      <c r="M492" s="6"/>
      <c r="N492" s="8"/>
      <c r="O492" s="8"/>
      <c r="P492" s="8"/>
      <c r="Q492" s="8"/>
      <c r="R492" s="8"/>
    </row>
    <row r="493" spans="12:18" ht="15.75" customHeight="1" x14ac:dyDescent="0.25">
      <c r="L493" s="6"/>
      <c r="M493" s="6"/>
      <c r="N493" s="8"/>
      <c r="O493" s="8"/>
      <c r="P493" s="8"/>
      <c r="Q493" s="8"/>
      <c r="R493" s="8"/>
    </row>
    <row r="494" spans="12:18" ht="15.75" customHeight="1" x14ac:dyDescent="0.25">
      <c r="L494" s="6"/>
      <c r="M494" s="6"/>
      <c r="N494" s="8"/>
      <c r="O494" s="8"/>
      <c r="P494" s="8"/>
      <c r="Q494" s="8"/>
      <c r="R494" s="8"/>
    </row>
    <row r="495" spans="12:18" ht="15.75" customHeight="1" x14ac:dyDescent="0.25">
      <c r="L495" s="6"/>
      <c r="M495" s="6"/>
      <c r="N495" s="8"/>
      <c r="O495" s="8"/>
      <c r="P495" s="8"/>
      <c r="Q495" s="8"/>
      <c r="R495" s="8"/>
    </row>
    <row r="496" spans="12:18" ht="15.75" customHeight="1" x14ac:dyDescent="0.25">
      <c r="L496" s="6"/>
      <c r="M496" s="6"/>
      <c r="N496" s="8"/>
      <c r="O496" s="8"/>
      <c r="P496" s="8"/>
      <c r="Q496" s="8"/>
      <c r="R496" s="8"/>
    </row>
    <row r="497" spans="12:18" ht="15.75" customHeight="1" x14ac:dyDescent="0.25">
      <c r="L497" s="6"/>
      <c r="M497" s="6"/>
      <c r="N497" s="8"/>
      <c r="O497" s="8"/>
      <c r="P497" s="8"/>
      <c r="Q497" s="8"/>
      <c r="R497" s="8"/>
    </row>
    <row r="498" spans="12:18" ht="15.75" customHeight="1" x14ac:dyDescent="0.25">
      <c r="L498" s="6"/>
      <c r="M498" s="6"/>
      <c r="N498" s="8"/>
      <c r="O498" s="8"/>
      <c r="P498" s="8"/>
      <c r="Q498" s="8"/>
      <c r="R498" s="8"/>
    </row>
    <row r="499" spans="12:18" ht="15.75" customHeight="1" x14ac:dyDescent="0.25">
      <c r="L499" s="6"/>
      <c r="M499" s="6"/>
      <c r="N499" s="8"/>
      <c r="O499" s="8"/>
      <c r="P499" s="8"/>
      <c r="Q499" s="8"/>
      <c r="R499" s="8"/>
    </row>
    <row r="500" spans="12:18" ht="15.75" customHeight="1" x14ac:dyDescent="0.25">
      <c r="L500" s="6"/>
      <c r="M500" s="6"/>
      <c r="N500" s="8"/>
      <c r="O500" s="8"/>
      <c r="P500" s="8"/>
      <c r="Q500" s="8"/>
      <c r="R500" s="8"/>
    </row>
    <row r="501" spans="12:18" ht="15.75" customHeight="1" x14ac:dyDescent="0.25">
      <c r="L501" s="6"/>
      <c r="M501" s="6"/>
      <c r="N501" s="8"/>
      <c r="O501" s="8"/>
      <c r="P501" s="8"/>
      <c r="Q501" s="8"/>
      <c r="R501" s="8"/>
    </row>
    <row r="502" spans="12:18" ht="15.75" customHeight="1" x14ac:dyDescent="0.25">
      <c r="L502" s="6"/>
      <c r="M502" s="6"/>
      <c r="N502" s="8"/>
      <c r="O502" s="8"/>
      <c r="P502" s="8"/>
      <c r="Q502" s="8"/>
      <c r="R502" s="8"/>
    </row>
    <row r="503" spans="12:18" ht="15.75" customHeight="1" x14ac:dyDescent="0.25">
      <c r="L503" s="6"/>
      <c r="M503" s="6"/>
      <c r="N503" s="8"/>
      <c r="O503" s="8"/>
      <c r="P503" s="8"/>
      <c r="Q503" s="8"/>
      <c r="R503" s="8"/>
    </row>
    <row r="504" spans="12:18" ht="15.75" customHeight="1" x14ac:dyDescent="0.25">
      <c r="L504" s="6"/>
      <c r="M504" s="6"/>
      <c r="N504" s="8"/>
      <c r="O504" s="8"/>
      <c r="P504" s="8"/>
      <c r="Q504" s="8"/>
      <c r="R504" s="8"/>
    </row>
    <row r="505" spans="12:18" ht="15.75" customHeight="1" x14ac:dyDescent="0.25">
      <c r="L505" s="6"/>
      <c r="M505" s="6"/>
      <c r="N505" s="8"/>
      <c r="O505" s="8"/>
      <c r="P505" s="8"/>
      <c r="Q505" s="8"/>
      <c r="R505" s="8"/>
    </row>
    <row r="506" spans="12:18" ht="15.75" customHeight="1" x14ac:dyDescent="0.25">
      <c r="L506" s="6"/>
      <c r="M506" s="6"/>
      <c r="N506" s="8"/>
      <c r="O506" s="8"/>
      <c r="P506" s="8"/>
      <c r="Q506" s="8"/>
      <c r="R506" s="8"/>
    </row>
    <row r="507" spans="12:18" ht="15.75" customHeight="1" x14ac:dyDescent="0.25">
      <c r="L507" s="6"/>
      <c r="M507" s="6"/>
      <c r="N507" s="8"/>
      <c r="O507" s="8"/>
      <c r="P507" s="8"/>
      <c r="Q507" s="8"/>
      <c r="R507" s="8"/>
    </row>
    <row r="508" spans="12:18" ht="15.75" customHeight="1" x14ac:dyDescent="0.25">
      <c r="L508" s="6"/>
      <c r="M508" s="6"/>
      <c r="N508" s="8"/>
      <c r="O508" s="8"/>
      <c r="P508" s="8"/>
      <c r="Q508" s="8"/>
      <c r="R508" s="8"/>
    </row>
    <row r="509" spans="12:18" ht="15.75" customHeight="1" x14ac:dyDescent="0.25">
      <c r="L509" s="6"/>
      <c r="M509" s="6"/>
      <c r="N509" s="8"/>
      <c r="O509" s="8"/>
      <c r="P509" s="8"/>
      <c r="Q509" s="8"/>
      <c r="R509" s="8"/>
    </row>
    <row r="510" spans="12:18" ht="15.75" customHeight="1" x14ac:dyDescent="0.25">
      <c r="L510" s="6"/>
      <c r="M510" s="6"/>
      <c r="N510" s="8"/>
      <c r="O510" s="8"/>
      <c r="P510" s="8"/>
      <c r="Q510" s="8"/>
      <c r="R510" s="8"/>
    </row>
    <row r="511" spans="12:18" ht="15.75" customHeight="1" x14ac:dyDescent="0.25">
      <c r="L511" s="6"/>
      <c r="M511" s="6"/>
      <c r="N511" s="8"/>
      <c r="O511" s="8"/>
      <c r="P511" s="8"/>
      <c r="Q511" s="8"/>
      <c r="R511" s="8"/>
    </row>
    <row r="512" spans="12:18" ht="15.75" customHeight="1" x14ac:dyDescent="0.25">
      <c r="L512" s="6"/>
      <c r="M512" s="6"/>
      <c r="N512" s="8"/>
      <c r="O512" s="8"/>
      <c r="P512" s="8"/>
      <c r="Q512" s="8"/>
      <c r="R512" s="8"/>
    </row>
    <row r="513" spans="12:18" ht="15.75" customHeight="1" x14ac:dyDescent="0.25">
      <c r="L513" s="6"/>
      <c r="M513" s="6"/>
      <c r="N513" s="8"/>
      <c r="O513" s="8"/>
      <c r="P513" s="8"/>
      <c r="Q513" s="8"/>
      <c r="R513" s="8"/>
    </row>
    <row r="514" spans="12:18" ht="15.75" customHeight="1" x14ac:dyDescent="0.25">
      <c r="L514" s="6"/>
      <c r="M514" s="6"/>
      <c r="N514" s="8"/>
      <c r="O514" s="8"/>
      <c r="P514" s="8"/>
      <c r="Q514" s="8"/>
      <c r="R514" s="8"/>
    </row>
    <row r="515" spans="12:18" ht="15.75" customHeight="1" x14ac:dyDescent="0.25">
      <c r="L515" s="6"/>
      <c r="M515" s="6"/>
      <c r="N515" s="8"/>
      <c r="O515" s="8"/>
      <c r="P515" s="8"/>
      <c r="Q515" s="8"/>
      <c r="R515" s="8"/>
    </row>
    <row r="516" spans="12:18" ht="15.75" customHeight="1" x14ac:dyDescent="0.25">
      <c r="L516" s="6"/>
      <c r="M516" s="6"/>
      <c r="N516" s="8"/>
      <c r="O516" s="8"/>
      <c r="P516" s="8"/>
      <c r="Q516" s="8"/>
      <c r="R516" s="8"/>
    </row>
    <row r="517" spans="12:18" ht="15.75" customHeight="1" x14ac:dyDescent="0.25">
      <c r="L517" s="6"/>
      <c r="M517" s="6"/>
      <c r="N517" s="8"/>
      <c r="O517" s="8"/>
      <c r="P517" s="8"/>
      <c r="Q517" s="8"/>
      <c r="R517" s="8"/>
    </row>
    <row r="518" spans="12:18" ht="15.75" customHeight="1" x14ac:dyDescent="0.25">
      <c r="L518" s="6"/>
      <c r="M518" s="6"/>
      <c r="N518" s="8"/>
      <c r="O518" s="8"/>
      <c r="P518" s="8"/>
      <c r="Q518" s="8"/>
      <c r="R518" s="8"/>
    </row>
    <row r="519" spans="12:18" ht="15.75" customHeight="1" x14ac:dyDescent="0.25">
      <c r="L519" s="6"/>
      <c r="M519" s="6"/>
      <c r="N519" s="8"/>
      <c r="O519" s="8"/>
      <c r="P519" s="8"/>
      <c r="Q519" s="8"/>
      <c r="R519" s="8"/>
    </row>
    <row r="520" spans="12:18" ht="15.75" customHeight="1" x14ac:dyDescent="0.25">
      <c r="L520" s="6"/>
      <c r="M520" s="6"/>
      <c r="N520" s="8"/>
      <c r="O520" s="8"/>
      <c r="P520" s="8"/>
      <c r="Q520" s="8"/>
      <c r="R520" s="8"/>
    </row>
    <row r="521" spans="12:18" ht="15.75" customHeight="1" x14ac:dyDescent="0.25">
      <c r="L521" s="6"/>
      <c r="M521" s="6"/>
      <c r="N521" s="8"/>
      <c r="O521" s="8"/>
      <c r="P521" s="8"/>
      <c r="Q521" s="8"/>
      <c r="R521" s="8"/>
    </row>
    <row r="522" spans="12:18" ht="15.75" customHeight="1" x14ac:dyDescent="0.25">
      <c r="L522" s="6"/>
      <c r="M522" s="6"/>
      <c r="N522" s="8"/>
      <c r="O522" s="8"/>
      <c r="P522" s="8"/>
      <c r="Q522" s="8"/>
      <c r="R522" s="8"/>
    </row>
    <row r="523" spans="12:18" ht="15.75" customHeight="1" x14ac:dyDescent="0.25">
      <c r="L523" s="6"/>
      <c r="M523" s="6"/>
      <c r="N523" s="8"/>
      <c r="O523" s="8"/>
      <c r="P523" s="8"/>
      <c r="Q523" s="8"/>
      <c r="R523" s="8"/>
    </row>
    <row r="524" spans="12:18" ht="15.75" customHeight="1" x14ac:dyDescent="0.25">
      <c r="L524" s="6"/>
      <c r="M524" s="6"/>
      <c r="N524" s="8"/>
      <c r="O524" s="8"/>
      <c r="P524" s="8"/>
      <c r="Q524" s="8"/>
      <c r="R524" s="8"/>
    </row>
    <row r="525" spans="12:18" ht="15.75" customHeight="1" x14ac:dyDescent="0.25">
      <c r="L525" s="6"/>
      <c r="M525" s="6"/>
      <c r="N525" s="8"/>
      <c r="O525" s="8"/>
      <c r="P525" s="8"/>
      <c r="Q525" s="8"/>
      <c r="R525" s="8"/>
    </row>
    <row r="526" spans="12:18" ht="15.75" customHeight="1" x14ac:dyDescent="0.25">
      <c r="L526" s="6"/>
      <c r="M526" s="6"/>
      <c r="N526" s="8"/>
      <c r="O526" s="8"/>
      <c r="P526" s="8"/>
      <c r="Q526" s="8"/>
      <c r="R526" s="8"/>
    </row>
    <row r="527" spans="12:18" ht="15.75" customHeight="1" x14ac:dyDescent="0.25">
      <c r="L527" s="6"/>
      <c r="M527" s="6"/>
      <c r="N527" s="8"/>
      <c r="O527" s="8"/>
      <c r="P527" s="8"/>
      <c r="Q527" s="8"/>
      <c r="R527" s="8"/>
    </row>
    <row r="528" spans="12:18" ht="15.75" customHeight="1" x14ac:dyDescent="0.25">
      <c r="L528" s="6"/>
      <c r="M528" s="6"/>
      <c r="N528" s="8"/>
      <c r="O528" s="8"/>
      <c r="P528" s="8"/>
      <c r="Q528" s="8"/>
      <c r="R528" s="8"/>
    </row>
    <row r="529" spans="12:18" ht="15.75" customHeight="1" x14ac:dyDescent="0.25">
      <c r="L529" s="6"/>
      <c r="M529" s="6"/>
      <c r="N529" s="8"/>
      <c r="O529" s="8"/>
      <c r="P529" s="8"/>
      <c r="Q529" s="8"/>
      <c r="R529" s="8"/>
    </row>
    <row r="530" spans="12:18" ht="15.75" customHeight="1" x14ac:dyDescent="0.25">
      <c r="L530" s="6"/>
      <c r="M530" s="6"/>
      <c r="N530" s="8"/>
      <c r="O530" s="8"/>
      <c r="P530" s="8"/>
      <c r="Q530" s="8"/>
      <c r="R530" s="8"/>
    </row>
    <row r="531" spans="12:18" ht="15.75" customHeight="1" x14ac:dyDescent="0.25">
      <c r="L531" s="6"/>
      <c r="M531" s="6"/>
      <c r="N531" s="8"/>
      <c r="O531" s="8"/>
      <c r="P531" s="8"/>
      <c r="Q531" s="8"/>
      <c r="R531" s="8"/>
    </row>
    <row r="532" spans="12:18" ht="15.75" customHeight="1" x14ac:dyDescent="0.25">
      <c r="L532" s="6"/>
      <c r="M532" s="6"/>
      <c r="N532" s="8"/>
      <c r="O532" s="8"/>
      <c r="P532" s="8"/>
      <c r="Q532" s="8"/>
      <c r="R532" s="8"/>
    </row>
    <row r="533" spans="12:18" ht="15.75" customHeight="1" x14ac:dyDescent="0.25">
      <c r="L533" s="6"/>
      <c r="M533" s="6"/>
      <c r="N533" s="8"/>
      <c r="O533" s="8"/>
      <c r="P533" s="8"/>
      <c r="Q533" s="8"/>
      <c r="R533" s="8"/>
    </row>
    <row r="534" spans="12:18" ht="15.75" customHeight="1" x14ac:dyDescent="0.25">
      <c r="L534" s="6"/>
      <c r="M534" s="6"/>
      <c r="N534" s="8"/>
      <c r="O534" s="8"/>
      <c r="P534" s="8"/>
      <c r="Q534" s="8"/>
      <c r="R534" s="8"/>
    </row>
    <row r="535" spans="12:18" ht="15.75" customHeight="1" x14ac:dyDescent="0.25">
      <c r="L535" s="6"/>
      <c r="M535" s="6"/>
      <c r="N535" s="8"/>
      <c r="O535" s="8"/>
      <c r="P535" s="8"/>
      <c r="Q535" s="8"/>
      <c r="R535" s="8"/>
    </row>
    <row r="536" spans="12:18" ht="15.75" customHeight="1" x14ac:dyDescent="0.25">
      <c r="L536" s="6"/>
      <c r="M536" s="6"/>
      <c r="N536" s="8"/>
      <c r="O536" s="8"/>
      <c r="P536" s="8"/>
      <c r="Q536" s="8"/>
      <c r="R536" s="8"/>
    </row>
    <row r="537" spans="12:18" ht="15.75" customHeight="1" x14ac:dyDescent="0.25">
      <c r="L537" s="6"/>
      <c r="M537" s="6"/>
      <c r="N537" s="8"/>
      <c r="O537" s="8"/>
      <c r="P537" s="8"/>
      <c r="Q537" s="8"/>
      <c r="R537" s="8"/>
    </row>
    <row r="538" spans="12:18" ht="15.75" customHeight="1" x14ac:dyDescent="0.25">
      <c r="L538" s="6"/>
      <c r="M538" s="6"/>
      <c r="N538" s="8"/>
      <c r="O538" s="8"/>
      <c r="P538" s="8"/>
      <c r="Q538" s="8"/>
      <c r="R538" s="8"/>
    </row>
    <row r="539" spans="12:18" ht="15.75" customHeight="1" x14ac:dyDescent="0.25">
      <c r="L539" s="6"/>
      <c r="M539" s="6"/>
      <c r="N539" s="8"/>
      <c r="O539" s="8"/>
      <c r="P539" s="8"/>
      <c r="Q539" s="8"/>
      <c r="R539" s="8"/>
    </row>
    <row r="540" spans="12:18" ht="15.75" customHeight="1" x14ac:dyDescent="0.25">
      <c r="L540" s="6"/>
      <c r="M540" s="6"/>
      <c r="N540" s="8"/>
      <c r="O540" s="8"/>
      <c r="P540" s="8"/>
      <c r="Q540" s="8"/>
      <c r="R540" s="8"/>
    </row>
    <row r="541" spans="12:18" ht="15.75" customHeight="1" x14ac:dyDescent="0.25">
      <c r="L541" s="6"/>
      <c r="M541" s="6"/>
      <c r="N541" s="8"/>
      <c r="O541" s="8"/>
      <c r="P541" s="8"/>
      <c r="Q541" s="8"/>
      <c r="R541" s="8"/>
    </row>
    <row r="542" spans="12:18" ht="15.75" customHeight="1" x14ac:dyDescent="0.25">
      <c r="L542" s="6"/>
      <c r="M542" s="6"/>
      <c r="N542" s="8"/>
      <c r="O542" s="8"/>
      <c r="P542" s="8"/>
      <c r="Q542" s="8"/>
      <c r="R542" s="8"/>
    </row>
    <row r="543" spans="12:18" ht="15.75" customHeight="1" x14ac:dyDescent="0.25">
      <c r="L543" s="6"/>
      <c r="M543" s="6"/>
      <c r="N543" s="8"/>
      <c r="O543" s="8"/>
      <c r="P543" s="8"/>
      <c r="Q543" s="8"/>
      <c r="R543" s="8"/>
    </row>
    <row r="544" spans="12:18" ht="15.75" customHeight="1" x14ac:dyDescent="0.25">
      <c r="L544" s="6"/>
      <c r="M544" s="6"/>
      <c r="N544" s="8"/>
      <c r="O544" s="8"/>
      <c r="P544" s="8"/>
      <c r="Q544" s="8"/>
      <c r="R544" s="8"/>
    </row>
    <row r="545" spans="12:18" ht="15.75" customHeight="1" x14ac:dyDescent="0.25">
      <c r="L545" s="6"/>
      <c r="M545" s="6"/>
      <c r="N545" s="8"/>
      <c r="O545" s="8"/>
      <c r="P545" s="8"/>
      <c r="Q545" s="8"/>
      <c r="R545" s="8"/>
    </row>
    <row r="546" spans="12:18" ht="15.75" customHeight="1" x14ac:dyDescent="0.25">
      <c r="L546" s="6"/>
      <c r="M546" s="6"/>
      <c r="N546" s="8"/>
      <c r="O546" s="8"/>
      <c r="P546" s="8"/>
      <c r="Q546" s="8"/>
      <c r="R546" s="8"/>
    </row>
    <row r="547" spans="12:18" ht="15.75" customHeight="1" x14ac:dyDescent="0.25">
      <c r="L547" s="6"/>
      <c r="M547" s="6"/>
      <c r="N547" s="8"/>
      <c r="O547" s="8"/>
      <c r="P547" s="8"/>
      <c r="Q547" s="8"/>
      <c r="R547" s="8"/>
    </row>
    <row r="548" spans="12:18" ht="15.75" customHeight="1" x14ac:dyDescent="0.25">
      <c r="L548" s="6"/>
      <c r="M548" s="6"/>
      <c r="N548" s="8"/>
      <c r="O548" s="8"/>
      <c r="P548" s="8"/>
      <c r="Q548" s="8"/>
      <c r="R548" s="8"/>
    </row>
    <row r="549" spans="12:18" ht="15.75" customHeight="1" x14ac:dyDescent="0.25">
      <c r="L549" s="6"/>
      <c r="M549" s="6"/>
      <c r="N549" s="8"/>
      <c r="O549" s="8"/>
      <c r="P549" s="8"/>
      <c r="Q549" s="8"/>
      <c r="R549" s="8"/>
    </row>
    <row r="550" spans="12:18" ht="15.75" customHeight="1" x14ac:dyDescent="0.25">
      <c r="L550" s="6"/>
      <c r="M550" s="6"/>
      <c r="N550" s="8"/>
      <c r="O550" s="8"/>
      <c r="P550" s="8"/>
      <c r="Q550" s="8"/>
      <c r="R550" s="8"/>
    </row>
    <row r="551" spans="12:18" ht="15.75" customHeight="1" x14ac:dyDescent="0.25">
      <c r="L551" s="6"/>
      <c r="M551" s="6"/>
      <c r="N551" s="8"/>
      <c r="O551" s="8"/>
      <c r="P551" s="8"/>
      <c r="Q551" s="8"/>
      <c r="R551" s="8"/>
    </row>
    <row r="552" spans="12:18" ht="15.75" customHeight="1" x14ac:dyDescent="0.25">
      <c r="L552" s="6"/>
      <c r="M552" s="6"/>
      <c r="N552" s="8"/>
      <c r="O552" s="8"/>
      <c r="P552" s="8"/>
      <c r="Q552" s="8"/>
      <c r="R552" s="8"/>
    </row>
    <row r="553" spans="12:18" ht="15.75" customHeight="1" x14ac:dyDescent="0.25">
      <c r="L553" s="6"/>
      <c r="M553" s="6"/>
      <c r="N553" s="8"/>
      <c r="O553" s="8"/>
      <c r="P553" s="8"/>
      <c r="Q553" s="8"/>
      <c r="R553" s="8"/>
    </row>
    <row r="554" spans="12:18" ht="15.75" customHeight="1" x14ac:dyDescent="0.25">
      <c r="L554" s="6"/>
      <c r="M554" s="6"/>
      <c r="N554" s="8"/>
      <c r="O554" s="8"/>
      <c r="P554" s="8"/>
      <c r="Q554" s="8"/>
      <c r="R554" s="8"/>
    </row>
    <row r="555" spans="12:18" ht="15.75" customHeight="1" x14ac:dyDescent="0.25">
      <c r="L555" s="6"/>
      <c r="M555" s="6"/>
      <c r="N555" s="8"/>
      <c r="O555" s="8"/>
      <c r="P555" s="8"/>
      <c r="Q555" s="8"/>
      <c r="R555" s="8"/>
    </row>
    <row r="556" spans="12:18" ht="15.75" customHeight="1" x14ac:dyDescent="0.25">
      <c r="L556" s="6"/>
      <c r="M556" s="6"/>
      <c r="N556" s="8"/>
      <c r="O556" s="8"/>
      <c r="P556" s="8"/>
      <c r="Q556" s="8"/>
      <c r="R556" s="8"/>
    </row>
    <row r="557" spans="12:18" ht="15.75" customHeight="1" x14ac:dyDescent="0.25">
      <c r="L557" s="6"/>
      <c r="M557" s="6"/>
      <c r="N557" s="8"/>
      <c r="O557" s="8"/>
      <c r="P557" s="8"/>
      <c r="Q557" s="8"/>
      <c r="R557" s="8"/>
    </row>
    <row r="558" spans="12:18" ht="15.75" customHeight="1" x14ac:dyDescent="0.25">
      <c r="L558" s="6"/>
      <c r="M558" s="6"/>
      <c r="N558" s="8"/>
      <c r="O558" s="8"/>
      <c r="P558" s="8"/>
      <c r="Q558" s="8"/>
      <c r="R558" s="8"/>
    </row>
    <row r="559" spans="12:18" ht="15.75" customHeight="1" x14ac:dyDescent="0.25">
      <c r="L559" s="6"/>
      <c r="M559" s="6"/>
      <c r="N559" s="8"/>
      <c r="O559" s="8"/>
      <c r="P559" s="8"/>
      <c r="Q559" s="8"/>
      <c r="R559" s="8"/>
    </row>
    <row r="560" spans="12:18" ht="15.75" customHeight="1" x14ac:dyDescent="0.25">
      <c r="L560" s="6"/>
      <c r="M560" s="6"/>
      <c r="N560" s="8"/>
      <c r="O560" s="8"/>
      <c r="P560" s="8"/>
      <c r="Q560" s="8"/>
      <c r="R560" s="8"/>
    </row>
    <row r="561" spans="12:18" ht="15.75" customHeight="1" x14ac:dyDescent="0.25">
      <c r="L561" s="6"/>
      <c r="M561" s="6"/>
      <c r="N561" s="8"/>
      <c r="O561" s="8"/>
      <c r="P561" s="8"/>
      <c r="Q561" s="8"/>
      <c r="R561" s="8"/>
    </row>
    <row r="562" spans="12:18" ht="15.75" customHeight="1" x14ac:dyDescent="0.25">
      <c r="L562" s="6"/>
      <c r="M562" s="6"/>
      <c r="N562" s="8"/>
      <c r="O562" s="8"/>
      <c r="P562" s="8"/>
      <c r="Q562" s="8"/>
      <c r="R562" s="8"/>
    </row>
    <row r="563" spans="12:18" ht="15.75" customHeight="1" x14ac:dyDescent="0.25">
      <c r="L563" s="6"/>
      <c r="M563" s="6"/>
      <c r="N563" s="8"/>
      <c r="O563" s="8"/>
      <c r="P563" s="8"/>
      <c r="Q563" s="8"/>
      <c r="R563" s="8"/>
    </row>
    <row r="564" spans="12:18" ht="15.75" customHeight="1" x14ac:dyDescent="0.25">
      <c r="L564" s="6"/>
      <c r="M564" s="6"/>
      <c r="N564" s="8"/>
      <c r="O564" s="8"/>
      <c r="P564" s="8"/>
      <c r="Q564" s="8"/>
      <c r="R564" s="8"/>
    </row>
    <row r="565" spans="12:18" ht="15.75" customHeight="1" x14ac:dyDescent="0.25">
      <c r="L565" s="6"/>
      <c r="M565" s="6"/>
      <c r="N565" s="8"/>
      <c r="O565" s="8"/>
      <c r="P565" s="8"/>
      <c r="Q565" s="8"/>
      <c r="R565" s="8"/>
    </row>
    <row r="566" spans="12:18" ht="15.75" customHeight="1" x14ac:dyDescent="0.25">
      <c r="L566" s="6"/>
      <c r="M566" s="6"/>
      <c r="N566" s="8"/>
      <c r="O566" s="8"/>
      <c r="P566" s="8"/>
      <c r="Q566" s="8"/>
      <c r="R566" s="8"/>
    </row>
    <row r="567" spans="12:18" ht="15.75" customHeight="1" x14ac:dyDescent="0.25">
      <c r="L567" s="6"/>
      <c r="M567" s="6"/>
      <c r="N567" s="8"/>
      <c r="O567" s="8"/>
      <c r="P567" s="8"/>
      <c r="Q567" s="8"/>
      <c r="R567" s="8"/>
    </row>
    <row r="568" spans="12:18" ht="15.75" customHeight="1" x14ac:dyDescent="0.25">
      <c r="L568" s="6"/>
      <c r="M568" s="6"/>
      <c r="N568" s="8"/>
      <c r="O568" s="8"/>
      <c r="P568" s="8"/>
      <c r="Q568" s="8"/>
      <c r="R568" s="8"/>
    </row>
    <row r="569" spans="12:18" ht="15.75" customHeight="1" x14ac:dyDescent="0.25">
      <c r="L569" s="6"/>
      <c r="M569" s="6"/>
      <c r="N569" s="8"/>
      <c r="O569" s="8"/>
      <c r="P569" s="8"/>
      <c r="Q569" s="8"/>
      <c r="R569" s="8"/>
    </row>
    <row r="570" spans="12:18" ht="15.75" customHeight="1" x14ac:dyDescent="0.25">
      <c r="L570" s="6"/>
      <c r="M570" s="6"/>
      <c r="N570" s="8"/>
      <c r="O570" s="8"/>
      <c r="P570" s="8"/>
      <c r="Q570" s="8"/>
      <c r="R570" s="8"/>
    </row>
    <row r="571" spans="12:18" ht="15.75" customHeight="1" x14ac:dyDescent="0.25">
      <c r="L571" s="6"/>
      <c r="M571" s="6"/>
      <c r="N571" s="8"/>
      <c r="O571" s="8"/>
      <c r="P571" s="8"/>
      <c r="Q571" s="8"/>
      <c r="R571" s="8"/>
    </row>
    <row r="572" spans="12:18" ht="15.75" customHeight="1" x14ac:dyDescent="0.25">
      <c r="L572" s="6"/>
      <c r="M572" s="6"/>
      <c r="N572" s="8"/>
      <c r="O572" s="8"/>
      <c r="P572" s="8"/>
      <c r="Q572" s="8"/>
      <c r="R572" s="8"/>
    </row>
    <row r="573" spans="12:18" ht="15.75" customHeight="1" x14ac:dyDescent="0.25">
      <c r="L573" s="6"/>
      <c r="M573" s="6"/>
      <c r="N573" s="8"/>
      <c r="O573" s="8"/>
      <c r="P573" s="8"/>
      <c r="Q573" s="8"/>
      <c r="R573" s="8"/>
    </row>
    <row r="574" spans="12:18" ht="15.75" customHeight="1" x14ac:dyDescent="0.25">
      <c r="L574" s="6"/>
      <c r="M574" s="6"/>
      <c r="N574" s="8"/>
      <c r="O574" s="8"/>
      <c r="P574" s="8"/>
      <c r="Q574" s="8"/>
      <c r="R574" s="8"/>
    </row>
    <row r="575" spans="12:18" ht="15.75" customHeight="1" x14ac:dyDescent="0.25">
      <c r="L575" s="6"/>
      <c r="M575" s="6"/>
      <c r="N575" s="8"/>
      <c r="O575" s="8"/>
      <c r="P575" s="8"/>
      <c r="Q575" s="8"/>
      <c r="R575" s="8"/>
    </row>
    <row r="576" spans="12:18" ht="15.75" customHeight="1" x14ac:dyDescent="0.25">
      <c r="L576" s="6"/>
      <c r="M576" s="6"/>
      <c r="N576" s="8"/>
      <c r="O576" s="8"/>
      <c r="P576" s="8"/>
      <c r="Q576" s="8"/>
      <c r="R576" s="8"/>
    </row>
    <row r="577" spans="12:18" ht="15.75" customHeight="1" x14ac:dyDescent="0.25">
      <c r="L577" s="6"/>
      <c r="M577" s="6"/>
      <c r="N577" s="8"/>
      <c r="O577" s="8"/>
      <c r="P577" s="8"/>
      <c r="Q577" s="8"/>
      <c r="R577" s="8"/>
    </row>
    <row r="578" spans="12:18" ht="15.75" customHeight="1" x14ac:dyDescent="0.25">
      <c r="L578" s="6"/>
      <c r="M578" s="6"/>
      <c r="N578" s="8"/>
      <c r="O578" s="8"/>
      <c r="P578" s="8"/>
      <c r="Q578" s="8"/>
      <c r="R578" s="8"/>
    </row>
    <row r="579" spans="12:18" ht="15.75" customHeight="1" x14ac:dyDescent="0.25">
      <c r="L579" s="6"/>
      <c r="M579" s="6"/>
      <c r="N579" s="8"/>
      <c r="O579" s="8"/>
      <c r="P579" s="8"/>
      <c r="Q579" s="8"/>
      <c r="R579" s="8"/>
    </row>
    <row r="580" spans="12:18" ht="15.75" customHeight="1" x14ac:dyDescent="0.25">
      <c r="L580" s="6"/>
      <c r="M580" s="6"/>
      <c r="N580" s="8"/>
      <c r="O580" s="8"/>
      <c r="P580" s="8"/>
      <c r="Q580" s="8"/>
      <c r="R580" s="8"/>
    </row>
    <row r="581" spans="12:18" ht="15.75" customHeight="1" x14ac:dyDescent="0.25">
      <c r="L581" s="6"/>
      <c r="M581" s="6"/>
      <c r="N581" s="8"/>
      <c r="O581" s="8"/>
      <c r="P581" s="8"/>
      <c r="Q581" s="8"/>
      <c r="R581" s="8"/>
    </row>
    <row r="582" spans="12:18" ht="15.75" customHeight="1" x14ac:dyDescent="0.25">
      <c r="L582" s="6"/>
      <c r="M582" s="6"/>
      <c r="N582" s="8"/>
      <c r="O582" s="8"/>
      <c r="P582" s="8"/>
      <c r="Q582" s="8"/>
      <c r="R582" s="8"/>
    </row>
    <row r="583" spans="12:18" ht="15.75" customHeight="1" x14ac:dyDescent="0.25">
      <c r="L583" s="6"/>
      <c r="M583" s="6"/>
      <c r="N583" s="8"/>
      <c r="O583" s="8"/>
      <c r="P583" s="8"/>
      <c r="Q583" s="8"/>
      <c r="R583" s="8"/>
    </row>
    <row r="584" spans="12:18" ht="15.75" customHeight="1" x14ac:dyDescent="0.25">
      <c r="L584" s="6"/>
      <c r="M584" s="6"/>
      <c r="N584" s="8"/>
      <c r="O584" s="8"/>
      <c r="P584" s="8"/>
      <c r="Q584" s="8"/>
      <c r="R584" s="8"/>
    </row>
    <row r="585" spans="12:18" ht="15.75" customHeight="1" x14ac:dyDescent="0.25">
      <c r="L585" s="6"/>
      <c r="M585" s="6"/>
      <c r="N585" s="8"/>
      <c r="O585" s="8"/>
      <c r="P585" s="8"/>
      <c r="Q585" s="8"/>
      <c r="R585" s="8"/>
    </row>
    <row r="586" spans="12:18" ht="15.75" customHeight="1" x14ac:dyDescent="0.25">
      <c r="L586" s="6"/>
      <c r="M586" s="6"/>
      <c r="N586" s="8"/>
      <c r="O586" s="8"/>
      <c r="P586" s="8"/>
      <c r="Q586" s="8"/>
      <c r="R586" s="8"/>
    </row>
    <row r="587" spans="12:18" ht="15.75" customHeight="1" x14ac:dyDescent="0.25">
      <c r="L587" s="6"/>
      <c r="M587" s="6"/>
      <c r="N587" s="8"/>
      <c r="O587" s="8"/>
      <c r="P587" s="8"/>
      <c r="Q587" s="8"/>
      <c r="R587" s="8"/>
    </row>
    <row r="588" spans="12:18" ht="15.75" customHeight="1" x14ac:dyDescent="0.25">
      <c r="L588" s="6"/>
      <c r="M588" s="6"/>
      <c r="N588" s="8"/>
      <c r="O588" s="8"/>
      <c r="P588" s="8"/>
      <c r="Q588" s="8"/>
      <c r="R588" s="8"/>
    </row>
    <row r="589" spans="12:18" ht="15.75" customHeight="1" x14ac:dyDescent="0.25">
      <c r="L589" s="6"/>
      <c r="M589" s="6"/>
      <c r="N589" s="8"/>
      <c r="O589" s="8"/>
      <c r="P589" s="8"/>
      <c r="Q589" s="8"/>
      <c r="R589" s="8"/>
    </row>
    <row r="590" spans="12:18" ht="15.75" customHeight="1" x14ac:dyDescent="0.25">
      <c r="L590" s="6"/>
      <c r="M590" s="6"/>
      <c r="N590" s="8"/>
      <c r="O590" s="8"/>
      <c r="P590" s="8"/>
      <c r="Q590" s="8"/>
      <c r="R590" s="8"/>
    </row>
    <row r="591" spans="12:18" ht="15.75" customHeight="1" x14ac:dyDescent="0.25">
      <c r="L591" s="6"/>
      <c r="M591" s="6"/>
      <c r="N591" s="8"/>
      <c r="O591" s="8"/>
      <c r="P591" s="8"/>
      <c r="Q591" s="8"/>
      <c r="R591" s="8"/>
    </row>
    <row r="592" spans="12:18" ht="15.75" customHeight="1" x14ac:dyDescent="0.25">
      <c r="L592" s="6"/>
      <c r="M592" s="6"/>
      <c r="N592" s="8"/>
      <c r="O592" s="8"/>
      <c r="P592" s="8"/>
      <c r="Q592" s="8"/>
      <c r="R592" s="8"/>
    </row>
    <row r="593" spans="12:18" ht="15.75" customHeight="1" x14ac:dyDescent="0.25">
      <c r="L593" s="6"/>
      <c r="M593" s="6"/>
      <c r="N593" s="8"/>
      <c r="O593" s="8"/>
      <c r="P593" s="8"/>
      <c r="Q593" s="8"/>
      <c r="R593" s="8"/>
    </row>
    <row r="594" spans="12:18" ht="15.75" customHeight="1" x14ac:dyDescent="0.25">
      <c r="L594" s="6"/>
      <c r="M594" s="6"/>
      <c r="N594" s="8"/>
      <c r="O594" s="8"/>
      <c r="P594" s="8"/>
      <c r="Q594" s="8"/>
      <c r="R594" s="8"/>
    </row>
    <row r="595" spans="12:18" ht="15.75" customHeight="1" x14ac:dyDescent="0.25">
      <c r="L595" s="6"/>
      <c r="M595" s="6"/>
      <c r="N595" s="8"/>
      <c r="O595" s="8"/>
      <c r="P595" s="8"/>
      <c r="Q595" s="8"/>
      <c r="R595" s="8"/>
    </row>
    <row r="596" spans="12:18" ht="15.75" customHeight="1" x14ac:dyDescent="0.25">
      <c r="L596" s="6"/>
      <c r="M596" s="6"/>
      <c r="N596" s="8"/>
      <c r="O596" s="8"/>
      <c r="P596" s="8"/>
      <c r="Q596" s="8"/>
      <c r="R596" s="8"/>
    </row>
    <row r="597" spans="12:18" ht="15.75" customHeight="1" x14ac:dyDescent="0.25">
      <c r="L597" s="6"/>
      <c r="M597" s="6"/>
      <c r="N597" s="8"/>
      <c r="O597" s="8"/>
      <c r="P597" s="8"/>
      <c r="Q597" s="8"/>
      <c r="R597" s="8"/>
    </row>
    <row r="598" spans="12:18" ht="15.75" customHeight="1" x14ac:dyDescent="0.25">
      <c r="L598" s="6"/>
      <c r="M598" s="6"/>
      <c r="N598" s="8"/>
      <c r="O598" s="8"/>
      <c r="P598" s="8"/>
      <c r="Q598" s="8"/>
      <c r="R598" s="8"/>
    </row>
    <row r="599" spans="12:18" ht="15.75" customHeight="1" x14ac:dyDescent="0.25">
      <c r="L599" s="6"/>
      <c r="M599" s="6"/>
      <c r="N599" s="8"/>
      <c r="O599" s="8"/>
      <c r="P599" s="8"/>
      <c r="Q599" s="8"/>
      <c r="R599" s="8"/>
    </row>
    <row r="600" spans="12:18" ht="15.75" customHeight="1" x14ac:dyDescent="0.25">
      <c r="L600" s="6"/>
      <c r="M600" s="6"/>
      <c r="N600" s="8"/>
      <c r="O600" s="8"/>
      <c r="P600" s="8"/>
      <c r="Q600" s="8"/>
      <c r="R600" s="8"/>
    </row>
    <row r="601" spans="12:18" ht="15.75" customHeight="1" x14ac:dyDescent="0.25">
      <c r="L601" s="6"/>
      <c r="M601" s="6"/>
      <c r="N601" s="8"/>
      <c r="O601" s="8"/>
      <c r="P601" s="8"/>
      <c r="Q601" s="8"/>
      <c r="R601" s="8"/>
    </row>
    <row r="602" spans="12:18" ht="15.75" customHeight="1" x14ac:dyDescent="0.25">
      <c r="L602" s="6"/>
      <c r="M602" s="6"/>
      <c r="N602" s="8"/>
      <c r="O602" s="8"/>
      <c r="P602" s="8"/>
      <c r="Q602" s="8"/>
      <c r="R602" s="8"/>
    </row>
    <row r="603" spans="12:18" ht="15.75" customHeight="1" x14ac:dyDescent="0.25">
      <c r="L603" s="6"/>
      <c r="M603" s="6"/>
      <c r="N603" s="8"/>
      <c r="O603" s="8"/>
      <c r="P603" s="8"/>
      <c r="Q603" s="8"/>
      <c r="R603" s="8"/>
    </row>
    <row r="604" spans="12:18" ht="15.75" customHeight="1" x14ac:dyDescent="0.25">
      <c r="L604" s="6"/>
      <c r="M604" s="6"/>
      <c r="N604" s="8"/>
      <c r="O604" s="8"/>
      <c r="P604" s="8"/>
      <c r="Q604" s="8"/>
      <c r="R604" s="8"/>
    </row>
    <row r="605" spans="12:18" ht="15.75" customHeight="1" x14ac:dyDescent="0.25">
      <c r="L605" s="6"/>
      <c r="M605" s="6"/>
      <c r="N605" s="8"/>
      <c r="O605" s="8"/>
      <c r="P605" s="8"/>
      <c r="Q605" s="8"/>
      <c r="R605" s="8"/>
    </row>
    <row r="606" spans="12:18" ht="15.75" customHeight="1" x14ac:dyDescent="0.25">
      <c r="L606" s="6"/>
      <c r="M606" s="6"/>
      <c r="N606" s="8"/>
      <c r="O606" s="8"/>
      <c r="P606" s="8"/>
      <c r="Q606" s="8"/>
      <c r="R606" s="8"/>
    </row>
    <row r="607" spans="12:18" ht="15.75" customHeight="1" x14ac:dyDescent="0.25">
      <c r="L607" s="6"/>
      <c r="M607" s="6"/>
      <c r="N607" s="8"/>
      <c r="O607" s="8"/>
      <c r="P607" s="8"/>
      <c r="Q607" s="8"/>
      <c r="R607" s="8"/>
    </row>
    <row r="608" spans="12:18" ht="15.75" customHeight="1" x14ac:dyDescent="0.25">
      <c r="L608" s="6"/>
      <c r="M608" s="6"/>
      <c r="N608" s="8"/>
      <c r="O608" s="8"/>
      <c r="P608" s="8"/>
      <c r="Q608" s="8"/>
      <c r="R608" s="8"/>
    </row>
    <row r="609" spans="12:18" ht="15.75" customHeight="1" x14ac:dyDescent="0.25">
      <c r="L609" s="6"/>
      <c r="M609" s="6"/>
      <c r="N609" s="8"/>
      <c r="O609" s="8"/>
      <c r="P609" s="8"/>
      <c r="Q609" s="8"/>
      <c r="R609" s="8"/>
    </row>
    <row r="610" spans="12:18" ht="15.75" customHeight="1" x14ac:dyDescent="0.25">
      <c r="L610" s="6"/>
      <c r="M610" s="6"/>
      <c r="N610" s="8"/>
      <c r="O610" s="8"/>
      <c r="P610" s="8"/>
      <c r="Q610" s="8"/>
      <c r="R610" s="8"/>
    </row>
    <row r="611" spans="12:18" ht="15.75" customHeight="1" x14ac:dyDescent="0.25">
      <c r="L611" s="6"/>
      <c r="M611" s="6"/>
      <c r="N611" s="8"/>
      <c r="O611" s="8"/>
      <c r="P611" s="8"/>
      <c r="Q611" s="8"/>
      <c r="R611" s="8"/>
    </row>
    <row r="612" spans="12:18" ht="15.75" customHeight="1" x14ac:dyDescent="0.25">
      <c r="L612" s="6"/>
      <c r="M612" s="6"/>
      <c r="N612" s="8"/>
      <c r="O612" s="8"/>
      <c r="P612" s="8"/>
      <c r="Q612" s="8"/>
      <c r="R612" s="8"/>
    </row>
    <row r="613" spans="12:18" ht="15.75" customHeight="1" x14ac:dyDescent="0.25">
      <c r="L613" s="6"/>
      <c r="M613" s="6"/>
      <c r="N613" s="8"/>
      <c r="O613" s="8"/>
      <c r="P613" s="8"/>
      <c r="Q613" s="8"/>
      <c r="R613" s="8"/>
    </row>
    <row r="614" spans="12:18" ht="15.75" customHeight="1" x14ac:dyDescent="0.25">
      <c r="L614" s="6"/>
      <c r="M614" s="6"/>
      <c r="N614" s="8"/>
      <c r="O614" s="8"/>
      <c r="P614" s="8"/>
      <c r="Q614" s="8"/>
      <c r="R614" s="8"/>
    </row>
    <row r="615" spans="12:18" ht="15.75" customHeight="1" x14ac:dyDescent="0.25">
      <c r="L615" s="6"/>
      <c r="M615" s="6"/>
      <c r="N615" s="8"/>
      <c r="O615" s="8"/>
      <c r="P615" s="8"/>
      <c r="Q615" s="8"/>
      <c r="R615" s="8"/>
    </row>
    <row r="616" spans="12:18" ht="15.75" customHeight="1" x14ac:dyDescent="0.25">
      <c r="L616" s="6"/>
      <c r="M616" s="6"/>
      <c r="N616" s="8"/>
      <c r="O616" s="8"/>
      <c r="P616" s="8"/>
      <c r="Q616" s="8"/>
      <c r="R616" s="8"/>
    </row>
    <row r="617" spans="12:18" ht="15.75" customHeight="1" x14ac:dyDescent="0.25">
      <c r="L617" s="6"/>
      <c r="M617" s="6"/>
      <c r="N617" s="8"/>
      <c r="O617" s="8"/>
      <c r="P617" s="8"/>
      <c r="Q617" s="8"/>
      <c r="R617" s="8"/>
    </row>
    <row r="618" spans="12:18" ht="15.75" customHeight="1" x14ac:dyDescent="0.25">
      <c r="L618" s="6"/>
      <c r="M618" s="6"/>
      <c r="N618" s="8"/>
      <c r="O618" s="8"/>
      <c r="P618" s="8"/>
      <c r="Q618" s="8"/>
      <c r="R618" s="8"/>
    </row>
    <row r="619" spans="12:18" ht="15.75" customHeight="1" x14ac:dyDescent="0.25">
      <c r="L619" s="6"/>
      <c r="M619" s="6"/>
      <c r="N619" s="8"/>
      <c r="O619" s="8"/>
      <c r="P619" s="8"/>
      <c r="Q619" s="8"/>
      <c r="R619" s="8"/>
    </row>
    <row r="620" spans="12:18" ht="15.75" customHeight="1" x14ac:dyDescent="0.25">
      <c r="L620" s="6"/>
      <c r="M620" s="6"/>
      <c r="N620" s="8"/>
      <c r="O620" s="8"/>
      <c r="P620" s="8"/>
      <c r="Q620" s="8"/>
      <c r="R620" s="8"/>
    </row>
    <row r="621" spans="12:18" ht="15.75" customHeight="1" x14ac:dyDescent="0.25">
      <c r="L621" s="6"/>
      <c r="M621" s="6"/>
      <c r="N621" s="8"/>
      <c r="O621" s="8"/>
      <c r="P621" s="8"/>
      <c r="Q621" s="8"/>
      <c r="R621" s="8"/>
    </row>
    <row r="622" spans="12:18" ht="15.75" customHeight="1" x14ac:dyDescent="0.25">
      <c r="L622" s="6"/>
      <c r="M622" s="6"/>
      <c r="N622" s="8"/>
      <c r="O622" s="8"/>
      <c r="P622" s="8"/>
      <c r="Q622" s="8"/>
      <c r="R622" s="8"/>
    </row>
    <row r="623" spans="12:18" ht="15.75" customHeight="1" x14ac:dyDescent="0.25">
      <c r="L623" s="6"/>
      <c r="M623" s="6"/>
      <c r="N623" s="8"/>
      <c r="O623" s="8"/>
      <c r="P623" s="8"/>
      <c r="Q623" s="8"/>
      <c r="R623" s="8"/>
    </row>
    <row r="624" spans="12:18" ht="15.75" customHeight="1" x14ac:dyDescent="0.25">
      <c r="L624" s="6"/>
      <c r="M624" s="6"/>
      <c r="N624" s="8"/>
      <c r="O624" s="8"/>
      <c r="P624" s="8"/>
      <c r="Q624" s="8"/>
      <c r="R624" s="8"/>
    </row>
    <row r="625" spans="12:18" ht="15.75" customHeight="1" x14ac:dyDescent="0.25">
      <c r="L625" s="6"/>
      <c r="M625" s="6"/>
      <c r="N625" s="8"/>
      <c r="O625" s="8"/>
      <c r="P625" s="8"/>
      <c r="Q625" s="8"/>
      <c r="R625" s="8"/>
    </row>
    <row r="626" spans="12:18" ht="15.75" customHeight="1" x14ac:dyDescent="0.25">
      <c r="L626" s="6"/>
      <c r="M626" s="6"/>
      <c r="N626" s="8"/>
      <c r="O626" s="8"/>
      <c r="P626" s="8"/>
      <c r="Q626" s="8"/>
      <c r="R626" s="8"/>
    </row>
    <row r="627" spans="12:18" ht="15.75" customHeight="1" x14ac:dyDescent="0.25">
      <c r="L627" s="6"/>
      <c r="M627" s="6"/>
      <c r="N627" s="8"/>
      <c r="O627" s="8"/>
      <c r="P627" s="8"/>
      <c r="Q627" s="8"/>
      <c r="R627" s="8"/>
    </row>
    <row r="628" spans="12:18" ht="15.75" customHeight="1" x14ac:dyDescent="0.25">
      <c r="L628" s="6"/>
      <c r="M628" s="6"/>
      <c r="N628" s="8"/>
      <c r="O628" s="8"/>
      <c r="P628" s="8"/>
      <c r="Q628" s="8"/>
      <c r="R628" s="8"/>
    </row>
    <row r="629" spans="12:18" ht="15.75" customHeight="1" x14ac:dyDescent="0.25">
      <c r="L629" s="6"/>
      <c r="M629" s="6"/>
      <c r="N629" s="8"/>
      <c r="O629" s="8"/>
      <c r="P629" s="8"/>
      <c r="Q629" s="8"/>
      <c r="R629" s="8"/>
    </row>
    <row r="630" spans="12:18" ht="15.75" customHeight="1" x14ac:dyDescent="0.25">
      <c r="L630" s="6"/>
      <c r="M630" s="6"/>
      <c r="N630" s="8"/>
      <c r="O630" s="8"/>
      <c r="P630" s="8"/>
      <c r="Q630" s="8"/>
      <c r="R630" s="8"/>
    </row>
    <row r="631" spans="12:18" ht="15.75" customHeight="1" x14ac:dyDescent="0.25">
      <c r="L631" s="6"/>
      <c r="M631" s="6"/>
      <c r="N631" s="8"/>
      <c r="O631" s="8"/>
      <c r="P631" s="8"/>
      <c r="Q631" s="8"/>
      <c r="R631" s="8"/>
    </row>
    <row r="632" spans="12:18" ht="15.75" customHeight="1" x14ac:dyDescent="0.25">
      <c r="L632" s="6"/>
      <c r="M632" s="6"/>
      <c r="N632" s="8"/>
      <c r="O632" s="8"/>
      <c r="P632" s="8"/>
      <c r="Q632" s="8"/>
      <c r="R632" s="8"/>
    </row>
    <row r="633" spans="12:18" ht="15.75" customHeight="1" x14ac:dyDescent="0.25">
      <c r="L633" s="6"/>
      <c r="M633" s="6"/>
      <c r="N633" s="8"/>
      <c r="O633" s="8"/>
      <c r="P633" s="8"/>
      <c r="Q633" s="8"/>
      <c r="R633" s="8"/>
    </row>
    <row r="634" spans="12:18" ht="15.75" customHeight="1" x14ac:dyDescent="0.25">
      <c r="L634" s="6"/>
      <c r="M634" s="6"/>
      <c r="N634" s="8"/>
      <c r="O634" s="8"/>
      <c r="P634" s="8"/>
      <c r="Q634" s="8"/>
      <c r="R634" s="8"/>
    </row>
    <row r="635" spans="12:18" ht="15.75" customHeight="1" x14ac:dyDescent="0.25">
      <c r="L635" s="6"/>
      <c r="M635" s="6"/>
      <c r="N635" s="8"/>
      <c r="O635" s="8"/>
      <c r="P635" s="8"/>
      <c r="Q635" s="8"/>
      <c r="R635" s="8"/>
    </row>
    <row r="636" spans="12:18" ht="15.75" customHeight="1" x14ac:dyDescent="0.25">
      <c r="L636" s="6"/>
      <c r="M636" s="6"/>
      <c r="N636" s="8"/>
      <c r="O636" s="8"/>
      <c r="P636" s="8"/>
      <c r="Q636" s="8"/>
      <c r="R636" s="8"/>
    </row>
    <row r="637" spans="12:18" ht="15.75" customHeight="1" x14ac:dyDescent="0.25">
      <c r="L637" s="6"/>
      <c r="M637" s="6"/>
      <c r="N637" s="8"/>
      <c r="O637" s="8"/>
      <c r="P637" s="8"/>
      <c r="Q637" s="8"/>
      <c r="R637" s="8"/>
    </row>
    <row r="638" spans="12:18" ht="15.75" customHeight="1" x14ac:dyDescent="0.25">
      <c r="L638" s="6"/>
      <c r="M638" s="6"/>
      <c r="N638" s="8"/>
      <c r="O638" s="8"/>
      <c r="P638" s="8"/>
      <c r="Q638" s="8"/>
      <c r="R638" s="8"/>
    </row>
    <row r="639" spans="12:18" ht="15.75" customHeight="1" x14ac:dyDescent="0.25">
      <c r="L639" s="6"/>
      <c r="M639" s="6"/>
      <c r="N639" s="8"/>
      <c r="O639" s="8"/>
      <c r="P639" s="8"/>
      <c r="Q639" s="8"/>
      <c r="R639" s="8"/>
    </row>
    <row r="640" spans="12:18" ht="15.75" customHeight="1" x14ac:dyDescent="0.25">
      <c r="L640" s="6"/>
      <c r="M640" s="6"/>
      <c r="N640" s="8"/>
      <c r="O640" s="8"/>
      <c r="P640" s="8"/>
      <c r="Q640" s="8"/>
      <c r="R640" s="8"/>
    </row>
    <row r="641" spans="12:18" ht="15.75" customHeight="1" x14ac:dyDescent="0.25">
      <c r="L641" s="6"/>
      <c r="M641" s="6"/>
      <c r="N641" s="8"/>
      <c r="O641" s="8"/>
      <c r="P641" s="8"/>
      <c r="Q641" s="8"/>
      <c r="R641" s="8"/>
    </row>
    <row r="642" spans="12:18" ht="15.75" customHeight="1" x14ac:dyDescent="0.25">
      <c r="L642" s="6"/>
      <c r="M642" s="6"/>
      <c r="N642" s="8"/>
      <c r="O642" s="8"/>
      <c r="P642" s="8"/>
      <c r="Q642" s="8"/>
      <c r="R642" s="8"/>
    </row>
    <row r="643" spans="12:18" ht="15.75" customHeight="1" x14ac:dyDescent="0.25">
      <c r="L643" s="6"/>
      <c r="M643" s="6"/>
      <c r="N643" s="8"/>
      <c r="O643" s="8"/>
      <c r="P643" s="8"/>
      <c r="Q643" s="8"/>
      <c r="R643" s="8"/>
    </row>
    <row r="644" spans="12:18" ht="15.75" customHeight="1" x14ac:dyDescent="0.25">
      <c r="L644" s="6"/>
      <c r="M644" s="6"/>
      <c r="N644" s="8"/>
      <c r="O644" s="8"/>
      <c r="P644" s="8"/>
      <c r="Q644" s="8"/>
      <c r="R644" s="8"/>
    </row>
    <row r="645" spans="12:18" ht="15.75" customHeight="1" x14ac:dyDescent="0.25">
      <c r="L645" s="6"/>
      <c r="M645" s="6"/>
      <c r="N645" s="8"/>
      <c r="O645" s="8"/>
      <c r="P645" s="8"/>
      <c r="Q645" s="8"/>
      <c r="R645" s="8"/>
    </row>
    <row r="646" spans="12:18" ht="15.75" customHeight="1" x14ac:dyDescent="0.25">
      <c r="L646" s="6"/>
      <c r="M646" s="6"/>
      <c r="N646" s="8"/>
      <c r="O646" s="8"/>
      <c r="P646" s="8"/>
      <c r="Q646" s="8"/>
      <c r="R646" s="8"/>
    </row>
    <row r="647" spans="12:18" ht="15.75" customHeight="1" x14ac:dyDescent="0.25">
      <c r="L647" s="6"/>
      <c r="M647" s="6"/>
      <c r="N647" s="8"/>
      <c r="O647" s="8"/>
      <c r="P647" s="8"/>
      <c r="Q647" s="8"/>
      <c r="R647" s="8"/>
    </row>
    <row r="648" spans="12:18" ht="15.75" customHeight="1" x14ac:dyDescent="0.25">
      <c r="L648" s="6"/>
      <c r="M648" s="6"/>
      <c r="N648" s="8"/>
      <c r="O648" s="8"/>
      <c r="P648" s="8"/>
      <c r="Q648" s="8"/>
      <c r="R648" s="8"/>
    </row>
    <row r="649" spans="12:18" ht="15.75" customHeight="1" x14ac:dyDescent="0.25">
      <c r="L649" s="6"/>
      <c r="M649" s="6"/>
      <c r="N649" s="8"/>
      <c r="O649" s="8"/>
      <c r="P649" s="8"/>
      <c r="Q649" s="8"/>
      <c r="R649" s="8"/>
    </row>
    <row r="650" spans="12:18" ht="15.75" customHeight="1" x14ac:dyDescent="0.25">
      <c r="L650" s="6"/>
      <c r="M650" s="6"/>
      <c r="N650" s="8"/>
      <c r="O650" s="8"/>
      <c r="P650" s="8"/>
      <c r="Q650" s="8"/>
      <c r="R650" s="8"/>
    </row>
    <row r="651" spans="12:18" ht="15.75" customHeight="1" x14ac:dyDescent="0.25">
      <c r="L651" s="6"/>
      <c r="M651" s="6"/>
      <c r="N651" s="8"/>
      <c r="O651" s="8"/>
      <c r="P651" s="8"/>
      <c r="Q651" s="8"/>
      <c r="R651" s="8"/>
    </row>
    <row r="652" spans="12:18" ht="15.75" customHeight="1" x14ac:dyDescent="0.25">
      <c r="L652" s="6"/>
      <c r="M652" s="6"/>
      <c r="N652" s="8"/>
      <c r="O652" s="8"/>
      <c r="P652" s="8"/>
      <c r="Q652" s="8"/>
      <c r="R652" s="8"/>
    </row>
    <row r="653" spans="12:18" ht="15.75" customHeight="1" x14ac:dyDescent="0.25">
      <c r="L653" s="6"/>
      <c r="M653" s="6"/>
      <c r="N653" s="8"/>
      <c r="O653" s="8"/>
      <c r="P653" s="8"/>
      <c r="Q653" s="8"/>
      <c r="R653" s="8"/>
    </row>
    <row r="654" spans="12:18" ht="15.75" customHeight="1" x14ac:dyDescent="0.25">
      <c r="L654" s="6"/>
      <c r="M654" s="6"/>
      <c r="N654" s="8"/>
      <c r="O654" s="8"/>
      <c r="P654" s="8"/>
      <c r="Q654" s="8"/>
      <c r="R654" s="8"/>
    </row>
    <row r="655" spans="12:18" ht="15.75" customHeight="1" x14ac:dyDescent="0.25">
      <c r="L655" s="6"/>
      <c r="M655" s="6"/>
      <c r="N655" s="8"/>
      <c r="O655" s="8"/>
      <c r="P655" s="8"/>
      <c r="Q655" s="8"/>
      <c r="R655" s="8"/>
    </row>
    <row r="656" spans="12:18" ht="15.75" customHeight="1" x14ac:dyDescent="0.25">
      <c r="L656" s="6"/>
      <c r="M656" s="6"/>
      <c r="N656" s="8"/>
      <c r="O656" s="8"/>
      <c r="P656" s="8"/>
      <c r="Q656" s="8"/>
      <c r="R656" s="8"/>
    </row>
    <row r="657" spans="12:18" ht="15.75" customHeight="1" x14ac:dyDescent="0.25">
      <c r="L657" s="6"/>
      <c r="M657" s="6"/>
      <c r="N657" s="8"/>
      <c r="O657" s="8"/>
      <c r="P657" s="8"/>
      <c r="Q657" s="8"/>
      <c r="R657" s="8"/>
    </row>
    <row r="658" spans="12:18" ht="15.75" customHeight="1" x14ac:dyDescent="0.25">
      <c r="L658" s="6"/>
      <c r="M658" s="6"/>
      <c r="N658" s="8"/>
      <c r="O658" s="8"/>
      <c r="P658" s="8"/>
      <c r="Q658" s="8"/>
      <c r="R658" s="8"/>
    </row>
    <row r="659" spans="12:18" ht="15.75" customHeight="1" x14ac:dyDescent="0.25">
      <c r="L659" s="6"/>
      <c r="M659" s="6"/>
      <c r="N659" s="8"/>
      <c r="O659" s="8"/>
      <c r="P659" s="8"/>
      <c r="Q659" s="8"/>
      <c r="R659" s="8"/>
    </row>
    <row r="660" spans="12:18" ht="15.75" customHeight="1" x14ac:dyDescent="0.25">
      <c r="L660" s="6"/>
      <c r="M660" s="6"/>
      <c r="N660" s="8"/>
      <c r="O660" s="8"/>
      <c r="P660" s="8"/>
      <c r="Q660" s="8"/>
      <c r="R660" s="8"/>
    </row>
    <row r="661" spans="12:18" ht="15.75" customHeight="1" x14ac:dyDescent="0.25">
      <c r="L661" s="6"/>
      <c r="M661" s="6"/>
      <c r="N661" s="8"/>
      <c r="O661" s="8"/>
      <c r="P661" s="8"/>
      <c r="Q661" s="8"/>
      <c r="R661" s="8"/>
    </row>
    <row r="662" spans="12:18" ht="15.75" customHeight="1" x14ac:dyDescent="0.25">
      <c r="L662" s="6"/>
      <c r="M662" s="6"/>
      <c r="N662" s="8"/>
      <c r="O662" s="8"/>
      <c r="P662" s="8"/>
      <c r="Q662" s="8"/>
      <c r="R662" s="8"/>
    </row>
    <row r="663" spans="12:18" ht="15.75" customHeight="1" x14ac:dyDescent="0.25">
      <c r="L663" s="6"/>
      <c r="M663" s="6"/>
      <c r="N663" s="8"/>
      <c r="O663" s="8"/>
      <c r="P663" s="8"/>
      <c r="Q663" s="8"/>
      <c r="R663" s="8"/>
    </row>
    <row r="664" spans="12:18" ht="15.75" customHeight="1" x14ac:dyDescent="0.25">
      <c r="L664" s="6"/>
      <c r="M664" s="6"/>
      <c r="N664" s="8"/>
      <c r="O664" s="8"/>
      <c r="P664" s="8"/>
      <c r="Q664" s="8"/>
      <c r="R664" s="8"/>
    </row>
    <row r="665" spans="12:18" ht="15.75" customHeight="1" x14ac:dyDescent="0.25">
      <c r="L665" s="6"/>
      <c r="M665" s="6"/>
      <c r="N665" s="8"/>
      <c r="O665" s="8"/>
      <c r="P665" s="8"/>
      <c r="Q665" s="8"/>
      <c r="R665" s="8"/>
    </row>
    <row r="666" spans="12:18" ht="15.75" customHeight="1" x14ac:dyDescent="0.25">
      <c r="L666" s="6"/>
      <c r="M666" s="6"/>
      <c r="N666" s="8"/>
      <c r="O666" s="8"/>
      <c r="P666" s="8"/>
      <c r="Q666" s="8"/>
      <c r="R666" s="8"/>
    </row>
    <row r="667" spans="12:18" ht="15.75" customHeight="1" x14ac:dyDescent="0.25">
      <c r="L667" s="6"/>
      <c r="M667" s="6"/>
      <c r="N667" s="8"/>
      <c r="O667" s="8"/>
      <c r="P667" s="8"/>
      <c r="Q667" s="8"/>
      <c r="R667" s="8"/>
    </row>
    <row r="668" spans="12:18" ht="15.75" customHeight="1" x14ac:dyDescent="0.25">
      <c r="L668" s="6"/>
      <c r="M668" s="6"/>
      <c r="N668" s="8"/>
      <c r="O668" s="8"/>
      <c r="P668" s="8"/>
      <c r="Q668" s="8"/>
      <c r="R668" s="8"/>
    </row>
    <row r="669" spans="12:18" ht="15.75" customHeight="1" x14ac:dyDescent="0.25">
      <c r="L669" s="6"/>
      <c r="M669" s="6"/>
      <c r="N669" s="8"/>
      <c r="O669" s="8"/>
      <c r="P669" s="8"/>
      <c r="Q669" s="8"/>
      <c r="R669" s="8"/>
    </row>
    <row r="670" spans="12:18" ht="15.75" customHeight="1" x14ac:dyDescent="0.25">
      <c r="L670" s="6"/>
      <c r="M670" s="6"/>
      <c r="N670" s="8"/>
      <c r="O670" s="8"/>
      <c r="P670" s="8"/>
      <c r="Q670" s="8"/>
      <c r="R670" s="8"/>
    </row>
    <row r="671" spans="12:18" ht="15.75" customHeight="1" x14ac:dyDescent="0.25">
      <c r="L671" s="6"/>
      <c r="M671" s="6"/>
      <c r="N671" s="8"/>
      <c r="O671" s="8"/>
      <c r="P671" s="8"/>
      <c r="Q671" s="8"/>
      <c r="R671" s="8"/>
    </row>
    <row r="672" spans="12:18" ht="15.75" customHeight="1" x14ac:dyDescent="0.25">
      <c r="L672" s="6"/>
      <c r="M672" s="6"/>
      <c r="N672" s="8"/>
      <c r="O672" s="8"/>
      <c r="P672" s="8"/>
      <c r="Q672" s="8"/>
      <c r="R672" s="8"/>
    </row>
    <row r="673" spans="12:18" ht="15.75" customHeight="1" x14ac:dyDescent="0.25">
      <c r="L673" s="6"/>
      <c r="M673" s="6"/>
      <c r="N673" s="8"/>
      <c r="O673" s="8"/>
      <c r="P673" s="8"/>
      <c r="Q673" s="8"/>
      <c r="R673" s="8"/>
    </row>
    <row r="674" spans="12:18" ht="15.75" customHeight="1" x14ac:dyDescent="0.25">
      <c r="L674" s="6"/>
      <c r="M674" s="6"/>
      <c r="N674" s="8"/>
      <c r="O674" s="8"/>
      <c r="P674" s="8"/>
      <c r="Q674" s="8"/>
      <c r="R674" s="8"/>
    </row>
    <row r="675" spans="12:18" ht="15.75" customHeight="1" x14ac:dyDescent="0.25">
      <c r="L675" s="6"/>
      <c r="M675" s="6"/>
      <c r="N675" s="8"/>
      <c r="O675" s="8"/>
      <c r="P675" s="8"/>
      <c r="Q675" s="8"/>
      <c r="R675" s="8"/>
    </row>
    <row r="676" spans="12:18" ht="15.75" customHeight="1" x14ac:dyDescent="0.25">
      <c r="L676" s="6"/>
      <c r="M676" s="6"/>
      <c r="N676" s="8"/>
      <c r="O676" s="8"/>
      <c r="P676" s="8"/>
      <c r="Q676" s="8"/>
      <c r="R676" s="8"/>
    </row>
    <row r="677" spans="12:18" ht="15.75" customHeight="1" x14ac:dyDescent="0.25">
      <c r="L677" s="6"/>
      <c r="M677" s="6"/>
      <c r="N677" s="8"/>
      <c r="O677" s="8"/>
      <c r="P677" s="8"/>
      <c r="Q677" s="8"/>
      <c r="R677" s="8"/>
    </row>
    <row r="678" spans="12:18" ht="15.75" customHeight="1" x14ac:dyDescent="0.25">
      <c r="L678" s="6"/>
      <c r="M678" s="6"/>
      <c r="N678" s="8"/>
      <c r="O678" s="8"/>
      <c r="P678" s="8"/>
      <c r="Q678" s="8"/>
      <c r="R678" s="8"/>
    </row>
    <row r="679" spans="12:18" ht="15.75" customHeight="1" x14ac:dyDescent="0.25">
      <c r="L679" s="6"/>
      <c r="M679" s="6"/>
      <c r="N679" s="8"/>
      <c r="O679" s="8"/>
      <c r="P679" s="8"/>
      <c r="Q679" s="8"/>
      <c r="R679" s="8"/>
    </row>
    <row r="680" spans="12:18" ht="15.75" customHeight="1" x14ac:dyDescent="0.25">
      <c r="L680" s="6"/>
      <c r="M680" s="6"/>
      <c r="N680" s="8"/>
      <c r="O680" s="8"/>
      <c r="P680" s="8"/>
      <c r="Q680" s="8"/>
      <c r="R680" s="8"/>
    </row>
    <row r="681" spans="12:18" ht="15.75" customHeight="1" x14ac:dyDescent="0.25">
      <c r="L681" s="6"/>
      <c r="M681" s="6"/>
      <c r="N681" s="8"/>
      <c r="O681" s="8"/>
      <c r="P681" s="8"/>
      <c r="Q681" s="8"/>
      <c r="R681" s="8"/>
    </row>
    <row r="682" spans="12:18" ht="15.75" customHeight="1" x14ac:dyDescent="0.25">
      <c r="L682" s="6"/>
      <c r="M682" s="6"/>
      <c r="N682" s="8"/>
      <c r="O682" s="8"/>
      <c r="P682" s="8"/>
      <c r="Q682" s="8"/>
      <c r="R682" s="8"/>
    </row>
    <row r="683" spans="12:18" ht="15.75" customHeight="1" x14ac:dyDescent="0.25">
      <c r="L683" s="6"/>
      <c r="M683" s="6"/>
      <c r="N683" s="8"/>
      <c r="O683" s="8"/>
      <c r="P683" s="8"/>
      <c r="Q683" s="8"/>
      <c r="R683" s="8"/>
    </row>
    <row r="684" spans="12:18" ht="15.75" customHeight="1" x14ac:dyDescent="0.25">
      <c r="L684" s="6"/>
      <c r="M684" s="6"/>
      <c r="N684" s="8"/>
      <c r="O684" s="8"/>
      <c r="P684" s="8"/>
      <c r="Q684" s="8"/>
      <c r="R684" s="8"/>
    </row>
    <row r="685" spans="12:18" ht="15.75" customHeight="1" x14ac:dyDescent="0.25">
      <c r="L685" s="6"/>
      <c r="M685" s="6"/>
      <c r="N685" s="8"/>
      <c r="O685" s="8"/>
      <c r="P685" s="8"/>
      <c r="Q685" s="8"/>
      <c r="R685" s="8"/>
    </row>
    <row r="686" spans="12:18" ht="15.75" customHeight="1" x14ac:dyDescent="0.25">
      <c r="L686" s="6"/>
      <c r="M686" s="6"/>
      <c r="N686" s="8"/>
      <c r="O686" s="8"/>
      <c r="P686" s="8"/>
      <c r="Q686" s="8"/>
      <c r="R686" s="8"/>
    </row>
    <row r="687" spans="12:18" ht="15.75" customHeight="1" x14ac:dyDescent="0.25">
      <c r="L687" s="6"/>
      <c r="M687" s="6"/>
      <c r="N687" s="8"/>
      <c r="O687" s="8"/>
      <c r="P687" s="8"/>
      <c r="Q687" s="8"/>
      <c r="R687" s="8"/>
    </row>
    <row r="688" spans="12:18" ht="15.75" customHeight="1" x14ac:dyDescent="0.25">
      <c r="L688" s="6"/>
      <c r="M688" s="6"/>
      <c r="N688" s="8"/>
      <c r="O688" s="8"/>
      <c r="P688" s="8"/>
      <c r="Q688" s="8"/>
      <c r="R688" s="8"/>
    </row>
    <row r="689" spans="12:18" ht="15.75" customHeight="1" x14ac:dyDescent="0.25">
      <c r="L689" s="6"/>
      <c r="M689" s="6"/>
      <c r="N689" s="8"/>
      <c r="O689" s="8"/>
      <c r="P689" s="8"/>
      <c r="Q689" s="8"/>
      <c r="R689" s="8"/>
    </row>
    <row r="690" spans="12:18" ht="15.75" customHeight="1" x14ac:dyDescent="0.25">
      <c r="L690" s="6"/>
      <c r="M690" s="6"/>
      <c r="N690" s="8"/>
      <c r="O690" s="8"/>
      <c r="P690" s="8"/>
      <c r="Q690" s="8"/>
      <c r="R690" s="8"/>
    </row>
    <row r="691" spans="12:18" ht="15.75" customHeight="1" x14ac:dyDescent="0.25">
      <c r="L691" s="6"/>
      <c r="M691" s="6"/>
      <c r="N691" s="8"/>
      <c r="O691" s="8"/>
      <c r="P691" s="8"/>
      <c r="Q691" s="8"/>
      <c r="R691" s="8"/>
    </row>
    <row r="692" spans="12:18" ht="15.75" customHeight="1" x14ac:dyDescent="0.25">
      <c r="L692" s="6"/>
      <c r="M692" s="6"/>
      <c r="N692" s="8"/>
      <c r="O692" s="8"/>
      <c r="P692" s="8"/>
      <c r="Q692" s="8"/>
      <c r="R692" s="8"/>
    </row>
    <row r="693" spans="12:18" ht="15.75" customHeight="1" x14ac:dyDescent="0.25">
      <c r="L693" s="6"/>
      <c r="M693" s="6"/>
      <c r="N693" s="8"/>
      <c r="O693" s="8"/>
      <c r="P693" s="8"/>
      <c r="Q693" s="8"/>
      <c r="R693" s="8"/>
    </row>
    <row r="694" spans="12:18" ht="15.75" customHeight="1" x14ac:dyDescent="0.25">
      <c r="L694" s="6"/>
      <c r="M694" s="6"/>
      <c r="N694" s="8"/>
      <c r="O694" s="8"/>
      <c r="P694" s="8"/>
      <c r="Q694" s="8"/>
      <c r="R694" s="8"/>
    </row>
    <row r="695" spans="12:18" ht="15.75" customHeight="1" x14ac:dyDescent="0.25">
      <c r="L695" s="6"/>
      <c r="M695" s="6"/>
      <c r="N695" s="8"/>
      <c r="O695" s="8"/>
      <c r="P695" s="8"/>
      <c r="Q695" s="8"/>
      <c r="R695" s="8"/>
    </row>
    <row r="696" spans="12:18" ht="15.75" customHeight="1" x14ac:dyDescent="0.25">
      <c r="L696" s="6"/>
      <c r="M696" s="6"/>
      <c r="N696" s="8"/>
      <c r="O696" s="8"/>
      <c r="P696" s="8"/>
      <c r="Q696" s="8"/>
      <c r="R696" s="8"/>
    </row>
    <row r="697" spans="12:18" ht="15.75" customHeight="1" x14ac:dyDescent="0.25">
      <c r="L697" s="6"/>
      <c r="M697" s="6"/>
      <c r="N697" s="8"/>
      <c r="O697" s="8"/>
      <c r="P697" s="8"/>
      <c r="Q697" s="8"/>
      <c r="R697" s="8"/>
    </row>
    <row r="698" spans="12:18" ht="15.75" customHeight="1" x14ac:dyDescent="0.25">
      <c r="L698" s="6"/>
      <c r="M698" s="6"/>
      <c r="N698" s="8"/>
      <c r="O698" s="8"/>
      <c r="P698" s="8"/>
      <c r="Q698" s="8"/>
      <c r="R698" s="8"/>
    </row>
    <row r="699" spans="12:18" ht="15.75" customHeight="1" x14ac:dyDescent="0.25">
      <c r="L699" s="6"/>
      <c r="M699" s="6"/>
      <c r="N699" s="8"/>
      <c r="O699" s="8"/>
      <c r="P699" s="8"/>
      <c r="Q699" s="8"/>
      <c r="R699" s="8"/>
    </row>
    <row r="700" spans="12:18" ht="15.75" customHeight="1" x14ac:dyDescent="0.25">
      <c r="L700" s="6"/>
      <c r="M700" s="6"/>
      <c r="N700" s="8"/>
      <c r="O700" s="8"/>
      <c r="P700" s="8"/>
      <c r="Q700" s="8"/>
      <c r="R700" s="8"/>
    </row>
    <row r="701" spans="12:18" ht="15.75" customHeight="1" x14ac:dyDescent="0.25">
      <c r="L701" s="6"/>
      <c r="M701" s="6"/>
      <c r="N701" s="8"/>
      <c r="O701" s="8"/>
      <c r="P701" s="8"/>
      <c r="Q701" s="8"/>
      <c r="R701" s="8"/>
    </row>
    <row r="702" spans="12:18" ht="15.75" customHeight="1" x14ac:dyDescent="0.25">
      <c r="L702" s="6"/>
      <c r="M702" s="6"/>
      <c r="N702" s="8"/>
      <c r="O702" s="8"/>
      <c r="P702" s="8"/>
      <c r="Q702" s="8"/>
      <c r="R702" s="8"/>
    </row>
    <row r="703" spans="12:18" ht="15.75" customHeight="1" x14ac:dyDescent="0.25">
      <c r="L703" s="6"/>
      <c r="M703" s="6"/>
      <c r="N703" s="8"/>
      <c r="O703" s="8"/>
      <c r="P703" s="8"/>
      <c r="Q703" s="8"/>
      <c r="R703" s="8"/>
    </row>
    <row r="704" spans="12:18" ht="15.75" customHeight="1" x14ac:dyDescent="0.25">
      <c r="L704" s="6"/>
      <c r="M704" s="6"/>
      <c r="N704" s="8"/>
      <c r="O704" s="8"/>
      <c r="P704" s="8"/>
      <c r="Q704" s="8"/>
      <c r="R704" s="8"/>
    </row>
    <row r="705" spans="12:18" ht="15.75" customHeight="1" x14ac:dyDescent="0.25">
      <c r="L705" s="6"/>
      <c r="M705" s="6"/>
      <c r="N705" s="8"/>
      <c r="O705" s="8"/>
      <c r="P705" s="8"/>
      <c r="Q705" s="8"/>
      <c r="R705" s="8"/>
    </row>
    <row r="706" spans="12:18" ht="15.75" customHeight="1" x14ac:dyDescent="0.25">
      <c r="L706" s="6"/>
      <c r="M706" s="6"/>
      <c r="N706" s="8"/>
      <c r="O706" s="8"/>
      <c r="P706" s="8"/>
      <c r="Q706" s="8"/>
      <c r="R706" s="8"/>
    </row>
    <row r="707" spans="12:18" ht="15.75" customHeight="1" x14ac:dyDescent="0.25">
      <c r="L707" s="6"/>
      <c r="M707" s="6"/>
      <c r="N707" s="8"/>
      <c r="O707" s="8"/>
      <c r="P707" s="8"/>
      <c r="Q707" s="8"/>
      <c r="R707" s="8"/>
    </row>
    <row r="708" spans="12:18" ht="15.75" customHeight="1" x14ac:dyDescent="0.25">
      <c r="L708" s="6"/>
      <c r="M708" s="6"/>
      <c r="N708" s="8"/>
      <c r="O708" s="8"/>
      <c r="P708" s="8"/>
      <c r="Q708" s="8"/>
      <c r="R708" s="8"/>
    </row>
    <row r="709" spans="12:18" ht="15.75" customHeight="1" x14ac:dyDescent="0.25">
      <c r="L709" s="6"/>
      <c r="M709" s="6"/>
      <c r="N709" s="8"/>
      <c r="O709" s="8"/>
      <c r="P709" s="8"/>
      <c r="Q709" s="8"/>
      <c r="R709" s="8"/>
    </row>
    <row r="710" spans="12:18" ht="15.75" customHeight="1" x14ac:dyDescent="0.25">
      <c r="L710" s="6"/>
      <c r="M710" s="6"/>
      <c r="N710" s="8"/>
      <c r="O710" s="8"/>
      <c r="P710" s="8"/>
      <c r="Q710" s="8"/>
      <c r="R710" s="8"/>
    </row>
    <row r="711" spans="12:18" ht="15.75" customHeight="1" x14ac:dyDescent="0.25">
      <c r="L711" s="6"/>
      <c r="M711" s="6"/>
      <c r="N711" s="8"/>
      <c r="O711" s="8"/>
      <c r="P711" s="8"/>
      <c r="Q711" s="8"/>
      <c r="R711" s="8"/>
    </row>
    <row r="712" spans="12:18" ht="15.75" customHeight="1" x14ac:dyDescent="0.25">
      <c r="L712" s="6"/>
      <c r="M712" s="6"/>
      <c r="N712" s="8"/>
      <c r="O712" s="8"/>
      <c r="P712" s="8"/>
      <c r="Q712" s="8"/>
      <c r="R712" s="8"/>
    </row>
    <row r="713" spans="12:18" ht="15.75" customHeight="1" x14ac:dyDescent="0.25">
      <c r="L713" s="6"/>
      <c r="M713" s="6"/>
      <c r="N713" s="8"/>
      <c r="O713" s="8"/>
      <c r="P713" s="8"/>
      <c r="Q713" s="8"/>
      <c r="R713" s="8"/>
    </row>
    <row r="714" spans="12:18" ht="15.75" customHeight="1" x14ac:dyDescent="0.25">
      <c r="L714" s="6"/>
      <c r="M714" s="6"/>
      <c r="N714" s="8"/>
      <c r="O714" s="8"/>
      <c r="P714" s="8"/>
      <c r="Q714" s="8"/>
      <c r="R714" s="8"/>
    </row>
    <row r="715" spans="12:18" ht="15.75" customHeight="1" x14ac:dyDescent="0.25">
      <c r="L715" s="6"/>
      <c r="M715" s="6"/>
      <c r="N715" s="8"/>
      <c r="O715" s="8"/>
      <c r="P715" s="8"/>
      <c r="Q715" s="8"/>
      <c r="R715" s="8"/>
    </row>
    <row r="716" spans="12:18" ht="15.75" customHeight="1" x14ac:dyDescent="0.25">
      <c r="L716" s="6"/>
      <c r="M716" s="6"/>
      <c r="N716" s="8"/>
      <c r="O716" s="8"/>
      <c r="P716" s="8"/>
      <c r="Q716" s="8"/>
      <c r="R716" s="8"/>
    </row>
    <row r="717" spans="12:18" ht="15.75" customHeight="1" x14ac:dyDescent="0.25">
      <c r="L717" s="6"/>
      <c r="M717" s="6"/>
      <c r="N717" s="8"/>
      <c r="O717" s="8"/>
      <c r="P717" s="8"/>
      <c r="Q717" s="8"/>
      <c r="R717" s="8"/>
    </row>
    <row r="718" spans="12:18" ht="15.75" customHeight="1" x14ac:dyDescent="0.25">
      <c r="L718" s="6"/>
      <c r="M718" s="6"/>
      <c r="N718" s="8"/>
      <c r="O718" s="8"/>
      <c r="P718" s="8"/>
      <c r="Q718" s="8"/>
      <c r="R718" s="8"/>
    </row>
    <row r="719" spans="12:18" ht="15.75" customHeight="1" x14ac:dyDescent="0.25">
      <c r="L719" s="6"/>
      <c r="M719" s="6"/>
      <c r="N719" s="8"/>
      <c r="O719" s="8"/>
      <c r="P719" s="8"/>
      <c r="Q719" s="8"/>
      <c r="R719" s="8"/>
    </row>
    <row r="720" spans="12:18" ht="15.75" customHeight="1" x14ac:dyDescent="0.25">
      <c r="L720" s="6"/>
      <c r="M720" s="6"/>
      <c r="N720" s="8"/>
      <c r="O720" s="8"/>
      <c r="P720" s="8"/>
      <c r="Q720" s="8"/>
      <c r="R720" s="8"/>
    </row>
    <row r="721" spans="12:18" ht="15.75" customHeight="1" x14ac:dyDescent="0.25">
      <c r="L721" s="6"/>
      <c r="M721" s="6"/>
      <c r="N721" s="8"/>
      <c r="O721" s="8"/>
      <c r="P721" s="8"/>
      <c r="Q721" s="8"/>
      <c r="R721" s="8"/>
    </row>
    <row r="722" spans="12:18" ht="15.75" customHeight="1" x14ac:dyDescent="0.25">
      <c r="L722" s="6"/>
      <c r="M722" s="6"/>
      <c r="N722" s="8"/>
      <c r="O722" s="8"/>
      <c r="P722" s="8"/>
      <c r="Q722" s="8"/>
      <c r="R722" s="8"/>
    </row>
    <row r="723" spans="12:18" ht="15.75" customHeight="1" x14ac:dyDescent="0.25">
      <c r="L723" s="6"/>
      <c r="M723" s="6"/>
      <c r="N723" s="8"/>
      <c r="O723" s="8"/>
      <c r="P723" s="8"/>
      <c r="Q723" s="8"/>
      <c r="R723" s="8"/>
    </row>
    <row r="724" spans="12:18" ht="15.75" customHeight="1" x14ac:dyDescent="0.25">
      <c r="L724" s="6"/>
      <c r="M724" s="6"/>
      <c r="N724" s="8"/>
      <c r="O724" s="8"/>
      <c r="P724" s="8"/>
      <c r="Q724" s="8"/>
      <c r="R724" s="8"/>
    </row>
    <row r="725" spans="12:18" ht="15.75" customHeight="1" x14ac:dyDescent="0.25">
      <c r="L725" s="6"/>
      <c r="M725" s="6"/>
      <c r="N725" s="8"/>
      <c r="O725" s="8"/>
      <c r="P725" s="8"/>
      <c r="Q725" s="8"/>
      <c r="R725" s="8"/>
    </row>
    <row r="726" spans="12:18" ht="15.75" customHeight="1" x14ac:dyDescent="0.25">
      <c r="L726" s="6"/>
      <c r="M726" s="6"/>
      <c r="N726" s="8"/>
      <c r="O726" s="8"/>
      <c r="P726" s="8"/>
      <c r="Q726" s="8"/>
      <c r="R726" s="8"/>
    </row>
    <row r="727" spans="12:18" ht="15.75" customHeight="1" x14ac:dyDescent="0.25">
      <c r="L727" s="6"/>
      <c r="M727" s="6"/>
      <c r="N727" s="8"/>
      <c r="O727" s="8"/>
      <c r="P727" s="8"/>
      <c r="Q727" s="8"/>
      <c r="R727" s="8"/>
    </row>
    <row r="728" spans="12:18" ht="15.75" customHeight="1" x14ac:dyDescent="0.25">
      <c r="L728" s="6"/>
      <c r="M728" s="6"/>
      <c r="N728" s="8"/>
      <c r="O728" s="8"/>
      <c r="P728" s="8"/>
      <c r="Q728" s="8"/>
      <c r="R728" s="8"/>
    </row>
    <row r="729" spans="12:18" ht="15.75" customHeight="1" x14ac:dyDescent="0.25">
      <c r="L729" s="6"/>
      <c r="M729" s="6"/>
      <c r="N729" s="8"/>
      <c r="O729" s="8"/>
      <c r="P729" s="8"/>
      <c r="Q729" s="8"/>
      <c r="R729" s="8"/>
    </row>
    <row r="730" spans="12:18" ht="15.75" customHeight="1" x14ac:dyDescent="0.25">
      <c r="L730" s="6"/>
      <c r="M730" s="6"/>
      <c r="N730" s="8"/>
      <c r="O730" s="8"/>
      <c r="P730" s="8"/>
      <c r="Q730" s="8"/>
      <c r="R730" s="8"/>
    </row>
    <row r="731" spans="12:18" ht="15.75" customHeight="1" x14ac:dyDescent="0.25">
      <c r="L731" s="6"/>
      <c r="M731" s="6"/>
      <c r="N731" s="8"/>
      <c r="O731" s="8"/>
      <c r="P731" s="8"/>
      <c r="Q731" s="8"/>
      <c r="R731" s="8"/>
    </row>
    <row r="732" spans="12:18" ht="15.75" customHeight="1" x14ac:dyDescent="0.25">
      <c r="L732" s="6"/>
      <c r="M732" s="6"/>
      <c r="N732" s="8"/>
      <c r="O732" s="8"/>
      <c r="P732" s="8"/>
      <c r="Q732" s="8"/>
      <c r="R732" s="8"/>
    </row>
    <row r="733" spans="12:18" ht="15.75" customHeight="1" x14ac:dyDescent="0.25">
      <c r="L733" s="6"/>
      <c r="M733" s="6"/>
      <c r="N733" s="8"/>
      <c r="O733" s="8"/>
      <c r="P733" s="8"/>
      <c r="Q733" s="8"/>
      <c r="R733" s="8"/>
    </row>
    <row r="734" spans="12:18" ht="15.75" customHeight="1" x14ac:dyDescent="0.25">
      <c r="L734" s="6"/>
      <c r="M734" s="6"/>
      <c r="N734" s="8"/>
      <c r="O734" s="8"/>
      <c r="P734" s="8"/>
      <c r="Q734" s="8"/>
      <c r="R734" s="8"/>
    </row>
    <row r="735" spans="12:18" ht="15.75" customHeight="1" x14ac:dyDescent="0.25">
      <c r="L735" s="6"/>
      <c r="M735" s="6"/>
      <c r="N735" s="8"/>
      <c r="O735" s="8"/>
      <c r="P735" s="8"/>
      <c r="Q735" s="8"/>
      <c r="R735" s="8"/>
    </row>
    <row r="736" spans="12:18" ht="15.75" customHeight="1" x14ac:dyDescent="0.25">
      <c r="L736" s="6"/>
      <c r="M736" s="6"/>
      <c r="N736" s="8"/>
      <c r="O736" s="8"/>
      <c r="P736" s="8"/>
      <c r="Q736" s="8"/>
      <c r="R736" s="8"/>
    </row>
    <row r="737" spans="12:18" ht="15.75" customHeight="1" x14ac:dyDescent="0.25">
      <c r="L737" s="6"/>
      <c r="M737" s="6"/>
      <c r="N737" s="8"/>
      <c r="O737" s="8"/>
      <c r="P737" s="8"/>
      <c r="Q737" s="8"/>
      <c r="R737" s="8"/>
    </row>
    <row r="738" spans="12:18" ht="15.75" customHeight="1" x14ac:dyDescent="0.25">
      <c r="L738" s="6"/>
      <c r="M738" s="6"/>
      <c r="N738" s="8"/>
      <c r="O738" s="8"/>
      <c r="P738" s="8"/>
      <c r="Q738" s="8"/>
      <c r="R738" s="8"/>
    </row>
    <row r="739" spans="12:18" ht="15.75" customHeight="1" x14ac:dyDescent="0.25">
      <c r="L739" s="6"/>
      <c r="M739" s="6"/>
      <c r="N739" s="8"/>
      <c r="O739" s="8"/>
      <c r="P739" s="8"/>
      <c r="Q739" s="8"/>
      <c r="R739" s="8"/>
    </row>
    <row r="740" spans="12:18" ht="15.75" customHeight="1" x14ac:dyDescent="0.25">
      <c r="L740" s="6"/>
      <c r="M740" s="6"/>
      <c r="N740" s="8"/>
      <c r="O740" s="8"/>
      <c r="P740" s="8"/>
      <c r="Q740" s="8"/>
      <c r="R740" s="8"/>
    </row>
    <row r="741" spans="12:18" ht="15.75" customHeight="1" x14ac:dyDescent="0.25">
      <c r="L741" s="6"/>
      <c r="M741" s="6"/>
      <c r="N741" s="8"/>
      <c r="O741" s="8"/>
      <c r="P741" s="8"/>
      <c r="Q741" s="8"/>
      <c r="R741" s="8"/>
    </row>
    <row r="742" spans="12:18" ht="15.75" customHeight="1" x14ac:dyDescent="0.25">
      <c r="L742" s="6"/>
      <c r="M742" s="6"/>
      <c r="N742" s="8"/>
      <c r="O742" s="8"/>
      <c r="P742" s="8"/>
      <c r="Q742" s="8"/>
      <c r="R742" s="8"/>
    </row>
    <row r="743" spans="12:18" ht="15.75" customHeight="1" x14ac:dyDescent="0.25">
      <c r="L743" s="6"/>
      <c r="M743" s="6"/>
      <c r="N743" s="8"/>
      <c r="O743" s="8"/>
      <c r="P743" s="8"/>
      <c r="Q743" s="8"/>
      <c r="R743" s="8"/>
    </row>
    <row r="744" spans="12:18" ht="15.75" customHeight="1" x14ac:dyDescent="0.25">
      <c r="L744" s="6"/>
      <c r="M744" s="6"/>
      <c r="N744" s="8"/>
      <c r="O744" s="8"/>
      <c r="P744" s="8"/>
      <c r="Q744" s="8"/>
      <c r="R744" s="8"/>
    </row>
    <row r="745" spans="12:18" ht="15.75" customHeight="1" x14ac:dyDescent="0.25">
      <c r="L745" s="6"/>
      <c r="M745" s="6"/>
      <c r="N745" s="8"/>
      <c r="O745" s="8"/>
      <c r="P745" s="8"/>
      <c r="Q745" s="8"/>
      <c r="R745" s="8"/>
    </row>
    <row r="746" spans="12:18" ht="15.75" customHeight="1" x14ac:dyDescent="0.25">
      <c r="L746" s="6"/>
      <c r="M746" s="6"/>
      <c r="N746" s="8"/>
      <c r="O746" s="8"/>
      <c r="P746" s="8"/>
      <c r="Q746" s="8"/>
      <c r="R746" s="8"/>
    </row>
    <row r="747" spans="12:18" ht="15.75" customHeight="1" x14ac:dyDescent="0.25">
      <c r="L747" s="6"/>
      <c r="M747" s="6"/>
      <c r="N747" s="8"/>
      <c r="O747" s="8"/>
      <c r="P747" s="8"/>
      <c r="Q747" s="8"/>
      <c r="R747" s="8"/>
    </row>
    <row r="748" spans="12:18" ht="15.75" customHeight="1" x14ac:dyDescent="0.25">
      <c r="L748" s="6"/>
      <c r="M748" s="6"/>
      <c r="N748" s="8"/>
      <c r="O748" s="8"/>
      <c r="P748" s="8"/>
      <c r="Q748" s="8"/>
      <c r="R748" s="8"/>
    </row>
    <row r="749" spans="12:18" ht="15.75" customHeight="1" x14ac:dyDescent="0.25">
      <c r="L749" s="6"/>
      <c r="M749" s="6"/>
      <c r="N749" s="8"/>
      <c r="O749" s="8"/>
      <c r="P749" s="8"/>
      <c r="Q749" s="8"/>
      <c r="R749" s="8"/>
    </row>
    <row r="750" spans="12:18" ht="15.75" customHeight="1" x14ac:dyDescent="0.25">
      <c r="L750" s="6"/>
      <c r="M750" s="6"/>
      <c r="N750" s="8"/>
      <c r="O750" s="8"/>
      <c r="P750" s="8"/>
      <c r="Q750" s="8"/>
      <c r="R750" s="8"/>
    </row>
    <row r="751" spans="12:18" ht="15.75" customHeight="1" x14ac:dyDescent="0.25">
      <c r="L751" s="6"/>
      <c r="M751" s="6"/>
      <c r="N751" s="8"/>
      <c r="O751" s="8"/>
      <c r="P751" s="8"/>
      <c r="Q751" s="8"/>
      <c r="R751" s="8"/>
    </row>
    <row r="752" spans="12:18" ht="15.75" customHeight="1" x14ac:dyDescent="0.25">
      <c r="L752" s="6"/>
      <c r="M752" s="6"/>
      <c r="N752" s="8"/>
      <c r="O752" s="8"/>
      <c r="P752" s="8"/>
      <c r="Q752" s="8"/>
      <c r="R752" s="8"/>
    </row>
    <row r="753" spans="12:18" ht="15.75" customHeight="1" x14ac:dyDescent="0.25">
      <c r="L753" s="6"/>
      <c r="M753" s="6"/>
      <c r="N753" s="8"/>
      <c r="O753" s="8"/>
      <c r="P753" s="8"/>
      <c r="Q753" s="8"/>
      <c r="R753" s="8"/>
    </row>
    <row r="754" spans="12:18" ht="15.75" customHeight="1" x14ac:dyDescent="0.25">
      <c r="L754" s="6"/>
      <c r="M754" s="6"/>
      <c r="N754" s="8"/>
      <c r="O754" s="8"/>
      <c r="P754" s="8"/>
      <c r="Q754" s="8"/>
      <c r="R754" s="8"/>
    </row>
    <row r="755" spans="12:18" ht="15.75" customHeight="1" x14ac:dyDescent="0.25">
      <c r="L755" s="6"/>
      <c r="M755" s="6"/>
      <c r="N755" s="8"/>
      <c r="O755" s="8"/>
      <c r="P755" s="8"/>
      <c r="Q755" s="8"/>
      <c r="R755" s="8"/>
    </row>
    <row r="756" spans="12:18" ht="15.75" customHeight="1" x14ac:dyDescent="0.25">
      <c r="L756" s="6"/>
      <c r="M756" s="6"/>
      <c r="N756" s="8"/>
      <c r="O756" s="8"/>
      <c r="P756" s="8"/>
      <c r="Q756" s="8"/>
      <c r="R756" s="8"/>
    </row>
    <row r="757" spans="12:18" ht="15.75" customHeight="1" x14ac:dyDescent="0.25">
      <c r="L757" s="6"/>
      <c r="M757" s="6"/>
      <c r="N757" s="8"/>
      <c r="O757" s="8"/>
      <c r="P757" s="8"/>
      <c r="Q757" s="8"/>
      <c r="R757" s="8"/>
    </row>
    <row r="758" spans="12:18" ht="15.75" customHeight="1" x14ac:dyDescent="0.25">
      <c r="L758" s="6"/>
      <c r="M758" s="6"/>
      <c r="N758" s="8"/>
      <c r="O758" s="8"/>
      <c r="P758" s="8"/>
      <c r="Q758" s="8"/>
      <c r="R758" s="8"/>
    </row>
    <row r="759" spans="12:18" ht="15.75" customHeight="1" x14ac:dyDescent="0.25">
      <c r="L759" s="6"/>
      <c r="M759" s="6"/>
      <c r="N759" s="8"/>
      <c r="O759" s="8"/>
      <c r="P759" s="8"/>
      <c r="Q759" s="8"/>
      <c r="R759" s="8"/>
    </row>
    <row r="760" spans="12:18" ht="15.75" customHeight="1" x14ac:dyDescent="0.25">
      <c r="L760" s="6"/>
      <c r="M760" s="6"/>
      <c r="N760" s="8"/>
      <c r="O760" s="8"/>
      <c r="P760" s="8"/>
      <c r="Q760" s="8"/>
      <c r="R760" s="8"/>
    </row>
    <row r="761" spans="12:18" ht="15.75" customHeight="1" x14ac:dyDescent="0.25">
      <c r="L761" s="6"/>
      <c r="M761" s="6"/>
      <c r="N761" s="8"/>
      <c r="O761" s="8"/>
      <c r="P761" s="8"/>
      <c r="Q761" s="8"/>
      <c r="R761" s="8"/>
    </row>
    <row r="762" spans="12:18" ht="15.75" customHeight="1" x14ac:dyDescent="0.25">
      <c r="L762" s="6"/>
      <c r="M762" s="6"/>
      <c r="N762" s="8"/>
      <c r="O762" s="8"/>
      <c r="P762" s="8"/>
      <c r="Q762" s="8"/>
      <c r="R762" s="8"/>
    </row>
    <row r="763" spans="12:18" ht="15.75" customHeight="1" x14ac:dyDescent="0.25">
      <c r="L763" s="6"/>
      <c r="M763" s="6"/>
      <c r="N763" s="8"/>
      <c r="O763" s="8"/>
      <c r="P763" s="8"/>
      <c r="Q763" s="8"/>
      <c r="R763" s="8"/>
    </row>
    <row r="764" spans="12:18" ht="15.75" customHeight="1" x14ac:dyDescent="0.25">
      <c r="L764" s="6"/>
      <c r="M764" s="6"/>
      <c r="N764" s="8"/>
      <c r="O764" s="8"/>
      <c r="P764" s="8"/>
      <c r="Q764" s="8"/>
      <c r="R764" s="8"/>
    </row>
    <row r="765" spans="12:18" ht="15.75" customHeight="1" x14ac:dyDescent="0.25">
      <c r="L765" s="6"/>
      <c r="M765" s="6"/>
      <c r="N765" s="8"/>
      <c r="O765" s="8"/>
      <c r="P765" s="8"/>
      <c r="Q765" s="8"/>
      <c r="R765" s="8"/>
    </row>
    <row r="766" spans="12:18" ht="15.75" customHeight="1" x14ac:dyDescent="0.25">
      <c r="L766" s="6"/>
      <c r="M766" s="6"/>
      <c r="N766" s="8"/>
      <c r="O766" s="8"/>
      <c r="P766" s="8"/>
      <c r="Q766" s="8"/>
      <c r="R766" s="8"/>
    </row>
    <row r="767" spans="12:18" ht="15.75" customHeight="1" x14ac:dyDescent="0.25">
      <c r="L767" s="6"/>
      <c r="M767" s="6"/>
      <c r="N767" s="8"/>
      <c r="O767" s="8"/>
      <c r="P767" s="8"/>
      <c r="Q767" s="8"/>
      <c r="R767" s="8"/>
    </row>
    <row r="768" spans="12:18" ht="15.75" customHeight="1" x14ac:dyDescent="0.25">
      <c r="L768" s="6"/>
      <c r="M768" s="6"/>
      <c r="N768" s="8"/>
      <c r="O768" s="8"/>
      <c r="P768" s="8"/>
      <c r="Q768" s="8"/>
      <c r="R768" s="8"/>
    </row>
    <row r="769" spans="12:18" ht="15.75" customHeight="1" x14ac:dyDescent="0.25">
      <c r="L769" s="6"/>
      <c r="M769" s="6"/>
      <c r="N769" s="8"/>
      <c r="O769" s="8"/>
      <c r="P769" s="8"/>
      <c r="Q769" s="8"/>
      <c r="R769" s="8"/>
    </row>
    <row r="770" spans="12:18" ht="15.75" customHeight="1" x14ac:dyDescent="0.25">
      <c r="L770" s="6"/>
      <c r="M770" s="6"/>
      <c r="N770" s="8"/>
      <c r="O770" s="8"/>
      <c r="P770" s="8"/>
      <c r="Q770" s="8"/>
      <c r="R770" s="8"/>
    </row>
    <row r="771" spans="12:18" ht="15.75" customHeight="1" x14ac:dyDescent="0.25">
      <c r="L771" s="6"/>
      <c r="M771" s="6"/>
      <c r="N771" s="8"/>
      <c r="O771" s="8"/>
      <c r="P771" s="8"/>
      <c r="Q771" s="8"/>
      <c r="R771" s="8"/>
    </row>
    <row r="772" spans="12:18" ht="15.75" customHeight="1" x14ac:dyDescent="0.25">
      <c r="L772" s="6"/>
      <c r="M772" s="6"/>
      <c r="N772" s="8"/>
      <c r="O772" s="8"/>
      <c r="P772" s="8"/>
      <c r="Q772" s="8"/>
      <c r="R772" s="8"/>
    </row>
    <row r="773" spans="12:18" ht="15.75" customHeight="1" x14ac:dyDescent="0.25">
      <c r="L773" s="6"/>
      <c r="M773" s="6"/>
      <c r="N773" s="8"/>
      <c r="O773" s="8"/>
      <c r="P773" s="8"/>
      <c r="Q773" s="8"/>
      <c r="R773" s="8"/>
    </row>
    <row r="774" spans="12:18" ht="15.75" customHeight="1" x14ac:dyDescent="0.25">
      <c r="L774" s="6"/>
      <c r="M774" s="6"/>
      <c r="N774" s="8"/>
      <c r="O774" s="8"/>
      <c r="P774" s="8"/>
      <c r="Q774" s="8"/>
      <c r="R774" s="8"/>
    </row>
    <row r="775" spans="12:18" ht="15.75" customHeight="1" x14ac:dyDescent="0.25">
      <c r="L775" s="6"/>
      <c r="M775" s="6"/>
      <c r="N775" s="8"/>
      <c r="O775" s="8"/>
      <c r="P775" s="8"/>
      <c r="Q775" s="8"/>
      <c r="R775" s="8"/>
    </row>
    <row r="776" spans="12:18" ht="15.75" customHeight="1" x14ac:dyDescent="0.25">
      <c r="L776" s="6"/>
      <c r="M776" s="6"/>
      <c r="N776" s="8"/>
      <c r="O776" s="8"/>
      <c r="P776" s="8"/>
      <c r="Q776" s="8"/>
      <c r="R776" s="8"/>
    </row>
    <row r="777" spans="12:18" ht="15.75" customHeight="1" x14ac:dyDescent="0.25">
      <c r="L777" s="6"/>
      <c r="M777" s="6"/>
      <c r="N777" s="8"/>
      <c r="O777" s="8"/>
      <c r="P777" s="8"/>
      <c r="Q777" s="8"/>
      <c r="R777" s="8"/>
    </row>
    <row r="778" spans="12:18" ht="15.75" customHeight="1" x14ac:dyDescent="0.25">
      <c r="L778" s="6"/>
      <c r="M778" s="6"/>
      <c r="N778" s="8"/>
      <c r="O778" s="8"/>
      <c r="P778" s="8"/>
      <c r="Q778" s="8"/>
      <c r="R778" s="8"/>
    </row>
    <row r="779" spans="12:18" ht="15.75" customHeight="1" x14ac:dyDescent="0.25">
      <c r="L779" s="6"/>
      <c r="M779" s="6"/>
      <c r="N779" s="8"/>
      <c r="O779" s="8"/>
      <c r="P779" s="8"/>
      <c r="Q779" s="8"/>
      <c r="R779" s="8"/>
    </row>
    <row r="780" spans="12:18" ht="15.75" customHeight="1" x14ac:dyDescent="0.25">
      <c r="L780" s="6"/>
      <c r="M780" s="6"/>
      <c r="N780" s="8"/>
      <c r="O780" s="8"/>
      <c r="P780" s="8"/>
      <c r="Q780" s="8"/>
      <c r="R780" s="8"/>
    </row>
    <row r="781" spans="12:18" ht="15.75" customHeight="1" x14ac:dyDescent="0.25">
      <c r="L781" s="6"/>
      <c r="M781" s="6"/>
      <c r="N781" s="8"/>
      <c r="O781" s="8"/>
      <c r="P781" s="8"/>
      <c r="Q781" s="8"/>
      <c r="R781" s="8"/>
    </row>
    <row r="782" spans="12:18" ht="15.75" customHeight="1" x14ac:dyDescent="0.25">
      <c r="L782" s="6"/>
      <c r="M782" s="6"/>
      <c r="N782" s="8"/>
      <c r="O782" s="8"/>
      <c r="P782" s="8"/>
      <c r="Q782" s="8"/>
      <c r="R782" s="8"/>
    </row>
    <row r="783" spans="12:18" ht="15.75" customHeight="1" x14ac:dyDescent="0.25">
      <c r="L783" s="6"/>
      <c r="M783" s="6"/>
      <c r="N783" s="8"/>
      <c r="O783" s="8"/>
      <c r="P783" s="8"/>
      <c r="Q783" s="8"/>
      <c r="R783" s="8"/>
    </row>
    <row r="784" spans="12:18" ht="15.75" customHeight="1" x14ac:dyDescent="0.25">
      <c r="L784" s="6"/>
      <c r="M784" s="6"/>
      <c r="N784" s="8"/>
      <c r="O784" s="8"/>
      <c r="P784" s="8"/>
      <c r="Q784" s="8"/>
      <c r="R784" s="8"/>
    </row>
    <row r="785" spans="12:18" ht="15.75" customHeight="1" x14ac:dyDescent="0.25">
      <c r="L785" s="6"/>
      <c r="M785" s="6"/>
      <c r="N785" s="8"/>
      <c r="O785" s="8"/>
      <c r="P785" s="8"/>
      <c r="Q785" s="8"/>
      <c r="R785" s="8"/>
    </row>
    <row r="786" spans="12:18" ht="15.75" customHeight="1" x14ac:dyDescent="0.25">
      <c r="L786" s="6"/>
      <c r="M786" s="6"/>
      <c r="N786" s="8"/>
      <c r="O786" s="8"/>
      <c r="P786" s="8"/>
      <c r="Q786" s="8"/>
      <c r="R786" s="8"/>
    </row>
    <row r="787" spans="12:18" ht="15.75" customHeight="1" x14ac:dyDescent="0.25">
      <c r="L787" s="6"/>
      <c r="M787" s="6"/>
      <c r="N787" s="8"/>
      <c r="O787" s="8"/>
      <c r="P787" s="8"/>
      <c r="Q787" s="8"/>
      <c r="R787" s="8"/>
    </row>
    <row r="788" spans="12:18" ht="15.75" customHeight="1" x14ac:dyDescent="0.25">
      <c r="L788" s="6"/>
      <c r="M788" s="6"/>
      <c r="N788" s="8"/>
      <c r="O788" s="8"/>
      <c r="P788" s="8"/>
      <c r="Q788" s="8"/>
      <c r="R788" s="8"/>
    </row>
    <row r="789" spans="12:18" ht="15.75" customHeight="1" x14ac:dyDescent="0.25">
      <c r="L789" s="6"/>
      <c r="M789" s="6"/>
      <c r="N789" s="8"/>
      <c r="O789" s="8"/>
      <c r="P789" s="8"/>
      <c r="Q789" s="8"/>
      <c r="R789" s="8"/>
    </row>
    <row r="790" spans="12:18" ht="15.75" customHeight="1" x14ac:dyDescent="0.25">
      <c r="L790" s="6"/>
      <c r="M790" s="6"/>
      <c r="N790" s="8"/>
      <c r="O790" s="8"/>
      <c r="P790" s="8"/>
      <c r="Q790" s="8"/>
      <c r="R790" s="8"/>
    </row>
    <row r="791" spans="12:18" ht="15.75" customHeight="1" x14ac:dyDescent="0.25">
      <c r="L791" s="6"/>
      <c r="M791" s="6"/>
      <c r="N791" s="8"/>
      <c r="O791" s="8"/>
      <c r="P791" s="8"/>
      <c r="Q791" s="8"/>
      <c r="R791" s="8"/>
    </row>
    <row r="792" spans="12:18" ht="15.75" customHeight="1" x14ac:dyDescent="0.25">
      <c r="L792" s="6"/>
      <c r="M792" s="6"/>
      <c r="N792" s="8"/>
      <c r="O792" s="8"/>
      <c r="P792" s="8"/>
      <c r="Q792" s="8"/>
      <c r="R792" s="8"/>
    </row>
    <row r="793" spans="12:18" ht="15.75" customHeight="1" x14ac:dyDescent="0.25">
      <c r="L793" s="6"/>
      <c r="M793" s="6"/>
      <c r="N793" s="8"/>
      <c r="O793" s="8"/>
      <c r="P793" s="8"/>
      <c r="Q793" s="8"/>
      <c r="R793" s="8"/>
    </row>
    <row r="794" spans="12:18" ht="15.75" customHeight="1" x14ac:dyDescent="0.25">
      <c r="L794" s="6"/>
      <c r="M794" s="6"/>
      <c r="N794" s="8"/>
      <c r="O794" s="8"/>
      <c r="P794" s="8"/>
      <c r="Q794" s="8"/>
      <c r="R794" s="8"/>
    </row>
    <row r="795" spans="12:18" ht="15.75" customHeight="1" x14ac:dyDescent="0.25">
      <c r="L795" s="6"/>
      <c r="M795" s="6"/>
      <c r="N795" s="8"/>
      <c r="O795" s="8"/>
      <c r="P795" s="8"/>
      <c r="Q795" s="8"/>
      <c r="R795" s="8"/>
    </row>
    <row r="796" spans="12:18" ht="15.75" customHeight="1" x14ac:dyDescent="0.25">
      <c r="L796" s="6"/>
      <c r="M796" s="6"/>
      <c r="N796" s="8"/>
      <c r="O796" s="8"/>
      <c r="P796" s="8"/>
      <c r="Q796" s="8"/>
      <c r="R796" s="8"/>
    </row>
    <row r="797" spans="12:18" ht="15.75" customHeight="1" x14ac:dyDescent="0.25">
      <c r="L797" s="6"/>
      <c r="M797" s="6"/>
      <c r="N797" s="8"/>
      <c r="O797" s="8"/>
      <c r="P797" s="8"/>
      <c r="Q797" s="8"/>
      <c r="R797" s="8"/>
    </row>
    <row r="798" spans="12:18" ht="15.75" customHeight="1" x14ac:dyDescent="0.25">
      <c r="L798" s="6"/>
      <c r="M798" s="6"/>
      <c r="N798" s="8"/>
      <c r="O798" s="8"/>
      <c r="P798" s="8"/>
      <c r="Q798" s="8"/>
      <c r="R798" s="8"/>
    </row>
    <row r="799" spans="12:18" ht="15.75" customHeight="1" x14ac:dyDescent="0.25">
      <c r="L799" s="6"/>
      <c r="M799" s="6"/>
      <c r="N799" s="8"/>
      <c r="O799" s="8"/>
      <c r="P799" s="8"/>
      <c r="Q799" s="8"/>
      <c r="R799" s="8"/>
    </row>
    <row r="800" spans="12:18" ht="15.75" customHeight="1" x14ac:dyDescent="0.25">
      <c r="L800" s="6"/>
      <c r="M800" s="6"/>
      <c r="N800" s="8"/>
      <c r="O800" s="8"/>
      <c r="P800" s="8"/>
      <c r="Q800" s="8"/>
      <c r="R800" s="8"/>
    </row>
    <row r="801" spans="12:18" ht="15.75" customHeight="1" x14ac:dyDescent="0.25">
      <c r="L801" s="6"/>
      <c r="M801" s="6"/>
      <c r="N801" s="8"/>
      <c r="O801" s="8"/>
      <c r="P801" s="8"/>
      <c r="Q801" s="8"/>
      <c r="R801" s="8"/>
    </row>
    <row r="802" spans="12:18" ht="15.75" customHeight="1" x14ac:dyDescent="0.25">
      <c r="L802" s="6"/>
      <c r="M802" s="6"/>
      <c r="N802" s="8"/>
      <c r="O802" s="8"/>
      <c r="P802" s="8"/>
      <c r="Q802" s="8"/>
      <c r="R802" s="8"/>
    </row>
    <row r="803" spans="12:18" ht="15.75" customHeight="1" x14ac:dyDescent="0.25">
      <c r="L803" s="6"/>
      <c r="M803" s="6"/>
      <c r="N803" s="8"/>
      <c r="O803" s="8"/>
      <c r="P803" s="8"/>
      <c r="Q803" s="8"/>
      <c r="R803" s="8"/>
    </row>
    <row r="804" spans="12:18" ht="15.75" customHeight="1" x14ac:dyDescent="0.25">
      <c r="L804" s="6"/>
      <c r="M804" s="6"/>
      <c r="N804" s="8"/>
      <c r="O804" s="8"/>
      <c r="P804" s="8"/>
      <c r="Q804" s="8"/>
      <c r="R804" s="8"/>
    </row>
    <row r="805" spans="12:18" ht="15.75" customHeight="1" x14ac:dyDescent="0.25">
      <c r="L805" s="6"/>
      <c r="M805" s="6"/>
      <c r="N805" s="8"/>
      <c r="O805" s="8"/>
      <c r="P805" s="8"/>
      <c r="Q805" s="8"/>
      <c r="R805" s="8"/>
    </row>
    <row r="806" spans="12:18" ht="15.75" customHeight="1" x14ac:dyDescent="0.25">
      <c r="L806" s="6"/>
      <c r="M806" s="6"/>
      <c r="N806" s="8"/>
      <c r="O806" s="8"/>
      <c r="P806" s="8"/>
      <c r="Q806" s="8"/>
      <c r="R806" s="8"/>
    </row>
    <row r="807" spans="12:18" ht="15.75" customHeight="1" x14ac:dyDescent="0.25">
      <c r="L807" s="6"/>
      <c r="M807" s="6"/>
      <c r="N807" s="8"/>
      <c r="O807" s="8"/>
      <c r="P807" s="8"/>
      <c r="Q807" s="8"/>
      <c r="R807" s="8"/>
    </row>
    <row r="808" spans="12:18" ht="15.75" customHeight="1" x14ac:dyDescent="0.25">
      <c r="L808" s="6"/>
      <c r="M808" s="6"/>
      <c r="N808" s="8"/>
      <c r="O808" s="8"/>
      <c r="P808" s="8"/>
      <c r="Q808" s="8"/>
      <c r="R808" s="8"/>
    </row>
    <row r="809" spans="12:18" ht="15.75" customHeight="1" x14ac:dyDescent="0.25">
      <c r="L809" s="6"/>
      <c r="M809" s="6"/>
      <c r="N809" s="8"/>
      <c r="O809" s="8"/>
      <c r="P809" s="8"/>
      <c r="Q809" s="8"/>
      <c r="R809" s="8"/>
    </row>
    <row r="810" spans="12:18" ht="15.75" customHeight="1" x14ac:dyDescent="0.25">
      <c r="L810" s="6"/>
      <c r="M810" s="6"/>
      <c r="N810" s="8"/>
      <c r="O810" s="8"/>
      <c r="P810" s="8"/>
      <c r="Q810" s="8"/>
      <c r="R810" s="8"/>
    </row>
    <row r="811" spans="12:18" ht="15.75" customHeight="1" x14ac:dyDescent="0.25">
      <c r="L811" s="6"/>
      <c r="M811" s="6"/>
      <c r="N811" s="8"/>
      <c r="O811" s="8"/>
      <c r="P811" s="8"/>
      <c r="Q811" s="8"/>
      <c r="R811" s="8"/>
    </row>
    <row r="812" spans="12:18" ht="15.75" customHeight="1" x14ac:dyDescent="0.25">
      <c r="L812" s="6"/>
      <c r="M812" s="6"/>
      <c r="N812" s="8"/>
      <c r="O812" s="8"/>
      <c r="P812" s="8"/>
      <c r="Q812" s="8"/>
      <c r="R812" s="8"/>
    </row>
    <row r="813" spans="12:18" ht="15.75" customHeight="1" x14ac:dyDescent="0.25">
      <c r="L813" s="6"/>
      <c r="M813" s="6"/>
      <c r="N813" s="8"/>
      <c r="O813" s="8"/>
      <c r="P813" s="8"/>
      <c r="Q813" s="8"/>
      <c r="R813" s="8"/>
    </row>
    <row r="814" spans="12:18" ht="15.75" customHeight="1" x14ac:dyDescent="0.25">
      <c r="L814" s="6"/>
      <c r="M814" s="6"/>
      <c r="N814" s="8"/>
      <c r="O814" s="8"/>
      <c r="P814" s="8"/>
      <c r="Q814" s="8"/>
      <c r="R814" s="8"/>
    </row>
    <row r="815" spans="12:18" ht="15.75" customHeight="1" x14ac:dyDescent="0.25">
      <c r="L815" s="6"/>
      <c r="M815" s="6"/>
      <c r="N815" s="8"/>
      <c r="O815" s="8"/>
      <c r="P815" s="8"/>
      <c r="Q815" s="8"/>
      <c r="R815" s="8"/>
    </row>
    <row r="816" spans="12:18" ht="15.75" customHeight="1" x14ac:dyDescent="0.25">
      <c r="L816" s="6"/>
      <c r="M816" s="6"/>
      <c r="N816" s="8"/>
      <c r="O816" s="8"/>
      <c r="P816" s="8"/>
      <c r="Q816" s="8"/>
      <c r="R816" s="8"/>
    </row>
    <row r="817" spans="12:18" ht="15.75" customHeight="1" x14ac:dyDescent="0.25">
      <c r="L817" s="6"/>
      <c r="M817" s="6"/>
      <c r="N817" s="8"/>
      <c r="O817" s="8"/>
      <c r="P817" s="8"/>
      <c r="Q817" s="8"/>
      <c r="R817" s="8"/>
    </row>
    <row r="818" spans="12:18" ht="15.75" customHeight="1" x14ac:dyDescent="0.25">
      <c r="L818" s="6"/>
      <c r="M818" s="6"/>
      <c r="N818" s="8"/>
      <c r="O818" s="8"/>
      <c r="P818" s="8"/>
      <c r="Q818" s="8"/>
      <c r="R818" s="8"/>
    </row>
    <row r="819" spans="12:18" ht="15.75" customHeight="1" x14ac:dyDescent="0.25">
      <c r="L819" s="6"/>
      <c r="M819" s="6"/>
      <c r="N819" s="8"/>
      <c r="O819" s="8"/>
      <c r="P819" s="8"/>
      <c r="Q819" s="8"/>
      <c r="R819" s="8"/>
    </row>
    <row r="820" spans="12:18" ht="15.75" customHeight="1" x14ac:dyDescent="0.25">
      <c r="L820" s="6"/>
      <c r="M820" s="6"/>
      <c r="N820" s="8"/>
      <c r="O820" s="8"/>
      <c r="P820" s="8"/>
      <c r="Q820" s="8"/>
      <c r="R820" s="8"/>
    </row>
    <row r="821" spans="12:18" ht="15.75" customHeight="1" x14ac:dyDescent="0.25">
      <c r="L821" s="6"/>
      <c r="M821" s="6"/>
      <c r="N821" s="8"/>
      <c r="O821" s="8"/>
      <c r="P821" s="8"/>
      <c r="Q821" s="8"/>
      <c r="R821" s="8"/>
    </row>
    <row r="822" spans="12:18" ht="15.75" customHeight="1" x14ac:dyDescent="0.25">
      <c r="L822" s="6"/>
      <c r="M822" s="6"/>
      <c r="N822" s="8"/>
      <c r="O822" s="8"/>
      <c r="P822" s="8"/>
      <c r="Q822" s="8"/>
      <c r="R822" s="8"/>
    </row>
    <row r="823" spans="12:18" ht="15.75" customHeight="1" x14ac:dyDescent="0.25">
      <c r="L823" s="6"/>
      <c r="M823" s="6"/>
      <c r="N823" s="8"/>
      <c r="O823" s="8"/>
      <c r="P823" s="8"/>
      <c r="Q823" s="8"/>
      <c r="R823" s="8"/>
    </row>
    <row r="824" spans="12:18" ht="15.75" customHeight="1" x14ac:dyDescent="0.25">
      <c r="L824" s="6"/>
      <c r="M824" s="6"/>
      <c r="N824" s="8"/>
      <c r="O824" s="8"/>
      <c r="P824" s="8"/>
      <c r="Q824" s="8"/>
      <c r="R824" s="8"/>
    </row>
    <row r="825" spans="12:18" ht="15.75" customHeight="1" x14ac:dyDescent="0.25">
      <c r="L825" s="6"/>
      <c r="M825" s="6"/>
      <c r="N825" s="8"/>
      <c r="O825" s="8"/>
      <c r="P825" s="8"/>
      <c r="Q825" s="8"/>
      <c r="R825" s="8"/>
    </row>
    <row r="826" spans="12:18" ht="15.75" customHeight="1" x14ac:dyDescent="0.25">
      <c r="L826" s="6"/>
      <c r="M826" s="6"/>
      <c r="N826" s="8"/>
      <c r="O826" s="8"/>
      <c r="P826" s="8"/>
      <c r="Q826" s="8"/>
      <c r="R826" s="8"/>
    </row>
    <row r="827" spans="12:18" ht="15.75" customHeight="1" x14ac:dyDescent="0.25">
      <c r="L827" s="6"/>
      <c r="M827" s="6"/>
      <c r="N827" s="8"/>
      <c r="O827" s="8"/>
      <c r="P827" s="8"/>
      <c r="Q827" s="8"/>
      <c r="R827" s="8"/>
    </row>
    <row r="828" spans="12:18" ht="15.75" customHeight="1" x14ac:dyDescent="0.25">
      <c r="L828" s="6"/>
      <c r="M828" s="6"/>
      <c r="N828" s="8"/>
      <c r="O828" s="8"/>
      <c r="P828" s="8"/>
      <c r="Q828" s="8"/>
      <c r="R828" s="8"/>
    </row>
    <row r="829" spans="12:18" ht="15.75" customHeight="1" x14ac:dyDescent="0.25">
      <c r="L829" s="6"/>
      <c r="M829" s="6"/>
      <c r="N829" s="8"/>
      <c r="O829" s="8"/>
      <c r="P829" s="8"/>
      <c r="Q829" s="8"/>
      <c r="R829" s="8"/>
    </row>
    <row r="830" spans="12:18" ht="15.75" customHeight="1" x14ac:dyDescent="0.25">
      <c r="L830" s="6"/>
      <c r="M830" s="6"/>
      <c r="N830" s="8"/>
      <c r="O830" s="8"/>
      <c r="P830" s="8"/>
      <c r="Q830" s="8"/>
      <c r="R830" s="8"/>
    </row>
    <row r="831" spans="12:18" ht="15.75" customHeight="1" x14ac:dyDescent="0.25">
      <c r="L831" s="6"/>
      <c r="M831" s="6"/>
      <c r="N831" s="8"/>
      <c r="O831" s="8"/>
      <c r="P831" s="8"/>
      <c r="Q831" s="8"/>
      <c r="R831" s="8"/>
    </row>
    <row r="832" spans="12:18" ht="15.75" customHeight="1" x14ac:dyDescent="0.25">
      <c r="L832" s="6"/>
      <c r="M832" s="6"/>
      <c r="N832" s="8"/>
      <c r="O832" s="8"/>
      <c r="P832" s="8"/>
      <c r="Q832" s="8"/>
      <c r="R832" s="8"/>
    </row>
    <row r="833" spans="12:18" ht="15.75" customHeight="1" x14ac:dyDescent="0.25">
      <c r="L833" s="6"/>
      <c r="M833" s="6"/>
      <c r="N833" s="8"/>
      <c r="O833" s="8"/>
      <c r="P833" s="8"/>
      <c r="Q833" s="8"/>
      <c r="R833" s="8"/>
    </row>
    <row r="834" spans="12:18" ht="15.75" customHeight="1" x14ac:dyDescent="0.25">
      <c r="L834" s="6"/>
      <c r="M834" s="6"/>
      <c r="N834" s="8"/>
      <c r="O834" s="8"/>
      <c r="P834" s="8"/>
      <c r="Q834" s="8"/>
      <c r="R834" s="8"/>
    </row>
    <row r="835" spans="12:18" ht="15.75" customHeight="1" x14ac:dyDescent="0.25">
      <c r="L835" s="6"/>
      <c r="M835" s="6"/>
      <c r="N835" s="8"/>
      <c r="O835" s="8"/>
      <c r="P835" s="8"/>
      <c r="Q835" s="8"/>
      <c r="R835" s="8"/>
    </row>
    <row r="836" spans="12:18" ht="15.75" customHeight="1" x14ac:dyDescent="0.25">
      <c r="L836" s="6"/>
      <c r="M836" s="6"/>
      <c r="N836" s="8"/>
      <c r="O836" s="8"/>
      <c r="P836" s="8"/>
      <c r="Q836" s="8"/>
      <c r="R836" s="8"/>
    </row>
    <row r="837" spans="12:18" ht="15.75" customHeight="1" x14ac:dyDescent="0.25">
      <c r="L837" s="6"/>
      <c r="M837" s="6"/>
      <c r="N837" s="8"/>
      <c r="O837" s="8"/>
      <c r="P837" s="8"/>
      <c r="Q837" s="8"/>
      <c r="R837" s="8"/>
    </row>
    <row r="838" spans="12:18" ht="15.75" customHeight="1" x14ac:dyDescent="0.25">
      <c r="L838" s="6"/>
      <c r="M838" s="6"/>
      <c r="N838" s="8"/>
      <c r="O838" s="8"/>
      <c r="P838" s="8"/>
      <c r="Q838" s="8"/>
      <c r="R838" s="8"/>
    </row>
    <row r="839" spans="12:18" ht="15.75" customHeight="1" x14ac:dyDescent="0.25">
      <c r="L839" s="6"/>
      <c r="M839" s="6"/>
      <c r="N839" s="8"/>
      <c r="O839" s="8"/>
      <c r="P839" s="8"/>
      <c r="Q839" s="8"/>
      <c r="R839" s="8"/>
    </row>
    <row r="840" spans="12:18" ht="15.75" customHeight="1" x14ac:dyDescent="0.25">
      <c r="L840" s="6"/>
      <c r="M840" s="6"/>
      <c r="N840" s="8"/>
      <c r="O840" s="8"/>
      <c r="P840" s="8"/>
      <c r="Q840" s="8"/>
      <c r="R840" s="8"/>
    </row>
    <row r="841" spans="12:18" ht="15.75" customHeight="1" x14ac:dyDescent="0.25">
      <c r="L841" s="6"/>
      <c r="M841" s="6"/>
      <c r="N841" s="8"/>
      <c r="O841" s="8"/>
      <c r="P841" s="8"/>
      <c r="Q841" s="8"/>
      <c r="R841" s="8"/>
    </row>
    <row r="842" spans="12:18" ht="15.75" customHeight="1" x14ac:dyDescent="0.25">
      <c r="L842" s="6"/>
      <c r="M842" s="6"/>
      <c r="N842" s="8"/>
      <c r="O842" s="8"/>
      <c r="P842" s="8"/>
      <c r="Q842" s="8"/>
      <c r="R842" s="8"/>
    </row>
    <row r="843" spans="12:18" ht="15.75" customHeight="1" x14ac:dyDescent="0.25">
      <c r="L843" s="6"/>
      <c r="M843" s="6"/>
      <c r="N843" s="8"/>
      <c r="O843" s="8"/>
      <c r="P843" s="8"/>
      <c r="Q843" s="8"/>
      <c r="R843" s="8"/>
    </row>
    <row r="844" spans="12:18" ht="15.75" customHeight="1" x14ac:dyDescent="0.25">
      <c r="L844" s="6"/>
      <c r="M844" s="6"/>
      <c r="N844" s="8"/>
      <c r="O844" s="8"/>
      <c r="P844" s="8"/>
      <c r="Q844" s="8"/>
      <c r="R844" s="8"/>
    </row>
    <row r="845" spans="12:18" ht="15.75" customHeight="1" x14ac:dyDescent="0.25">
      <c r="L845" s="6"/>
      <c r="M845" s="6"/>
      <c r="N845" s="8"/>
      <c r="O845" s="8"/>
      <c r="P845" s="8"/>
      <c r="Q845" s="8"/>
      <c r="R845" s="8"/>
    </row>
    <row r="846" spans="12:18" ht="15.75" customHeight="1" x14ac:dyDescent="0.25">
      <c r="L846" s="6"/>
      <c r="M846" s="6"/>
      <c r="N846" s="8"/>
      <c r="O846" s="8"/>
      <c r="P846" s="8"/>
      <c r="Q846" s="8"/>
      <c r="R846" s="8"/>
    </row>
    <row r="847" spans="12:18" ht="15.75" customHeight="1" x14ac:dyDescent="0.25">
      <c r="L847" s="6"/>
      <c r="M847" s="6"/>
      <c r="N847" s="8"/>
      <c r="O847" s="8"/>
      <c r="P847" s="8"/>
      <c r="Q847" s="8"/>
      <c r="R847" s="8"/>
    </row>
    <row r="848" spans="12:18" ht="15.75" customHeight="1" x14ac:dyDescent="0.25">
      <c r="L848" s="6"/>
      <c r="M848" s="6"/>
      <c r="N848" s="8"/>
      <c r="O848" s="8"/>
      <c r="P848" s="8"/>
      <c r="Q848" s="8"/>
      <c r="R848" s="8"/>
    </row>
    <row r="849" spans="12:18" ht="15.75" customHeight="1" x14ac:dyDescent="0.25">
      <c r="L849" s="6"/>
      <c r="M849" s="6"/>
      <c r="N849" s="8"/>
      <c r="O849" s="8"/>
      <c r="P849" s="8"/>
      <c r="Q849" s="8"/>
      <c r="R849" s="8"/>
    </row>
    <row r="850" spans="12:18" ht="15.75" customHeight="1" x14ac:dyDescent="0.25">
      <c r="L850" s="6"/>
      <c r="M850" s="6"/>
      <c r="N850" s="8"/>
      <c r="O850" s="8"/>
      <c r="P850" s="8"/>
      <c r="Q850" s="8"/>
      <c r="R850" s="8"/>
    </row>
    <row r="851" spans="12:18" ht="15.75" customHeight="1" x14ac:dyDescent="0.25">
      <c r="L851" s="6"/>
      <c r="M851" s="6"/>
      <c r="N851" s="8"/>
      <c r="O851" s="8"/>
      <c r="P851" s="8"/>
      <c r="Q851" s="8"/>
      <c r="R851" s="8"/>
    </row>
    <row r="852" spans="12:18" ht="15.75" customHeight="1" x14ac:dyDescent="0.25">
      <c r="L852" s="6"/>
      <c r="M852" s="6"/>
      <c r="N852" s="8"/>
      <c r="O852" s="8"/>
      <c r="P852" s="8"/>
      <c r="Q852" s="8"/>
      <c r="R852" s="8"/>
    </row>
    <row r="853" spans="12:18" ht="15.75" customHeight="1" x14ac:dyDescent="0.25">
      <c r="L853" s="6"/>
      <c r="M853" s="6"/>
      <c r="N853" s="8"/>
      <c r="O853" s="8"/>
      <c r="P853" s="8"/>
      <c r="Q853" s="8"/>
      <c r="R853" s="8"/>
    </row>
    <row r="854" spans="12:18" ht="15.75" customHeight="1" x14ac:dyDescent="0.25">
      <c r="L854" s="6"/>
      <c r="M854" s="6"/>
      <c r="N854" s="8"/>
      <c r="O854" s="8"/>
      <c r="P854" s="8"/>
      <c r="Q854" s="8"/>
      <c r="R854" s="8"/>
    </row>
    <row r="855" spans="12:18" ht="15.75" customHeight="1" x14ac:dyDescent="0.25">
      <c r="L855" s="6"/>
      <c r="M855" s="6"/>
      <c r="N855" s="8"/>
      <c r="O855" s="8"/>
      <c r="P855" s="8"/>
      <c r="Q855" s="8"/>
      <c r="R855" s="8"/>
    </row>
    <row r="856" spans="12:18" ht="15.75" customHeight="1" x14ac:dyDescent="0.25">
      <c r="L856" s="6"/>
      <c r="M856" s="6"/>
      <c r="N856" s="8"/>
      <c r="O856" s="8"/>
      <c r="P856" s="8"/>
      <c r="Q856" s="8"/>
      <c r="R856" s="8"/>
    </row>
    <row r="857" spans="12:18" ht="15.75" customHeight="1" x14ac:dyDescent="0.25">
      <c r="L857" s="6"/>
      <c r="M857" s="6"/>
      <c r="N857" s="8"/>
      <c r="O857" s="8"/>
      <c r="P857" s="8"/>
      <c r="Q857" s="8"/>
      <c r="R857" s="8"/>
    </row>
    <row r="858" spans="12:18" ht="15.75" customHeight="1" x14ac:dyDescent="0.25">
      <c r="L858" s="6"/>
      <c r="M858" s="6"/>
      <c r="N858" s="8"/>
      <c r="O858" s="8"/>
      <c r="P858" s="8"/>
      <c r="Q858" s="8"/>
      <c r="R858" s="8"/>
    </row>
    <row r="859" spans="12:18" ht="15.75" customHeight="1" x14ac:dyDescent="0.25">
      <c r="L859" s="6"/>
      <c r="M859" s="6"/>
      <c r="N859" s="8"/>
      <c r="O859" s="8"/>
      <c r="P859" s="8"/>
      <c r="Q859" s="8"/>
      <c r="R859" s="8"/>
    </row>
    <row r="860" spans="12:18" ht="15.75" customHeight="1" x14ac:dyDescent="0.25">
      <c r="L860" s="6"/>
      <c r="M860" s="6"/>
      <c r="N860" s="8"/>
      <c r="O860" s="8"/>
      <c r="P860" s="8"/>
      <c r="Q860" s="8"/>
      <c r="R860" s="8"/>
    </row>
    <row r="861" spans="12:18" ht="15.75" customHeight="1" x14ac:dyDescent="0.25">
      <c r="L861" s="6"/>
      <c r="M861" s="6"/>
      <c r="N861" s="8"/>
      <c r="O861" s="8"/>
      <c r="P861" s="8"/>
      <c r="Q861" s="8"/>
      <c r="R861" s="8"/>
    </row>
    <row r="862" spans="12:18" ht="15.75" customHeight="1" x14ac:dyDescent="0.25">
      <c r="L862" s="6"/>
      <c r="M862" s="6"/>
      <c r="N862" s="8"/>
      <c r="O862" s="8"/>
      <c r="P862" s="8"/>
      <c r="Q862" s="8"/>
      <c r="R862" s="8"/>
    </row>
    <row r="863" spans="12:18" ht="15.75" customHeight="1" x14ac:dyDescent="0.25">
      <c r="L863" s="6"/>
      <c r="M863" s="6"/>
      <c r="N863" s="8"/>
      <c r="O863" s="8"/>
      <c r="P863" s="8"/>
      <c r="Q863" s="8"/>
      <c r="R863" s="8"/>
    </row>
    <row r="864" spans="12:18" ht="15.75" customHeight="1" x14ac:dyDescent="0.25">
      <c r="L864" s="6"/>
      <c r="M864" s="6"/>
      <c r="N864" s="8"/>
      <c r="O864" s="8"/>
      <c r="P864" s="8"/>
      <c r="Q864" s="8"/>
      <c r="R864" s="8"/>
    </row>
    <row r="865" spans="12:18" ht="15.75" customHeight="1" x14ac:dyDescent="0.25">
      <c r="L865" s="6"/>
      <c r="M865" s="6"/>
      <c r="N865" s="8"/>
      <c r="O865" s="8"/>
      <c r="P865" s="8"/>
      <c r="Q865" s="8"/>
      <c r="R865" s="8"/>
    </row>
    <row r="866" spans="12:18" ht="15.75" customHeight="1" x14ac:dyDescent="0.25">
      <c r="L866" s="6"/>
      <c r="M866" s="6"/>
      <c r="N866" s="8"/>
      <c r="O866" s="8"/>
      <c r="P866" s="8"/>
      <c r="Q866" s="8"/>
      <c r="R866" s="8"/>
    </row>
    <row r="867" spans="12:18" ht="15.75" customHeight="1" x14ac:dyDescent="0.25">
      <c r="L867" s="6"/>
      <c r="M867" s="6"/>
      <c r="N867" s="8"/>
      <c r="O867" s="8"/>
      <c r="P867" s="8"/>
      <c r="Q867" s="8"/>
      <c r="R867" s="8"/>
    </row>
    <row r="868" spans="12:18" ht="15.75" customHeight="1" x14ac:dyDescent="0.25">
      <c r="L868" s="6"/>
      <c r="M868" s="6"/>
      <c r="N868" s="8"/>
      <c r="O868" s="8"/>
      <c r="P868" s="8"/>
      <c r="Q868" s="8"/>
      <c r="R868" s="8"/>
    </row>
    <row r="869" spans="12:18" ht="15.75" customHeight="1" x14ac:dyDescent="0.25">
      <c r="L869" s="6"/>
      <c r="M869" s="6"/>
      <c r="N869" s="8"/>
      <c r="O869" s="8"/>
      <c r="P869" s="8"/>
      <c r="Q869" s="8"/>
      <c r="R869" s="8"/>
    </row>
    <row r="870" spans="12:18" ht="15.75" customHeight="1" x14ac:dyDescent="0.25">
      <c r="L870" s="6"/>
      <c r="M870" s="6"/>
      <c r="N870" s="8"/>
      <c r="O870" s="8"/>
      <c r="P870" s="8"/>
      <c r="Q870" s="8"/>
      <c r="R870" s="8"/>
    </row>
    <row r="871" spans="12:18" ht="15.75" customHeight="1" x14ac:dyDescent="0.25">
      <c r="L871" s="6"/>
      <c r="M871" s="6"/>
      <c r="N871" s="8"/>
      <c r="O871" s="8"/>
      <c r="P871" s="8"/>
      <c r="Q871" s="8"/>
      <c r="R871" s="8"/>
    </row>
    <row r="872" spans="12:18" ht="15.75" customHeight="1" x14ac:dyDescent="0.25">
      <c r="L872" s="6"/>
      <c r="M872" s="6"/>
      <c r="N872" s="8"/>
      <c r="O872" s="8"/>
      <c r="P872" s="8"/>
      <c r="Q872" s="8"/>
      <c r="R872" s="8"/>
    </row>
    <row r="873" spans="12:18" ht="15.75" customHeight="1" x14ac:dyDescent="0.25">
      <c r="L873" s="6"/>
      <c r="M873" s="6"/>
      <c r="N873" s="8"/>
      <c r="O873" s="8"/>
      <c r="P873" s="8"/>
      <c r="Q873" s="8"/>
      <c r="R873" s="8"/>
    </row>
    <row r="874" spans="12:18" ht="15.75" customHeight="1" x14ac:dyDescent="0.25">
      <c r="L874" s="6"/>
      <c r="M874" s="6"/>
      <c r="N874" s="8"/>
      <c r="O874" s="8"/>
      <c r="P874" s="8"/>
      <c r="Q874" s="8"/>
      <c r="R874" s="8"/>
    </row>
    <row r="875" spans="12:18" ht="15.75" customHeight="1" x14ac:dyDescent="0.25">
      <c r="L875" s="6"/>
      <c r="M875" s="6"/>
      <c r="N875" s="8"/>
      <c r="O875" s="8"/>
      <c r="P875" s="8"/>
      <c r="Q875" s="8"/>
      <c r="R875" s="8"/>
    </row>
    <row r="876" spans="12:18" ht="15.75" customHeight="1" x14ac:dyDescent="0.25">
      <c r="L876" s="6"/>
      <c r="M876" s="6"/>
      <c r="N876" s="8"/>
      <c r="O876" s="8"/>
      <c r="P876" s="8"/>
      <c r="Q876" s="8"/>
      <c r="R876" s="8"/>
    </row>
    <row r="877" spans="12:18" ht="15.75" customHeight="1" x14ac:dyDescent="0.25">
      <c r="L877" s="6"/>
      <c r="M877" s="6"/>
      <c r="N877" s="8"/>
      <c r="O877" s="8"/>
      <c r="P877" s="8"/>
      <c r="Q877" s="8"/>
      <c r="R877" s="8"/>
    </row>
    <row r="878" spans="12:18" ht="15.75" customHeight="1" x14ac:dyDescent="0.25">
      <c r="L878" s="6"/>
      <c r="M878" s="6"/>
      <c r="N878" s="8"/>
      <c r="O878" s="8"/>
      <c r="P878" s="8"/>
      <c r="Q878" s="8"/>
      <c r="R878" s="8"/>
    </row>
    <row r="879" spans="12:18" ht="15.75" customHeight="1" x14ac:dyDescent="0.25">
      <c r="L879" s="6"/>
      <c r="M879" s="6"/>
      <c r="N879" s="8"/>
      <c r="O879" s="8"/>
      <c r="P879" s="8"/>
      <c r="Q879" s="8"/>
      <c r="R879" s="8"/>
    </row>
    <row r="880" spans="12:18" ht="15.75" customHeight="1" x14ac:dyDescent="0.25">
      <c r="L880" s="6"/>
      <c r="M880" s="6"/>
      <c r="N880" s="8"/>
      <c r="O880" s="8"/>
      <c r="P880" s="8"/>
      <c r="Q880" s="8"/>
      <c r="R880" s="8"/>
    </row>
    <row r="881" spans="12:18" ht="15.75" customHeight="1" x14ac:dyDescent="0.25">
      <c r="L881" s="6"/>
      <c r="M881" s="6"/>
      <c r="N881" s="8"/>
      <c r="O881" s="8"/>
      <c r="P881" s="8"/>
      <c r="Q881" s="8"/>
      <c r="R881" s="8"/>
    </row>
    <row r="882" spans="12:18" ht="15.75" customHeight="1" x14ac:dyDescent="0.25">
      <c r="L882" s="6"/>
      <c r="M882" s="6"/>
      <c r="N882" s="8"/>
      <c r="O882" s="8"/>
      <c r="P882" s="8"/>
      <c r="Q882" s="8"/>
      <c r="R882" s="8"/>
    </row>
    <row r="883" spans="12:18" ht="15.75" customHeight="1" x14ac:dyDescent="0.25">
      <c r="L883" s="6"/>
      <c r="M883" s="6"/>
      <c r="N883" s="8"/>
      <c r="O883" s="8"/>
      <c r="P883" s="8"/>
      <c r="Q883" s="8"/>
      <c r="R883" s="8"/>
    </row>
    <row r="884" spans="12:18" ht="15.75" customHeight="1" x14ac:dyDescent="0.25">
      <c r="L884" s="6"/>
      <c r="M884" s="6"/>
      <c r="N884" s="8"/>
      <c r="O884" s="8"/>
      <c r="P884" s="8"/>
      <c r="Q884" s="8"/>
      <c r="R884" s="8"/>
    </row>
    <row r="885" spans="12:18" ht="15.75" customHeight="1" x14ac:dyDescent="0.25">
      <c r="L885" s="6"/>
      <c r="M885" s="6"/>
      <c r="N885" s="8"/>
      <c r="O885" s="8"/>
      <c r="P885" s="8"/>
      <c r="Q885" s="8"/>
      <c r="R885" s="8"/>
    </row>
    <row r="886" spans="12:18" ht="15.75" customHeight="1" x14ac:dyDescent="0.25">
      <c r="L886" s="6"/>
      <c r="M886" s="6"/>
      <c r="N886" s="8"/>
      <c r="O886" s="8"/>
      <c r="P886" s="8"/>
      <c r="Q886" s="8"/>
      <c r="R886" s="8"/>
    </row>
    <row r="887" spans="12:18" ht="15.75" customHeight="1" x14ac:dyDescent="0.25">
      <c r="L887" s="6"/>
      <c r="M887" s="6"/>
      <c r="N887" s="8"/>
      <c r="O887" s="8"/>
      <c r="P887" s="8"/>
      <c r="Q887" s="8"/>
      <c r="R887" s="8"/>
    </row>
    <row r="888" spans="12:18" ht="15.75" customHeight="1" x14ac:dyDescent="0.25">
      <c r="L888" s="6"/>
      <c r="M888" s="6"/>
      <c r="N888" s="8"/>
      <c r="O888" s="8"/>
      <c r="P888" s="8"/>
      <c r="Q888" s="8"/>
      <c r="R888" s="8"/>
    </row>
    <row r="889" spans="12:18" ht="15.75" customHeight="1" x14ac:dyDescent="0.25">
      <c r="L889" s="6"/>
      <c r="M889" s="6"/>
      <c r="N889" s="8"/>
      <c r="O889" s="8"/>
      <c r="P889" s="8"/>
      <c r="Q889" s="8"/>
      <c r="R889" s="8"/>
    </row>
    <row r="890" spans="12:18" ht="15.75" customHeight="1" x14ac:dyDescent="0.25">
      <c r="L890" s="6"/>
      <c r="M890" s="6"/>
      <c r="N890" s="8"/>
      <c r="O890" s="8"/>
      <c r="P890" s="8"/>
      <c r="Q890" s="8"/>
      <c r="R890" s="8"/>
    </row>
    <row r="891" spans="12:18" ht="15.75" customHeight="1" x14ac:dyDescent="0.25">
      <c r="L891" s="6"/>
      <c r="M891" s="6"/>
      <c r="N891" s="8"/>
      <c r="O891" s="8"/>
      <c r="P891" s="8"/>
      <c r="Q891" s="8"/>
      <c r="R891" s="8"/>
    </row>
    <row r="892" spans="12:18" ht="15.75" customHeight="1" x14ac:dyDescent="0.25">
      <c r="L892" s="6"/>
      <c r="M892" s="6"/>
      <c r="N892" s="8"/>
      <c r="O892" s="8"/>
      <c r="P892" s="8"/>
      <c r="Q892" s="8"/>
      <c r="R892" s="8"/>
    </row>
    <row r="893" spans="12:18" ht="15.75" customHeight="1" x14ac:dyDescent="0.25">
      <c r="L893" s="6"/>
      <c r="M893" s="6"/>
      <c r="N893" s="8"/>
      <c r="O893" s="8"/>
      <c r="P893" s="8"/>
      <c r="Q893" s="8"/>
      <c r="R893" s="8"/>
    </row>
    <row r="894" spans="12:18" ht="15.75" customHeight="1" x14ac:dyDescent="0.25">
      <c r="L894" s="6"/>
      <c r="M894" s="6"/>
      <c r="N894" s="8"/>
      <c r="O894" s="8"/>
      <c r="P894" s="8"/>
      <c r="Q894" s="8"/>
      <c r="R894" s="8"/>
    </row>
    <row r="895" spans="12:18" ht="15.75" customHeight="1" x14ac:dyDescent="0.25">
      <c r="L895" s="6"/>
      <c r="M895" s="6"/>
      <c r="N895" s="8"/>
      <c r="O895" s="8"/>
      <c r="P895" s="8"/>
      <c r="Q895" s="8"/>
      <c r="R895" s="8"/>
    </row>
    <row r="896" spans="12:18" ht="15.75" customHeight="1" x14ac:dyDescent="0.25">
      <c r="L896" s="6"/>
      <c r="M896" s="6"/>
      <c r="N896" s="8"/>
      <c r="O896" s="8"/>
      <c r="P896" s="8"/>
      <c r="Q896" s="8"/>
      <c r="R896" s="8"/>
    </row>
    <row r="897" spans="12:18" ht="15.75" customHeight="1" x14ac:dyDescent="0.25">
      <c r="L897" s="6"/>
      <c r="M897" s="6"/>
      <c r="N897" s="8"/>
      <c r="O897" s="8"/>
      <c r="P897" s="8"/>
      <c r="Q897" s="8"/>
      <c r="R897" s="8"/>
    </row>
    <row r="898" spans="12:18" ht="15.75" customHeight="1" x14ac:dyDescent="0.25">
      <c r="L898" s="6"/>
      <c r="M898" s="6"/>
      <c r="N898" s="8"/>
      <c r="O898" s="8"/>
      <c r="P898" s="8"/>
      <c r="Q898" s="8"/>
      <c r="R898" s="8"/>
    </row>
    <row r="899" spans="12:18" ht="15.75" customHeight="1" x14ac:dyDescent="0.25">
      <c r="L899" s="6"/>
      <c r="M899" s="6"/>
      <c r="N899" s="8"/>
      <c r="O899" s="8"/>
      <c r="P899" s="8"/>
      <c r="Q899" s="8"/>
      <c r="R899" s="8"/>
    </row>
    <row r="900" spans="12:18" ht="15.75" customHeight="1" x14ac:dyDescent="0.25">
      <c r="L900" s="6"/>
      <c r="M900" s="6"/>
      <c r="N900" s="8"/>
      <c r="O900" s="8"/>
      <c r="P900" s="8"/>
      <c r="Q900" s="8"/>
      <c r="R900" s="8"/>
    </row>
    <row r="901" spans="12:18" ht="15.75" customHeight="1" x14ac:dyDescent="0.25">
      <c r="L901" s="6"/>
      <c r="M901" s="6"/>
      <c r="N901" s="8"/>
      <c r="O901" s="8"/>
      <c r="P901" s="8"/>
      <c r="Q901" s="8"/>
      <c r="R901" s="8"/>
    </row>
    <row r="902" spans="12:18" ht="15.75" customHeight="1" x14ac:dyDescent="0.25">
      <c r="L902" s="6"/>
      <c r="M902" s="6"/>
      <c r="N902" s="8"/>
      <c r="O902" s="8"/>
      <c r="P902" s="8"/>
      <c r="Q902" s="8"/>
      <c r="R902" s="8"/>
    </row>
    <row r="903" spans="12:18" ht="15.75" customHeight="1" x14ac:dyDescent="0.25">
      <c r="L903" s="6"/>
      <c r="M903" s="6"/>
      <c r="N903" s="8"/>
      <c r="O903" s="8"/>
      <c r="P903" s="8"/>
      <c r="Q903" s="8"/>
      <c r="R903" s="8"/>
    </row>
    <row r="904" spans="12:18" ht="15.75" customHeight="1" x14ac:dyDescent="0.25">
      <c r="L904" s="6"/>
      <c r="M904" s="6"/>
      <c r="N904" s="8"/>
      <c r="O904" s="8"/>
      <c r="P904" s="8"/>
      <c r="Q904" s="8"/>
      <c r="R904" s="8"/>
    </row>
    <row r="905" spans="12:18" ht="15.75" customHeight="1" x14ac:dyDescent="0.25">
      <c r="L905" s="6"/>
      <c r="M905" s="6"/>
      <c r="N905" s="8"/>
      <c r="O905" s="8"/>
      <c r="P905" s="8"/>
      <c r="Q905" s="8"/>
      <c r="R905" s="8"/>
    </row>
    <row r="906" spans="12:18" ht="15.75" customHeight="1" x14ac:dyDescent="0.25">
      <c r="L906" s="6"/>
      <c r="M906" s="6"/>
      <c r="N906" s="8"/>
      <c r="O906" s="8"/>
      <c r="P906" s="8"/>
      <c r="Q906" s="8"/>
      <c r="R906" s="8"/>
    </row>
    <row r="907" spans="12:18" ht="15.75" customHeight="1" x14ac:dyDescent="0.25">
      <c r="L907" s="6"/>
      <c r="M907" s="6"/>
      <c r="N907" s="8"/>
      <c r="O907" s="8"/>
      <c r="P907" s="8"/>
      <c r="Q907" s="8"/>
      <c r="R907" s="8"/>
    </row>
    <row r="908" spans="12:18" ht="15.75" customHeight="1" x14ac:dyDescent="0.25">
      <c r="L908" s="6"/>
      <c r="M908" s="6"/>
      <c r="N908" s="8"/>
      <c r="O908" s="8"/>
      <c r="P908" s="8"/>
      <c r="Q908" s="8"/>
      <c r="R908" s="8"/>
    </row>
    <row r="909" spans="12:18" ht="15.75" customHeight="1" x14ac:dyDescent="0.25">
      <c r="L909" s="6"/>
      <c r="M909" s="6"/>
      <c r="N909" s="8"/>
      <c r="O909" s="8"/>
      <c r="P909" s="8"/>
      <c r="Q909" s="8"/>
      <c r="R909" s="8"/>
    </row>
    <row r="910" spans="12:18" ht="15.75" customHeight="1" x14ac:dyDescent="0.25">
      <c r="L910" s="6"/>
      <c r="M910" s="6"/>
      <c r="N910" s="8"/>
      <c r="O910" s="8"/>
      <c r="P910" s="8"/>
      <c r="Q910" s="8"/>
      <c r="R910" s="8"/>
    </row>
    <row r="911" spans="12:18" ht="15.75" customHeight="1" x14ac:dyDescent="0.25">
      <c r="L911" s="6"/>
      <c r="M911" s="6"/>
      <c r="N911" s="8"/>
      <c r="O911" s="8"/>
      <c r="P911" s="8"/>
      <c r="Q911" s="8"/>
      <c r="R911" s="8"/>
    </row>
    <row r="912" spans="12:18" ht="15.75" customHeight="1" x14ac:dyDescent="0.25">
      <c r="L912" s="6"/>
      <c r="M912" s="6"/>
      <c r="N912" s="8"/>
      <c r="O912" s="8"/>
      <c r="P912" s="8"/>
      <c r="Q912" s="8"/>
      <c r="R912" s="8"/>
    </row>
    <row r="913" spans="12:18" ht="15.75" customHeight="1" x14ac:dyDescent="0.25">
      <c r="L913" s="6"/>
      <c r="M913" s="6"/>
      <c r="N913" s="8"/>
      <c r="O913" s="8"/>
      <c r="P913" s="8"/>
      <c r="Q913" s="8"/>
      <c r="R913" s="8"/>
    </row>
    <row r="914" spans="12:18" ht="15.75" customHeight="1" x14ac:dyDescent="0.25">
      <c r="L914" s="6"/>
      <c r="M914" s="6"/>
      <c r="N914" s="8"/>
      <c r="O914" s="8"/>
      <c r="P914" s="8"/>
      <c r="Q914" s="8"/>
      <c r="R914" s="8"/>
    </row>
    <row r="915" spans="12:18" ht="15.75" customHeight="1" x14ac:dyDescent="0.25">
      <c r="L915" s="6"/>
      <c r="M915" s="6"/>
      <c r="N915" s="8"/>
      <c r="O915" s="8"/>
      <c r="P915" s="8"/>
      <c r="Q915" s="8"/>
      <c r="R915" s="8"/>
    </row>
    <row r="916" spans="12:18" ht="15.75" customHeight="1" x14ac:dyDescent="0.25">
      <c r="L916" s="6"/>
      <c r="M916" s="6"/>
      <c r="N916" s="8"/>
      <c r="O916" s="8"/>
      <c r="P916" s="8"/>
      <c r="Q916" s="8"/>
      <c r="R916" s="8"/>
    </row>
    <row r="917" spans="12:18" ht="15.75" customHeight="1" x14ac:dyDescent="0.25">
      <c r="L917" s="6"/>
      <c r="M917" s="6"/>
      <c r="N917" s="8"/>
      <c r="O917" s="8"/>
      <c r="P917" s="8"/>
      <c r="Q917" s="8"/>
      <c r="R917" s="8"/>
    </row>
    <row r="918" spans="12:18" ht="15.75" customHeight="1" x14ac:dyDescent="0.25">
      <c r="L918" s="6"/>
      <c r="M918" s="6"/>
      <c r="N918" s="8"/>
      <c r="O918" s="8"/>
      <c r="P918" s="8"/>
      <c r="Q918" s="8"/>
      <c r="R918" s="8"/>
    </row>
    <row r="919" spans="12:18" ht="15.75" customHeight="1" x14ac:dyDescent="0.25">
      <c r="L919" s="6"/>
      <c r="M919" s="6"/>
      <c r="N919" s="8"/>
      <c r="O919" s="8"/>
      <c r="P919" s="8"/>
      <c r="Q919" s="8"/>
      <c r="R919" s="8"/>
    </row>
    <row r="920" spans="12:18" ht="15.75" customHeight="1" x14ac:dyDescent="0.25">
      <c r="L920" s="6"/>
      <c r="M920" s="6"/>
      <c r="N920" s="8"/>
      <c r="O920" s="8"/>
      <c r="P920" s="8"/>
      <c r="Q920" s="8"/>
      <c r="R920" s="8"/>
    </row>
    <row r="921" spans="12:18" ht="15.75" customHeight="1" x14ac:dyDescent="0.25">
      <c r="L921" s="6"/>
      <c r="M921" s="6"/>
      <c r="N921" s="8"/>
      <c r="O921" s="8"/>
      <c r="P921" s="8"/>
      <c r="Q921" s="8"/>
      <c r="R921" s="8"/>
    </row>
    <row r="922" spans="12:18" ht="15.75" customHeight="1" x14ac:dyDescent="0.25">
      <c r="L922" s="6"/>
      <c r="M922" s="6"/>
      <c r="N922" s="8"/>
      <c r="O922" s="8"/>
      <c r="P922" s="8"/>
      <c r="Q922" s="8"/>
      <c r="R922" s="8"/>
    </row>
    <row r="923" spans="12:18" ht="15.75" customHeight="1" x14ac:dyDescent="0.25">
      <c r="L923" s="6"/>
      <c r="M923" s="6"/>
      <c r="N923" s="8"/>
      <c r="O923" s="8"/>
      <c r="P923" s="8"/>
      <c r="Q923" s="8"/>
      <c r="R923" s="8"/>
    </row>
    <row r="924" spans="12:18" ht="15.75" customHeight="1" x14ac:dyDescent="0.25">
      <c r="L924" s="6"/>
      <c r="M924" s="6"/>
      <c r="N924" s="8"/>
      <c r="O924" s="8"/>
      <c r="P924" s="8"/>
      <c r="Q924" s="8"/>
      <c r="R924" s="8"/>
    </row>
    <row r="925" spans="12:18" ht="15.75" customHeight="1" x14ac:dyDescent="0.25">
      <c r="L925" s="6"/>
      <c r="M925" s="6"/>
      <c r="N925" s="8"/>
      <c r="O925" s="8"/>
      <c r="P925" s="8"/>
      <c r="Q925" s="8"/>
      <c r="R925" s="8"/>
    </row>
    <row r="926" spans="12:18" ht="15.75" customHeight="1" x14ac:dyDescent="0.25">
      <c r="L926" s="6"/>
      <c r="M926" s="6"/>
      <c r="N926" s="8"/>
      <c r="O926" s="8"/>
      <c r="P926" s="8"/>
      <c r="Q926" s="8"/>
      <c r="R926" s="8"/>
    </row>
    <row r="927" spans="12:18" ht="15.75" customHeight="1" x14ac:dyDescent="0.25">
      <c r="L927" s="6"/>
      <c r="M927" s="6"/>
      <c r="N927" s="8"/>
      <c r="O927" s="8"/>
      <c r="P927" s="8"/>
      <c r="Q927" s="8"/>
      <c r="R927" s="8"/>
    </row>
    <row r="928" spans="12:18" ht="15.75" customHeight="1" x14ac:dyDescent="0.25">
      <c r="L928" s="6"/>
      <c r="M928" s="6"/>
      <c r="N928" s="8"/>
      <c r="O928" s="8"/>
      <c r="P928" s="8"/>
      <c r="Q928" s="8"/>
      <c r="R928" s="8"/>
    </row>
    <row r="929" spans="12:18" ht="15.75" customHeight="1" x14ac:dyDescent="0.25">
      <c r="L929" s="6"/>
      <c r="M929" s="6"/>
      <c r="N929" s="8"/>
      <c r="O929" s="8"/>
      <c r="P929" s="8"/>
      <c r="Q929" s="8"/>
      <c r="R929" s="8"/>
    </row>
    <row r="930" spans="12:18" ht="15.75" customHeight="1" x14ac:dyDescent="0.25">
      <c r="L930" s="6"/>
      <c r="M930" s="6"/>
      <c r="N930" s="8"/>
      <c r="O930" s="8"/>
      <c r="P930" s="8"/>
      <c r="Q930" s="8"/>
      <c r="R930" s="8"/>
    </row>
    <row r="931" spans="12:18" ht="15.75" customHeight="1" x14ac:dyDescent="0.25">
      <c r="L931" s="6"/>
      <c r="M931" s="6"/>
      <c r="N931" s="8"/>
      <c r="O931" s="8"/>
      <c r="P931" s="8"/>
      <c r="Q931" s="8"/>
      <c r="R931" s="8"/>
    </row>
    <row r="932" spans="12:18" ht="15.75" customHeight="1" x14ac:dyDescent="0.25">
      <c r="L932" s="6"/>
      <c r="M932" s="6"/>
      <c r="N932" s="8"/>
      <c r="O932" s="8"/>
      <c r="P932" s="8"/>
      <c r="Q932" s="8"/>
      <c r="R932" s="8"/>
    </row>
    <row r="933" spans="12:18" ht="15.75" customHeight="1" x14ac:dyDescent="0.25">
      <c r="L933" s="6"/>
      <c r="M933" s="6"/>
      <c r="N933" s="8"/>
      <c r="O933" s="8"/>
      <c r="P933" s="8"/>
      <c r="Q933" s="8"/>
      <c r="R933" s="8"/>
    </row>
    <row r="934" spans="12:18" ht="15.75" customHeight="1" x14ac:dyDescent="0.25">
      <c r="L934" s="6"/>
      <c r="M934" s="6"/>
      <c r="N934" s="8"/>
      <c r="O934" s="8"/>
      <c r="P934" s="8"/>
      <c r="Q934" s="8"/>
      <c r="R934" s="8"/>
    </row>
    <row r="935" spans="12:18" ht="15.75" customHeight="1" x14ac:dyDescent="0.25">
      <c r="L935" s="6"/>
      <c r="M935" s="6"/>
      <c r="N935" s="8"/>
      <c r="O935" s="8"/>
      <c r="P935" s="8"/>
      <c r="Q935" s="8"/>
      <c r="R935" s="8"/>
    </row>
    <row r="936" spans="12:18" ht="15.75" customHeight="1" x14ac:dyDescent="0.25">
      <c r="L936" s="6"/>
      <c r="M936" s="6"/>
      <c r="N936" s="8"/>
      <c r="O936" s="8"/>
      <c r="P936" s="8"/>
      <c r="Q936" s="8"/>
      <c r="R936" s="8"/>
    </row>
    <row r="937" spans="12:18" ht="15.75" customHeight="1" x14ac:dyDescent="0.25">
      <c r="L937" s="6"/>
      <c r="M937" s="6"/>
      <c r="N937" s="8"/>
      <c r="O937" s="8"/>
      <c r="P937" s="8"/>
      <c r="Q937" s="8"/>
      <c r="R937" s="8"/>
    </row>
    <row r="938" spans="12:18" ht="15.75" customHeight="1" x14ac:dyDescent="0.25">
      <c r="L938" s="6"/>
      <c r="M938" s="6"/>
      <c r="N938" s="8"/>
      <c r="O938" s="8"/>
      <c r="P938" s="8"/>
      <c r="Q938" s="8"/>
      <c r="R938" s="8"/>
    </row>
    <row r="939" spans="12:18" ht="15.75" customHeight="1" x14ac:dyDescent="0.25">
      <c r="L939" s="6"/>
      <c r="M939" s="6"/>
      <c r="N939" s="8"/>
      <c r="O939" s="8"/>
      <c r="P939" s="8"/>
      <c r="Q939" s="8"/>
      <c r="R939" s="8"/>
    </row>
    <row r="940" spans="12:18" ht="15.75" customHeight="1" x14ac:dyDescent="0.25">
      <c r="L940" s="6"/>
      <c r="M940" s="6"/>
      <c r="N940" s="8"/>
      <c r="O940" s="8"/>
      <c r="P940" s="8"/>
      <c r="Q940" s="8"/>
      <c r="R940" s="8"/>
    </row>
    <row r="941" spans="12:18" ht="15.75" customHeight="1" x14ac:dyDescent="0.25">
      <c r="L941" s="6"/>
      <c r="M941" s="6"/>
      <c r="N941" s="8"/>
      <c r="O941" s="8"/>
      <c r="P941" s="8"/>
      <c r="Q941" s="8"/>
      <c r="R941" s="8"/>
    </row>
    <row r="942" spans="12:18" ht="15.75" customHeight="1" x14ac:dyDescent="0.25">
      <c r="L942" s="6"/>
      <c r="M942" s="6"/>
      <c r="N942" s="8"/>
      <c r="O942" s="8"/>
      <c r="P942" s="8"/>
      <c r="Q942" s="8"/>
      <c r="R942" s="8"/>
    </row>
    <row r="943" spans="12:18" ht="15.75" customHeight="1" x14ac:dyDescent="0.25">
      <c r="L943" s="6"/>
      <c r="M943" s="6"/>
      <c r="N943" s="8"/>
      <c r="O943" s="8"/>
      <c r="P943" s="8"/>
      <c r="Q943" s="8"/>
      <c r="R943" s="8"/>
    </row>
    <row r="944" spans="12:18" ht="15.75" customHeight="1" x14ac:dyDescent="0.25">
      <c r="L944" s="6"/>
      <c r="M944" s="6"/>
      <c r="N944" s="8"/>
      <c r="O944" s="8"/>
      <c r="P944" s="8"/>
      <c r="Q944" s="8"/>
      <c r="R944" s="8"/>
    </row>
    <row r="945" spans="12:18" ht="15.75" customHeight="1" x14ac:dyDescent="0.25">
      <c r="L945" s="6"/>
      <c r="M945" s="6"/>
      <c r="N945" s="8"/>
      <c r="O945" s="8"/>
      <c r="P945" s="8"/>
      <c r="Q945" s="8"/>
      <c r="R945" s="8"/>
    </row>
    <row r="946" spans="12:18" ht="15.75" customHeight="1" x14ac:dyDescent="0.25">
      <c r="L946" s="6"/>
      <c r="M946" s="6"/>
      <c r="N946" s="8"/>
      <c r="O946" s="8"/>
      <c r="P946" s="8"/>
      <c r="Q946" s="8"/>
      <c r="R946" s="8"/>
    </row>
    <row r="947" spans="12:18" ht="15.75" customHeight="1" x14ac:dyDescent="0.25">
      <c r="L947" s="6"/>
      <c r="M947" s="6"/>
      <c r="N947" s="8"/>
      <c r="O947" s="8"/>
      <c r="P947" s="8"/>
      <c r="Q947" s="8"/>
      <c r="R947" s="8"/>
    </row>
    <row r="948" spans="12:18" ht="15.75" customHeight="1" x14ac:dyDescent="0.25">
      <c r="L948" s="6"/>
      <c r="M948" s="6"/>
      <c r="N948" s="8"/>
      <c r="O948" s="8"/>
      <c r="P948" s="8"/>
      <c r="Q948" s="8"/>
      <c r="R948" s="8"/>
    </row>
    <row r="949" spans="12:18" ht="15.75" customHeight="1" x14ac:dyDescent="0.25">
      <c r="L949" s="6"/>
      <c r="M949" s="6"/>
      <c r="N949" s="8"/>
      <c r="O949" s="8"/>
      <c r="P949" s="8"/>
      <c r="Q949" s="8"/>
      <c r="R949" s="8"/>
    </row>
    <row r="950" spans="12:18" ht="15.75" customHeight="1" x14ac:dyDescent="0.25">
      <c r="L950" s="6"/>
      <c r="M950" s="6"/>
      <c r="N950" s="8"/>
      <c r="O950" s="8"/>
      <c r="P950" s="8"/>
      <c r="Q950" s="8"/>
      <c r="R950" s="8"/>
    </row>
    <row r="951" spans="12:18" ht="15.75" customHeight="1" x14ac:dyDescent="0.25">
      <c r="L951" s="6"/>
      <c r="M951" s="6"/>
      <c r="N951" s="8"/>
      <c r="O951" s="8"/>
      <c r="P951" s="8"/>
      <c r="Q951" s="8"/>
      <c r="R951" s="8"/>
    </row>
    <row r="952" spans="12:18" ht="15.75" customHeight="1" x14ac:dyDescent="0.25">
      <c r="L952" s="6"/>
      <c r="M952" s="6"/>
      <c r="N952" s="8"/>
      <c r="O952" s="8"/>
      <c r="P952" s="8"/>
      <c r="Q952" s="8"/>
      <c r="R952" s="8"/>
    </row>
    <row r="953" spans="12:18" ht="15.75" customHeight="1" x14ac:dyDescent="0.25">
      <c r="L953" s="6"/>
      <c r="M953" s="6"/>
      <c r="N953" s="8"/>
      <c r="O953" s="8"/>
      <c r="P953" s="8"/>
      <c r="Q953" s="8"/>
      <c r="R953" s="8"/>
    </row>
    <row r="954" spans="12:18" ht="15.75" customHeight="1" x14ac:dyDescent="0.25">
      <c r="L954" s="6"/>
      <c r="M954" s="6"/>
      <c r="N954" s="8"/>
      <c r="O954" s="8"/>
      <c r="P954" s="8"/>
      <c r="Q954" s="8"/>
      <c r="R954" s="8"/>
    </row>
    <row r="955" spans="12:18" ht="15.75" customHeight="1" x14ac:dyDescent="0.25">
      <c r="L955" s="6"/>
      <c r="M955" s="6"/>
      <c r="N955" s="8"/>
      <c r="O955" s="8"/>
      <c r="P955" s="8"/>
      <c r="Q955" s="8"/>
      <c r="R955" s="8"/>
    </row>
    <row r="956" spans="12:18" ht="15.75" customHeight="1" x14ac:dyDescent="0.25">
      <c r="L956" s="6"/>
      <c r="M956" s="6"/>
      <c r="N956" s="8"/>
      <c r="O956" s="8"/>
      <c r="P956" s="8"/>
      <c r="Q956" s="8"/>
      <c r="R956" s="8"/>
    </row>
    <row r="957" spans="12:18" ht="15.75" customHeight="1" x14ac:dyDescent="0.25">
      <c r="L957" s="6"/>
      <c r="M957" s="6"/>
      <c r="N957" s="8"/>
      <c r="O957" s="8"/>
      <c r="P957" s="8"/>
      <c r="Q957" s="8"/>
      <c r="R957" s="8"/>
    </row>
    <row r="958" spans="12:18" ht="15.75" customHeight="1" x14ac:dyDescent="0.25">
      <c r="L958" s="6"/>
      <c r="M958" s="6"/>
      <c r="N958" s="8"/>
      <c r="O958" s="8"/>
      <c r="P958" s="8"/>
      <c r="Q958" s="8"/>
      <c r="R958" s="8"/>
    </row>
    <row r="959" spans="12:18" ht="15.75" customHeight="1" x14ac:dyDescent="0.25">
      <c r="L959" s="6"/>
      <c r="M959" s="6"/>
      <c r="N959" s="8"/>
      <c r="O959" s="8"/>
      <c r="P959" s="8"/>
      <c r="Q959" s="8"/>
      <c r="R959" s="8"/>
    </row>
    <row r="960" spans="12:18" ht="15.75" customHeight="1" x14ac:dyDescent="0.25">
      <c r="L960" s="6"/>
      <c r="M960" s="6"/>
      <c r="N960" s="8"/>
      <c r="O960" s="8"/>
      <c r="P960" s="8"/>
      <c r="Q960" s="8"/>
      <c r="R960" s="8"/>
    </row>
    <row r="961" spans="12:18" ht="15.75" customHeight="1" x14ac:dyDescent="0.25">
      <c r="L961" s="6"/>
      <c r="M961" s="6"/>
      <c r="N961" s="8"/>
      <c r="O961" s="8"/>
      <c r="P961" s="8"/>
      <c r="Q961" s="8"/>
      <c r="R961" s="8"/>
    </row>
    <row r="962" spans="12:18" ht="15.75" customHeight="1" x14ac:dyDescent="0.25">
      <c r="L962" s="6"/>
      <c r="M962" s="6"/>
      <c r="N962" s="8"/>
      <c r="O962" s="8"/>
      <c r="P962" s="8"/>
      <c r="Q962" s="8"/>
      <c r="R962" s="8"/>
    </row>
    <row r="963" spans="12:18" ht="15.75" customHeight="1" x14ac:dyDescent="0.25">
      <c r="L963" s="6"/>
      <c r="M963" s="6"/>
      <c r="N963" s="8"/>
      <c r="O963" s="8"/>
      <c r="P963" s="8"/>
      <c r="Q963" s="8"/>
      <c r="R963" s="8"/>
    </row>
    <row r="964" spans="12:18" ht="15.75" customHeight="1" x14ac:dyDescent="0.25">
      <c r="L964" s="6"/>
      <c r="M964" s="6"/>
      <c r="N964" s="8"/>
      <c r="O964" s="8"/>
      <c r="P964" s="8"/>
      <c r="Q964" s="8"/>
      <c r="R964" s="8"/>
    </row>
    <row r="965" spans="12:18" ht="15.75" customHeight="1" x14ac:dyDescent="0.25">
      <c r="L965" s="6"/>
      <c r="M965" s="6"/>
      <c r="N965" s="8"/>
      <c r="O965" s="8"/>
      <c r="P965" s="8"/>
      <c r="Q965" s="8"/>
      <c r="R965" s="8"/>
    </row>
    <row r="966" spans="12:18" ht="15.75" customHeight="1" x14ac:dyDescent="0.25">
      <c r="L966" s="6"/>
      <c r="M966" s="6"/>
      <c r="N966" s="8"/>
      <c r="O966" s="8"/>
      <c r="P966" s="8"/>
      <c r="Q966" s="8"/>
      <c r="R966" s="8"/>
    </row>
    <row r="967" spans="12:18" ht="15.75" customHeight="1" x14ac:dyDescent="0.25">
      <c r="L967" s="6"/>
      <c r="M967" s="6"/>
      <c r="N967" s="8"/>
      <c r="O967" s="8"/>
      <c r="P967" s="8"/>
      <c r="Q967" s="8"/>
      <c r="R967" s="8"/>
    </row>
    <row r="968" spans="12:18" ht="15.75" customHeight="1" x14ac:dyDescent="0.25">
      <c r="L968" s="6"/>
      <c r="M968" s="6"/>
      <c r="N968" s="8"/>
      <c r="O968" s="8"/>
      <c r="P968" s="8"/>
      <c r="Q968" s="8"/>
      <c r="R968" s="8"/>
    </row>
    <row r="969" spans="12:18" ht="15.75" customHeight="1" x14ac:dyDescent="0.25">
      <c r="L969" s="6"/>
      <c r="M969" s="6"/>
      <c r="N969" s="8"/>
      <c r="O969" s="8"/>
      <c r="P969" s="8"/>
      <c r="Q969" s="8"/>
      <c r="R969" s="8"/>
    </row>
    <row r="970" spans="12:18" ht="15.75" customHeight="1" x14ac:dyDescent="0.25">
      <c r="L970" s="6"/>
      <c r="M970" s="6"/>
      <c r="N970" s="8"/>
      <c r="O970" s="8"/>
      <c r="P970" s="8"/>
      <c r="Q970" s="8"/>
      <c r="R970" s="8"/>
    </row>
    <row r="971" spans="12:18" ht="15.75" customHeight="1" x14ac:dyDescent="0.25">
      <c r="L971" s="6"/>
      <c r="M971" s="6"/>
      <c r="N971" s="8"/>
      <c r="O971" s="8"/>
      <c r="P971" s="8"/>
      <c r="Q971" s="8"/>
      <c r="R971" s="8"/>
    </row>
    <row r="972" spans="12:18" ht="15.75" customHeight="1" x14ac:dyDescent="0.25">
      <c r="L972" s="6"/>
      <c r="M972" s="6"/>
      <c r="N972" s="8"/>
      <c r="O972" s="8"/>
      <c r="P972" s="8"/>
      <c r="Q972" s="8"/>
      <c r="R972" s="8"/>
    </row>
    <row r="973" spans="12:18" ht="15.75" customHeight="1" x14ac:dyDescent="0.25">
      <c r="L973" s="6"/>
      <c r="M973" s="6"/>
      <c r="N973" s="8"/>
      <c r="O973" s="8"/>
      <c r="P973" s="8"/>
      <c r="Q973" s="8"/>
      <c r="R973" s="8"/>
    </row>
    <row r="974" spans="12:18" ht="15.75" customHeight="1" x14ac:dyDescent="0.25">
      <c r="L974" s="6"/>
      <c r="M974" s="6"/>
      <c r="N974" s="8"/>
      <c r="O974" s="8"/>
      <c r="P974" s="8"/>
      <c r="Q974" s="8"/>
      <c r="R974" s="8"/>
    </row>
    <row r="975" spans="12:18" ht="15.75" customHeight="1" x14ac:dyDescent="0.25">
      <c r="L975" s="6"/>
      <c r="M975" s="6"/>
      <c r="N975" s="8"/>
      <c r="O975" s="8"/>
      <c r="P975" s="8"/>
      <c r="Q975" s="8"/>
      <c r="R975" s="8"/>
    </row>
    <row r="976" spans="12:18" ht="15.75" customHeight="1" x14ac:dyDescent="0.25">
      <c r="L976" s="6"/>
      <c r="M976" s="6"/>
      <c r="N976" s="8"/>
      <c r="O976" s="8"/>
      <c r="P976" s="8"/>
      <c r="Q976" s="8"/>
      <c r="R976" s="8"/>
    </row>
    <row r="977" spans="12:18" ht="15.75" customHeight="1" x14ac:dyDescent="0.25">
      <c r="L977" s="6"/>
      <c r="M977" s="6"/>
      <c r="N977" s="8"/>
      <c r="O977" s="8"/>
      <c r="P977" s="8"/>
      <c r="Q977" s="8"/>
      <c r="R977" s="8"/>
    </row>
    <row r="978" spans="12:18" ht="15.75" customHeight="1" x14ac:dyDescent="0.25">
      <c r="L978" s="6"/>
      <c r="M978" s="6"/>
      <c r="N978" s="8"/>
      <c r="O978" s="8"/>
      <c r="P978" s="8"/>
      <c r="Q978" s="8"/>
      <c r="R978" s="8"/>
    </row>
    <row r="979" spans="12:18" ht="15.75" customHeight="1" x14ac:dyDescent="0.25">
      <c r="L979" s="6"/>
      <c r="M979" s="6"/>
      <c r="N979" s="8"/>
      <c r="O979" s="8"/>
      <c r="P979" s="8"/>
      <c r="Q979" s="8"/>
      <c r="R979" s="8"/>
    </row>
    <row r="980" spans="12:18" ht="15.75" customHeight="1" x14ac:dyDescent="0.25">
      <c r="L980" s="6"/>
      <c r="M980" s="6"/>
      <c r="N980" s="8"/>
      <c r="O980" s="8"/>
      <c r="P980" s="8"/>
      <c r="Q980" s="8"/>
      <c r="R980" s="8"/>
    </row>
    <row r="981" spans="12:18" ht="15.75" customHeight="1" x14ac:dyDescent="0.25">
      <c r="L981" s="6"/>
      <c r="M981" s="6"/>
      <c r="N981" s="8"/>
      <c r="O981" s="8"/>
      <c r="P981" s="8"/>
      <c r="Q981" s="8"/>
      <c r="R981" s="8"/>
    </row>
    <row r="982" spans="12:18" ht="15.75" customHeight="1" x14ac:dyDescent="0.25">
      <c r="L982" s="6"/>
      <c r="M982" s="6"/>
      <c r="N982" s="8"/>
      <c r="O982" s="8"/>
      <c r="P982" s="8"/>
      <c r="Q982" s="8"/>
      <c r="R982" s="8"/>
    </row>
    <row r="983" spans="12:18" ht="15.75" customHeight="1" x14ac:dyDescent="0.25">
      <c r="L983" s="6"/>
      <c r="M983" s="6"/>
      <c r="N983" s="8"/>
      <c r="O983" s="8"/>
      <c r="P983" s="8"/>
      <c r="Q983" s="8"/>
      <c r="R983" s="8"/>
    </row>
    <row r="984" spans="12:18" ht="15.75" customHeight="1" x14ac:dyDescent="0.25">
      <c r="L984" s="6"/>
      <c r="M984" s="6"/>
      <c r="N984" s="8"/>
      <c r="O984" s="8"/>
      <c r="P984" s="8"/>
      <c r="Q984" s="8"/>
      <c r="R984" s="8"/>
    </row>
    <row r="985" spans="12:18" ht="15.75" customHeight="1" x14ac:dyDescent="0.25">
      <c r="L985" s="6"/>
      <c r="M985" s="6"/>
      <c r="N985" s="8"/>
      <c r="O985" s="8"/>
      <c r="P985" s="8"/>
      <c r="Q985" s="8"/>
      <c r="R985" s="8"/>
    </row>
    <row r="986" spans="12:18" ht="15.75" customHeight="1" x14ac:dyDescent="0.25">
      <c r="L986" s="6"/>
      <c r="M986" s="6"/>
      <c r="N986" s="8"/>
      <c r="O986" s="8"/>
      <c r="P986" s="8"/>
      <c r="Q986" s="8"/>
      <c r="R986" s="8"/>
    </row>
    <row r="987" spans="12:18" ht="15.75" customHeight="1" x14ac:dyDescent="0.25">
      <c r="L987" s="6"/>
      <c r="M987" s="6"/>
      <c r="N987" s="8"/>
      <c r="O987" s="8"/>
      <c r="P987" s="8"/>
      <c r="Q987" s="8"/>
      <c r="R987" s="8"/>
    </row>
    <row r="988" spans="12:18" ht="15.75" customHeight="1" x14ac:dyDescent="0.25">
      <c r="L988" s="6"/>
      <c r="M988" s="6"/>
      <c r="N988" s="8"/>
      <c r="O988" s="8"/>
      <c r="P988" s="8"/>
      <c r="Q988" s="8"/>
      <c r="R988" s="8"/>
    </row>
    <row r="989" spans="12:18" ht="15.75" customHeight="1" x14ac:dyDescent="0.25">
      <c r="L989" s="6"/>
      <c r="M989" s="6"/>
      <c r="N989" s="8"/>
      <c r="O989" s="8"/>
      <c r="P989" s="8"/>
      <c r="Q989" s="8"/>
      <c r="R989" s="8"/>
    </row>
    <row r="990" spans="12:18" ht="15.75" customHeight="1" x14ac:dyDescent="0.25">
      <c r="L990" s="6"/>
      <c r="M990" s="6"/>
      <c r="N990" s="8"/>
      <c r="O990" s="8"/>
      <c r="P990" s="8"/>
      <c r="Q990" s="8"/>
      <c r="R990" s="8"/>
    </row>
    <row r="991" spans="12:18" ht="15.75" customHeight="1" x14ac:dyDescent="0.25">
      <c r="L991" s="6"/>
      <c r="M991" s="6"/>
      <c r="N991" s="8"/>
      <c r="O991" s="8"/>
      <c r="P991" s="8"/>
      <c r="Q991" s="8"/>
      <c r="R991" s="8"/>
    </row>
    <row r="992" spans="12:18" ht="15.75" customHeight="1" x14ac:dyDescent="0.25">
      <c r="L992" s="6"/>
      <c r="M992" s="6"/>
      <c r="N992" s="8"/>
      <c r="O992" s="8"/>
      <c r="P992" s="8"/>
      <c r="Q992" s="8"/>
      <c r="R992" s="8"/>
    </row>
    <row r="993" spans="12:18" ht="15.75" customHeight="1" x14ac:dyDescent="0.25">
      <c r="L993" s="6"/>
      <c r="M993" s="6"/>
      <c r="N993" s="8"/>
      <c r="O993" s="8"/>
      <c r="P993" s="8"/>
      <c r="Q993" s="8"/>
      <c r="R993" s="8"/>
    </row>
    <row r="994" spans="12:18" ht="15.75" customHeight="1" x14ac:dyDescent="0.25">
      <c r="L994" s="6"/>
      <c r="M994" s="6"/>
      <c r="N994" s="8"/>
      <c r="O994" s="8"/>
      <c r="P994" s="8"/>
      <c r="Q994" s="8"/>
      <c r="R994" s="8"/>
    </row>
    <row r="995" spans="12:18" ht="15.75" customHeight="1" x14ac:dyDescent="0.25">
      <c r="L995" s="6"/>
      <c r="M995" s="6"/>
      <c r="N995" s="8"/>
      <c r="O995" s="8"/>
      <c r="P995" s="8"/>
      <c r="Q995" s="8"/>
      <c r="R995" s="8"/>
    </row>
    <row r="996" spans="12:18" ht="15.75" customHeight="1" x14ac:dyDescent="0.25">
      <c r="L996" s="6"/>
      <c r="M996" s="6"/>
      <c r="N996" s="8"/>
      <c r="O996" s="8"/>
      <c r="P996" s="8"/>
      <c r="Q996" s="8"/>
      <c r="R996" s="8"/>
    </row>
    <row r="997" spans="12:18" ht="15.75" customHeight="1" x14ac:dyDescent="0.25">
      <c r="L997" s="6"/>
      <c r="M997" s="6"/>
      <c r="N997" s="8"/>
      <c r="O997" s="8"/>
      <c r="P997" s="8"/>
      <c r="Q997" s="8"/>
      <c r="R997" s="8"/>
    </row>
    <row r="998" spans="12:18" ht="15.75" customHeight="1" x14ac:dyDescent="0.25">
      <c r="L998" s="6"/>
      <c r="M998" s="6"/>
      <c r="N998" s="8"/>
      <c r="O998" s="8"/>
      <c r="P998" s="8"/>
      <c r="Q998" s="8"/>
      <c r="R998" s="8"/>
    </row>
    <row r="999" spans="12:18" ht="15.75" customHeight="1" x14ac:dyDescent="0.25">
      <c r="L999" s="6"/>
      <c r="M999" s="6"/>
      <c r="N999" s="8"/>
      <c r="O999" s="8"/>
      <c r="P999" s="8"/>
      <c r="Q999" s="8"/>
      <c r="R999" s="8"/>
    </row>
    <row r="1000" spans="12:18" ht="15.75" customHeight="1" x14ac:dyDescent="0.25">
      <c r="L1000" s="6"/>
      <c r="M1000" s="6"/>
      <c r="N1000" s="8"/>
      <c r="O1000" s="8"/>
      <c r="P1000" s="8"/>
      <c r="Q1000" s="8"/>
      <c r="R1000" s="8"/>
    </row>
  </sheetData>
  <mergeCells count="322">
    <mergeCell ref="B149:F149"/>
    <mergeCell ref="I149:J149"/>
    <mergeCell ref="B150:K152"/>
    <mergeCell ref="B154:K154"/>
    <mergeCell ref="B143:F143"/>
    <mergeCell ref="B144:F144"/>
    <mergeCell ref="I144:J144"/>
    <mergeCell ref="B145:F145"/>
    <mergeCell ref="I145:J145"/>
    <mergeCell ref="B146:F146"/>
    <mergeCell ref="B147:F147"/>
    <mergeCell ref="B140:F140"/>
    <mergeCell ref="I140:J140"/>
    <mergeCell ref="B141:F141"/>
    <mergeCell ref="I141:J141"/>
    <mergeCell ref="B142:F142"/>
    <mergeCell ref="I142:J142"/>
    <mergeCell ref="I143:J143"/>
    <mergeCell ref="B148:F148"/>
    <mergeCell ref="I148:J148"/>
    <mergeCell ref="B134:F134"/>
    <mergeCell ref="I138:J138"/>
    <mergeCell ref="I139:J139"/>
    <mergeCell ref="I133:J133"/>
    <mergeCell ref="I134:J134"/>
    <mergeCell ref="B136:K136"/>
    <mergeCell ref="B137:F137"/>
    <mergeCell ref="I137:J137"/>
    <mergeCell ref="B138:F138"/>
    <mergeCell ref="B139:F139"/>
    <mergeCell ref="B129:F129"/>
    <mergeCell ref="I129:J129"/>
    <mergeCell ref="I130:J130"/>
    <mergeCell ref="B130:F130"/>
    <mergeCell ref="B131:F131"/>
    <mergeCell ref="I131:J131"/>
    <mergeCell ref="B132:F132"/>
    <mergeCell ref="I132:J132"/>
    <mergeCell ref="B133:F133"/>
    <mergeCell ref="B85:F85"/>
    <mergeCell ref="I85:J85"/>
    <mergeCell ref="B86:F86"/>
    <mergeCell ref="I86:J86"/>
    <mergeCell ref="C109:H109"/>
    <mergeCell ref="I109:J109"/>
    <mergeCell ref="C110:H110"/>
    <mergeCell ref="I110:J110"/>
    <mergeCell ref="C111:H111"/>
    <mergeCell ref="I111:J111"/>
    <mergeCell ref="B80:F80"/>
    <mergeCell ref="I80:J80"/>
    <mergeCell ref="B81:F81"/>
    <mergeCell ref="I81:J81"/>
    <mergeCell ref="B82:F82"/>
    <mergeCell ref="I82:J82"/>
    <mergeCell ref="I83:J83"/>
    <mergeCell ref="B83:F83"/>
    <mergeCell ref="B84:F84"/>
    <mergeCell ref="I84:J84"/>
    <mergeCell ref="I78:J78"/>
    <mergeCell ref="I79:J79"/>
    <mergeCell ref="B75:F75"/>
    <mergeCell ref="B76:F76"/>
    <mergeCell ref="I76:J76"/>
    <mergeCell ref="B77:F77"/>
    <mergeCell ref="I77:J77"/>
    <mergeCell ref="B78:F78"/>
    <mergeCell ref="B79:F79"/>
    <mergeCell ref="B69:K69"/>
    <mergeCell ref="B71:K71"/>
    <mergeCell ref="B72:F72"/>
    <mergeCell ref="I72:J72"/>
    <mergeCell ref="B73:F73"/>
    <mergeCell ref="I73:J73"/>
    <mergeCell ref="B74:F74"/>
    <mergeCell ref="I74:J74"/>
    <mergeCell ref="I75:J75"/>
    <mergeCell ref="C57:I57"/>
    <mergeCell ref="C58:G58"/>
    <mergeCell ref="C59:G59"/>
    <mergeCell ref="C60:G60"/>
    <mergeCell ref="C61:G61"/>
    <mergeCell ref="C62:I62"/>
    <mergeCell ref="B63:J63"/>
    <mergeCell ref="B64:H64"/>
    <mergeCell ref="B66:J66"/>
    <mergeCell ref="C28:G28"/>
    <mergeCell ref="C29:I29"/>
    <mergeCell ref="B45:K45"/>
    <mergeCell ref="C46:G46"/>
    <mergeCell ref="C47:G47"/>
    <mergeCell ref="C50:G50"/>
    <mergeCell ref="C51:I51"/>
    <mergeCell ref="C52:I52"/>
    <mergeCell ref="C53:I53"/>
    <mergeCell ref="C17:G17"/>
    <mergeCell ref="I17:J17"/>
    <mergeCell ref="B18:J18"/>
    <mergeCell ref="B19:J19"/>
    <mergeCell ref="B21:K21"/>
    <mergeCell ref="B22:K22"/>
    <mergeCell ref="B23:K23"/>
    <mergeCell ref="C24:G24"/>
    <mergeCell ref="C25:G25"/>
    <mergeCell ref="C12:G12"/>
    <mergeCell ref="I12:J12"/>
    <mergeCell ref="C13:G13"/>
    <mergeCell ref="I13:J13"/>
    <mergeCell ref="C14:G14"/>
    <mergeCell ref="I14:J14"/>
    <mergeCell ref="I15:J15"/>
    <mergeCell ref="C15:G15"/>
    <mergeCell ref="C16:G16"/>
    <mergeCell ref="I16:J16"/>
    <mergeCell ref="B2:K2"/>
    <mergeCell ref="B4:K4"/>
    <mergeCell ref="B5:G5"/>
    <mergeCell ref="I5:J5"/>
    <mergeCell ref="C6:G6"/>
    <mergeCell ref="I6:J6"/>
    <mergeCell ref="I7:J7"/>
    <mergeCell ref="I10:J10"/>
    <mergeCell ref="I11:J11"/>
    <mergeCell ref="C7:G7"/>
    <mergeCell ref="C8:G8"/>
    <mergeCell ref="I8:J8"/>
    <mergeCell ref="C9:G9"/>
    <mergeCell ref="I9:J9"/>
    <mergeCell ref="C10:G10"/>
    <mergeCell ref="C11:G11"/>
    <mergeCell ref="B196:F196"/>
    <mergeCell ref="I196:J196"/>
    <mergeCell ref="B197:K200"/>
    <mergeCell ref="B202:J202"/>
    <mergeCell ref="B203:J203"/>
    <mergeCell ref="B205:J205"/>
    <mergeCell ref="B208:K208"/>
    <mergeCell ref="C30:I30"/>
    <mergeCell ref="C31:I31"/>
    <mergeCell ref="C32:I32"/>
    <mergeCell ref="C33:I33"/>
    <mergeCell ref="C34:I34"/>
    <mergeCell ref="C35:I35"/>
    <mergeCell ref="C36:G36"/>
    <mergeCell ref="C37:G37"/>
    <mergeCell ref="C38:G38"/>
    <mergeCell ref="C39:G39"/>
    <mergeCell ref="C40:G40"/>
    <mergeCell ref="C41:I41"/>
    <mergeCell ref="B42:J42"/>
    <mergeCell ref="B43:H43"/>
    <mergeCell ref="C54:I54"/>
    <mergeCell ref="C55:I55"/>
    <mergeCell ref="C56:I56"/>
    <mergeCell ref="B182:K182"/>
    <mergeCell ref="B183:F183"/>
    <mergeCell ref="I183:J183"/>
    <mergeCell ref="B184:F184"/>
    <mergeCell ref="I184:J184"/>
    <mergeCell ref="I185:J185"/>
    <mergeCell ref="I188:J188"/>
    <mergeCell ref="I189:J189"/>
    <mergeCell ref="B185:F185"/>
    <mergeCell ref="B186:F186"/>
    <mergeCell ref="I186:J186"/>
    <mergeCell ref="B187:F187"/>
    <mergeCell ref="I187:J187"/>
    <mergeCell ref="B188:F188"/>
    <mergeCell ref="B189:F189"/>
    <mergeCell ref="B176:F176"/>
    <mergeCell ref="B177:F177"/>
    <mergeCell ref="I177:J177"/>
    <mergeCell ref="B178:F178"/>
    <mergeCell ref="I178:J178"/>
    <mergeCell ref="B179:F179"/>
    <mergeCell ref="I179:J179"/>
    <mergeCell ref="I180:J180"/>
    <mergeCell ref="B180:F180"/>
    <mergeCell ref="I231:J231"/>
    <mergeCell ref="I232:J232"/>
    <mergeCell ref="C233:G233"/>
    <mergeCell ref="I233:J233"/>
    <mergeCell ref="B234:J234"/>
    <mergeCell ref="B237:J237"/>
    <mergeCell ref="B241:J241"/>
    <mergeCell ref="I221:J221"/>
    <mergeCell ref="I222:J222"/>
    <mergeCell ref="B223:J223"/>
    <mergeCell ref="B226:J226"/>
    <mergeCell ref="B229:K229"/>
    <mergeCell ref="C231:G231"/>
    <mergeCell ref="C232:G232"/>
    <mergeCell ref="C222:F222"/>
    <mergeCell ref="C213:F213"/>
    <mergeCell ref="C214:F214"/>
    <mergeCell ref="C215:F215"/>
    <mergeCell ref="C216:F216"/>
    <mergeCell ref="C217:F217"/>
    <mergeCell ref="C218:F218"/>
    <mergeCell ref="C219:F219"/>
    <mergeCell ref="I214:J214"/>
    <mergeCell ref="I215:J215"/>
    <mergeCell ref="I216:J216"/>
    <mergeCell ref="I217:J217"/>
    <mergeCell ref="I218:J218"/>
    <mergeCell ref="I219:J219"/>
    <mergeCell ref="I220:J220"/>
    <mergeCell ref="C210:F210"/>
    <mergeCell ref="I210:J210"/>
    <mergeCell ref="C211:F211"/>
    <mergeCell ref="I211:J211"/>
    <mergeCell ref="C212:F212"/>
    <mergeCell ref="I212:J212"/>
    <mergeCell ref="I213:J213"/>
    <mergeCell ref="C220:F220"/>
    <mergeCell ref="C221:F221"/>
    <mergeCell ref="B167:F167"/>
    <mergeCell ref="I167:J167"/>
    <mergeCell ref="B168:F168"/>
    <mergeCell ref="I168:J168"/>
    <mergeCell ref="B169:F169"/>
    <mergeCell ref="I169:J169"/>
    <mergeCell ref="B170:K170"/>
    <mergeCell ref="I194:J194"/>
    <mergeCell ref="I195:J195"/>
    <mergeCell ref="B190:F190"/>
    <mergeCell ref="I190:J190"/>
    <mergeCell ref="B191:F191"/>
    <mergeCell ref="I191:J191"/>
    <mergeCell ref="B193:K193"/>
    <mergeCell ref="B194:F194"/>
    <mergeCell ref="B195:F195"/>
    <mergeCell ref="I175:J175"/>
    <mergeCell ref="I176:J176"/>
    <mergeCell ref="B172:K172"/>
    <mergeCell ref="B173:F173"/>
    <mergeCell ref="I173:J173"/>
    <mergeCell ref="B174:F174"/>
    <mergeCell ref="I174:J174"/>
    <mergeCell ref="B175:F175"/>
    <mergeCell ref="M154:M161"/>
    <mergeCell ref="B155:F155"/>
    <mergeCell ref="I155:J155"/>
    <mergeCell ref="B156:F156"/>
    <mergeCell ref="B157:F157"/>
    <mergeCell ref="I165:J165"/>
    <mergeCell ref="I166:J166"/>
    <mergeCell ref="B161:F161"/>
    <mergeCell ref="I161:J161"/>
    <mergeCell ref="B163:K163"/>
    <mergeCell ref="B164:F164"/>
    <mergeCell ref="I164:J164"/>
    <mergeCell ref="B165:F165"/>
    <mergeCell ref="B166:F166"/>
    <mergeCell ref="C108:H108"/>
    <mergeCell ref="I108:J108"/>
    <mergeCell ref="I156:J156"/>
    <mergeCell ref="I157:J157"/>
    <mergeCell ref="B158:F158"/>
    <mergeCell ref="I158:J158"/>
    <mergeCell ref="B159:F159"/>
    <mergeCell ref="I159:J159"/>
    <mergeCell ref="B160:F160"/>
    <mergeCell ref="I160:J160"/>
    <mergeCell ref="I146:J146"/>
    <mergeCell ref="I147:J147"/>
    <mergeCell ref="I112:J112"/>
    <mergeCell ref="C112:H112"/>
    <mergeCell ref="C113:H113"/>
    <mergeCell ref="I113:J113"/>
    <mergeCell ref="C114:H114"/>
    <mergeCell ref="I114:J114"/>
    <mergeCell ref="C115:H115"/>
    <mergeCell ref="I115:J115"/>
    <mergeCell ref="I126:J126"/>
    <mergeCell ref="I127:J127"/>
    <mergeCell ref="B128:F128"/>
    <mergeCell ref="I128:J128"/>
    <mergeCell ref="I97:J97"/>
    <mergeCell ref="B98:F98"/>
    <mergeCell ref="I98:J98"/>
    <mergeCell ref="B99:F99"/>
    <mergeCell ref="B100:F100"/>
    <mergeCell ref="B101:J101"/>
    <mergeCell ref="B104:K104"/>
    <mergeCell ref="B106:K106"/>
    <mergeCell ref="C107:H107"/>
    <mergeCell ref="I107:J107"/>
    <mergeCell ref="B125:F125"/>
    <mergeCell ref="I125:J125"/>
    <mergeCell ref="B126:F126"/>
    <mergeCell ref="B127:F127"/>
    <mergeCell ref="I91:J91"/>
    <mergeCell ref="I92:J92"/>
    <mergeCell ref="B88:K88"/>
    <mergeCell ref="B89:F89"/>
    <mergeCell ref="I89:J89"/>
    <mergeCell ref="B90:F90"/>
    <mergeCell ref="I90:J90"/>
    <mergeCell ref="B91:F91"/>
    <mergeCell ref="B92:F92"/>
    <mergeCell ref="B93:F93"/>
    <mergeCell ref="I93:J93"/>
    <mergeCell ref="B94:F94"/>
    <mergeCell ref="I94:J94"/>
    <mergeCell ref="B95:F95"/>
    <mergeCell ref="I95:J95"/>
    <mergeCell ref="I96:J96"/>
    <mergeCell ref="I99:J99"/>
    <mergeCell ref="I100:J100"/>
    <mergeCell ref="B96:F96"/>
    <mergeCell ref="B97:F97"/>
    <mergeCell ref="C116:H116"/>
    <mergeCell ref="I116:J116"/>
    <mergeCell ref="B119:K119"/>
    <mergeCell ref="B121:K121"/>
    <mergeCell ref="B122:F122"/>
    <mergeCell ref="I122:J122"/>
    <mergeCell ref="I123:J123"/>
    <mergeCell ref="B123:F123"/>
    <mergeCell ref="B124:F124"/>
    <mergeCell ref="I124:J124"/>
  </mergeCell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1000"/>
  <sheetViews>
    <sheetView showGridLines="0" workbookViewId="0"/>
  </sheetViews>
  <sheetFormatPr defaultColWidth="14.42578125" defaultRowHeight="15" customHeight="1" x14ac:dyDescent="0.25"/>
  <cols>
    <col min="1" max="2" width="11.5703125" customWidth="1"/>
    <col min="3" max="3" width="10.140625" customWidth="1"/>
    <col min="4" max="4" width="75.5703125" customWidth="1"/>
    <col min="5" max="5" width="18.7109375" customWidth="1"/>
    <col min="6" max="6" width="16.5703125" customWidth="1"/>
    <col min="7" max="7" width="11.5703125" customWidth="1"/>
    <col min="8" max="8" width="8.7109375" customWidth="1"/>
    <col min="9" max="9" width="11.5703125" customWidth="1"/>
    <col min="10" max="10" width="14.5703125" customWidth="1"/>
    <col min="11" max="12" width="8.7109375" customWidth="1"/>
    <col min="13" max="13" width="11.5703125" customWidth="1"/>
    <col min="14" max="26" width="8.7109375" customWidth="1"/>
  </cols>
  <sheetData>
    <row r="1" spans="1:14" ht="15" customHeight="1" x14ac:dyDescent="0.25">
      <c r="A1" s="7"/>
      <c r="B1" s="7"/>
      <c r="C1" s="7"/>
      <c r="D1" s="7"/>
      <c r="E1" s="7"/>
      <c r="F1" s="206"/>
      <c r="G1" s="151"/>
    </row>
    <row r="2" spans="1:14" ht="15.75" x14ac:dyDescent="0.25">
      <c r="A2" s="7"/>
      <c r="B2" s="7"/>
      <c r="C2" s="790" t="s">
        <v>774</v>
      </c>
      <c r="D2" s="532"/>
      <c r="E2" s="533"/>
      <c r="F2" s="206"/>
      <c r="G2" s="151"/>
      <c r="H2" s="791"/>
      <c r="I2" s="625"/>
      <c r="J2" s="625"/>
    </row>
    <row r="3" spans="1:14" x14ac:dyDescent="0.25">
      <c r="A3" s="7"/>
      <c r="B3" s="7"/>
      <c r="C3" s="241"/>
      <c r="D3" s="241"/>
      <c r="E3" s="241"/>
      <c r="F3" s="206"/>
      <c r="G3" s="151"/>
      <c r="H3" s="151"/>
      <c r="I3" s="151"/>
      <c r="J3" s="151"/>
    </row>
    <row r="4" spans="1:14" x14ac:dyDescent="0.25">
      <c r="A4" s="7"/>
      <c r="B4" s="7"/>
      <c r="C4" s="80" t="s">
        <v>6</v>
      </c>
      <c r="D4" s="353" t="s">
        <v>776</v>
      </c>
      <c r="E4" s="80"/>
      <c r="F4" s="56"/>
      <c r="G4" s="151"/>
      <c r="H4" s="56"/>
      <c r="I4" s="151"/>
      <c r="J4" s="151"/>
    </row>
    <row r="5" spans="1:14" x14ac:dyDescent="0.25">
      <c r="A5" s="7"/>
      <c r="B5" s="7"/>
      <c r="C5" s="36">
        <v>1</v>
      </c>
      <c r="D5" s="34" t="s">
        <v>777</v>
      </c>
      <c r="E5" s="33" t="s">
        <v>778</v>
      </c>
      <c r="F5" s="206"/>
      <c r="G5" s="151"/>
      <c r="H5" s="38"/>
      <c r="J5" s="1"/>
    </row>
    <row r="6" spans="1:14" x14ac:dyDescent="0.25">
      <c r="A6" s="7"/>
      <c r="B6" s="7"/>
      <c r="C6" s="36">
        <v>2</v>
      </c>
      <c r="D6" s="34" t="s">
        <v>779</v>
      </c>
      <c r="E6" s="33" t="s">
        <v>780</v>
      </c>
      <c r="F6" s="206"/>
      <c r="G6" s="151"/>
      <c r="H6" s="38"/>
      <c r="J6" s="1"/>
    </row>
    <row r="7" spans="1:14" x14ac:dyDescent="0.25">
      <c r="A7" s="7"/>
      <c r="B7" s="7"/>
      <c r="C7" s="36">
        <v>3</v>
      </c>
      <c r="D7" s="34" t="s">
        <v>781</v>
      </c>
      <c r="E7" s="33">
        <v>2026</v>
      </c>
      <c r="F7" s="206"/>
      <c r="G7" s="151"/>
      <c r="H7" s="38"/>
      <c r="J7" s="1"/>
      <c r="L7" s="29"/>
    </row>
    <row r="8" spans="1:14" x14ac:dyDescent="0.25">
      <c r="A8" s="7"/>
      <c r="B8" s="7"/>
      <c r="C8" s="36">
        <v>4</v>
      </c>
      <c r="D8" s="34" t="s">
        <v>782</v>
      </c>
      <c r="E8" s="354" t="s">
        <v>783</v>
      </c>
      <c r="F8" s="206"/>
      <c r="G8" s="151"/>
      <c r="H8" s="38"/>
      <c r="L8" s="29"/>
    </row>
    <row r="9" spans="1:14" x14ac:dyDescent="0.25">
      <c r="A9" s="7"/>
      <c r="B9" s="7"/>
      <c r="C9" s="36">
        <v>5</v>
      </c>
      <c r="D9" s="34" t="s">
        <v>784</v>
      </c>
      <c r="E9" s="355">
        <v>46023</v>
      </c>
      <c r="F9" s="206"/>
      <c r="G9" s="151"/>
      <c r="H9" s="38"/>
      <c r="J9" s="356"/>
      <c r="L9" s="29"/>
    </row>
    <row r="10" spans="1:14" x14ac:dyDescent="0.25">
      <c r="A10" s="7"/>
      <c r="B10" s="7"/>
      <c r="C10" s="36">
        <v>6</v>
      </c>
      <c r="D10" s="34" t="s">
        <v>785</v>
      </c>
      <c r="E10" s="102">
        <v>2082.31</v>
      </c>
      <c r="F10" s="206"/>
      <c r="G10" s="151"/>
      <c r="H10" s="38"/>
      <c r="J10" s="357"/>
      <c r="L10" s="29"/>
    </row>
    <row r="11" spans="1:14" x14ac:dyDescent="0.25">
      <c r="A11" s="7"/>
      <c r="B11" s="7"/>
      <c r="C11" s="36">
        <v>7</v>
      </c>
      <c r="D11" s="34" t="s">
        <v>786</v>
      </c>
      <c r="E11" s="358">
        <v>0.4</v>
      </c>
      <c r="F11" s="206"/>
      <c r="G11" s="151"/>
      <c r="H11" s="38"/>
      <c r="J11" s="359"/>
      <c r="L11" s="29"/>
    </row>
    <row r="12" spans="1:14" x14ac:dyDescent="0.25">
      <c r="A12" s="7"/>
      <c r="B12" s="7"/>
      <c r="C12" s="36">
        <v>8</v>
      </c>
      <c r="D12" s="34" t="s">
        <v>787</v>
      </c>
      <c r="E12" s="102">
        <v>27.15</v>
      </c>
      <c r="F12" s="206"/>
      <c r="G12" s="151"/>
      <c r="H12" s="38"/>
      <c r="J12" s="357"/>
      <c r="L12" s="29"/>
    </row>
    <row r="13" spans="1:14" x14ac:dyDescent="0.25">
      <c r="A13" s="7"/>
      <c r="B13" s="7"/>
      <c r="C13" s="36">
        <v>9</v>
      </c>
      <c r="D13" s="34" t="s">
        <v>167</v>
      </c>
      <c r="E13" s="102">
        <v>25.52</v>
      </c>
      <c r="F13" s="206"/>
      <c r="G13" s="151"/>
      <c r="H13" s="38"/>
      <c r="J13" s="357"/>
      <c r="L13" s="29"/>
    </row>
    <row r="14" spans="1:14" x14ac:dyDescent="0.25">
      <c r="A14" s="7"/>
      <c r="B14" s="7"/>
      <c r="C14" s="36">
        <v>10</v>
      </c>
      <c r="D14" s="360" t="s">
        <v>207</v>
      </c>
      <c r="E14" s="102">
        <v>80</v>
      </c>
      <c r="F14" s="361"/>
      <c r="G14" s="151"/>
      <c r="H14" s="38"/>
      <c r="J14" s="357"/>
      <c r="L14" s="29"/>
      <c r="N14" s="29"/>
    </row>
    <row r="15" spans="1:14" x14ac:dyDescent="0.25">
      <c r="A15" s="7"/>
      <c r="B15" s="7"/>
      <c r="C15" s="7"/>
      <c r="D15" s="7"/>
      <c r="E15" s="10"/>
      <c r="F15" s="206"/>
      <c r="G15" s="151"/>
      <c r="N15" s="29"/>
    </row>
    <row r="16" spans="1:14" x14ac:dyDescent="0.25">
      <c r="A16" s="7"/>
      <c r="B16" s="7"/>
      <c r="C16" s="80" t="s">
        <v>9</v>
      </c>
      <c r="D16" s="353" t="s">
        <v>788</v>
      </c>
      <c r="E16" s="80"/>
      <c r="F16" s="206"/>
      <c r="G16" s="151"/>
      <c r="J16" s="151"/>
    </row>
    <row r="17" spans="1:10" x14ac:dyDescent="0.25">
      <c r="A17" s="7"/>
      <c r="B17" s="7"/>
      <c r="C17" s="33">
        <v>1</v>
      </c>
      <c r="D17" s="107" t="s">
        <v>777</v>
      </c>
      <c r="E17" s="33" t="s">
        <v>789</v>
      </c>
      <c r="F17" s="1"/>
      <c r="G17" s="151"/>
      <c r="H17" s="1"/>
      <c r="J17" s="1"/>
    </row>
    <row r="18" spans="1:10" x14ac:dyDescent="0.25">
      <c r="A18" s="7"/>
      <c r="B18" s="7"/>
      <c r="C18" s="33">
        <v>2</v>
      </c>
      <c r="D18" s="107" t="s">
        <v>779</v>
      </c>
      <c r="E18" s="33" t="s">
        <v>790</v>
      </c>
      <c r="F18" s="206"/>
      <c r="G18" s="151"/>
      <c r="H18" s="1"/>
      <c r="J18" s="1"/>
    </row>
    <row r="19" spans="1:10" x14ac:dyDescent="0.25">
      <c r="A19" s="7"/>
      <c r="B19" s="7"/>
      <c r="C19" s="33">
        <v>3</v>
      </c>
      <c r="D19" s="107" t="s">
        <v>781</v>
      </c>
      <c r="E19" s="33">
        <v>2025</v>
      </c>
      <c r="F19" s="206"/>
      <c r="G19" s="151"/>
      <c r="H19" s="1"/>
      <c r="J19" s="1"/>
    </row>
    <row r="20" spans="1:10" x14ac:dyDescent="0.25">
      <c r="A20" s="7"/>
      <c r="B20" s="7"/>
      <c r="C20" s="33">
        <v>4</v>
      </c>
      <c r="D20" s="107" t="s">
        <v>782</v>
      </c>
      <c r="E20" s="3" t="s">
        <v>791</v>
      </c>
      <c r="F20" s="206"/>
      <c r="G20" s="151"/>
      <c r="H20" s="1"/>
    </row>
    <row r="21" spans="1:10" ht="15.75" customHeight="1" x14ac:dyDescent="0.25">
      <c r="A21" s="7"/>
      <c r="B21" s="7"/>
      <c r="C21" s="33">
        <v>5</v>
      </c>
      <c r="D21" s="107" t="s">
        <v>784</v>
      </c>
      <c r="E21" s="355">
        <v>46143</v>
      </c>
      <c r="F21" s="206"/>
      <c r="G21" s="151"/>
      <c r="H21" s="1"/>
      <c r="J21" s="362"/>
    </row>
    <row r="22" spans="1:10" ht="15.75" customHeight="1" x14ac:dyDescent="0.25">
      <c r="A22" s="7"/>
      <c r="B22" s="7"/>
      <c r="C22" s="33">
        <v>6</v>
      </c>
      <c r="D22" s="107" t="s">
        <v>785</v>
      </c>
      <c r="E22" s="102">
        <v>2517.0700000000002</v>
      </c>
      <c r="F22" s="1"/>
      <c r="G22" s="151"/>
      <c r="H22" s="56"/>
      <c r="I22" s="151"/>
      <c r="J22" s="357"/>
    </row>
    <row r="23" spans="1:10" ht="15.75" customHeight="1" x14ac:dyDescent="0.25">
      <c r="A23" s="7"/>
      <c r="B23" s="7"/>
      <c r="C23" s="33">
        <v>7</v>
      </c>
      <c r="D23" s="107" t="s">
        <v>792</v>
      </c>
      <c r="E23" s="358">
        <v>0.4</v>
      </c>
      <c r="F23" s="206"/>
      <c r="G23" s="151"/>
      <c r="H23" s="1"/>
      <c r="J23" s="359"/>
    </row>
    <row r="24" spans="1:10" ht="15" customHeight="1" x14ac:dyDescent="0.25">
      <c r="A24" s="7"/>
      <c r="B24" s="7"/>
      <c r="C24" s="33">
        <v>8</v>
      </c>
      <c r="D24" s="107" t="s">
        <v>793</v>
      </c>
      <c r="E24" s="358">
        <v>0.4</v>
      </c>
      <c r="F24" s="206"/>
      <c r="G24" s="151"/>
      <c r="H24" s="1"/>
      <c r="J24" s="357"/>
    </row>
    <row r="25" spans="1:10" ht="15.75" customHeight="1" x14ac:dyDescent="0.25">
      <c r="A25" s="7"/>
      <c r="B25" s="7"/>
      <c r="C25" s="33">
        <v>9</v>
      </c>
      <c r="D25" s="107" t="s">
        <v>795</v>
      </c>
      <c r="E25" s="102">
        <v>27.15</v>
      </c>
      <c r="F25" s="206"/>
      <c r="G25" s="151"/>
      <c r="H25" s="1"/>
      <c r="J25" s="357"/>
    </row>
    <row r="26" spans="1:10" ht="15.75" customHeight="1" x14ac:dyDescent="0.25">
      <c r="A26" s="7"/>
      <c r="B26" s="7"/>
      <c r="C26" s="33">
        <v>10</v>
      </c>
      <c r="D26" s="26" t="s">
        <v>796</v>
      </c>
      <c r="E26" s="122">
        <v>121.34</v>
      </c>
      <c r="F26" s="361"/>
      <c r="G26" s="151"/>
    </row>
    <row r="27" spans="1:10" ht="15.75" customHeight="1" x14ac:dyDescent="0.25">
      <c r="A27" s="7"/>
      <c r="B27" s="7"/>
      <c r="C27" s="7"/>
      <c r="D27" s="7"/>
      <c r="E27" s="10"/>
      <c r="F27" s="206"/>
      <c r="G27" s="151"/>
      <c r="H27" s="56"/>
      <c r="I27" s="151"/>
      <c r="J27" s="151"/>
    </row>
    <row r="28" spans="1:10" ht="15.75" customHeight="1" x14ac:dyDescent="0.25">
      <c r="A28" s="7"/>
      <c r="B28" s="7"/>
      <c r="C28" s="80" t="s">
        <v>12</v>
      </c>
      <c r="D28" s="353" t="s">
        <v>798</v>
      </c>
      <c r="E28" s="80"/>
      <c r="F28" s="206"/>
      <c r="G28" s="151"/>
      <c r="H28" s="1"/>
      <c r="J28" s="1"/>
    </row>
    <row r="29" spans="1:10" ht="15.75" customHeight="1" x14ac:dyDescent="0.25">
      <c r="A29" s="7"/>
      <c r="B29" s="7"/>
      <c r="C29" s="33">
        <v>1</v>
      </c>
      <c r="D29" s="107" t="s">
        <v>777</v>
      </c>
      <c r="E29" s="33" t="s">
        <v>799</v>
      </c>
      <c r="F29" s="206"/>
      <c r="G29" s="151"/>
      <c r="H29" s="1"/>
      <c r="J29" s="1"/>
    </row>
    <row r="30" spans="1:10" ht="15.75" customHeight="1" x14ac:dyDescent="0.25">
      <c r="A30" s="7"/>
      <c r="B30" s="7"/>
      <c r="C30" s="33">
        <v>2</v>
      </c>
      <c r="D30" s="107" t="s">
        <v>779</v>
      </c>
      <c r="E30" s="33" t="s">
        <v>800</v>
      </c>
      <c r="F30" s="206"/>
      <c r="G30" s="151"/>
      <c r="H30" s="1"/>
      <c r="J30" s="1"/>
    </row>
    <row r="31" spans="1:10" ht="15.75" customHeight="1" x14ac:dyDescent="0.25">
      <c r="A31" s="7"/>
      <c r="B31" s="7"/>
      <c r="C31" s="33">
        <v>3</v>
      </c>
      <c r="D31" s="107" t="s">
        <v>781</v>
      </c>
      <c r="E31" s="33">
        <v>2025</v>
      </c>
      <c r="F31" s="206"/>
      <c r="G31" s="151"/>
      <c r="H31" s="1"/>
    </row>
    <row r="32" spans="1:10" ht="15.75" customHeight="1" x14ac:dyDescent="0.25">
      <c r="A32" s="7"/>
      <c r="B32" s="7"/>
      <c r="C32" s="33">
        <v>4</v>
      </c>
      <c r="D32" s="107" t="s">
        <v>782</v>
      </c>
      <c r="E32" s="33" t="s">
        <v>801</v>
      </c>
      <c r="F32" s="206"/>
      <c r="G32" s="151"/>
      <c r="H32" s="1"/>
      <c r="J32" s="356"/>
    </row>
    <row r="33" spans="1:10" ht="15.75" customHeight="1" x14ac:dyDescent="0.25">
      <c r="A33" s="7"/>
      <c r="B33" s="7"/>
      <c r="C33" s="33">
        <v>5</v>
      </c>
      <c r="D33" s="107" t="s">
        <v>784</v>
      </c>
      <c r="E33" s="355">
        <v>45778</v>
      </c>
      <c r="F33" s="206"/>
      <c r="G33" s="151"/>
      <c r="H33" s="1"/>
      <c r="J33" s="357"/>
    </row>
    <row r="34" spans="1:10" ht="15" customHeight="1" x14ac:dyDescent="0.25">
      <c r="A34" s="7"/>
      <c r="B34" s="7"/>
      <c r="C34" s="33">
        <v>6</v>
      </c>
      <c r="D34" s="107" t="s">
        <v>802</v>
      </c>
      <c r="E34" s="102">
        <v>2127.1999999999998</v>
      </c>
      <c r="F34" s="206"/>
      <c r="G34" s="151"/>
      <c r="H34" s="1"/>
      <c r="J34" s="359"/>
    </row>
    <row r="35" spans="1:10" ht="15.75" customHeight="1" x14ac:dyDescent="0.25">
      <c r="A35" s="7"/>
      <c r="B35" s="7"/>
      <c r="C35" s="33">
        <v>7</v>
      </c>
      <c r="D35" s="107" t="s">
        <v>803</v>
      </c>
      <c r="E35" s="358">
        <v>0.4</v>
      </c>
      <c r="F35" s="206"/>
      <c r="G35" s="151"/>
      <c r="H35" s="38"/>
      <c r="J35" s="357"/>
    </row>
    <row r="36" spans="1:10" ht="15.75" customHeight="1" x14ac:dyDescent="0.25">
      <c r="A36" s="7"/>
      <c r="B36" s="7"/>
      <c r="C36" s="33">
        <v>8</v>
      </c>
      <c r="D36" s="107" t="s">
        <v>804</v>
      </c>
      <c r="E36" s="102">
        <v>27.15</v>
      </c>
      <c r="F36" s="206"/>
      <c r="G36" s="151"/>
      <c r="H36" s="38"/>
      <c r="J36" s="357"/>
    </row>
    <row r="37" spans="1:10" ht="15.75" customHeight="1" x14ac:dyDescent="0.25">
      <c r="A37" s="7"/>
      <c r="B37" s="7"/>
      <c r="C37" s="33">
        <v>9</v>
      </c>
      <c r="D37" s="360" t="s">
        <v>167</v>
      </c>
      <c r="E37" s="102">
        <v>25.52</v>
      </c>
      <c r="F37" s="361"/>
      <c r="G37" s="151"/>
      <c r="H37" s="38"/>
      <c r="J37" s="357"/>
    </row>
    <row r="38" spans="1:10" ht="15.75" customHeight="1" x14ac:dyDescent="0.25">
      <c r="A38" s="7"/>
      <c r="B38" s="7"/>
      <c r="C38" s="7"/>
      <c r="D38" s="7"/>
      <c r="E38" s="10"/>
      <c r="F38" s="206"/>
      <c r="G38" s="151"/>
    </row>
    <row r="39" spans="1:10" ht="15.75" customHeight="1" x14ac:dyDescent="0.25">
      <c r="A39" s="7"/>
      <c r="B39" s="7"/>
      <c r="C39" s="80" t="s">
        <v>15</v>
      </c>
      <c r="D39" s="353" t="s">
        <v>805</v>
      </c>
      <c r="E39" s="80"/>
      <c r="F39" s="206"/>
      <c r="G39" s="151"/>
      <c r="H39" s="56"/>
      <c r="I39" s="151"/>
      <c r="J39" s="151"/>
    </row>
    <row r="40" spans="1:10" ht="15.75" customHeight="1" x14ac:dyDescent="0.25">
      <c r="A40" s="7"/>
      <c r="B40" s="7"/>
      <c r="C40" s="33">
        <v>1</v>
      </c>
      <c r="D40" s="107" t="s">
        <v>777</v>
      </c>
      <c r="E40" s="33" t="s">
        <v>799</v>
      </c>
      <c r="F40" s="206"/>
      <c r="G40" s="151"/>
      <c r="H40" s="1"/>
      <c r="J40" s="1"/>
    </row>
    <row r="41" spans="1:10" ht="15.75" customHeight="1" x14ac:dyDescent="0.25">
      <c r="A41" s="7"/>
      <c r="B41" s="7"/>
      <c r="C41" s="33">
        <v>2</v>
      </c>
      <c r="D41" s="107" t="s">
        <v>779</v>
      </c>
      <c r="E41" s="33" t="s">
        <v>800</v>
      </c>
      <c r="F41" s="206"/>
      <c r="G41" s="151"/>
      <c r="H41" s="1"/>
      <c r="J41" s="1"/>
    </row>
    <row r="42" spans="1:10" ht="15.75" customHeight="1" x14ac:dyDescent="0.25">
      <c r="A42" s="7"/>
      <c r="B42" s="7"/>
      <c r="C42" s="33">
        <v>3</v>
      </c>
      <c r="D42" s="107" t="s">
        <v>781</v>
      </c>
      <c r="E42" s="33">
        <v>2025</v>
      </c>
      <c r="F42" s="206"/>
      <c r="G42" s="151"/>
      <c r="H42" s="1"/>
      <c r="J42" s="1"/>
    </row>
    <row r="43" spans="1:10" ht="15.75" customHeight="1" x14ac:dyDescent="0.25">
      <c r="A43" s="7"/>
      <c r="B43" s="7"/>
      <c r="C43" s="33">
        <v>4</v>
      </c>
      <c r="D43" s="107" t="s">
        <v>782</v>
      </c>
      <c r="E43" s="33" t="s">
        <v>801</v>
      </c>
      <c r="F43" s="206"/>
      <c r="G43" s="151"/>
      <c r="H43" s="1"/>
    </row>
    <row r="44" spans="1:10" ht="15" customHeight="1" x14ac:dyDescent="0.25">
      <c r="A44" s="7"/>
      <c r="B44" s="7"/>
      <c r="C44" s="33">
        <v>5</v>
      </c>
      <c r="D44" s="107" t="s">
        <v>784</v>
      </c>
      <c r="E44" s="355">
        <v>45778</v>
      </c>
      <c r="F44" s="206"/>
      <c r="G44" s="151"/>
      <c r="H44" s="1"/>
      <c r="J44" s="356"/>
    </row>
    <row r="45" spans="1:10" ht="15.75" customHeight="1" x14ac:dyDescent="0.25">
      <c r="A45" s="7"/>
      <c r="B45" s="7"/>
      <c r="C45" s="33">
        <v>6</v>
      </c>
      <c r="D45" s="107" t="s">
        <v>802</v>
      </c>
      <c r="E45" s="102">
        <v>1896.36</v>
      </c>
      <c r="F45" s="206"/>
      <c r="G45" s="151"/>
      <c r="H45" s="1"/>
      <c r="J45" s="357"/>
    </row>
    <row r="46" spans="1:10" ht="15.75" customHeight="1" x14ac:dyDescent="0.25">
      <c r="A46" s="7"/>
      <c r="B46" s="7"/>
      <c r="C46" s="33">
        <v>7</v>
      </c>
      <c r="D46" s="107" t="s">
        <v>803</v>
      </c>
      <c r="E46" s="358">
        <v>0.4</v>
      </c>
      <c r="F46" s="206"/>
      <c r="G46" s="151"/>
      <c r="H46" s="1"/>
      <c r="J46" s="359"/>
    </row>
    <row r="47" spans="1:10" ht="15.75" customHeight="1" x14ac:dyDescent="0.25">
      <c r="A47" s="7"/>
      <c r="B47" s="7"/>
      <c r="C47" s="33">
        <v>8</v>
      </c>
      <c r="D47" s="107" t="s">
        <v>806</v>
      </c>
      <c r="E47" s="102">
        <v>27.15</v>
      </c>
      <c r="F47" s="206"/>
      <c r="G47" s="151"/>
      <c r="H47" s="38"/>
      <c r="J47" s="357"/>
    </row>
    <row r="48" spans="1:10" ht="15.75" customHeight="1" x14ac:dyDescent="0.25">
      <c r="A48" s="7"/>
      <c r="B48" s="7"/>
      <c r="C48" s="33">
        <v>9</v>
      </c>
      <c r="D48" s="360" t="s">
        <v>167</v>
      </c>
      <c r="E48" s="102">
        <v>25.52</v>
      </c>
      <c r="F48" s="206"/>
      <c r="G48" s="151"/>
      <c r="H48" s="38"/>
      <c r="J48" s="357"/>
    </row>
    <row r="49" spans="1:10" ht="15.75" customHeight="1" x14ac:dyDescent="0.25">
      <c r="A49" s="7"/>
      <c r="B49" s="7"/>
      <c r="C49" s="7"/>
      <c r="D49" s="7"/>
      <c r="E49" s="10"/>
      <c r="F49" s="206"/>
      <c r="G49" s="151"/>
      <c r="H49" s="38"/>
      <c r="J49" s="357"/>
    </row>
    <row r="50" spans="1:10" ht="15.75" customHeight="1" x14ac:dyDescent="0.25">
      <c r="A50" s="7"/>
      <c r="B50" s="7"/>
      <c r="C50" s="80" t="s">
        <v>17</v>
      </c>
      <c r="D50" s="353" t="s">
        <v>807</v>
      </c>
      <c r="E50" s="80"/>
      <c r="F50" s="206"/>
      <c r="G50" s="151"/>
    </row>
    <row r="51" spans="1:10" ht="15.75" customHeight="1" x14ac:dyDescent="0.25">
      <c r="A51" s="7"/>
      <c r="B51" s="7"/>
      <c r="C51" s="33">
        <v>1</v>
      </c>
      <c r="D51" s="107" t="s">
        <v>777</v>
      </c>
      <c r="E51" s="33" t="s">
        <v>809</v>
      </c>
      <c r="F51" s="206"/>
      <c r="G51" s="151"/>
      <c r="H51" s="56"/>
      <c r="I51" s="151"/>
      <c r="J51" s="151"/>
    </row>
    <row r="52" spans="1:10" ht="15.75" customHeight="1" x14ac:dyDescent="0.25">
      <c r="A52" s="7"/>
      <c r="B52" s="7"/>
      <c r="C52" s="33">
        <v>2</v>
      </c>
      <c r="D52" s="107" t="s">
        <v>779</v>
      </c>
      <c r="E52" s="33" t="s">
        <v>780</v>
      </c>
      <c r="F52" s="206"/>
      <c r="G52" s="151"/>
      <c r="H52" s="1"/>
      <c r="J52" s="1"/>
    </row>
    <row r="53" spans="1:10" ht="15.75" customHeight="1" x14ac:dyDescent="0.25">
      <c r="A53" s="7"/>
      <c r="B53" s="7"/>
      <c r="C53" s="33">
        <v>3</v>
      </c>
      <c r="D53" s="107" t="s">
        <v>781</v>
      </c>
      <c r="E53" s="33">
        <v>2026</v>
      </c>
      <c r="F53" s="206"/>
      <c r="G53" s="151"/>
      <c r="H53" s="1"/>
      <c r="J53" s="1"/>
    </row>
    <row r="54" spans="1:10" ht="15" customHeight="1" x14ac:dyDescent="0.25">
      <c r="A54" s="7"/>
      <c r="B54" s="7"/>
      <c r="C54" s="33">
        <v>4</v>
      </c>
      <c r="D54" s="107" t="s">
        <v>782</v>
      </c>
      <c r="E54" s="354" t="s">
        <v>783</v>
      </c>
      <c r="F54" s="206"/>
      <c r="G54" s="151"/>
      <c r="H54" s="1"/>
      <c r="J54" s="1"/>
    </row>
    <row r="55" spans="1:10" ht="15.75" customHeight="1" x14ac:dyDescent="0.25">
      <c r="A55" s="7"/>
      <c r="B55" s="7"/>
      <c r="C55" s="33">
        <v>5</v>
      </c>
      <c r="D55" s="107" t="s">
        <v>784</v>
      </c>
      <c r="E55" s="355">
        <v>46023</v>
      </c>
      <c r="F55" s="206"/>
      <c r="G55" s="151"/>
      <c r="H55" s="1"/>
    </row>
    <row r="56" spans="1:10" ht="15.75" customHeight="1" x14ac:dyDescent="0.25">
      <c r="A56" s="7"/>
      <c r="B56" s="7"/>
      <c r="C56" s="33">
        <v>6</v>
      </c>
      <c r="D56" s="107" t="s">
        <v>785</v>
      </c>
      <c r="E56" s="102">
        <v>2307.83</v>
      </c>
      <c r="F56" s="206"/>
      <c r="G56" s="151"/>
      <c r="H56" s="1"/>
      <c r="J56" s="356"/>
    </row>
    <row r="57" spans="1:10" ht="15.75" customHeight="1" x14ac:dyDescent="0.25">
      <c r="A57" s="7"/>
      <c r="B57" s="7"/>
      <c r="C57" s="33">
        <v>7</v>
      </c>
      <c r="D57" s="107" t="s">
        <v>810</v>
      </c>
      <c r="E57" s="102">
        <v>27.15</v>
      </c>
      <c r="F57" s="206"/>
      <c r="G57" s="151"/>
      <c r="H57" s="1"/>
      <c r="J57" s="357"/>
    </row>
    <row r="58" spans="1:10" ht="15.75" customHeight="1" x14ac:dyDescent="0.25">
      <c r="A58" s="7"/>
      <c r="B58" s="7"/>
      <c r="C58" s="33">
        <v>8</v>
      </c>
      <c r="D58" s="34" t="s">
        <v>167</v>
      </c>
      <c r="E58" s="102">
        <v>25.52</v>
      </c>
      <c r="F58" s="206"/>
      <c r="G58" s="151"/>
      <c r="H58" s="1"/>
      <c r="J58" s="357"/>
    </row>
    <row r="59" spans="1:10" ht="15.75" customHeight="1" x14ac:dyDescent="0.25">
      <c r="A59" s="7"/>
      <c r="B59" s="7"/>
      <c r="C59" s="36">
        <v>9</v>
      </c>
      <c r="D59" s="360" t="s">
        <v>207</v>
      </c>
      <c r="E59" s="102">
        <v>80</v>
      </c>
      <c r="F59" s="206"/>
      <c r="G59" s="151"/>
      <c r="H59" s="1"/>
      <c r="J59" s="357"/>
    </row>
    <row r="60" spans="1:10" ht="15.75" customHeight="1" x14ac:dyDescent="0.25">
      <c r="A60" s="7"/>
      <c r="B60" s="7"/>
      <c r="C60" s="7"/>
      <c r="D60" s="7"/>
      <c r="E60" s="10"/>
      <c r="F60" s="206"/>
      <c r="G60" s="151"/>
      <c r="H60" s="38"/>
      <c r="J60" s="357"/>
    </row>
    <row r="61" spans="1:10" ht="15.75" customHeight="1" x14ac:dyDescent="0.25">
      <c r="A61" s="7"/>
      <c r="B61" s="7"/>
      <c r="C61" s="80" t="s">
        <v>812</v>
      </c>
      <c r="D61" s="353" t="s">
        <v>813</v>
      </c>
      <c r="E61" s="80"/>
      <c r="F61" s="206"/>
      <c r="G61" s="151"/>
    </row>
    <row r="62" spans="1:10" ht="15.75" customHeight="1" x14ac:dyDescent="0.25">
      <c r="A62" s="7"/>
      <c r="B62" s="7"/>
      <c r="C62" s="33">
        <v>1</v>
      </c>
      <c r="D62" s="107" t="s">
        <v>777</v>
      </c>
      <c r="E62" s="33">
        <v>5143</v>
      </c>
      <c r="F62" s="206"/>
      <c r="G62" s="151"/>
      <c r="H62" s="56"/>
      <c r="I62" s="311"/>
      <c r="J62" s="151"/>
    </row>
    <row r="63" spans="1:10" ht="15.75" customHeight="1" x14ac:dyDescent="0.25">
      <c r="A63" s="7"/>
      <c r="B63" s="7"/>
      <c r="C63" s="33">
        <v>2</v>
      </c>
      <c r="D63" s="34" t="s">
        <v>779</v>
      </c>
      <c r="E63" s="33" t="s">
        <v>780</v>
      </c>
      <c r="F63" s="206"/>
      <c r="G63" s="151"/>
      <c r="H63" s="1"/>
      <c r="J63" s="1"/>
    </row>
    <row r="64" spans="1:10" ht="15.75" customHeight="1" x14ac:dyDescent="0.25">
      <c r="A64" s="7"/>
      <c r="B64" s="7"/>
      <c r="C64" s="33">
        <v>3</v>
      </c>
      <c r="D64" s="34" t="s">
        <v>781</v>
      </c>
      <c r="E64" s="33">
        <v>2026</v>
      </c>
      <c r="F64" s="206"/>
      <c r="G64" s="151"/>
      <c r="H64" s="1"/>
      <c r="J64" s="1"/>
    </row>
    <row r="65" spans="1:10" ht="15" customHeight="1" x14ac:dyDescent="0.25">
      <c r="A65" s="7"/>
      <c r="B65" s="7"/>
      <c r="C65" s="33">
        <v>4</v>
      </c>
      <c r="D65" s="34" t="s">
        <v>782</v>
      </c>
      <c r="E65" s="354" t="s">
        <v>783</v>
      </c>
      <c r="F65" s="206"/>
      <c r="G65" s="151"/>
      <c r="H65" s="1"/>
      <c r="J65" s="1"/>
    </row>
    <row r="66" spans="1:10" ht="15.75" customHeight="1" x14ac:dyDescent="0.25">
      <c r="A66" s="7"/>
      <c r="B66" s="7"/>
      <c r="C66" s="33">
        <v>5</v>
      </c>
      <c r="D66" s="34" t="s">
        <v>784</v>
      </c>
      <c r="E66" s="355">
        <v>46023</v>
      </c>
      <c r="F66" s="206"/>
      <c r="G66" s="151"/>
      <c r="H66" s="1"/>
    </row>
    <row r="67" spans="1:10" ht="15.75" customHeight="1" x14ac:dyDescent="0.25">
      <c r="A67" s="7"/>
      <c r="B67" s="7"/>
      <c r="C67" s="33">
        <v>6</v>
      </c>
      <c r="D67" s="34" t="s">
        <v>785</v>
      </c>
      <c r="E67" s="102">
        <v>1765.86</v>
      </c>
      <c r="F67" s="206"/>
      <c r="G67" s="151"/>
      <c r="H67" s="1"/>
      <c r="J67" s="356"/>
    </row>
    <row r="68" spans="1:10" ht="15.75" customHeight="1" x14ac:dyDescent="0.25">
      <c r="A68" s="7"/>
      <c r="B68" s="7"/>
      <c r="C68" s="33">
        <v>7</v>
      </c>
      <c r="D68" s="34" t="s">
        <v>786</v>
      </c>
      <c r="E68" s="358">
        <v>0.4</v>
      </c>
      <c r="F68" s="206"/>
      <c r="G68" s="151"/>
      <c r="H68" s="1"/>
      <c r="J68" s="357"/>
    </row>
    <row r="69" spans="1:10" ht="15.75" customHeight="1" x14ac:dyDescent="0.25">
      <c r="A69" s="7"/>
      <c r="B69" s="7"/>
      <c r="C69" s="33">
        <v>8</v>
      </c>
      <c r="D69" s="34" t="s">
        <v>810</v>
      </c>
      <c r="E69" s="102">
        <v>27.15</v>
      </c>
      <c r="F69" s="206"/>
      <c r="G69" s="151"/>
      <c r="H69" s="1"/>
      <c r="J69" s="359"/>
    </row>
    <row r="70" spans="1:10" ht="15.75" customHeight="1" x14ac:dyDescent="0.25">
      <c r="A70" s="7"/>
      <c r="B70" s="7"/>
      <c r="C70" s="33">
        <v>9</v>
      </c>
      <c r="D70" s="34" t="s">
        <v>167</v>
      </c>
      <c r="E70" s="102">
        <v>25.52</v>
      </c>
      <c r="F70" s="206"/>
      <c r="G70" s="151"/>
      <c r="H70" s="1"/>
      <c r="J70" s="357"/>
    </row>
    <row r="71" spans="1:10" ht="15.75" customHeight="1" x14ac:dyDescent="0.25">
      <c r="A71" s="7"/>
      <c r="B71" s="7"/>
      <c r="C71" s="36">
        <v>10</v>
      </c>
      <c r="D71" s="360" t="s">
        <v>207</v>
      </c>
      <c r="E71" s="102">
        <v>80</v>
      </c>
      <c r="F71" s="206"/>
      <c r="G71" s="151"/>
      <c r="H71" s="1"/>
      <c r="J71" s="357"/>
    </row>
    <row r="72" spans="1:10" ht="15.75" customHeight="1" x14ac:dyDescent="0.25">
      <c r="A72" s="7"/>
      <c r="B72" s="7"/>
      <c r="C72" s="7"/>
      <c r="D72" s="7"/>
      <c r="E72" s="10"/>
      <c r="F72" s="206"/>
      <c r="G72" s="151"/>
      <c r="H72" s="38"/>
      <c r="J72" s="357"/>
    </row>
    <row r="73" spans="1:10" ht="15.75" customHeight="1" x14ac:dyDescent="0.25">
      <c r="A73" s="7"/>
      <c r="B73" s="7"/>
      <c r="C73" s="80" t="s">
        <v>814</v>
      </c>
      <c r="D73" s="353" t="s">
        <v>815</v>
      </c>
      <c r="E73" s="80"/>
      <c r="F73" s="206"/>
      <c r="G73" s="151"/>
    </row>
    <row r="74" spans="1:10" ht="15.75" customHeight="1" x14ac:dyDescent="0.25">
      <c r="A74" s="7"/>
      <c r="B74" s="7"/>
      <c r="C74" s="33">
        <v>1</v>
      </c>
      <c r="D74" s="107" t="s">
        <v>777</v>
      </c>
      <c r="E74" s="33" t="s">
        <v>816</v>
      </c>
      <c r="F74" s="206"/>
      <c r="G74" s="151"/>
      <c r="H74" s="56"/>
      <c r="I74" s="311"/>
      <c r="J74" s="151"/>
    </row>
    <row r="75" spans="1:10" ht="15.75" customHeight="1" x14ac:dyDescent="0.25">
      <c r="A75" s="7"/>
      <c r="B75" s="7"/>
      <c r="C75" s="33">
        <v>2</v>
      </c>
      <c r="D75" s="34" t="s">
        <v>779</v>
      </c>
      <c r="E75" s="33" t="s">
        <v>780</v>
      </c>
      <c r="F75" s="206"/>
      <c r="G75" s="151"/>
      <c r="H75" s="1"/>
      <c r="J75" s="1"/>
    </row>
    <row r="76" spans="1:10" ht="15" customHeight="1" x14ac:dyDescent="0.25">
      <c r="A76" s="7"/>
      <c r="B76" s="7"/>
      <c r="C76" s="33">
        <v>3</v>
      </c>
      <c r="D76" s="34" t="s">
        <v>781</v>
      </c>
      <c r="E76" s="33">
        <v>2026</v>
      </c>
      <c r="F76" s="206"/>
      <c r="G76" s="151"/>
      <c r="H76" s="1"/>
      <c r="J76" s="1"/>
    </row>
    <row r="77" spans="1:10" ht="15.75" customHeight="1" x14ac:dyDescent="0.25">
      <c r="A77" s="7"/>
      <c r="B77" s="7"/>
      <c r="C77" s="33">
        <v>4</v>
      </c>
      <c r="D77" s="34" t="s">
        <v>782</v>
      </c>
      <c r="E77" s="354" t="s">
        <v>783</v>
      </c>
      <c r="F77" s="206"/>
      <c r="G77" s="151"/>
      <c r="H77" s="1"/>
      <c r="J77" s="1"/>
    </row>
    <row r="78" spans="1:10" ht="15.75" customHeight="1" x14ac:dyDescent="0.25">
      <c r="A78" s="7"/>
      <c r="B78" s="7"/>
      <c r="C78" s="33">
        <v>5</v>
      </c>
      <c r="D78" s="34" t="s">
        <v>784</v>
      </c>
      <c r="E78" s="355">
        <v>46023</v>
      </c>
      <c r="F78" s="206"/>
      <c r="G78" s="151"/>
      <c r="H78" s="1"/>
    </row>
    <row r="79" spans="1:10" ht="15.75" customHeight="1" x14ac:dyDescent="0.25">
      <c r="A79" s="7"/>
      <c r="B79" s="7"/>
      <c r="C79" s="33">
        <v>6</v>
      </c>
      <c r="D79" s="34" t="s">
        <v>785</v>
      </c>
      <c r="E79" s="102">
        <v>1765.86</v>
      </c>
      <c r="F79" s="206"/>
      <c r="G79" s="151"/>
      <c r="H79" s="1"/>
      <c r="J79" s="356"/>
    </row>
    <row r="80" spans="1:10" ht="15.75" customHeight="1" x14ac:dyDescent="0.25">
      <c r="A80" s="7"/>
      <c r="B80" s="7"/>
      <c r="C80" s="33">
        <v>7</v>
      </c>
      <c r="D80" s="34" t="s">
        <v>817</v>
      </c>
      <c r="E80" s="358">
        <v>0.4</v>
      </c>
      <c r="F80" s="206"/>
      <c r="G80" s="151"/>
      <c r="H80" s="1"/>
      <c r="J80" s="357"/>
    </row>
    <row r="81" spans="1:10" ht="15.75" customHeight="1" x14ac:dyDescent="0.25">
      <c r="A81" s="7"/>
      <c r="B81" s="7"/>
      <c r="C81" s="33">
        <v>8</v>
      </c>
      <c r="D81" s="34" t="s">
        <v>787</v>
      </c>
      <c r="E81" s="102">
        <v>27.15</v>
      </c>
      <c r="F81" s="206"/>
      <c r="G81" s="151"/>
      <c r="H81" s="1"/>
      <c r="J81" s="359"/>
    </row>
    <row r="82" spans="1:10" ht="15.75" customHeight="1" x14ac:dyDescent="0.25">
      <c r="A82" s="7"/>
      <c r="B82" s="7"/>
      <c r="C82" s="33">
        <v>9</v>
      </c>
      <c r="D82" s="34" t="s">
        <v>818</v>
      </c>
      <c r="E82" s="102">
        <v>25.52</v>
      </c>
      <c r="F82" s="206"/>
      <c r="G82" s="151"/>
      <c r="H82" s="1"/>
      <c r="J82" s="357"/>
    </row>
    <row r="83" spans="1:10" ht="15.75" customHeight="1" x14ac:dyDescent="0.25">
      <c r="A83" s="7"/>
      <c r="B83" s="7"/>
      <c r="C83" s="36">
        <v>10</v>
      </c>
      <c r="D83" s="360" t="s">
        <v>207</v>
      </c>
      <c r="E83" s="102">
        <v>80</v>
      </c>
      <c r="F83" s="206"/>
      <c r="G83" s="151"/>
      <c r="H83" s="1"/>
      <c r="J83" s="357"/>
    </row>
    <row r="84" spans="1:10" ht="15.75" customHeight="1" x14ac:dyDescent="0.25">
      <c r="A84" s="7"/>
      <c r="B84" s="7"/>
      <c r="C84" s="7"/>
      <c r="D84" s="7"/>
      <c r="E84" s="10"/>
      <c r="F84" s="206"/>
      <c r="G84" s="151"/>
      <c r="H84" s="38"/>
      <c r="J84" s="357"/>
    </row>
    <row r="85" spans="1:10" ht="15.75" customHeight="1" x14ac:dyDescent="0.25">
      <c r="A85" s="7"/>
      <c r="B85" s="7"/>
      <c r="C85" s="80" t="s">
        <v>819</v>
      </c>
      <c r="D85" s="353" t="s">
        <v>820</v>
      </c>
      <c r="E85" s="80"/>
      <c r="F85" s="206"/>
      <c r="G85" s="151"/>
    </row>
    <row r="86" spans="1:10" ht="15" customHeight="1" x14ac:dyDescent="0.25">
      <c r="A86" s="7"/>
      <c r="B86" s="7"/>
      <c r="C86" s="33">
        <v>1</v>
      </c>
      <c r="D86" s="107" t="s">
        <v>777</v>
      </c>
      <c r="E86" s="33" t="s">
        <v>821</v>
      </c>
      <c r="F86" s="206"/>
      <c r="G86" s="151"/>
      <c r="H86" s="56"/>
      <c r="I86" s="151"/>
      <c r="J86" s="151"/>
    </row>
    <row r="87" spans="1:10" ht="15.75" customHeight="1" x14ac:dyDescent="0.25">
      <c r="A87" s="7"/>
      <c r="B87" s="7"/>
      <c r="C87" s="33">
        <v>2</v>
      </c>
      <c r="D87" s="34" t="s">
        <v>779</v>
      </c>
      <c r="E87" s="33" t="s">
        <v>780</v>
      </c>
      <c r="F87" s="206"/>
      <c r="G87" s="151"/>
      <c r="H87" s="1"/>
      <c r="J87" s="1"/>
    </row>
    <row r="88" spans="1:10" ht="15.75" customHeight="1" x14ac:dyDescent="0.25">
      <c r="A88" s="7"/>
      <c r="B88" s="7"/>
      <c r="C88" s="33">
        <v>3</v>
      </c>
      <c r="D88" s="34" t="s">
        <v>781</v>
      </c>
      <c r="E88" s="33">
        <v>2026</v>
      </c>
      <c r="F88" s="206"/>
      <c r="G88" s="151"/>
      <c r="H88" s="1"/>
      <c r="J88" s="1"/>
    </row>
    <row r="89" spans="1:10" ht="15.75" customHeight="1" x14ac:dyDescent="0.25">
      <c r="A89" s="7"/>
      <c r="B89" s="7"/>
      <c r="C89" s="33">
        <v>4</v>
      </c>
      <c r="D89" s="34" t="s">
        <v>782</v>
      </c>
      <c r="E89" s="354" t="s">
        <v>783</v>
      </c>
      <c r="F89" s="206"/>
      <c r="G89" s="151"/>
      <c r="H89" s="1"/>
      <c r="J89" s="1"/>
    </row>
    <row r="90" spans="1:10" ht="15.75" customHeight="1" x14ac:dyDescent="0.25">
      <c r="A90" s="7"/>
      <c r="B90" s="7"/>
      <c r="C90" s="33">
        <v>5</v>
      </c>
      <c r="D90" s="34" t="s">
        <v>784</v>
      </c>
      <c r="E90" s="355">
        <v>46023</v>
      </c>
      <c r="F90" s="206"/>
      <c r="G90" s="151"/>
      <c r="H90" s="1"/>
    </row>
    <row r="91" spans="1:10" ht="15.75" customHeight="1" x14ac:dyDescent="0.25">
      <c r="A91" s="7"/>
      <c r="B91" s="7"/>
      <c r="C91" s="33">
        <v>6</v>
      </c>
      <c r="D91" s="34" t="s">
        <v>785</v>
      </c>
      <c r="E91" s="102">
        <v>2126.25</v>
      </c>
      <c r="F91" s="206"/>
      <c r="G91" s="151"/>
      <c r="H91" s="1"/>
      <c r="J91" s="356"/>
    </row>
    <row r="92" spans="1:10" ht="15.75" customHeight="1" x14ac:dyDescent="0.25">
      <c r="A92" s="7"/>
      <c r="B92" s="7"/>
      <c r="C92" s="33">
        <v>7</v>
      </c>
      <c r="D92" s="34" t="s">
        <v>810</v>
      </c>
      <c r="E92" s="102">
        <v>27.15</v>
      </c>
      <c r="F92" s="206"/>
      <c r="G92" s="151"/>
      <c r="H92" s="1"/>
      <c r="J92" s="357"/>
    </row>
    <row r="93" spans="1:10" ht="15.75" customHeight="1" x14ac:dyDescent="0.25">
      <c r="A93" s="7"/>
      <c r="B93" s="7"/>
      <c r="C93" s="33">
        <v>8</v>
      </c>
      <c r="D93" s="34" t="s">
        <v>167</v>
      </c>
      <c r="E93" s="102">
        <v>25.52</v>
      </c>
      <c r="F93" s="206"/>
      <c r="G93" s="151"/>
      <c r="H93" s="1"/>
      <c r="J93" s="357"/>
    </row>
    <row r="94" spans="1:10" ht="15.75" customHeight="1" x14ac:dyDescent="0.25">
      <c r="A94" s="7"/>
      <c r="B94" s="7"/>
      <c r="C94" s="36">
        <v>9</v>
      </c>
      <c r="D94" s="360" t="s">
        <v>207</v>
      </c>
      <c r="E94" s="102">
        <v>80</v>
      </c>
      <c r="F94" s="206"/>
      <c r="G94" s="151"/>
      <c r="H94" s="1"/>
      <c r="J94" s="357"/>
    </row>
    <row r="95" spans="1:10" ht="15.75" customHeight="1" x14ac:dyDescent="0.25">
      <c r="A95" s="7"/>
      <c r="B95" s="7"/>
      <c r="C95" s="7"/>
      <c r="D95" s="7"/>
      <c r="E95" s="10"/>
      <c r="F95" s="206"/>
      <c r="G95" s="151"/>
      <c r="H95" s="38"/>
      <c r="J95" s="357"/>
    </row>
    <row r="96" spans="1:10" ht="15.75" customHeight="1" x14ac:dyDescent="0.25">
      <c r="A96" s="7"/>
      <c r="B96" s="7"/>
      <c r="C96" s="80" t="s">
        <v>116</v>
      </c>
      <c r="D96" s="353" t="s">
        <v>823</v>
      </c>
      <c r="E96" s="80"/>
      <c r="F96" s="206"/>
      <c r="G96" s="151"/>
      <c r="H96" s="1"/>
      <c r="J96" s="1"/>
    </row>
    <row r="97" spans="1:10" ht="15.75" customHeight="1" x14ac:dyDescent="0.25">
      <c r="A97" s="7"/>
      <c r="B97" s="7"/>
      <c r="C97" s="33">
        <v>1</v>
      </c>
      <c r="D97" s="107" t="s">
        <v>777</v>
      </c>
      <c r="E97" s="33">
        <v>510105</v>
      </c>
      <c r="F97" s="206"/>
      <c r="G97" s="151"/>
      <c r="H97" s="1"/>
      <c r="J97" s="1"/>
    </row>
    <row r="98" spans="1:10" ht="15.75" customHeight="1" x14ac:dyDescent="0.25">
      <c r="A98" s="7"/>
      <c r="B98" s="7"/>
      <c r="C98" s="33">
        <v>2</v>
      </c>
      <c r="D98" s="34" t="s">
        <v>779</v>
      </c>
      <c r="E98" s="33" t="s">
        <v>824</v>
      </c>
      <c r="F98" s="206"/>
      <c r="G98" s="151"/>
      <c r="H98" s="1"/>
      <c r="J98" s="1"/>
    </row>
    <row r="99" spans="1:10" ht="15.75" customHeight="1" x14ac:dyDescent="0.25">
      <c r="A99" s="7"/>
      <c r="B99" s="7"/>
      <c r="C99" s="33">
        <v>3</v>
      </c>
      <c r="D99" s="34" t="s">
        <v>781</v>
      </c>
      <c r="E99" s="33" t="s">
        <v>824</v>
      </c>
      <c r="F99" s="206"/>
      <c r="G99" s="151"/>
      <c r="H99" s="1"/>
    </row>
    <row r="100" spans="1:10" ht="15.75" customHeight="1" x14ac:dyDescent="0.25">
      <c r="A100" s="7"/>
      <c r="B100" s="7"/>
      <c r="C100" s="33">
        <v>4</v>
      </c>
      <c r="D100" s="34" t="s">
        <v>782</v>
      </c>
      <c r="E100" s="367" t="s">
        <v>824</v>
      </c>
      <c r="F100" s="206"/>
      <c r="G100" s="151"/>
      <c r="H100" s="1"/>
      <c r="J100" s="356"/>
    </row>
    <row r="101" spans="1:10" ht="15.75" customHeight="1" x14ac:dyDescent="0.25">
      <c r="A101" s="7"/>
      <c r="B101" s="7"/>
      <c r="C101" s="33">
        <v>5</v>
      </c>
      <c r="D101" s="34" t="s">
        <v>784</v>
      </c>
      <c r="E101" s="355" t="s">
        <v>824</v>
      </c>
      <c r="F101" s="206"/>
      <c r="G101" s="151"/>
      <c r="H101" s="1"/>
      <c r="J101" s="357"/>
    </row>
    <row r="102" spans="1:10" ht="15.75" customHeight="1" x14ac:dyDescent="0.25">
      <c r="A102" s="7"/>
      <c r="B102" s="7"/>
      <c r="C102" s="33">
        <v>6</v>
      </c>
      <c r="D102" s="34" t="s">
        <v>827</v>
      </c>
      <c r="E102" s="102">
        <v>3600</v>
      </c>
      <c r="F102" s="206"/>
      <c r="G102" s="151"/>
      <c r="H102" s="1"/>
      <c r="J102" s="359"/>
    </row>
    <row r="103" spans="1:10" ht="15.75" customHeight="1" x14ac:dyDescent="0.25">
      <c r="A103" s="7"/>
      <c r="B103" s="7"/>
      <c r="C103" s="33">
        <v>7</v>
      </c>
      <c r="D103" s="107" t="s">
        <v>803</v>
      </c>
      <c r="E103" s="358">
        <v>0.4</v>
      </c>
      <c r="F103" s="206"/>
      <c r="G103" s="151"/>
      <c r="H103" s="1"/>
      <c r="J103" s="359"/>
    </row>
    <row r="104" spans="1:10" ht="15" customHeight="1" x14ac:dyDescent="0.25">
      <c r="A104" s="7"/>
      <c r="B104" s="7"/>
      <c r="C104" s="33">
        <v>8</v>
      </c>
      <c r="D104" s="34" t="s">
        <v>828</v>
      </c>
      <c r="E104" s="102">
        <v>27.15</v>
      </c>
      <c r="F104" s="206"/>
      <c r="G104" s="151"/>
      <c r="H104" s="1"/>
      <c r="J104" s="357"/>
    </row>
    <row r="105" spans="1:10" ht="15" customHeight="1" x14ac:dyDescent="0.25">
      <c r="A105" s="7"/>
      <c r="B105" s="7"/>
      <c r="C105" s="3">
        <v>9</v>
      </c>
      <c r="D105" s="34" t="s">
        <v>167</v>
      </c>
      <c r="E105" s="368">
        <v>25.52</v>
      </c>
      <c r="F105" s="56"/>
      <c r="G105" s="151"/>
      <c r="H105" s="1"/>
      <c r="J105" s="357"/>
    </row>
    <row r="106" spans="1:10" ht="15.75" customHeight="1" x14ac:dyDescent="0.25">
      <c r="A106" s="7"/>
      <c r="B106" s="7"/>
      <c r="C106" s="7"/>
      <c r="D106" s="7"/>
      <c r="E106" s="10"/>
      <c r="F106" s="206"/>
      <c r="G106" s="151"/>
      <c r="H106" s="1"/>
      <c r="J106" s="357"/>
    </row>
    <row r="107" spans="1:10" ht="15.75" customHeight="1" x14ac:dyDescent="0.25">
      <c r="A107" s="7"/>
      <c r="B107" s="7"/>
      <c r="C107" s="80" t="s">
        <v>830</v>
      </c>
      <c r="D107" s="353" t="s">
        <v>831</v>
      </c>
      <c r="E107" s="80"/>
      <c r="F107" s="206"/>
      <c r="G107" s="151"/>
      <c r="H107" s="38"/>
      <c r="J107" s="357"/>
    </row>
    <row r="108" spans="1:10" ht="15.75" customHeight="1" x14ac:dyDescent="0.25">
      <c r="A108" s="7"/>
      <c r="B108" s="7"/>
      <c r="C108" s="33">
        <v>1</v>
      </c>
      <c r="D108" s="107" t="s">
        <v>777</v>
      </c>
      <c r="E108" s="33">
        <v>1421</v>
      </c>
      <c r="F108" s="206"/>
      <c r="G108" s="151"/>
    </row>
    <row r="109" spans="1:10" ht="15.75" customHeight="1" x14ac:dyDescent="0.25">
      <c r="A109" s="7"/>
      <c r="B109" s="7"/>
      <c r="C109" s="33">
        <v>2</v>
      </c>
      <c r="D109" s="34" t="s">
        <v>779</v>
      </c>
      <c r="E109" s="33" t="s">
        <v>824</v>
      </c>
      <c r="F109" s="206"/>
      <c r="G109" s="151"/>
      <c r="H109" s="56"/>
      <c r="I109" s="151"/>
      <c r="J109" s="151"/>
    </row>
    <row r="110" spans="1:10" ht="15.75" customHeight="1" x14ac:dyDescent="0.25">
      <c r="A110" s="7"/>
      <c r="B110" s="7"/>
      <c r="C110" s="33">
        <v>3</v>
      </c>
      <c r="D110" s="34" t="s">
        <v>781</v>
      </c>
      <c r="E110" s="33" t="s">
        <v>824</v>
      </c>
      <c r="F110" s="206"/>
      <c r="G110" s="151"/>
      <c r="H110" s="1"/>
      <c r="J110" s="1"/>
    </row>
    <row r="111" spans="1:10" ht="15.75" customHeight="1" x14ac:dyDescent="0.25">
      <c r="A111" s="7"/>
      <c r="B111" s="7"/>
      <c r="C111" s="33">
        <v>4</v>
      </c>
      <c r="D111" s="34" t="s">
        <v>782</v>
      </c>
      <c r="E111" s="3" t="s">
        <v>824</v>
      </c>
      <c r="F111" s="206"/>
      <c r="G111" s="151"/>
      <c r="H111" s="1"/>
      <c r="J111" s="1"/>
    </row>
    <row r="112" spans="1:10" ht="15.75" customHeight="1" x14ac:dyDescent="0.25">
      <c r="A112" s="7"/>
      <c r="B112" s="7"/>
      <c r="C112" s="33">
        <v>5</v>
      </c>
      <c r="D112" s="34" t="s">
        <v>784</v>
      </c>
      <c r="E112" s="355" t="s">
        <v>824</v>
      </c>
      <c r="F112" s="206"/>
      <c r="G112" s="151"/>
      <c r="H112" s="1"/>
      <c r="J112" s="1"/>
    </row>
    <row r="113" spans="1:10" ht="15.75" customHeight="1" x14ac:dyDescent="0.25">
      <c r="A113" s="7"/>
      <c r="B113" s="7"/>
      <c r="C113" s="33">
        <v>6</v>
      </c>
      <c r="D113" s="34" t="s">
        <v>832</v>
      </c>
      <c r="E113" s="102">
        <v>6876.95</v>
      </c>
      <c r="F113" s="206"/>
      <c r="G113" s="151"/>
      <c r="H113" s="1"/>
      <c r="J113" s="1"/>
    </row>
    <row r="114" spans="1:10" ht="15.75" customHeight="1" x14ac:dyDescent="0.25">
      <c r="A114" s="7"/>
      <c r="B114" s="7"/>
      <c r="C114" s="33">
        <v>7</v>
      </c>
      <c r="D114" s="34" t="s">
        <v>833</v>
      </c>
      <c r="E114" s="102">
        <v>27.15</v>
      </c>
      <c r="F114" s="206"/>
      <c r="G114" s="151"/>
      <c r="H114" s="1"/>
    </row>
    <row r="115" spans="1:10" ht="15.75" customHeight="1" x14ac:dyDescent="0.25">
      <c r="A115" s="7"/>
      <c r="B115" s="7"/>
      <c r="C115" s="3">
        <v>8</v>
      </c>
      <c r="D115" s="34" t="s">
        <v>167</v>
      </c>
      <c r="E115" s="368">
        <v>25.52</v>
      </c>
      <c r="F115" s="56"/>
      <c r="G115" s="151"/>
      <c r="H115" s="1"/>
      <c r="J115" s="356"/>
    </row>
    <row r="116" spans="1:10" ht="15" customHeight="1" x14ac:dyDescent="0.25">
      <c r="A116" s="7"/>
      <c r="B116" s="7"/>
      <c r="C116" s="7"/>
      <c r="D116" s="7"/>
      <c r="E116" s="7"/>
      <c r="F116" s="206"/>
      <c r="G116" s="151"/>
      <c r="H116" s="1"/>
      <c r="J116" s="357"/>
    </row>
    <row r="117" spans="1:10" ht="15.75" customHeight="1" x14ac:dyDescent="0.25">
      <c r="A117" s="7"/>
      <c r="B117" s="7"/>
      <c r="C117" s="792" t="s">
        <v>834</v>
      </c>
      <c r="D117" s="537"/>
      <c r="E117" s="538"/>
      <c r="F117" s="206"/>
      <c r="G117" s="151"/>
      <c r="H117" s="1"/>
      <c r="J117" s="357"/>
    </row>
    <row r="118" spans="1:10" ht="106.5" customHeight="1" x14ac:dyDescent="0.25">
      <c r="A118" s="7"/>
      <c r="B118" s="7"/>
      <c r="C118" s="793" t="s">
        <v>835</v>
      </c>
      <c r="D118" s="542"/>
      <c r="E118" s="577"/>
      <c r="F118" s="369"/>
      <c r="G118" s="151"/>
      <c r="H118" s="38"/>
      <c r="J118" s="357"/>
    </row>
    <row r="119" spans="1:10" ht="150" customHeight="1" x14ac:dyDescent="0.25">
      <c r="A119" s="7"/>
      <c r="B119" s="7"/>
      <c r="C119" s="794" t="s">
        <v>837</v>
      </c>
      <c r="D119" s="625"/>
      <c r="E119" s="626"/>
      <c r="F119" s="206"/>
      <c r="G119" s="151"/>
    </row>
    <row r="120" spans="1:10" ht="73.5" customHeight="1" x14ac:dyDescent="0.25">
      <c r="A120" s="7"/>
      <c r="B120" s="7"/>
      <c r="C120" s="794" t="s">
        <v>838</v>
      </c>
      <c r="D120" s="625"/>
      <c r="E120" s="626"/>
      <c r="F120" s="206"/>
      <c r="G120" s="151"/>
    </row>
    <row r="121" spans="1:10" ht="71.25" customHeight="1" x14ac:dyDescent="0.25">
      <c r="A121" s="7"/>
      <c r="B121" s="7"/>
      <c r="C121" s="795" t="s">
        <v>839</v>
      </c>
      <c r="D121" s="544"/>
      <c r="E121" s="579"/>
      <c r="F121" s="206"/>
      <c r="G121" s="151"/>
    </row>
    <row r="122" spans="1:10" ht="15.75" customHeight="1" x14ac:dyDescent="0.25">
      <c r="C122" s="370"/>
      <c r="D122" s="370"/>
      <c r="E122" s="370"/>
      <c r="F122" s="56"/>
      <c r="G122" s="151"/>
    </row>
    <row r="123" spans="1:10" ht="15.75" customHeight="1" x14ac:dyDescent="0.25">
      <c r="C123" s="370"/>
      <c r="D123" s="370"/>
      <c r="E123" s="370"/>
      <c r="F123" s="56"/>
      <c r="G123" s="151"/>
    </row>
    <row r="124" spans="1:10" ht="15.75" customHeight="1" x14ac:dyDescent="0.25">
      <c r="C124" s="370"/>
      <c r="D124" s="370"/>
      <c r="E124" s="370"/>
      <c r="F124" s="56"/>
      <c r="G124" s="151"/>
    </row>
    <row r="125" spans="1:10" ht="15.75" customHeight="1" x14ac:dyDescent="0.25">
      <c r="C125" s="370"/>
      <c r="D125" s="370"/>
      <c r="E125" s="370"/>
      <c r="F125" s="56"/>
      <c r="G125" s="151"/>
    </row>
    <row r="126" spans="1:10" ht="15.75" customHeight="1" x14ac:dyDescent="0.25">
      <c r="C126" s="370"/>
      <c r="D126" s="370"/>
      <c r="E126" s="370"/>
      <c r="F126" s="56"/>
      <c r="G126" s="151"/>
    </row>
    <row r="127" spans="1:10" ht="15.75" customHeight="1" x14ac:dyDescent="0.25">
      <c r="C127" s="370"/>
      <c r="D127" s="370"/>
      <c r="E127" s="370"/>
      <c r="F127" s="56"/>
      <c r="G127" s="151"/>
    </row>
    <row r="128" spans="1:10" ht="15.75" customHeight="1" x14ac:dyDescent="0.25">
      <c r="C128" s="370"/>
      <c r="D128" s="370"/>
      <c r="E128" s="370"/>
      <c r="F128" s="56"/>
      <c r="G128" s="151"/>
    </row>
    <row r="129" spans="3:10" ht="15.75" customHeight="1" x14ac:dyDescent="0.25">
      <c r="C129" s="370"/>
      <c r="D129" s="370"/>
      <c r="E129" s="370"/>
      <c r="F129" s="56"/>
      <c r="G129" s="151"/>
    </row>
    <row r="130" spans="3:10" ht="15.75" customHeight="1" x14ac:dyDescent="0.25">
      <c r="C130" s="370"/>
      <c r="D130" s="370"/>
      <c r="E130" s="370"/>
      <c r="F130" s="56"/>
      <c r="G130" s="151"/>
    </row>
    <row r="131" spans="3:10" ht="15.75" customHeight="1" x14ac:dyDescent="0.25">
      <c r="C131" s="370"/>
      <c r="D131" s="370"/>
      <c r="E131" s="370"/>
      <c r="F131" s="56"/>
      <c r="G131" s="151"/>
    </row>
    <row r="132" spans="3:10" ht="15.75" customHeight="1" x14ac:dyDescent="0.25">
      <c r="C132" s="370"/>
      <c r="D132" s="370"/>
      <c r="E132" s="370"/>
      <c r="F132" s="56"/>
      <c r="G132" s="151"/>
    </row>
    <row r="133" spans="3:10" ht="15.75" customHeight="1" x14ac:dyDescent="0.25">
      <c r="C133" s="370"/>
      <c r="D133" s="370"/>
      <c r="E133" s="370"/>
      <c r="F133" s="56"/>
      <c r="G133" s="151"/>
    </row>
    <row r="134" spans="3:10" ht="15.75" customHeight="1" x14ac:dyDescent="0.25">
      <c r="C134" s="370"/>
      <c r="D134" s="370"/>
      <c r="E134" s="370"/>
      <c r="F134" s="56"/>
      <c r="G134" s="151"/>
    </row>
    <row r="135" spans="3:10" ht="15.75" customHeight="1" x14ac:dyDescent="0.25">
      <c r="C135" s="370"/>
      <c r="D135" s="370"/>
      <c r="E135" s="370"/>
      <c r="F135" s="56"/>
      <c r="G135" s="151"/>
    </row>
    <row r="136" spans="3:10" ht="15.75" customHeight="1" x14ac:dyDescent="0.25">
      <c r="C136" s="370"/>
      <c r="D136" s="370"/>
      <c r="E136" s="370"/>
      <c r="F136" s="56"/>
      <c r="G136" s="151"/>
    </row>
    <row r="137" spans="3:10" ht="15.75" customHeight="1" x14ac:dyDescent="0.25">
      <c r="C137" s="370"/>
      <c r="D137" s="370"/>
      <c r="E137" s="370"/>
      <c r="F137" s="56"/>
      <c r="G137" s="151"/>
    </row>
    <row r="138" spans="3:10" ht="15.75" customHeight="1" x14ac:dyDescent="0.25">
      <c r="C138" s="370"/>
      <c r="D138" s="370"/>
      <c r="E138" s="370"/>
      <c r="F138" s="56"/>
      <c r="G138" s="151"/>
    </row>
    <row r="139" spans="3:10" ht="15.75" customHeight="1" x14ac:dyDescent="0.25">
      <c r="C139" s="370"/>
      <c r="D139" s="370"/>
      <c r="E139" s="370"/>
      <c r="F139" s="56"/>
      <c r="G139" s="151"/>
    </row>
    <row r="140" spans="3:10" ht="15.75" customHeight="1" x14ac:dyDescent="0.25">
      <c r="C140" s="370"/>
      <c r="D140" s="370"/>
      <c r="E140" s="370"/>
      <c r="F140" s="56"/>
      <c r="G140" s="151"/>
    </row>
    <row r="141" spans="3:10" ht="15.75" customHeight="1" x14ac:dyDescent="0.25">
      <c r="C141" s="370"/>
      <c r="D141" s="370"/>
      <c r="E141" s="370"/>
      <c r="F141" s="56"/>
      <c r="G141" s="151"/>
    </row>
    <row r="142" spans="3:10" ht="15.75" customHeight="1" x14ac:dyDescent="0.25">
      <c r="C142" s="370"/>
      <c r="D142" s="370"/>
      <c r="E142" s="370"/>
      <c r="F142" s="56"/>
      <c r="G142" s="151"/>
    </row>
    <row r="143" spans="3:10" ht="15.75" customHeight="1" x14ac:dyDescent="0.25">
      <c r="C143" s="370"/>
      <c r="D143" s="371"/>
      <c r="E143" s="370"/>
      <c r="F143" s="56"/>
      <c r="G143" s="151"/>
      <c r="H143" s="56"/>
      <c r="I143" s="151"/>
      <c r="J143" s="151"/>
    </row>
    <row r="144" spans="3:10" ht="15.75" customHeight="1" x14ac:dyDescent="0.25">
      <c r="F144" s="56"/>
      <c r="G144" s="151"/>
      <c r="H144" s="1"/>
      <c r="J144" s="1"/>
    </row>
    <row r="145" spans="3:10" ht="15.75" customHeight="1" x14ac:dyDescent="0.25">
      <c r="C145" s="791"/>
      <c r="D145" s="625"/>
      <c r="E145" s="625"/>
      <c r="F145" s="56"/>
      <c r="G145" s="151"/>
      <c r="H145" s="1"/>
      <c r="J145" s="1"/>
    </row>
    <row r="146" spans="3:10" ht="15.75" customHeight="1" x14ac:dyDescent="0.25">
      <c r="C146" s="151"/>
      <c r="D146" s="151"/>
      <c r="E146" s="151"/>
      <c r="F146" s="56"/>
      <c r="G146" s="151"/>
      <c r="H146" s="1"/>
      <c r="J146" s="1"/>
    </row>
    <row r="147" spans="3:10" ht="15.75" customHeight="1" x14ac:dyDescent="0.25">
      <c r="C147" s="56"/>
      <c r="D147" s="151"/>
      <c r="E147" s="151"/>
      <c r="F147" s="56"/>
      <c r="G147" s="151"/>
      <c r="H147" s="1"/>
    </row>
    <row r="148" spans="3:10" ht="15.75" customHeight="1" x14ac:dyDescent="0.25">
      <c r="C148" s="38"/>
      <c r="E148" s="1"/>
      <c r="F148" s="56"/>
      <c r="G148" s="151"/>
      <c r="H148" s="1"/>
      <c r="J148" s="356"/>
    </row>
    <row r="149" spans="3:10" ht="15.75" customHeight="1" x14ac:dyDescent="0.25">
      <c r="C149" s="38"/>
      <c r="E149" s="1"/>
      <c r="F149" s="56"/>
      <c r="G149" s="151"/>
      <c r="H149" s="1"/>
      <c r="J149" s="357"/>
    </row>
    <row r="150" spans="3:10" ht="15.75" customHeight="1" x14ac:dyDescent="0.25">
      <c r="C150" s="38"/>
      <c r="E150" s="1"/>
      <c r="F150" s="56"/>
      <c r="G150" s="151"/>
      <c r="H150" s="1"/>
      <c r="J150" s="359"/>
    </row>
    <row r="151" spans="3:10" ht="15" customHeight="1" x14ac:dyDescent="0.25">
      <c r="C151" s="38"/>
      <c r="F151" s="56"/>
      <c r="G151" s="151"/>
      <c r="H151" s="1"/>
      <c r="J151" s="357"/>
    </row>
    <row r="152" spans="3:10" ht="15" customHeight="1" x14ac:dyDescent="0.25">
      <c r="C152" s="38"/>
      <c r="E152" s="356"/>
      <c r="F152" s="56"/>
      <c r="G152" s="151"/>
      <c r="H152" s="1"/>
      <c r="J152" s="357"/>
    </row>
    <row r="153" spans="3:10" ht="15" customHeight="1" x14ac:dyDescent="0.25">
      <c r="C153" s="38"/>
      <c r="E153" s="357"/>
      <c r="F153" s="56"/>
      <c r="G153" s="151"/>
      <c r="H153" s="38"/>
      <c r="J153" s="357"/>
    </row>
    <row r="154" spans="3:10" ht="15" customHeight="1" x14ac:dyDescent="0.25">
      <c r="C154" s="38"/>
      <c r="E154" s="359"/>
      <c r="F154" s="56"/>
      <c r="G154" s="151"/>
    </row>
    <row r="155" spans="3:10" ht="15" customHeight="1" x14ac:dyDescent="0.25">
      <c r="C155" s="38"/>
      <c r="E155" s="357"/>
      <c r="F155" s="56"/>
      <c r="G155" s="151"/>
    </row>
    <row r="156" spans="3:10" ht="15" customHeight="1" x14ac:dyDescent="0.25">
      <c r="C156" s="38"/>
      <c r="E156" s="357"/>
      <c r="F156" s="56"/>
      <c r="G156" s="151"/>
    </row>
    <row r="157" spans="3:10" ht="15" customHeight="1" x14ac:dyDescent="0.25">
      <c r="C157" s="38"/>
      <c r="E157" s="357"/>
      <c r="F157" s="56"/>
      <c r="G157" s="151"/>
    </row>
    <row r="158" spans="3:10" ht="15.75" customHeight="1" x14ac:dyDescent="0.25">
      <c r="F158" s="56"/>
      <c r="G158" s="151"/>
    </row>
    <row r="159" spans="3:10" ht="15" customHeight="1" x14ac:dyDescent="0.25">
      <c r="C159" s="56"/>
      <c r="D159" s="151"/>
      <c r="E159" s="151"/>
      <c r="F159" s="56"/>
      <c r="G159" s="151"/>
    </row>
    <row r="160" spans="3:10" ht="15" customHeight="1" x14ac:dyDescent="0.25">
      <c r="C160" s="1"/>
      <c r="E160" s="1"/>
      <c r="F160" s="56"/>
      <c r="G160" s="151"/>
    </row>
    <row r="161" spans="3:7" ht="15" customHeight="1" x14ac:dyDescent="0.25">
      <c r="C161" s="1"/>
      <c r="E161" s="1"/>
      <c r="F161" s="56"/>
      <c r="G161" s="151"/>
    </row>
    <row r="162" spans="3:7" ht="15" customHeight="1" x14ac:dyDescent="0.25">
      <c r="C162" s="1"/>
      <c r="E162" s="1"/>
      <c r="F162" s="56"/>
      <c r="G162" s="151"/>
    </row>
    <row r="163" spans="3:7" ht="15" customHeight="1" x14ac:dyDescent="0.25">
      <c r="C163" s="1"/>
      <c r="F163" s="56"/>
      <c r="G163" s="151"/>
    </row>
    <row r="164" spans="3:7" ht="15" customHeight="1" x14ac:dyDescent="0.25">
      <c r="C164" s="1"/>
      <c r="E164" s="362"/>
      <c r="F164" s="56"/>
      <c r="G164" s="151"/>
    </row>
    <row r="165" spans="3:7" ht="15" customHeight="1" x14ac:dyDescent="0.25">
      <c r="C165" s="1"/>
      <c r="E165" s="357"/>
      <c r="F165" s="56"/>
      <c r="G165" s="151"/>
    </row>
    <row r="166" spans="3:7" ht="15" customHeight="1" x14ac:dyDescent="0.25">
      <c r="C166" s="1"/>
      <c r="E166" s="359"/>
      <c r="F166" s="56"/>
      <c r="G166" s="151"/>
    </row>
    <row r="167" spans="3:7" ht="15" customHeight="1" x14ac:dyDescent="0.25">
      <c r="C167" s="1"/>
      <c r="E167" s="357"/>
      <c r="F167" s="56"/>
      <c r="G167" s="151"/>
    </row>
    <row r="168" spans="3:7" ht="15" customHeight="1" x14ac:dyDescent="0.25">
      <c r="C168" s="1"/>
      <c r="E168" s="357"/>
      <c r="F168" s="56"/>
      <c r="G168" s="151"/>
    </row>
    <row r="169" spans="3:7" ht="15.75" customHeight="1" x14ac:dyDescent="0.25">
      <c r="F169" s="56"/>
      <c r="G169" s="151"/>
    </row>
    <row r="170" spans="3:7" ht="15" customHeight="1" x14ac:dyDescent="0.25">
      <c r="C170" s="56"/>
      <c r="D170" s="151"/>
      <c r="E170" s="151"/>
      <c r="F170" s="56"/>
      <c r="G170" s="151"/>
    </row>
    <row r="171" spans="3:7" ht="15" customHeight="1" x14ac:dyDescent="0.25">
      <c r="C171" s="1"/>
      <c r="E171" s="1"/>
      <c r="F171" s="56"/>
      <c r="G171" s="151"/>
    </row>
    <row r="172" spans="3:7" ht="15" customHeight="1" x14ac:dyDescent="0.25">
      <c r="C172" s="1"/>
      <c r="E172" s="1"/>
      <c r="F172" s="56"/>
      <c r="G172" s="151"/>
    </row>
    <row r="173" spans="3:7" ht="15" customHeight="1" x14ac:dyDescent="0.25">
      <c r="C173" s="1"/>
      <c r="E173" s="1"/>
      <c r="F173" s="56"/>
      <c r="G173" s="151"/>
    </row>
    <row r="174" spans="3:7" ht="15" customHeight="1" x14ac:dyDescent="0.25">
      <c r="C174" s="1"/>
      <c r="F174" s="56"/>
      <c r="G174" s="151"/>
    </row>
    <row r="175" spans="3:7" ht="15" customHeight="1" x14ac:dyDescent="0.25">
      <c r="C175" s="1"/>
      <c r="E175" s="356"/>
      <c r="F175" s="56"/>
      <c r="G175" s="151"/>
    </row>
    <row r="176" spans="3:7" ht="15" customHeight="1" x14ac:dyDescent="0.25">
      <c r="C176" s="1"/>
      <c r="E176" s="357"/>
      <c r="F176" s="56"/>
      <c r="G176" s="151"/>
    </row>
    <row r="177" spans="3:7" ht="15" customHeight="1" x14ac:dyDescent="0.25">
      <c r="C177" s="1"/>
      <c r="E177" s="359"/>
      <c r="F177" s="56"/>
      <c r="G177" s="151"/>
    </row>
    <row r="178" spans="3:7" ht="15" customHeight="1" x14ac:dyDescent="0.25">
      <c r="C178" s="38"/>
      <c r="E178" s="357"/>
      <c r="F178" s="56"/>
      <c r="G178" s="151"/>
    </row>
    <row r="179" spans="3:7" ht="15" customHeight="1" x14ac:dyDescent="0.25">
      <c r="C179" s="38"/>
      <c r="E179" s="357"/>
      <c r="F179" s="56"/>
      <c r="G179" s="151"/>
    </row>
    <row r="180" spans="3:7" ht="15" customHeight="1" x14ac:dyDescent="0.25">
      <c r="C180" s="38"/>
      <c r="E180" s="357"/>
      <c r="F180" s="56"/>
      <c r="G180" s="151"/>
    </row>
    <row r="181" spans="3:7" ht="15.75" customHeight="1" x14ac:dyDescent="0.25">
      <c r="F181" s="56"/>
      <c r="G181" s="151"/>
    </row>
    <row r="182" spans="3:7" ht="15" customHeight="1" x14ac:dyDescent="0.25">
      <c r="C182" s="56"/>
      <c r="D182" s="151"/>
      <c r="E182" s="151"/>
      <c r="F182" s="56"/>
      <c r="G182" s="151"/>
    </row>
    <row r="183" spans="3:7" ht="15" customHeight="1" x14ac:dyDescent="0.25">
      <c r="C183" s="1"/>
      <c r="E183" s="1"/>
      <c r="F183" s="56"/>
      <c r="G183" s="151"/>
    </row>
    <row r="184" spans="3:7" ht="15" customHeight="1" x14ac:dyDescent="0.25">
      <c r="C184" s="1"/>
      <c r="E184" s="1"/>
      <c r="F184" s="56"/>
      <c r="G184" s="151"/>
    </row>
    <row r="185" spans="3:7" ht="15" customHeight="1" x14ac:dyDescent="0.25">
      <c r="C185" s="1"/>
      <c r="E185" s="1"/>
      <c r="F185" s="56"/>
      <c r="G185" s="151"/>
    </row>
    <row r="186" spans="3:7" ht="15" customHeight="1" x14ac:dyDescent="0.25">
      <c r="C186" s="1"/>
      <c r="F186" s="56"/>
      <c r="G186" s="151"/>
    </row>
    <row r="187" spans="3:7" ht="15" customHeight="1" x14ac:dyDescent="0.25">
      <c r="C187" s="1"/>
      <c r="E187" s="356"/>
      <c r="F187" s="56"/>
      <c r="G187" s="151"/>
    </row>
    <row r="188" spans="3:7" ht="15" customHeight="1" x14ac:dyDescent="0.25">
      <c r="C188" s="1"/>
      <c r="E188" s="357"/>
      <c r="F188" s="56"/>
      <c r="G188" s="151"/>
    </row>
    <row r="189" spans="3:7" ht="15" customHeight="1" x14ac:dyDescent="0.25">
      <c r="C189" s="1"/>
      <c r="E189" s="359"/>
      <c r="F189" s="56"/>
      <c r="G189" s="151"/>
    </row>
    <row r="190" spans="3:7" ht="15" customHeight="1" x14ac:dyDescent="0.25">
      <c r="C190" s="38"/>
      <c r="E190" s="357"/>
      <c r="F190" s="56"/>
      <c r="G190" s="151"/>
    </row>
    <row r="191" spans="3:7" ht="15" customHeight="1" x14ac:dyDescent="0.25">
      <c r="C191" s="38"/>
      <c r="E191" s="357"/>
      <c r="F191" s="56"/>
      <c r="G191" s="151"/>
    </row>
    <row r="192" spans="3:7" ht="15" customHeight="1" x14ac:dyDescent="0.25">
      <c r="C192" s="38"/>
      <c r="E192" s="357"/>
      <c r="F192" s="56"/>
      <c r="G192" s="151"/>
    </row>
    <row r="193" spans="3:7" ht="15.75" customHeight="1" x14ac:dyDescent="0.25">
      <c r="F193" s="56"/>
      <c r="G193" s="151"/>
    </row>
    <row r="194" spans="3:7" ht="15" customHeight="1" x14ac:dyDescent="0.25">
      <c r="C194" s="56"/>
      <c r="D194" s="151"/>
      <c r="E194" s="151"/>
      <c r="F194" s="56"/>
      <c r="G194" s="151"/>
    </row>
    <row r="195" spans="3:7" ht="15" customHeight="1" x14ac:dyDescent="0.25">
      <c r="C195" s="1"/>
      <c r="E195" s="1"/>
      <c r="F195" s="56"/>
      <c r="G195" s="151"/>
    </row>
    <row r="196" spans="3:7" ht="15" customHeight="1" x14ac:dyDescent="0.25">
      <c r="C196" s="1"/>
      <c r="E196" s="1"/>
      <c r="F196" s="56"/>
      <c r="G196" s="151"/>
    </row>
    <row r="197" spans="3:7" ht="15" customHeight="1" x14ac:dyDescent="0.25">
      <c r="C197" s="1"/>
      <c r="E197" s="1"/>
      <c r="F197" s="56"/>
      <c r="G197" s="151"/>
    </row>
    <row r="198" spans="3:7" ht="15" customHeight="1" x14ac:dyDescent="0.25">
      <c r="C198" s="1"/>
      <c r="F198" s="56"/>
      <c r="G198" s="151"/>
    </row>
    <row r="199" spans="3:7" ht="15" customHeight="1" x14ac:dyDescent="0.25">
      <c r="C199" s="1"/>
      <c r="E199" s="356"/>
      <c r="F199" s="56"/>
      <c r="G199" s="151"/>
    </row>
    <row r="200" spans="3:7" ht="15" customHeight="1" x14ac:dyDescent="0.25">
      <c r="C200" s="1"/>
      <c r="E200" s="357"/>
      <c r="F200" s="56"/>
      <c r="G200" s="151"/>
    </row>
    <row r="201" spans="3:7" ht="15" customHeight="1" x14ac:dyDescent="0.25">
      <c r="C201" s="1"/>
      <c r="E201" s="357"/>
      <c r="F201" s="56"/>
      <c r="G201" s="151"/>
    </row>
    <row r="202" spans="3:7" ht="15" customHeight="1" x14ac:dyDescent="0.25">
      <c r="C202" s="1"/>
      <c r="E202" s="357"/>
      <c r="F202" s="56"/>
      <c r="G202" s="151"/>
    </row>
    <row r="203" spans="3:7" ht="15" customHeight="1" x14ac:dyDescent="0.25">
      <c r="C203" s="38"/>
      <c r="E203" s="357"/>
      <c r="F203" s="56"/>
      <c r="G203" s="151"/>
    </row>
    <row r="204" spans="3:7" ht="15.75" customHeight="1" x14ac:dyDescent="0.25">
      <c r="F204" s="56"/>
      <c r="G204" s="151"/>
    </row>
    <row r="205" spans="3:7" ht="15" customHeight="1" x14ac:dyDescent="0.25">
      <c r="C205" s="56"/>
      <c r="D205" s="311"/>
      <c r="E205" s="151"/>
      <c r="F205" s="56"/>
      <c r="G205" s="151"/>
    </row>
    <row r="206" spans="3:7" ht="15" customHeight="1" x14ac:dyDescent="0.25">
      <c r="C206" s="1"/>
      <c r="E206" s="1"/>
      <c r="F206" s="56"/>
      <c r="G206" s="151"/>
    </row>
    <row r="207" spans="3:7" ht="15" customHeight="1" x14ac:dyDescent="0.25">
      <c r="C207" s="1"/>
      <c r="E207" s="1"/>
      <c r="F207" s="56"/>
      <c r="G207" s="151"/>
    </row>
    <row r="208" spans="3:7" ht="15" customHeight="1" x14ac:dyDescent="0.25">
      <c r="C208" s="1"/>
      <c r="E208" s="1"/>
      <c r="F208" s="56"/>
      <c r="G208" s="151"/>
    </row>
    <row r="209" spans="3:7" ht="15" customHeight="1" x14ac:dyDescent="0.25">
      <c r="C209" s="1"/>
      <c r="F209" s="56"/>
      <c r="G209" s="151"/>
    </row>
    <row r="210" spans="3:7" ht="15" customHeight="1" x14ac:dyDescent="0.25">
      <c r="C210" s="1"/>
      <c r="E210" s="356"/>
      <c r="F210" s="56"/>
      <c r="G210" s="151"/>
    </row>
    <row r="211" spans="3:7" ht="15" customHeight="1" x14ac:dyDescent="0.25">
      <c r="C211" s="1"/>
      <c r="E211" s="357"/>
      <c r="F211" s="56"/>
      <c r="G211" s="151"/>
    </row>
    <row r="212" spans="3:7" ht="15" customHeight="1" x14ac:dyDescent="0.25">
      <c r="C212" s="1"/>
      <c r="E212" s="359"/>
      <c r="F212" s="56"/>
      <c r="G212" s="151"/>
    </row>
    <row r="213" spans="3:7" ht="15" customHeight="1" x14ac:dyDescent="0.25">
      <c r="C213" s="1"/>
      <c r="E213" s="357"/>
      <c r="F213" s="56"/>
      <c r="G213" s="151"/>
    </row>
    <row r="214" spans="3:7" ht="15" customHeight="1" x14ac:dyDescent="0.25">
      <c r="C214" s="1"/>
      <c r="E214" s="357"/>
      <c r="F214" s="56"/>
      <c r="G214" s="151"/>
    </row>
    <row r="215" spans="3:7" ht="15" customHeight="1" x14ac:dyDescent="0.25">
      <c r="C215" s="38"/>
      <c r="E215" s="357"/>
      <c r="F215" s="56"/>
      <c r="G215" s="151"/>
    </row>
    <row r="216" spans="3:7" ht="15.75" customHeight="1" x14ac:dyDescent="0.25">
      <c r="F216" s="56"/>
      <c r="G216" s="151"/>
    </row>
    <row r="217" spans="3:7" ht="15" customHeight="1" x14ac:dyDescent="0.25">
      <c r="C217" s="56"/>
      <c r="D217" s="311"/>
      <c r="E217" s="151"/>
      <c r="F217" s="56"/>
      <c r="G217" s="151"/>
    </row>
    <row r="218" spans="3:7" ht="15" customHeight="1" x14ac:dyDescent="0.25">
      <c r="C218" s="1"/>
      <c r="E218" s="1"/>
      <c r="F218" s="56"/>
      <c r="G218" s="151"/>
    </row>
    <row r="219" spans="3:7" ht="15" customHeight="1" x14ac:dyDescent="0.25">
      <c r="C219" s="1"/>
      <c r="E219" s="1"/>
      <c r="F219" s="56"/>
      <c r="G219" s="151"/>
    </row>
    <row r="220" spans="3:7" ht="15" customHeight="1" x14ac:dyDescent="0.25">
      <c r="C220" s="1"/>
      <c r="E220" s="1"/>
      <c r="F220" s="56"/>
      <c r="G220" s="151"/>
    </row>
    <row r="221" spans="3:7" ht="15" customHeight="1" x14ac:dyDescent="0.25">
      <c r="C221" s="1"/>
      <c r="F221" s="56"/>
      <c r="G221" s="151"/>
    </row>
    <row r="222" spans="3:7" ht="15" customHeight="1" x14ac:dyDescent="0.25">
      <c r="C222" s="1"/>
      <c r="E222" s="356"/>
      <c r="F222" s="56"/>
      <c r="G222" s="151"/>
    </row>
    <row r="223" spans="3:7" ht="15" customHeight="1" x14ac:dyDescent="0.25">
      <c r="C223" s="1"/>
      <c r="E223" s="357"/>
      <c r="F223" s="56"/>
      <c r="G223" s="151"/>
    </row>
    <row r="224" spans="3:7" ht="15" customHeight="1" x14ac:dyDescent="0.25">
      <c r="C224" s="1"/>
      <c r="E224" s="359"/>
      <c r="F224" s="56"/>
      <c r="G224" s="151"/>
    </row>
    <row r="225" spans="3:7" ht="15" customHeight="1" x14ac:dyDescent="0.25">
      <c r="C225" s="1"/>
      <c r="E225" s="357"/>
      <c r="F225" s="56"/>
      <c r="G225" s="151"/>
    </row>
    <row r="226" spans="3:7" ht="15" customHeight="1" x14ac:dyDescent="0.25">
      <c r="C226" s="1"/>
      <c r="E226" s="357"/>
      <c r="F226" s="56"/>
      <c r="G226" s="151"/>
    </row>
    <row r="227" spans="3:7" ht="15" customHeight="1" x14ac:dyDescent="0.25">
      <c r="C227" s="38"/>
      <c r="E227" s="357"/>
      <c r="F227" s="56"/>
      <c r="G227" s="151"/>
    </row>
    <row r="228" spans="3:7" ht="15.75" customHeight="1" x14ac:dyDescent="0.25">
      <c r="F228" s="56"/>
      <c r="G228" s="151"/>
    </row>
    <row r="229" spans="3:7" ht="15" customHeight="1" x14ac:dyDescent="0.25">
      <c r="C229" s="56"/>
      <c r="D229" s="151"/>
      <c r="E229" s="151"/>
      <c r="F229" s="56"/>
      <c r="G229" s="151"/>
    </row>
    <row r="230" spans="3:7" ht="15" customHeight="1" x14ac:dyDescent="0.25">
      <c r="C230" s="1"/>
      <c r="E230" s="1"/>
      <c r="F230" s="56"/>
      <c r="G230" s="151"/>
    </row>
    <row r="231" spans="3:7" ht="15" customHeight="1" x14ac:dyDescent="0.25">
      <c r="C231" s="1"/>
      <c r="E231" s="1"/>
      <c r="F231" s="56"/>
      <c r="G231" s="151"/>
    </row>
    <row r="232" spans="3:7" ht="15" customHeight="1" x14ac:dyDescent="0.25">
      <c r="C232" s="1"/>
      <c r="E232" s="1"/>
      <c r="F232" s="56"/>
      <c r="G232" s="151"/>
    </row>
    <row r="233" spans="3:7" ht="15" customHeight="1" x14ac:dyDescent="0.25">
      <c r="C233" s="1"/>
      <c r="F233" s="56"/>
      <c r="G233" s="151"/>
    </row>
    <row r="234" spans="3:7" ht="15" customHeight="1" x14ac:dyDescent="0.25">
      <c r="C234" s="1"/>
      <c r="E234" s="356"/>
      <c r="F234" s="56"/>
      <c r="G234" s="151"/>
    </row>
    <row r="235" spans="3:7" ht="15" customHeight="1" x14ac:dyDescent="0.25">
      <c r="C235" s="1"/>
      <c r="E235" s="357"/>
      <c r="F235" s="56"/>
      <c r="G235" s="151"/>
    </row>
    <row r="236" spans="3:7" ht="15" customHeight="1" x14ac:dyDescent="0.25">
      <c r="C236" s="1"/>
      <c r="E236" s="357"/>
      <c r="F236" s="56"/>
      <c r="G236" s="151"/>
    </row>
    <row r="237" spans="3:7" ht="15" customHeight="1" x14ac:dyDescent="0.25">
      <c r="C237" s="1"/>
      <c r="E237" s="357"/>
      <c r="F237" s="56"/>
      <c r="G237" s="151"/>
    </row>
    <row r="238" spans="3:7" ht="15" customHeight="1" x14ac:dyDescent="0.25">
      <c r="C238" s="38"/>
      <c r="E238" s="357"/>
      <c r="F238" s="56"/>
      <c r="G238" s="151"/>
    </row>
    <row r="239" spans="3:7" ht="15.75" customHeight="1" x14ac:dyDescent="0.25">
      <c r="F239" s="56"/>
      <c r="G239" s="151"/>
    </row>
    <row r="240" spans="3:7" ht="15" customHeight="1" x14ac:dyDescent="0.25">
      <c r="C240" s="56"/>
      <c r="D240" s="151"/>
      <c r="E240" s="151"/>
      <c r="F240" s="56"/>
      <c r="G240" s="151"/>
    </row>
    <row r="241" spans="3:7" ht="15" customHeight="1" x14ac:dyDescent="0.25">
      <c r="C241" s="1"/>
      <c r="E241" s="1"/>
      <c r="F241" s="56"/>
      <c r="G241" s="151"/>
    </row>
    <row r="242" spans="3:7" ht="15" customHeight="1" x14ac:dyDescent="0.25">
      <c r="C242" s="1"/>
      <c r="E242" s="1"/>
      <c r="F242" s="56"/>
      <c r="G242" s="151"/>
    </row>
    <row r="243" spans="3:7" ht="15" customHeight="1" x14ac:dyDescent="0.25">
      <c r="C243" s="1"/>
      <c r="E243" s="1"/>
      <c r="F243" s="56"/>
      <c r="G243" s="151"/>
    </row>
    <row r="244" spans="3:7" ht="15" customHeight="1" x14ac:dyDescent="0.25">
      <c r="C244" s="1"/>
      <c r="E244" s="372"/>
      <c r="F244" s="56"/>
      <c r="G244" s="151"/>
    </row>
    <row r="245" spans="3:7" ht="15" customHeight="1" x14ac:dyDescent="0.25">
      <c r="C245" s="1"/>
      <c r="E245" s="356"/>
      <c r="F245" s="56"/>
      <c r="G245" s="151"/>
    </row>
    <row r="246" spans="3:7" ht="15" customHeight="1" x14ac:dyDescent="0.25">
      <c r="C246" s="1"/>
      <c r="E246" s="357"/>
      <c r="F246" s="56"/>
      <c r="G246" s="151"/>
    </row>
    <row r="247" spans="3:7" ht="15" customHeight="1" x14ac:dyDescent="0.25">
      <c r="C247" s="1"/>
      <c r="E247" s="359"/>
      <c r="F247" s="56"/>
      <c r="G247" s="151"/>
    </row>
    <row r="248" spans="3:7" ht="15" customHeight="1" x14ac:dyDescent="0.25">
      <c r="C248" s="1"/>
      <c r="E248" s="357"/>
      <c r="F248" s="56"/>
      <c r="G248" s="151"/>
    </row>
    <row r="249" spans="3:7" ht="15.75" customHeight="1" x14ac:dyDescent="0.25">
      <c r="F249" s="56"/>
      <c r="G249" s="151"/>
    </row>
    <row r="250" spans="3:7" ht="15" customHeight="1" x14ac:dyDescent="0.25">
      <c r="C250" s="56"/>
      <c r="D250" s="151"/>
      <c r="E250" s="151"/>
      <c r="F250" s="56"/>
      <c r="G250" s="151"/>
    </row>
    <row r="251" spans="3:7" ht="15" customHeight="1" x14ac:dyDescent="0.25">
      <c r="C251" s="1"/>
      <c r="E251" s="1"/>
      <c r="F251" s="56"/>
      <c r="G251" s="151"/>
    </row>
    <row r="252" spans="3:7" ht="15" customHeight="1" x14ac:dyDescent="0.25">
      <c r="C252" s="1"/>
      <c r="E252" s="1"/>
      <c r="F252" s="56"/>
      <c r="G252" s="151"/>
    </row>
    <row r="253" spans="3:7" ht="15" customHeight="1" x14ac:dyDescent="0.25">
      <c r="C253" s="1"/>
      <c r="E253" s="1"/>
      <c r="F253" s="56"/>
      <c r="G253" s="151"/>
    </row>
    <row r="254" spans="3:7" ht="15" customHeight="1" x14ac:dyDescent="0.25">
      <c r="C254" s="1"/>
      <c r="F254" s="56"/>
      <c r="G254" s="151"/>
    </row>
    <row r="255" spans="3:7" ht="15" customHeight="1" x14ac:dyDescent="0.25">
      <c r="C255" s="1"/>
      <c r="E255" s="356"/>
      <c r="F255" s="56"/>
      <c r="G255" s="151"/>
    </row>
    <row r="256" spans="3:7" ht="15" customHeight="1" x14ac:dyDescent="0.25">
      <c r="C256" s="1"/>
      <c r="E256" s="357"/>
      <c r="F256" s="56"/>
      <c r="G256" s="151"/>
    </row>
    <row r="257" spans="3:7" ht="15" customHeight="1" x14ac:dyDescent="0.25">
      <c r="C257" s="1"/>
      <c r="E257" s="359"/>
      <c r="F257" s="56"/>
      <c r="G257" s="151"/>
    </row>
    <row r="258" spans="3:7" ht="15" customHeight="1" x14ac:dyDescent="0.25">
      <c r="C258" s="1"/>
      <c r="E258" s="357"/>
      <c r="F258" s="56"/>
      <c r="G258" s="151"/>
    </row>
    <row r="259" spans="3:7" ht="15" customHeight="1" x14ac:dyDescent="0.25">
      <c r="C259" s="1"/>
      <c r="E259" s="357"/>
      <c r="F259" s="56"/>
      <c r="G259" s="151"/>
    </row>
    <row r="260" spans="3:7" ht="15" customHeight="1" x14ac:dyDescent="0.25">
      <c r="C260" s="38"/>
      <c r="E260" s="357"/>
      <c r="F260" s="56"/>
      <c r="G260" s="151"/>
    </row>
    <row r="261" spans="3:7" ht="15.75" customHeight="1" x14ac:dyDescent="0.25">
      <c r="F261" s="56"/>
      <c r="G261" s="151"/>
    </row>
    <row r="262" spans="3:7" ht="15" customHeight="1" x14ac:dyDescent="0.25">
      <c r="C262" s="56"/>
      <c r="D262" s="151"/>
      <c r="E262" s="151"/>
      <c r="F262" s="56"/>
      <c r="G262" s="151"/>
    </row>
    <row r="263" spans="3:7" ht="15" customHeight="1" x14ac:dyDescent="0.25">
      <c r="C263" s="1"/>
      <c r="E263" s="1"/>
      <c r="F263" s="56"/>
      <c r="G263" s="151"/>
    </row>
    <row r="264" spans="3:7" ht="15" customHeight="1" x14ac:dyDescent="0.25">
      <c r="C264" s="1"/>
      <c r="E264" s="1"/>
      <c r="F264" s="56"/>
      <c r="G264" s="151"/>
    </row>
    <row r="265" spans="3:7" ht="15" customHeight="1" x14ac:dyDescent="0.25">
      <c r="C265" s="1"/>
      <c r="E265" s="1"/>
      <c r="F265" s="56"/>
      <c r="G265" s="151"/>
    </row>
    <row r="266" spans="3:7" ht="15" customHeight="1" x14ac:dyDescent="0.25">
      <c r="C266" s="1"/>
      <c r="F266" s="56"/>
      <c r="G266" s="151"/>
    </row>
    <row r="267" spans="3:7" ht="15" customHeight="1" x14ac:dyDescent="0.25">
      <c r="C267" s="1"/>
      <c r="E267" s="356"/>
      <c r="F267" s="56"/>
      <c r="G267" s="151"/>
    </row>
    <row r="268" spans="3:7" ht="15" customHeight="1" x14ac:dyDescent="0.25">
      <c r="C268" s="1"/>
      <c r="E268" s="357"/>
      <c r="F268" s="56"/>
      <c r="G268" s="151"/>
    </row>
    <row r="269" spans="3:7" ht="15" customHeight="1" x14ac:dyDescent="0.25">
      <c r="C269" s="1"/>
      <c r="E269" s="357"/>
      <c r="F269" s="56"/>
      <c r="G269" s="151"/>
    </row>
    <row r="270" spans="3:7" ht="15" customHeight="1" x14ac:dyDescent="0.25">
      <c r="C270" s="1"/>
      <c r="E270" s="357"/>
      <c r="F270" s="56"/>
      <c r="G270" s="151"/>
    </row>
    <row r="271" spans="3:7" ht="15" customHeight="1" x14ac:dyDescent="0.25">
      <c r="C271" s="38"/>
      <c r="E271" s="357"/>
      <c r="F271" s="56"/>
      <c r="G271" s="151"/>
    </row>
    <row r="272" spans="3:7" ht="15.75" customHeight="1" x14ac:dyDescent="0.25">
      <c r="F272" s="56"/>
      <c r="G272" s="151"/>
    </row>
    <row r="273" spans="6:7" ht="15.75" customHeight="1" x14ac:dyDescent="0.25">
      <c r="F273" s="56"/>
      <c r="G273" s="151"/>
    </row>
    <row r="274" spans="6:7" ht="15.75" customHeight="1" x14ac:dyDescent="0.25">
      <c r="F274" s="56"/>
      <c r="G274" s="151"/>
    </row>
    <row r="275" spans="6:7" ht="15.75" customHeight="1" x14ac:dyDescent="0.25">
      <c r="F275" s="56"/>
      <c r="G275" s="151"/>
    </row>
    <row r="276" spans="6:7" ht="15.75" customHeight="1" x14ac:dyDescent="0.25">
      <c r="F276" s="56"/>
      <c r="G276" s="151"/>
    </row>
    <row r="277" spans="6:7" ht="15.75" customHeight="1" x14ac:dyDescent="0.25">
      <c r="F277" s="56"/>
      <c r="G277" s="151"/>
    </row>
    <row r="278" spans="6:7" ht="15.75" customHeight="1" x14ac:dyDescent="0.25">
      <c r="F278" s="56"/>
      <c r="G278" s="151"/>
    </row>
    <row r="279" spans="6:7" ht="15.75" customHeight="1" x14ac:dyDescent="0.25">
      <c r="F279" s="56"/>
      <c r="G279" s="151"/>
    </row>
    <row r="280" spans="6:7" ht="15.75" customHeight="1" x14ac:dyDescent="0.25">
      <c r="F280" s="56"/>
      <c r="G280" s="151"/>
    </row>
    <row r="281" spans="6:7" ht="15.75" customHeight="1" x14ac:dyDescent="0.25">
      <c r="F281" s="56"/>
      <c r="G281" s="151"/>
    </row>
    <row r="282" spans="6:7" ht="15.75" customHeight="1" x14ac:dyDescent="0.25">
      <c r="F282" s="56"/>
      <c r="G282" s="151"/>
    </row>
    <row r="283" spans="6:7" ht="15.75" customHeight="1" x14ac:dyDescent="0.25">
      <c r="F283" s="56"/>
      <c r="G283" s="151"/>
    </row>
    <row r="284" spans="6:7" ht="15.75" customHeight="1" x14ac:dyDescent="0.25">
      <c r="F284" s="56"/>
      <c r="G284" s="151"/>
    </row>
    <row r="285" spans="6:7" ht="15.75" customHeight="1" x14ac:dyDescent="0.25">
      <c r="F285" s="56"/>
      <c r="G285" s="151"/>
    </row>
    <row r="286" spans="6:7" ht="15.75" customHeight="1" x14ac:dyDescent="0.25">
      <c r="F286" s="56"/>
      <c r="G286" s="151"/>
    </row>
    <row r="287" spans="6:7" ht="15.75" customHeight="1" x14ac:dyDescent="0.25">
      <c r="F287" s="56"/>
      <c r="G287" s="151"/>
    </row>
    <row r="288" spans="6:7" ht="15.75" customHeight="1" x14ac:dyDescent="0.25">
      <c r="F288" s="56"/>
      <c r="G288" s="151"/>
    </row>
    <row r="289" spans="6:7" ht="15.75" customHeight="1" x14ac:dyDescent="0.25">
      <c r="F289" s="56"/>
      <c r="G289" s="151"/>
    </row>
    <row r="290" spans="6:7" ht="15.75" customHeight="1" x14ac:dyDescent="0.25">
      <c r="F290" s="56"/>
      <c r="G290" s="151"/>
    </row>
    <row r="291" spans="6:7" ht="15.75" customHeight="1" x14ac:dyDescent="0.25">
      <c r="F291" s="56"/>
      <c r="G291" s="151"/>
    </row>
    <row r="292" spans="6:7" ht="15.75" customHeight="1" x14ac:dyDescent="0.25">
      <c r="F292" s="56"/>
      <c r="G292" s="151"/>
    </row>
    <row r="293" spans="6:7" ht="15.75" customHeight="1" x14ac:dyDescent="0.25">
      <c r="F293" s="56"/>
      <c r="G293" s="151"/>
    </row>
    <row r="294" spans="6:7" ht="15.75" customHeight="1" x14ac:dyDescent="0.25">
      <c r="F294" s="56"/>
      <c r="G294" s="151"/>
    </row>
    <row r="295" spans="6:7" ht="15.75" customHeight="1" x14ac:dyDescent="0.25">
      <c r="F295" s="56"/>
      <c r="G295" s="151"/>
    </row>
    <row r="296" spans="6:7" ht="15.75" customHeight="1" x14ac:dyDescent="0.25">
      <c r="F296" s="56"/>
      <c r="G296" s="151"/>
    </row>
    <row r="297" spans="6:7" ht="15.75" customHeight="1" x14ac:dyDescent="0.25">
      <c r="F297" s="56"/>
      <c r="G297" s="151"/>
    </row>
    <row r="298" spans="6:7" ht="15.75" customHeight="1" x14ac:dyDescent="0.25">
      <c r="F298" s="56"/>
      <c r="G298" s="151"/>
    </row>
    <row r="299" spans="6:7" ht="15.75" customHeight="1" x14ac:dyDescent="0.25">
      <c r="F299" s="56"/>
      <c r="G299" s="151"/>
    </row>
    <row r="300" spans="6:7" ht="15.75" customHeight="1" x14ac:dyDescent="0.25">
      <c r="F300" s="56"/>
      <c r="G300" s="151"/>
    </row>
    <row r="301" spans="6:7" ht="15.75" customHeight="1" x14ac:dyDescent="0.25">
      <c r="F301" s="56"/>
      <c r="G301" s="151"/>
    </row>
    <row r="302" spans="6:7" ht="15.75" customHeight="1" x14ac:dyDescent="0.25">
      <c r="F302" s="56"/>
      <c r="G302" s="151"/>
    </row>
    <row r="303" spans="6:7" ht="15.75" customHeight="1" x14ac:dyDescent="0.25">
      <c r="F303" s="56"/>
      <c r="G303" s="151"/>
    </row>
    <row r="304" spans="6:7" ht="15.75" customHeight="1" x14ac:dyDescent="0.25">
      <c r="F304" s="56"/>
      <c r="G304" s="151"/>
    </row>
    <row r="305" spans="6:7" ht="15.75" customHeight="1" x14ac:dyDescent="0.25">
      <c r="F305" s="56"/>
      <c r="G305" s="151"/>
    </row>
    <row r="306" spans="6:7" ht="15.75" customHeight="1" x14ac:dyDescent="0.25">
      <c r="F306" s="56"/>
      <c r="G306" s="151"/>
    </row>
    <row r="307" spans="6:7" ht="15.75" customHeight="1" x14ac:dyDescent="0.25">
      <c r="F307" s="56"/>
      <c r="G307" s="151"/>
    </row>
    <row r="308" spans="6:7" ht="15.75" customHeight="1" x14ac:dyDescent="0.25">
      <c r="F308" s="56"/>
      <c r="G308" s="151"/>
    </row>
    <row r="309" spans="6:7" ht="15.75" customHeight="1" x14ac:dyDescent="0.25">
      <c r="F309" s="56"/>
      <c r="G309" s="151"/>
    </row>
    <row r="310" spans="6:7" ht="15.75" customHeight="1" x14ac:dyDescent="0.25">
      <c r="F310" s="56"/>
      <c r="G310" s="151"/>
    </row>
    <row r="311" spans="6:7" ht="15.75" customHeight="1" x14ac:dyDescent="0.25">
      <c r="F311" s="56"/>
      <c r="G311" s="151"/>
    </row>
    <row r="312" spans="6:7" ht="15.75" customHeight="1" x14ac:dyDescent="0.25">
      <c r="F312" s="56"/>
      <c r="G312" s="151"/>
    </row>
    <row r="313" spans="6:7" ht="15.75" customHeight="1" x14ac:dyDescent="0.25">
      <c r="F313" s="56"/>
      <c r="G313" s="151"/>
    </row>
    <row r="314" spans="6:7" ht="15.75" customHeight="1" x14ac:dyDescent="0.25">
      <c r="F314" s="56"/>
      <c r="G314" s="151"/>
    </row>
    <row r="315" spans="6:7" ht="15.75" customHeight="1" x14ac:dyDescent="0.25">
      <c r="F315" s="56"/>
      <c r="G315" s="151"/>
    </row>
    <row r="316" spans="6:7" ht="15.75" customHeight="1" x14ac:dyDescent="0.25">
      <c r="F316" s="56"/>
      <c r="G316" s="151"/>
    </row>
    <row r="317" spans="6:7" ht="15.75" customHeight="1" x14ac:dyDescent="0.25">
      <c r="F317" s="56"/>
      <c r="G317" s="151"/>
    </row>
    <row r="318" spans="6:7" ht="15.75" customHeight="1" x14ac:dyDescent="0.25">
      <c r="F318" s="56"/>
      <c r="G318" s="151"/>
    </row>
    <row r="319" spans="6:7" ht="15.75" customHeight="1" x14ac:dyDescent="0.25">
      <c r="F319" s="56"/>
      <c r="G319" s="151"/>
    </row>
    <row r="320" spans="6:7" ht="15.75" customHeight="1" x14ac:dyDescent="0.25">
      <c r="F320" s="56"/>
      <c r="G320" s="151"/>
    </row>
    <row r="321" spans="6:7" ht="15.75" customHeight="1" x14ac:dyDescent="0.25">
      <c r="F321" s="56"/>
      <c r="G321" s="151"/>
    </row>
    <row r="322" spans="6:7" ht="15.75" customHeight="1" x14ac:dyDescent="0.25">
      <c r="F322" s="56"/>
      <c r="G322" s="151"/>
    </row>
    <row r="323" spans="6:7" ht="15.75" customHeight="1" x14ac:dyDescent="0.25">
      <c r="F323" s="56"/>
      <c r="G323" s="151"/>
    </row>
    <row r="324" spans="6:7" ht="15.75" customHeight="1" x14ac:dyDescent="0.25">
      <c r="F324" s="56"/>
      <c r="G324" s="151"/>
    </row>
    <row r="325" spans="6:7" ht="15.75" customHeight="1" x14ac:dyDescent="0.25">
      <c r="F325" s="56"/>
      <c r="G325" s="151"/>
    </row>
    <row r="326" spans="6:7" ht="15.75" customHeight="1" x14ac:dyDescent="0.25">
      <c r="F326" s="56"/>
      <c r="G326" s="151"/>
    </row>
    <row r="327" spans="6:7" ht="15.75" customHeight="1" x14ac:dyDescent="0.25">
      <c r="F327" s="56"/>
      <c r="G327" s="151"/>
    </row>
    <row r="328" spans="6:7" ht="15.75" customHeight="1" x14ac:dyDescent="0.25">
      <c r="F328" s="56"/>
      <c r="G328" s="151"/>
    </row>
    <row r="329" spans="6:7" ht="15.75" customHeight="1" x14ac:dyDescent="0.25">
      <c r="F329" s="56"/>
      <c r="G329" s="151"/>
    </row>
    <row r="330" spans="6:7" ht="15.75" customHeight="1" x14ac:dyDescent="0.25">
      <c r="F330" s="56"/>
      <c r="G330" s="151"/>
    </row>
    <row r="331" spans="6:7" ht="15.75" customHeight="1" x14ac:dyDescent="0.25">
      <c r="F331" s="56"/>
      <c r="G331" s="151"/>
    </row>
    <row r="332" spans="6:7" ht="15.75" customHeight="1" x14ac:dyDescent="0.25">
      <c r="F332" s="56"/>
      <c r="G332" s="151"/>
    </row>
    <row r="333" spans="6:7" ht="15.75" customHeight="1" x14ac:dyDescent="0.25">
      <c r="F333" s="56"/>
      <c r="G333" s="151"/>
    </row>
    <row r="334" spans="6:7" ht="15.75" customHeight="1" x14ac:dyDescent="0.25">
      <c r="F334" s="56"/>
      <c r="G334" s="151"/>
    </row>
    <row r="335" spans="6:7" ht="15.75" customHeight="1" x14ac:dyDescent="0.25">
      <c r="F335" s="56"/>
      <c r="G335" s="151"/>
    </row>
    <row r="336" spans="6:7" ht="15.75" customHeight="1" x14ac:dyDescent="0.25">
      <c r="F336" s="56"/>
      <c r="G336" s="151"/>
    </row>
    <row r="337" spans="6:7" ht="15.75" customHeight="1" x14ac:dyDescent="0.25">
      <c r="F337" s="56"/>
      <c r="G337" s="151"/>
    </row>
    <row r="338" spans="6:7" ht="15.75" customHeight="1" x14ac:dyDescent="0.25">
      <c r="F338" s="56"/>
      <c r="G338" s="151"/>
    </row>
    <row r="339" spans="6:7" ht="15.75" customHeight="1" x14ac:dyDescent="0.25">
      <c r="F339" s="56"/>
      <c r="G339" s="151"/>
    </row>
    <row r="340" spans="6:7" ht="15.75" customHeight="1" x14ac:dyDescent="0.25">
      <c r="F340" s="56"/>
      <c r="G340" s="151"/>
    </row>
    <row r="341" spans="6:7" ht="15.75" customHeight="1" x14ac:dyDescent="0.25">
      <c r="F341" s="56"/>
      <c r="G341" s="151"/>
    </row>
    <row r="342" spans="6:7" ht="15.75" customHeight="1" x14ac:dyDescent="0.25">
      <c r="F342" s="56"/>
      <c r="G342" s="151"/>
    </row>
    <row r="343" spans="6:7" ht="15.75" customHeight="1" x14ac:dyDescent="0.25">
      <c r="F343" s="56"/>
      <c r="G343" s="151"/>
    </row>
    <row r="344" spans="6:7" ht="15.75" customHeight="1" x14ac:dyDescent="0.25">
      <c r="F344" s="56"/>
      <c r="G344" s="151"/>
    </row>
    <row r="345" spans="6:7" ht="15.75" customHeight="1" x14ac:dyDescent="0.25">
      <c r="F345" s="56"/>
      <c r="G345" s="151"/>
    </row>
    <row r="346" spans="6:7" ht="15.75" customHeight="1" x14ac:dyDescent="0.25">
      <c r="F346" s="56"/>
      <c r="G346" s="151"/>
    </row>
    <row r="347" spans="6:7" ht="15.75" customHeight="1" x14ac:dyDescent="0.25">
      <c r="F347" s="56"/>
      <c r="G347" s="151"/>
    </row>
    <row r="348" spans="6:7" ht="15.75" customHeight="1" x14ac:dyDescent="0.25">
      <c r="F348" s="56"/>
      <c r="G348" s="151"/>
    </row>
    <row r="349" spans="6:7" ht="15.75" customHeight="1" x14ac:dyDescent="0.25">
      <c r="F349" s="56"/>
      <c r="G349" s="151"/>
    </row>
    <row r="350" spans="6:7" ht="15.75" customHeight="1" x14ac:dyDescent="0.25">
      <c r="F350" s="56"/>
      <c r="G350" s="151"/>
    </row>
    <row r="351" spans="6:7" ht="15.75" customHeight="1" x14ac:dyDescent="0.25">
      <c r="F351" s="56"/>
      <c r="G351" s="151"/>
    </row>
    <row r="352" spans="6:7" ht="15.75" customHeight="1" x14ac:dyDescent="0.25">
      <c r="F352" s="56"/>
      <c r="G352" s="151"/>
    </row>
    <row r="353" spans="6:7" ht="15.75" customHeight="1" x14ac:dyDescent="0.25">
      <c r="F353" s="56"/>
      <c r="G353" s="151"/>
    </row>
    <row r="354" spans="6:7" ht="15.75" customHeight="1" x14ac:dyDescent="0.25">
      <c r="F354" s="56"/>
      <c r="G354" s="151"/>
    </row>
    <row r="355" spans="6:7" ht="15.75" customHeight="1" x14ac:dyDescent="0.25">
      <c r="F355" s="56"/>
      <c r="G355" s="151"/>
    </row>
    <row r="356" spans="6:7" ht="15.75" customHeight="1" x14ac:dyDescent="0.25">
      <c r="F356" s="56"/>
      <c r="G356" s="151"/>
    </row>
    <row r="357" spans="6:7" ht="15.75" customHeight="1" x14ac:dyDescent="0.25">
      <c r="F357" s="56"/>
      <c r="G357" s="151"/>
    </row>
    <row r="358" spans="6:7" ht="15.75" customHeight="1" x14ac:dyDescent="0.25">
      <c r="F358" s="56"/>
      <c r="G358" s="151"/>
    </row>
    <row r="359" spans="6:7" ht="15.75" customHeight="1" x14ac:dyDescent="0.25">
      <c r="F359" s="56"/>
      <c r="G359" s="151"/>
    </row>
    <row r="360" spans="6:7" ht="15.75" customHeight="1" x14ac:dyDescent="0.25">
      <c r="F360" s="56"/>
      <c r="G360" s="151"/>
    </row>
    <row r="361" spans="6:7" ht="15.75" customHeight="1" x14ac:dyDescent="0.25">
      <c r="F361" s="56"/>
      <c r="G361" s="151"/>
    </row>
    <row r="362" spans="6:7" ht="15.75" customHeight="1" x14ac:dyDescent="0.25">
      <c r="F362" s="56"/>
      <c r="G362" s="151"/>
    </row>
    <row r="363" spans="6:7" ht="15.75" customHeight="1" x14ac:dyDescent="0.25">
      <c r="F363" s="56"/>
      <c r="G363" s="151"/>
    </row>
    <row r="364" spans="6:7" ht="15.75" customHeight="1" x14ac:dyDescent="0.25">
      <c r="F364" s="56"/>
      <c r="G364" s="151"/>
    </row>
    <row r="365" spans="6:7" ht="15.75" customHeight="1" x14ac:dyDescent="0.25">
      <c r="F365" s="56"/>
      <c r="G365" s="151"/>
    </row>
    <row r="366" spans="6:7" ht="15.75" customHeight="1" x14ac:dyDescent="0.25">
      <c r="F366" s="56"/>
      <c r="G366" s="151"/>
    </row>
    <row r="367" spans="6:7" ht="15.75" customHeight="1" x14ac:dyDescent="0.25">
      <c r="F367" s="56"/>
      <c r="G367" s="151"/>
    </row>
    <row r="368" spans="6:7" ht="15.75" customHeight="1" x14ac:dyDescent="0.25">
      <c r="F368" s="56"/>
      <c r="G368" s="151"/>
    </row>
    <row r="369" spans="6:7" ht="15.75" customHeight="1" x14ac:dyDescent="0.25">
      <c r="F369" s="56"/>
      <c r="G369" s="151"/>
    </row>
    <row r="370" spans="6:7" ht="15.75" customHeight="1" x14ac:dyDescent="0.25">
      <c r="F370" s="56"/>
      <c r="G370" s="151"/>
    </row>
    <row r="371" spans="6:7" ht="15.75" customHeight="1" x14ac:dyDescent="0.25">
      <c r="F371" s="56"/>
      <c r="G371" s="151"/>
    </row>
    <row r="372" spans="6:7" ht="15.75" customHeight="1" x14ac:dyDescent="0.25">
      <c r="F372" s="56"/>
      <c r="G372" s="151"/>
    </row>
    <row r="373" spans="6:7" ht="15.75" customHeight="1" x14ac:dyDescent="0.25">
      <c r="F373" s="56"/>
      <c r="G373" s="151"/>
    </row>
    <row r="374" spans="6:7" ht="15.75" customHeight="1" x14ac:dyDescent="0.25">
      <c r="F374" s="56"/>
      <c r="G374" s="151"/>
    </row>
    <row r="375" spans="6:7" ht="15.75" customHeight="1" x14ac:dyDescent="0.25">
      <c r="F375" s="56"/>
      <c r="G375" s="151"/>
    </row>
    <row r="376" spans="6:7" ht="15.75" customHeight="1" x14ac:dyDescent="0.25">
      <c r="F376" s="56"/>
      <c r="G376" s="151"/>
    </row>
    <row r="377" spans="6:7" ht="15.75" customHeight="1" x14ac:dyDescent="0.25">
      <c r="F377" s="56"/>
      <c r="G377" s="151"/>
    </row>
    <row r="378" spans="6:7" ht="15.75" customHeight="1" x14ac:dyDescent="0.25">
      <c r="F378" s="56"/>
      <c r="G378" s="151"/>
    </row>
    <row r="379" spans="6:7" ht="15.75" customHeight="1" x14ac:dyDescent="0.25">
      <c r="F379" s="56"/>
      <c r="G379" s="151"/>
    </row>
    <row r="380" spans="6:7" ht="15.75" customHeight="1" x14ac:dyDescent="0.25">
      <c r="F380" s="56"/>
      <c r="G380" s="151"/>
    </row>
    <row r="381" spans="6:7" ht="15.75" customHeight="1" x14ac:dyDescent="0.25">
      <c r="F381" s="56"/>
      <c r="G381" s="151"/>
    </row>
    <row r="382" spans="6:7" ht="15.75" customHeight="1" x14ac:dyDescent="0.25">
      <c r="F382" s="56"/>
      <c r="G382" s="151"/>
    </row>
    <row r="383" spans="6:7" ht="15.75" customHeight="1" x14ac:dyDescent="0.25">
      <c r="F383" s="56"/>
      <c r="G383" s="151"/>
    </row>
    <row r="384" spans="6:7" ht="15.75" customHeight="1" x14ac:dyDescent="0.25">
      <c r="F384" s="56"/>
      <c r="G384" s="151"/>
    </row>
    <row r="385" spans="6:7" ht="15.75" customHeight="1" x14ac:dyDescent="0.25">
      <c r="F385" s="56"/>
      <c r="G385" s="151"/>
    </row>
    <row r="386" spans="6:7" ht="15.75" customHeight="1" x14ac:dyDescent="0.25">
      <c r="F386" s="56"/>
      <c r="G386" s="151"/>
    </row>
    <row r="387" spans="6:7" ht="15.75" customHeight="1" x14ac:dyDescent="0.25">
      <c r="F387" s="56"/>
      <c r="G387" s="151"/>
    </row>
    <row r="388" spans="6:7" ht="15.75" customHeight="1" x14ac:dyDescent="0.25">
      <c r="F388" s="56"/>
      <c r="G388" s="151"/>
    </row>
    <row r="389" spans="6:7" ht="15.75" customHeight="1" x14ac:dyDescent="0.25">
      <c r="F389" s="56"/>
      <c r="G389" s="151"/>
    </row>
    <row r="390" spans="6:7" ht="15.75" customHeight="1" x14ac:dyDescent="0.25">
      <c r="F390" s="56"/>
      <c r="G390" s="151"/>
    </row>
    <row r="391" spans="6:7" ht="15.75" customHeight="1" x14ac:dyDescent="0.25">
      <c r="F391" s="56"/>
      <c r="G391" s="151"/>
    </row>
    <row r="392" spans="6:7" ht="15.75" customHeight="1" x14ac:dyDescent="0.25">
      <c r="F392" s="56"/>
      <c r="G392" s="151"/>
    </row>
    <row r="393" spans="6:7" ht="15.75" customHeight="1" x14ac:dyDescent="0.25">
      <c r="F393" s="56"/>
      <c r="G393" s="151"/>
    </row>
    <row r="394" spans="6:7" ht="15.75" customHeight="1" x14ac:dyDescent="0.25">
      <c r="F394" s="56"/>
      <c r="G394" s="151"/>
    </row>
    <row r="395" spans="6:7" ht="15.75" customHeight="1" x14ac:dyDescent="0.25">
      <c r="F395" s="56"/>
      <c r="G395" s="151"/>
    </row>
    <row r="396" spans="6:7" ht="15.75" customHeight="1" x14ac:dyDescent="0.25">
      <c r="F396" s="56"/>
      <c r="G396" s="151"/>
    </row>
    <row r="397" spans="6:7" ht="15.75" customHeight="1" x14ac:dyDescent="0.25">
      <c r="F397" s="56"/>
      <c r="G397" s="151"/>
    </row>
    <row r="398" spans="6:7" ht="15.75" customHeight="1" x14ac:dyDescent="0.25">
      <c r="F398" s="56"/>
      <c r="G398" s="151"/>
    </row>
    <row r="399" spans="6:7" ht="15.75" customHeight="1" x14ac:dyDescent="0.25">
      <c r="F399" s="56"/>
      <c r="G399" s="151"/>
    </row>
    <row r="400" spans="6:7" ht="15.75" customHeight="1" x14ac:dyDescent="0.25">
      <c r="F400" s="56"/>
      <c r="G400" s="151"/>
    </row>
    <row r="401" spans="6:7" ht="15.75" customHeight="1" x14ac:dyDescent="0.25">
      <c r="F401" s="56"/>
      <c r="G401" s="151"/>
    </row>
    <row r="402" spans="6:7" ht="15.75" customHeight="1" x14ac:dyDescent="0.25">
      <c r="F402" s="56"/>
      <c r="G402" s="151"/>
    </row>
    <row r="403" spans="6:7" ht="15.75" customHeight="1" x14ac:dyDescent="0.25">
      <c r="F403" s="56"/>
      <c r="G403" s="151"/>
    </row>
    <row r="404" spans="6:7" ht="15.75" customHeight="1" x14ac:dyDescent="0.25">
      <c r="F404" s="56"/>
      <c r="G404" s="151"/>
    </row>
    <row r="405" spans="6:7" ht="15.75" customHeight="1" x14ac:dyDescent="0.25">
      <c r="F405" s="56"/>
      <c r="G405" s="151"/>
    </row>
    <row r="406" spans="6:7" ht="15.75" customHeight="1" x14ac:dyDescent="0.25">
      <c r="F406" s="56"/>
      <c r="G406" s="151"/>
    </row>
    <row r="407" spans="6:7" ht="15.75" customHeight="1" x14ac:dyDescent="0.25">
      <c r="F407" s="56"/>
      <c r="G407" s="151"/>
    </row>
    <row r="408" spans="6:7" ht="15.75" customHeight="1" x14ac:dyDescent="0.25">
      <c r="F408" s="56"/>
      <c r="G408" s="151"/>
    </row>
    <row r="409" spans="6:7" ht="15.75" customHeight="1" x14ac:dyDescent="0.25">
      <c r="F409" s="56"/>
      <c r="G409" s="151"/>
    </row>
    <row r="410" spans="6:7" ht="15.75" customHeight="1" x14ac:dyDescent="0.25">
      <c r="F410" s="56"/>
      <c r="G410" s="151"/>
    </row>
    <row r="411" spans="6:7" ht="15.75" customHeight="1" x14ac:dyDescent="0.25">
      <c r="F411" s="56"/>
      <c r="G411" s="151"/>
    </row>
    <row r="412" spans="6:7" ht="15.75" customHeight="1" x14ac:dyDescent="0.25">
      <c r="F412" s="56"/>
      <c r="G412" s="151"/>
    </row>
    <row r="413" spans="6:7" ht="15.75" customHeight="1" x14ac:dyDescent="0.25">
      <c r="F413" s="56"/>
      <c r="G413" s="151"/>
    </row>
    <row r="414" spans="6:7" ht="15.75" customHeight="1" x14ac:dyDescent="0.25">
      <c r="F414" s="56"/>
      <c r="G414" s="151"/>
    </row>
    <row r="415" spans="6:7" ht="15.75" customHeight="1" x14ac:dyDescent="0.25">
      <c r="F415" s="56"/>
      <c r="G415" s="151"/>
    </row>
    <row r="416" spans="6:7" ht="15.75" customHeight="1" x14ac:dyDescent="0.25">
      <c r="F416" s="56"/>
      <c r="G416" s="151"/>
    </row>
    <row r="417" spans="6:7" ht="15.75" customHeight="1" x14ac:dyDescent="0.25">
      <c r="F417" s="56"/>
      <c r="G417" s="151"/>
    </row>
    <row r="418" spans="6:7" ht="15.75" customHeight="1" x14ac:dyDescent="0.25">
      <c r="F418" s="56"/>
      <c r="G418" s="151"/>
    </row>
    <row r="419" spans="6:7" ht="15.75" customHeight="1" x14ac:dyDescent="0.25">
      <c r="F419" s="56"/>
      <c r="G419" s="151"/>
    </row>
    <row r="420" spans="6:7" ht="15.75" customHeight="1" x14ac:dyDescent="0.25">
      <c r="F420" s="56"/>
      <c r="G420" s="151"/>
    </row>
    <row r="421" spans="6:7" ht="15.75" customHeight="1" x14ac:dyDescent="0.25">
      <c r="F421" s="56"/>
      <c r="G421" s="151"/>
    </row>
    <row r="422" spans="6:7" ht="15.75" customHeight="1" x14ac:dyDescent="0.25">
      <c r="F422" s="56"/>
      <c r="G422" s="151"/>
    </row>
    <row r="423" spans="6:7" ht="15.75" customHeight="1" x14ac:dyDescent="0.25">
      <c r="F423" s="56"/>
      <c r="G423" s="151"/>
    </row>
    <row r="424" spans="6:7" ht="15.75" customHeight="1" x14ac:dyDescent="0.25">
      <c r="F424" s="56"/>
      <c r="G424" s="151"/>
    </row>
    <row r="425" spans="6:7" ht="15.75" customHeight="1" x14ac:dyDescent="0.25">
      <c r="F425" s="56"/>
      <c r="G425" s="151"/>
    </row>
    <row r="426" spans="6:7" ht="15.75" customHeight="1" x14ac:dyDescent="0.25">
      <c r="F426" s="56"/>
      <c r="G426" s="151"/>
    </row>
    <row r="427" spans="6:7" ht="15.75" customHeight="1" x14ac:dyDescent="0.25">
      <c r="F427" s="56"/>
      <c r="G427" s="151"/>
    </row>
    <row r="428" spans="6:7" ht="15.75" customHeight="1" x14ac:dyDescent="0.25">
      <c r="F428" s="56"/>
      <c r="G428" s="151"/>
    </row>
    <row r="429" spans="6:7" ht="15.75" customHeight="1" x14ac:dyDescent="0.25">
      <c r="F429" s="56"/>
      <c r="G429" s="151"/>
    </row>
    <row r="430" spans="6:7" ht="15.75" customHeight="1" x14ac:dyDescent="0.25">
      <c r="F430" s="56"/>
      <c r="G430" s="151"/>
    </row>
    <row r="431" spans="6:7" ht="15.75" customHeight="1" x14ac:dyDescent="0.25">
      <c r="F431" s="56"/>
      <c r="G431" s="151"/>
    </row>
    <row r="432" spans="6:7" ht="15.75" customHeight="1" x14ac:dyDescent="0.25">
      <c r="F432" s="56"/>
      <c r="G432" s="151"/>
    </row>
    <row r="433" spans="6:7" ht="15.75" customHeight="1" x14ac:dyDescent="0.25">
      <c r="F433" s="56"/>
      <c r="G433" s="151"/>
    </row>
    <row r="434" spans="6:7" ht="15.75" customHeight="1" x14ac:dyDescent="0.25">
      <c r="F434" s="56"/>
      <c r="G434" s="151"/>
    </row>
    <row r="435" spans="6:7" ht="15.75" customHeight="1" x14ac:dyDescent="0.25">
      <c r="F435" s="56"/>
      <c r="G435" s="151"/>
    </row>
    <row r="436" spans="6:7" ht="15.75" customHeight="1" x14ac:dyDescent="0.25">
      <c r="F436" s="56"/>
      <c r="G436" s="151"/>
    </row>
    <row r="437" spans="6:7" ht="15.75" customHeight="1" x14ac:dyDescent="0.25">
      <c r="F437" s="56"/>
      <c r="G437" s="151"/>
    </row>
    <row r="438" spans="6:7" ht="15.75" customHeight="1" x14ac:dyDescent="0.25">
      <c r="F438" s="56"/>
      <c r="G438" s="151"/>
    </row>
    <row r="439" spans="6:7" ht="15.75" customHeight="1" x14ac:dyDescent="0.25">
      <c r="F439" s="56"/>
      <c r="G439" s="151"/>
    </row>
    <row r="440" spans="6:7" ht="15.75" customHeight="1" x14ac:dyDescent="0.25">
      <c r="F440" s="56"/>
      <c r="G440" s="151"/>
    </row>
    <row r="441" spans="6:7" ht="15.75" customHeight="1" x14ac:dyDescent="0.25">
      <c r="F441" s="56"/>
      <c r="G441" s="151"/>
    </row>
    <row r="442" spans="6:7" ht="15.75" customHeight="1" x14ac:dyDescent="0.25">
      <c r="F442" s="56"/>
      <c r="G442" s="151"/>
    </row>
    <row r="443" spans="6:7" ht="15.75" customHeight="1" x14ac:dyDescent="0.25">
      <c r="F443" s="56"/>
      <c r="G443" s="151"/>
    </row>
    <row r="444" spans="6:7" ht="15.75" customHeight="1" x14ac:dyDescent="0.25">
      <c r="F444" s="56"/>
      <c r="G444" s="151"/>
    </row>
    <row r="445" spans="6:7" ht="15.75" customHeight="1" x14ac:dyDescent="0.25">
      <c r="F445" s="56"/>
      <c r="G445" s="151"/>
    </row>
    <row r="446" spans="6:7" ht="15.75" customHeight="1" x14ac:dyDescent="0.25">
      <c r="F446" s="56"/>
      <c r="G446" s="151"/>
    </row>
    <row r="447" spans="6:7" ht="15.75" customHeight="1" x14ac:dyDescent="0.25">
      <c r="F447" s="56"/>
      <c r="G447" s="151"/>
    </row>
    <row r="448" spans="6:7" ht="15.75" customHeight="1" x14ac:dyDescent="0.25">
      <c r="F448" s="56"/>
      <c r="G448" s="151"/>
    </row>
    <row r="449" spans="6:7" ht="15.75" customHeight="1" x14ac:dyDescent="0.25">
      <c r="F449" s="56"/>
      <c r="G449" s="151"/>
    </row>
    <row r="450" spans="6:7" ht="15.75" customHeight="1" x14ac:dyDescent="0.25">
      <c r="F450" s="56"/>
      <c r="G450" s="151"/>
    </row>
    <row r="451" spans="6:7" ht="15.75" customHeight="1" x14ac:dyDescent="0.25">
      <c r="F451" s="56"/>
      <c r="G451" s="151"/>
    </row>
    <row r="452" spans="6:7" ht="15.75" customHeight="1" x14ac:dyDescent="0.25">
      <c r="F452" s="56"/>
      <c r="G452" s="151"/>
    </row>
    <row r="453" spans="6:7" ht="15.75" customHeight="1" x14ac:dyDescent="0.25">
      <c r="F453" s="56"/>
      <c r="G453" s="151"/>
    </row>
    <row r="454" spans="6:7" ht="15.75" customHeight="1" x14ac:dyDescent="0.25">
      <c r="F454" s="56"/>
      <c r="G454" s="151"/>
    </row>
    <row r="455" spans="6:7" ht="15.75" customHeight="1" x14ac:dyDescent="0.25">
      <c r="F455" s="56"/>
      <c r="G455" s="151"/>
    </row>
    <row r="456" spans="6:7" ht="15.75" customHeight="1" x14ac:dyDescent="0.25">
      <c r="F456" s="56"/>
      <c r="G456" s="151"/>
    </row>
    <row r="457" spans="6:7" ht="15.75" customHeight="1" x14ac:dyDescent="0.25">
      <c r="F457" s="56"/>
      <c r="G457" s="151"/>
    </row>
    <row r="458" spans="6:7" ht="15.75" customHeight="1" x14ac:dyDescent="0.25">
      <c r="F458" s="56"/>
      <c r="G458" s="151"/>
    </row>
    <row r="459" spans="6:7" ht="15.75" customHeight="1" x14ac:dyDescent="0.25">
      <c r="F459" s="56"/>
      <c r="G459" s="151"/>
    </row>
    <row r="460" spans="6:7" ht="15.75" customHeight="1" x14ac:dyDescent="0.25">
      <c r="F460" s="56"/>
      <c r="G460" s="151"/>
    </row>
    <row r="461" spans="6:7" ht="15.75" customHeight="1" x14ac:dyDescent="0.25">
      <c r="F461" s="56"/>
      <c r="G461" s="151"/>
    </row>
    <row r="462" spans="6:7" ht="15.75" customHeight="1" x14ac:dyDescent="0.25">
      <c r="F462" s="56"/>
      <c r="G462" s="151"/>
    </row>
    <row r="463" spans="6:7" ht="15.75" customHeight="1" x14ac:dyDescent="0.25">
      <c r="F463" s="56"/>
      <c r="G463" s="151"/>
    </row>
    <row r="464" spans="6:7" ht="15.75" customHeight="1" x14ac:dyDescent="0.25">
      <c r="F464" s="56"/>
      <c r="G464" s="151"/>
    </row>
    <row r="465" spans="6:7" ht="15.75" customHeight="1" x14ac:dyDescent="0.25">
      <c r="F465" s="56"/>
      <c r="G465" s="151"/>
    </row>
    <row r="466" spans="6:7" ht="15.75" customHeight="1" x14ac:dyDescent="0.25">
      <c r="F466" s="56"/>
      <c r="G466" s="151"/>
    </row>
    <row r="467" spans="6:7" ht="15.75" customHeight="1" x14ac:dyDescent="0.25">
      <c r="F467" s="56"/>
      <c r="G467" s="151"/>
    </row>
    <row r="468" spans="6:7" ht="15.75" customHeight="1" x14ac:dyDescent="0.25">
      <c r="F468" s="56"/>
      <c r="G468" s="151"/>
    </row>
    <row r="469" spans="6:7" ht="15.75" customHeight="1" x14ac:dyDescent="0.25">
      <c r="F469" s="56"/>
      <c r="G469" s="151"/>
    </row>
    <row r="470" spans="6:7" ht="15.75" customHeight="1" x14ac:dyDescent="0.25">
      <c r="F470" s="56"/>
      <c r="G470" s="151"/>
    </row>
    <row r="471" spans="6:7" ht="15.75" customHeight="1" x14ac:dyDescent="0.25">
      <c r="F471" s="56"/>
      <c r="G471" s="151"/>
    </row>
    <row r="472" spans="6:7" ht="15.75" customHeight="1" x14ac:dyDescent="0.25">
      <c r="F472" s="56"/>
      <c r="G472" s="151"/>
    </row>
    <row r="473" spans="6:7" ht="15.75" customHeight="1" x14ac:dyDescent="0.25">
      <c r="F473" s="56"/>
      <c r="G473" s="151"/>
    </row>
    <row r="474" spans="6:7" ht="15.75" customHeight="1" x14ac:dyDescent="0.25">
      <c r="F474" s="56"/>
      <c r="G474" s="151"/>
    </row>
    <row r="475" spans="6:7" ht="15.75" customHeight="1" x14ac:dyDescent="0.25">
      <c r="F475" s="56"/>
      <c r="G475" s="151"/>
    </row>
    <row r="476" spans="6:7" ht="15.75" customHeight="1" x14ac:dyDescent="0.25">
      <c r="F476" s="56"/>
      <c r="G476" s="151"/>
    </row>
    <row r="477" spans="6:7" ht="15.75" customHeight="1" x14ac:dyDescent="0.25">
      <c r="F477" s="56"/>
      <c r="G477" s="151"/>
    </row>
    <row r="478" spans="6:7" ht="15.75" customHeight="1" x14ac:dyDescent="0.25">
      <c r="F478" s="56"/>
      <c r="G478" s="151"/>
    </row>
    <row r="479" spans="6:7" ht="15.75" customHeight="1" x14ac:dyDescent="0.25">
      <c r="F479" s="56"/>
      <c r="G479" s="151"/>
    </row>
    <row r="480" spans="6:7" ht="15.75" customHeight="1" x14ac:dyDescent="0.25">
      <c r="F480" s="56"/>
      <c r="G480" s="151"/>
    </row>
    <row r="481" spans="6:7" ht="15.75" customHeight="1" x14ac:dyDescent="0.25">
      <c r="F481" s="56"/>
      <c r="G481" s="151"/>
    </row>
    <row r="482" spans="6:7" ht="15.75" customHeight="1" x14ac:dyDescent="0.25">
      <c r="F482" s="56"/>
      <c r="G482" s="151"/>
    </row>
    <row r="483" spans="6:7" ht="15.75" customHeight="1" x14ac:dyDescent="0.25">
      <c r="F483" s="56"/>
      <c r="G483" s="151"/>
    </row>
    <row r="484" spans="6:7" ht="15.75" customHeight="1" x14ac:dyDescent="0.25">
      <c r="F484" s="56"/>
      <c r="G484" s="151"/>
    </row>
    <row r="485" spans="6:7" ht="15.75" customHeight="1" x14ac:dyDescent="0.25">
      <c r="F485" s="56"/>
      <c r="G485" s="151"/>
    </row>
    <row r="486" spans="6:7" ht="15.75" customHeight="1" x14ac:dyDescent="0.25">
      <c r="F486" s="56"/>
      <c r="G486" s="151"/>
    </row>
    <row r="487" spans="6:7" ht="15.75" customHeight="1" x14ac:dyDescent="0.25">
      <c r="F487" s="56"/>
      <c r="G487" s="151"/>
    </row>
    <row r="488" spans="6:7" ht="15.75" customHeight="1" x14ac:dyDescent="0.25">
      <c r="F488" s="56"/>
      <c r="G488" s="151"/>
    </row>
    <row r="489" spans="6:7" ht="15.75" customHeight="1" x14ac:dyDescent="0.25">
      <c r="F489" s="56"/>
      <c r="G489" s="151"/>
    </row>
    <row r="490" spans="6:7" ht="15.75" customHeight="1" x14ac:dyDescent="0.25">
      <c r="F490" s="56"/>
      <c r="G490" s="151"/>
    </row>
    <row r="491" spans="6:7" ht="15.75" customHeight="1" x14ac:dyDescent="0.25">
      <c r="F491" s="56"/>
      <c r="G491" s="151"/>
    </row>
    <row r="492" spans="6:7" ht="15.75" customHeight="1" x14ac:dyDescent="0.25">
      <c r="F492" s="56"/>
      <c r="G492" s="151"/>
    </row>
    <row r="493" spans="6:7" ht="15.75" customHeight="1" x14ac:dyDescent="0.25">
      <c r="F493" s="56"/>
      <c r="G493" s="151"/>
    </row>
    <row r="494" spans="6:7" ht="15.75" customHeight="1" x14ac:dyDescent="0.25">
      <c r="F494" s="56"/>
      <c r="G494" s="151"/>
    </row>
    <row r="495" spans="6:7" ht="15.75" customHeight="1" x14ac:dyDescent="0.25">
      <c r="F495" s="56"/>
      <c r="G495" s="151"/>
    </row>
    <row r="496" spans="6:7" ht="15.75" customHeight="1" x14ac:dyDescent="0.25">
      <c r="F496" s="56"/>
      <c r="G496" s="151"/>
    </row>
    <row r="497" spans="6:7" ht="15.75" customHeight="1" x14ac:dyDescent="0.25">
      <c r="F497" s="56"/>
      <c r="G497" s="151"/>
    </row>
    <row r="498" spans="6:7" ht="15.75" customHeight="1" x14ac:dyDescent="0.25">
      <c r="F498" s="56"/>
      <c r="G498" s="151"/>
    </row>
    <row r="499" spans="6:7" ht="15.75" customHeight="1" x14ac:dyDescent="0.25">
      <c r="F499" s="56"/>
      <c r="G499" s="151"/>
    </row>
    <row r="500" spans="6:7" ht="15.75" customHeight="1" x14ac:dyDescent="0.25">
      <c r="F500" s="56"/>
      <c r="G500" s="151"/>
    </row>
    <row r="501" spans="6:7" ht="15.75" customHeight="1" x14ac:dyDescent="0.25">
      <c r="F501" s="56"/>
      <c r="G501" s="151"/>
    </row>
    <row r="502" spans="6:7" ht="15.75" customHeight="1" x14ac:dyDescent="0.25">
      <c r="F502" s="56"/>
      <c r="G502" s="151"/>
    </row>
    <row r="503" spans="6:7" ht="15.75" customHeight="1" x14ac:dyDescent="0.25">
      <c r="F503" s="56"/>
      <c r="G503" s="151"/>
    </row>
    <row r="504" spans="6:7" ht="15.75" customHeight="1" x14ac:dyDescent="0.25">
      <c r="F504" s="56"/>
      <c r="G504" s="151"/>
    </row>
    <row r="505" spans="6:7" ht="15.75" customHeight="1" x14ac:dyDescent="0.25">
      <c r="F505" s="56"/>
      <c r="G505" s="151"/>
    </row>
    <row r="506" spans="6:7" ht="15.75" customHeight="1" x14ac:dyDescent="0.25">
      <c r="F506" s="56"/>
      <c r="G506" s="151"/>
    </row>
    <row r="507" spans="6:7" ht="15.75" customHeight="1" x14ac:dyDescent="0.25">
      <c r="F507" s="56"/>
      <c r="G507" s="151"/>
    </row>
    <row r="508" spans="6:7" ht="15.75" customHeight="1" x14ac:dyDescent="0.25">
      <c r="F508" s="56"/>
      <c r="G508" s="151"/>
    </row>
    <row r="509" spans="6:7" ht="15.75" customHeight="1" x14ac:dyDescent="0.25">
      <c r="F509" s="56"/>
      <c r="G509" s="151"/>
    </row>
    <row r="510" spans="6:7" ht="15.75" customHeight="1" x14ac:dyDescent="0.25">
      <c r="F510" s="56"/>
      <c r="G510" s="151"/>
    </row>
    <row r="511" spans="6:7" ht="15.75" customHeight="1" x14ac:dyDescent="0.25">
      <c r="F511" s="56"/>
      <c r="G511" s="151"/>
    </row>
    <row r="512" spans="6:7" ht="15.75" customHeight="1" x14ac:dyDescent="0.25">
      <c r="F512" s="56"/>
      <c r="G512" s="151"/>
    </row>
    <row r="513" spans="6:7" ht="15.75" customHeight="1" x14ac:dyDescent="0.25">
      <c r="F513" s="56"/>
      <c r="G513" s="151"/>
    </row>
    <row r="514" spans="6:7" ht="15.75" customHeight="1" x14ac:dyDescent="0.25">
      <c r="F514" s="56"/>
      <c r="G514" s="151"/>
    </row>
    <row r="515" spans="6:7" ht="15.75" customHeight="1" x14ac:dyDescent="0.25">
      <c r="F515" s="56"/>
      <c r="G515" s="151"/>
    </row>
    <row r="516" spans="6:7" ht="15.75" customHeight="1" x14ac:dyDescent="0.25">
      <c r="F516" s="56"/>
      <c r="G516" s="151"/>
    </row>
    <row r="517" spans="6:7" ht="15.75" customHeight="1" x14ac:dyDescent="0.25">
      <c r="F517" s="56"/>
      <c r="G517" s="151"/>
    </row>
    <row r="518" spans="6:7" ht="15.75" customHeight="1" x14ac:dyDescent="0.25">
      <c r="F518" s="56"/>
      <c r="G518" s="151"/>
    </row>
    <row r="519" spans="6:7" ht="15.75" customHeight="1" x14ac:dyDescent="0.25">
      <c r="F519" s="56"/>
      <c r="G519" s="151"/>
    </row>
    <row r="520" spans="6:7" ht="15.75" customHeight="1" x14ac:dyDescent="0.25">
      <c r="F520" s="56"/>
      <c r="G520" s="151"/>
    </row>
    <row r="521" spans="6:7" ht="15.75" customHeight="1" x14ac:dyDescent="0.25">
      <c r="F521" s="56"/>
      <c r="G521" s="151"/>
    </row>
    <row r="522" spans="6:7" ht="15.75" customHeight="1" x14ac:dyDescent="0.25">
      <c r="F522" s="56"/>
      <c r="G522" s="151"/>
    </row>
    <row r="523" spans="6:7" ht="15.75" customHeight="1" x14ac:dyDescent="0.25">
      <c r="F523" s="56"/>
      <c r="G523" s="151"/>
    </row>
    <row r="524" spans="6:7" ht="15.75" customHeight="1" x14ac:dyDescent="0.25">
      <c r="F524" s="56"/>
      <c r="G524" s="151"/>
    </row>
    <row r="525" spans="6:7" ht="15.75" customHeight="1" x14ac:dyDescent="0.25">
      <c r="F525" s="56"/>
      <c r="G525" s="151"/>
    </row>
    <row r="526" spans="6:7" ht="15.75" customHeight="1" x14ac:dyDescent="0.25">
      <c r="F526" s="56"/>
      <c r="G526" s="151"/>
    </row>
    <row r="527" spans="6:7" ht="15.75" customHeight="1" x14ac:dyDescent="0.25">
      <c r="F527" s="56"/>
      <c r="G527" s="151"/>
    </row>
    <row r="528" spans="6:7" ht="15.75" customHeight="1" x14ac:dyDescent="0.25">
      <c r="F528" s="56"/>
      <c r="G528" s="151"/>
    </row>
    <row r="529" spans="6:7" ht="15.75" customHeight="1" x14ac:dyDescent="0.25">
      <c r="F529" s="56"/>
      <c r="G529" s="151"/>
    </row>
    <row r="530" spans="6:7" ht="15.75" customHeight="1" x14ac:dyDescent="0.25">
      <c r="F530" s="56"/>
      <c r="G530" s="151"/>
    </row>
    <row r="531" spans="6:7" ht="15.75" customHeight="1" x14ac:dyDescent="0.25">
      <c r="F531" s="56"/>
      <c r="G531" s="151"/>
    </row>
    <row r="532" spans="6:7" ht="15.75" customHeight="1" x14ac:dyDescent="0.25">
      <c r="F532" s="56"/>
      <c r="G532" s="151"/>
    </row>
    <row r="533" spans="6:7" ht="15.75" customHeight="1" x14ac:dyDescent="0.25">
      <c r="F533" s="56"/>
      <c r="G533" s="151"/>
    </row>
    <row r="534" spans="6:7" ht="15.75" customHeight="1" x14ac:dyDescent="0.25">
      <c r="F534" s="56"/>
      <c r="G534" s="151"/>
    </row>
    <row r="535" spans="6:7" ht="15.75" customHeight="1" x14ac:dyDescent="0.25">
      <c r="F535" s="56"/>
      <c r="G535" s="151"/>
    </row>
    <row r="536" spans="6:7" ht="15.75" customHeight="1" x14ac:dyDescent="0.25">
      <c r="F536" s="56"/>
      <c r="G536" s="151"/>
    </row>
    <row r="537" spans="6:7" ht="15.75" customHeight="1" x14ac:dyDescent="0.25">
      <c r="F537" s="56"/>
      <c r="G537" s="151"/>
    </row>
    <row r="538" spans="6:7" ht="15.75" customHeight="1" x14ac:dyDescent="0.25">
      <c r="F538" s="56"/>
      <c r="G538" s="151"/>
    </row>
    <row r="539" spans="6:7" ht="15.75" customHeight="1" x14ac:dyDescent="0.25">
      <c r="F539" s="56"/>
      <c r="G539" s="151"/>
    </row>
    <row r="540" spans="6:7" ht="15.75" customHeight="1" x14ac:dyDescent="0.25">
      <c r="F540" s="56"/>
      <c r="G540" s="151"/>
    </row>
    <row r="541" spans="6:7" ht="15.75" customHeight="1" x14ac:dyDescent="0.25">
      <c r="F541" s="56"/>
      <c r="G541" s="151"/>
    </row>
    <row r="542" spans="6:7" ht="15.75" customHeight="1" x14ac:dyDescent="0.25">
      <c r="F542" s="56"/>
      <c r="G542" s="151"/>
    </row>
    <row r="543" spans="6:7" ht="15.75" customHeight="1" x14ac:dyDescent="0.25">
      <c r="F543" s="56"/>
      <c r="G543" s="151"/>
    </row>
    <row r="544" spans="6:7" ht="15.75" customHeight="1" x14ac:dyDescent="0.25">
      <c r="F544" s="56"/>
      <c r="G544" s="151"/>
    </row>
    <row r="545" spans="6:7" ht="15.75" customHeight="1" x14ac:dyDescent="0.25">
      <c r="F545" s="56"/>
      <c r="G545" s="151"/>
    </row>
    <row r="546" spans="6:7" ht="15.75" customHeight="1" x14ac:dyDescent="0.25">
      <c r="F546" s="56"/>
      <c r="G546" s="151"/>
    </row>
    <row r="547" spans="6:7" ht="15.75" customHeight="1" x14ac:dyDescent="0.25">
      <c r="F547" s="56"/>
      <c r="G547" s="151"/>
    </row>
    <row r="548" spans="6:7" ht="15.75" customHeight="1" x14ac:dyDescent="0.25">
      <c r="F548" s="56"/>
      <c r="G548" s="151"/>
    </row>
    <row r="549" spans="6:7" ht="15.75" customHeight="1" x14ac:dyDescent="0.25">
      <c r="F549" s="56"/>
      <c r="G549" s="151"/>
    </row>
    <row r="550" spans="6:7" ht="15.75" customHeight="1" x14ac:dyDescent="0.25">
      <c r="F550" s="56"/>
      <c r="G550" s="151"/>
    </row>
    <row r="551" spans="6:7" ht="15.75" customHeight="1" x14ac:dyDescent="0.25">
      <c r="F551" s="56"/>
      <c r="G551" s="151"/>
    </row>
    <row r="552" spans="6:7" ht="15.75" customHeight="1" x14ac:dyDescent="0.25">
      <c r="F552" s="56"/>
      <c r="G552" s="151"/>
    </row>
    <row r="553" spans="6:7" ht="15.75" customHeight="1" x14ac:dyDescent="0.25">
      <c r="F553" s="56"/>
      <c r="G553" s="151"/>
    </row>
    <row r="554" spans="6:7" ht="15.75" customHeight="1" x14ac:dyDescent="0.25">
      <c r="F554" s="56"/>
      <c r="G554" s="151"/>
    </row>
    <row r="555" spans="6:7" ht="15.75" customHeight="1" x14ac:dyDescent="0.25">
      <c r="F555" s="56"/>
      <c r="G555" s="151"/>
    </row>
    <row r="556" spans="6:7" ht="15.75" customHeight="1" x14ac:dyDescent="0.25">
      <c r="F556" s="56"/>
      <c r="G556" s="151"/>
    </row>
    <row r="557" spans="6:7" ht="15.75" customHeight="1" x14ac:dyDescent="0.25">
      <c r="F557" s="56"/>
      <c r="G557" s="151"/>
    </row>
    <row r="558" spans="6:7" ht="15.75" customHeight="1" x14ac:dyDescent="0.25">
      <c r="F558" s="56"/>
      <c r="G558" s="151"/>
    </row>
    <row r="559" spans="6:7" ht="15.75" customHeight="1" x14ac:dyDescent="0.25">
      <c r="F559" s="56"/>
      <c r="G559" s="151"/>
    </row>
    <row r="560" spans="6:7" ht="15.75" customHeight="1" x14ac:dyDescent="0.25">
      <c r="F560" s="56"/>
      <c r="G560" s="151"/>
    </row>
    <row r="561" spans="6:7" ht="15.75" customHeight="1" x14ac:dyDescent="0.25">
      <c r="F561" s="56"/>
      <c r="G561" s="151"/>
    </row>
    <row r="562" spans="6:7" ht="15.75" customHeight="1" x14ac:dyDescent="0.25">
      <c r="F562" s="56"/>
      <c r="G562" s="151"/>
    </row>
    <row r="563" spans="6:7" ht="15.75" customHeight="1" x14ac:dyDescent="0.25">
      <c r="F563" s="56"/>
      <c r="G563" s="151"/>
    </row>
    <row r="564" spans="6:7" ht="15.75" customHeight="1" x14ac:dyDescent="0.25">
      <c r="F564" s="56"/>
      <c r="G564" s="151"/>
    </row>
    <row r="565" spans="6:7" ht="15.75" customHeight="1" x14ac:dyDescent="0.25">
      <c r="F565" s="56"/>
      <c r="G565" s="151"/>
    </row>
    <row r="566" spans="6:7" ht="15.75" customHeight="1" x14ac:dyDescent="0.25">
      <c r="F566" s="56"/>
      <c r="G566" s="151"/>
    </row>
    <row r="567" spans="6:7" ht="15.75" customHeight="1" x14ac:dyDescent="0.25">
      <c r="F567" s="56"/>
      <c r="G567" s="151"/>
    </row>
    <row r="568" spans="6:7" ht="15.75" customHeight="1" x14ac:dyDescent="0.25">
      <c r="F568" s="56"/>
      <c r="G568" s="151"/>
    </row>
    <row r="569" spans="6:7" ht="15.75" customHeight="1" x14ac:dyDescent="0.25">
      <c r="F569" s="56"/>
      <c r="G569" s="151"/>
    </row>
    <row r="570" spans="6:7" ht="15.75" customHeight="1" x14ac:dyDescent="0.25">
      <c r="F570" s="56"/>
      <c r="G570" s="151"/>
    </row>
    <row r="571" spans="6:7" ht="15.75" customHeight="1" x14ac:dyDescent="0.25">
      <c r="F571" s="56"/>
      <c r="G571" s="151"/>
    </row>
    <row r="572" spans="6:7" ht="15.75" customHeight="1" x14ac:dyDescent="0.25">
      <c r="F572" s="56"/>
      <c r="G572" s="151"/>
    </row>
    <row r="573" spans="6:7" ht="15.75" customHeight="1" x14ac:dyDescent="0.25">
      <c r="F573" s="56"/>
      <c r="G573" s="151"/>
    </row>
    <row r="574" spans="6:7" ht="15.75" customHeight="1" x14ac:dyDescent="0.25">
      <c r="F574" s="56"/>
      <c r="G574" s="151"/>
    </row>
    <row r="575" spans="6:7" ht="15.75" customHeight="1" x14ac:dyDescent="0.25">
      <c r="F575" s="56"/>
      <c r="G575" s="151"/>
    </row>
    <row r="576" spans="6:7" ht="15.75" customHeight="1" x14ac:dyDescent="0.25">
      <c r="F576" s="56"/>
      <c r="G576" s="151"/>
    </row>
    <row r="577" spans="6:7" ht="15.75" customHeight="1" x14ac:dyDescent="0.25">
      <c r="F577" s="56"/>
      <c r="G577" s="151"/>
    </row>
    <row r="578" spans="6:7" ht="15.75" customHeight="1" x14ac:dyDescent="0.25">
      <c r="F578" s="56"/>
      <c r="G578" s="151"/>
    </row>
    <row r="579" spans="6:7" ht="15.75" customHeight="1" x14ac:dyDescent="0.25">
      <c r="F579" s="56"/>
      <c r="G579" s="151"/>
    </row>
    <row r="580" spans="6:7" ht="15.75" customHeight="1" x14ac:dyDescent="0.25">
      <c r="F580" s="56"/>
      <c r="G580" s="151"/>
    </row>
    <row r="581" spans="6:7" ht="15.75" customHeight="1" x14ac:dyDescent="0.25">
      <c r="F581" s="56"/>
      <c r="G581" s="151"/>
    </row>
    <row r="582" spans="6:7" ht="15.75" customHeight="1" x14ac:dyDescent="0.25">
      <c r="F582" s="56"/>
      <c r="G582" s="151"/>
    </row>
    <row r="583" spans="6:7" ht="15.75" customHeight="1" x14ac:dyDescent="0.25">
      <c r="F583" s="56"/>
      <c r="G583" s="151"/>
    </row>
    <row r="584" spans="6:7" ht="15.75" customHeight="1" x14ac:dyDescent="0.25">
      <c r="F584" s="56"/>
      <c r="G584" s="151"/>
    </row>
    <row r="585" spans="6:7" ht="15.75" customHeight="1" x14ac:dyDescent="0.25">
      <c r="F585" s="56"/>
      <c r="G585" s="151"/>
    </row>
    <row r="586" spans="6:7" ht="15.75" customHeight="1" x14ac:dyDescent="0.25">
      <c r="F586" s="56"/>
      <c r="G586" s="151"/>
    </row>
    <row r="587" spans="6:7" ht="15.75" customHeight="1" x14ac:dyDescent="0.25">
      <c r="F587" s="56"/>
      <c r="G587" s="151"/>
    </row>
    <row r="588" spans="6:7" ht="15.75" customHeight="1" x14ac:dyDescent="0.25">
      <c r="F588" s="56"/>
      <c r="G588" s="151"/>
    </row>
    <row r="589" spans="6:7" ht="15.75" customHeight="1" x14ac:dyDescent="0.25">
      <c r="F589" s="56"/>
      <c r="G589" s="151"/>
    </row>
    <row r="590" spans="6:7" ht="15.75" customHeight="1" x14ac:dyDescent="0.25">
      <c r="F590" s="56"/>
      <c r="G590" s="151"/>
    </row>
    <row r="591" spans="6:7" ht="15.75" customHeight="1" x14ac:dyDescent="0.25">
      <c r="F591" s="56"/>
      <c r="G591" s="151"/>
    </row>
    <row r="592" spans="6:7" ht="15.75" customHeight="1" x14ac:dyDescent="0.25">
      <c r="F592" s="56"/>
      <c r="G592" s="151"/>
    </row>
    <row r="593" spans="6:7" ht="15.75" customHeight="1" x14ac:dyDescent="0.25">
      <c r="F593" s="56"/>
      <c r="G593" s="151"/>
    </row>
    <row r="594" spans="6:7" ht="15.75" customHeight="1" x14ac:dyDescent="0.25">
      <c r="F594" s="56"/>
      <c r="G594" s="151"/>
    </row>
    <row r="595" spans="6:7" ht="15.75" customHeight="1" x14ac:dyDescent="0.25">
      <c r="F595" s="56"/>
      <c r="G595" s="151"/>
    </row>
    <row r="596" spans="6:7" ht="15.75" customHeight="1" x14ac:dyDescent="0.25">
      <c r="F596" s="56"/>
      <c r="G596" s="151"/>
    </row>
    <row r="597" spans="6:7" ht="15.75" customHeight="1" x14ac:dyDescent="0.25">
      <c r="F597" s="56"/>
      <c r="G597" s="151"/>
    </row>
    <row r="598" spans="6:7" ht="15.75" customHeight="1" x14ac:dyDescent="0.25">
      <c r="F598" s="56"/>
      <c r="G598" s="151"/>
    </row>
    <row r="599" spans="6:7" ht="15.75" customHeight="1" x14ac:dyDescent="0.25">
      <c r="F599" s="56"/>
      <c r="G599" s="151"/>
    </row>
    <row r="600" spans="6:7" ht="15.75" customHeight="1" x14ac:dyDescent="0.25">
      <c r="F600" s="56"/>
      <c r="G600" s="151"/>
    </row>
    <row r="601" spans="6:7" ht="15.75" customHeight="1" x14ac:dyDescent="0.25">
      <c r="F601" s="56"/>
      <c r="G601" s="151"/>
    </row>
    <row r="602" spans="6:7" ht="15.75" customHeight="1" x14ac:dyDescent="0.25">
      <c r="F602" s="56"/>
      <c r="G602" s="151"/>
    </row>
    <row r="603" spans="6:7" ht="15.75" customHeight="1" x14ac:dyDescent="0.25">
      <c r="F603" s="56"/>
      <c r="G603" s="151"/>
    </row>
    <row r="604" spans="6:7" ht="15.75" customHeight="1" x14ac:dyDescent="0.25">
      <c r="F604" s="56"/>
      <c r="G604" s="151"/>
    </row>
    <row r="605" spans="6:7" ht="15.75" customHeight="1" x14ac:dyDescent="0.25">
      <c r="F605" s="56"/>
      <c r="G605" s="151"/>
    </row>
    <row r="606" spans="6:7" ht="15.75" customHeight="1" x14ac:dyDescent="0.25">
      <c r="F606" s="56"/>
      <c r="G606" s="151"/>
    </row>
    <row r="607" spans="6:7" ht="15.75" customHeight="1" x14ac:dyDescent="0.25">
      <c r="F607" s="56"/>
      <c r="G607" s="151"/>
    </row>
    <row r="608" spans="6:7" ht="15.75" customHeight="1" x14ac:dyDescent="0.25">
      <c r="F608" s="56"/>
      <c r="G608" s="151"/>
    </row>
    <row r="609" spans="6:7" ht="15.75" customHeight="1" x14ac:dyDescent="0.25">
      <c r="F609" s="56"/>
      <c r="G609" s="151"/>
    </row>
    <row r="610" spans="6:7" ht="15.75" customHeight="1" x14ac:dyDescent="0.25">
      <c r="F610" s="56"/>
      <c r="G610" s="151"/>
    </row>
    <row r="611" spans="6:7" ht="15.75" customHeight="1" x14ac:dyDescent="0.25">
      <c r="F611" s="56"/>
      <c r="G611" s="151"/>
    </row>
    <row r="612" spans="6:7" ht="15.75" customHeight="1" x14ac:dyDescent="0.25">
      <c r="F612" s="56"/>
      <c r="G612" s="151"/>
    </row>
    <row r="613" spans="6:7" ht="15.75" customHeight="1" x14ac:dyDescent="0.25">
      <c r="F613" s="56"/>
      <c r="G613" s="151"/>
    </row>
    <row r="614" spans="6:7" ht="15.75" customHeight="1" x14ac:dyDescent="0.25">
      <c r="F614" s="56"/>
      <c r="G614" s="151"/>
    </row>
    <row r="615" spans="6:7" ht="15.75" customHeight="1" x14ac:dyDescent="0.25">
      <c r="F615" s="56"/>
      <c r="G615" s="151"/>
    </row>
    <row r="616" spans="6:7" ht="15.75" customHeight="1" x14ac:dyDescent="0.25">
      <c r="F616" s="56"/>
      <c r="G616" s="151"/>
    </row>
    <row r="617" spans="6:7" ht="15.75" customHeight="1" x14ac:dyDescent="0.25">
      <c r="F617" s="56"/>
      <c r="G617" s="151"/>
    </row>
    <row r="618" spans="6:7" ht="15.75" customHeight="1" x14ac:dyDescent="0.25">
      <c r="F618" s="56"/>
      <c r="G618" s="151"/>
    </row>
    <row r="619" spans="6:7" ht="15.75" customHeight="1" x14ac:dyDescent="0.25">
      <c r="F619" s="56"/>
      <c r="G619" s="151"/>
    </row>
    <row r="620" spans="6:7" ht="15.75" customHeight="1" x14ac:dyDescent="0.25">
      <c r="F620" s="56"/>
      <c r="G620" s="151"/>
    </row>
    <row r="621" spans="6:7" ht="15.75" customHeight="1" x14ac:dyDescent="0.25">
      <c r="F621" s="56"/>
      <c r="G621" s="151"/>
    </row>
    <row r="622" spans="6:7" ht="15.75" customHeight="1" x14ac:dyDescent="0.25">
      <c r="F622" s="56"/>
      <c r="G622" s="151"/>
    </row>
    <row r="623" spans="6:7" ht="15.75" customHeight="1" x14ac:dyDescent="0.25">
      <c r="F623" s="56"/>
      <c r="G623" s="151"/>
    </row>
    <row r="624" spans="6:7" ht="15.75" customHeight="1" x14ac:dyDescent="0.25">
      <c r="F624" s="56"/>
      <c r="G624" s="151"/>
    </row>
    <row r="625" spans="6:7" ht="15.75" customHeight="1" x14ac:dyDescent="0.25">
      <c r="F625" s="56"/>
      <c r="G625" s="151"/>
    </row>
    <row r="626" spans="6:7" ht="15.75" customHeight="1" x14ac:dyDescent="0.25">
      <c r="F626" s="56"/>
      <c r="G626" s="151"/>
    </row>
    <row r="627" spans="6:7" ht="15.75" customHeight="1" x14ac:dyDescent="0.25">
      <c r="F627" s="56"/>
      <c r="G627" s="151"/>
    </row>
    <row r="628" spans="6:7" ht="15.75" customHeight="1" x14ac:dyDescent="0.25">
      <c r="F628" s="56"/>
      <c r="G628" s="151"/>
    </row>
    <row r="629" spans="6:7" ht="15.75" customHeight="1" x14ac:dyDescent="0.25">
      <c r="F629" s="56"/>
      <c r="G629" s="151"/>
    </row>
    <row r="630" spans="6:7" ht="15.75" customHeight="1" x14ac:dyDescent="0.25">
      <c r="F630" s="56"/>
      <c r="G630" s="151"/>
    </row>
    <row r="631" spans="6:7" ht="15.75" customHeight="1" x14ac:dyDescent="0.25">
      <c r="F631" s="56"/>
      <c r="G631" s="151"/>
    </row>
    <row r="632" spans="6:7" ht="15.75" customHeight="1" x14ac:dyDescent="0.25">
      <c r="F632" s="56"/>
      <c r="G632" s="151"/>
    </row>
    <row r="633" spans="6:7" ht="15.75" customHeight="1" x14ac:dyDescent="0.25">
      <c r="F633" s="56"/>
      <c r="G633" s="151"/>
    </row>
    <row r="634" spans="6:7" ht="15.75" customHeight="1" x14ac:dyDescent="0.25">
      <c r="F634" s="56"/>
      <c r="G634" s="151"/>
    </row>
    <row r="635" spans="6:7" ht="15.75" customHeight="1" x14ac:dyDescent="0.25">
      <c r="F635" s="56"/>
      <c r="G635" s="151"/>
    </row>
    <row r="636" spans="6:7" ht="15.75" customHeight="1" x14ac:dyDescent="0.25">
      <c r="F636" s="56"/>
      <c r="G636" s="151"/>
    </row>
    <row r="637" spans="6:7" ht="15.75" customHeight="1" x14ac:dyDescent="0.25">
      <c r="F637" s="56"/>
      <c r="G637" s="151"/>
    </row>
    <row r="638" spans="6:7" ht="15.75" customHeight="1" x14ac:dyDescent="0.25">
      <c r="F638" s="56"/>
      <c r="G638" s="151"/>
    </row>
    <row r="639" spans="6:7" ht="15.75" customHeight="1" x14ac:dyDescent="0.25">
      <c r="F639" s="56"/>
      <c r="G639" s="151"/>
    </row>
    <row r="640" spans="6:7" ht="15.75" customHeight="1" x14ac:dyDescent="0.25">
      <c r="F640" s="56"/>
      <c r="G640" s="151"/>
    </row>
    <row r="641" spans="6:7" ht="15.75" customHeight="1" x14ac:dyDescent="0.25">
      <c r="F641" s="56"/>
      <c r="G641" s="151"/>
    </row>
    <row r="642" spans="6:7" ht="15.75" customHeight="1" x14ac:dyDescent="0.25">
      <c r="F642" s="56"/>
      <c r="G642" s="151"/>
    </row>
    <row r="643" spans="6:7" ht="15.75" customHeight="1" x14ac:dyDescent="0.25">
      <c r="F643" s="56"/>
      <c r="G643" s="151"/>
    </row>
    <row r="644" spans="6:7" ht="15.75" customHeight="1" x14ac:dyDescent="0.25">
      <c r="F644" s="56"/>
      <c r="G644" s="151"/>
    </row>
    <row r="645" spans="6:7" ht="15.75" customHeight="1" x14ac:dyDescent="0.25">
      <c r="F645" s="56"/>
      <c r="G645" s="151"/>
    </row>
    <row r="646" spans="6:7" ht="15.75" customHeight="1" x14ac:dyDescent="0.25">
      <c r="F646" s="56"/>
      <c r="G646" s="151"/>
    </row>
    <row r="647" spans="6:7" ht="15.75" customHeight="1" x14ac:dyDescent="0.25">
      <c r="F647" s="56"/>
      <c r="G647" s="151"/>
    </row>
    <row r="648" spans="6:7" ht="15.75" customHeight="1" x14ac:dyDescent="0.25">
      <c r="F648" s="56"/>
      <c r="G648" s="151"/>
    </row>
    <row r="649" spans="6:7" ht="15.75" customHeight="1" x14ac:dyDescent="0.25">
      <c r="F649" s="56"/>
      <c r="G649" s="151"/>
    </row>
    <row r="650" spans="6:7" ht="15.75" customHeight="1" x14ac:dyDescent="0.25">
      <c r="F650" s="56"/>
      <c r="G650" s="151"/>
    </row>
    <row r="651" spans="6:7" ht="15.75" customHeight="1" x14ac:dyDescent="0.25">
      <c r="F651" s="56"/>
      <c r="G651" s="151"/>
    </row>
    <row r="652" spans="6:7" ht="15.75" customHeight="1" x14ac:dyDescent="0.25">
      <c r="F652" s="56"/>
      <c r="G652" s="151"/>
    </row>
    <row r="653" spans="6:7" ht="15.75" customHeight="1" x14ac:dyDescent="0.25">
      <c r="F653" s="56"/>
      <c r="G653" s="151"/>
    </row>
    <row r="654" spans="6:7" ht="15.75" customHeight="1" x14ac:dyDescent="0.25">
      <c r="F654" s="56"/>
      <c r="G654" s="151"/>
    </row>
    <row r="655" spans="6:7" ht="15.75" customHeight="1" x14ac:dyDescent="0.25">
      <c r="F655" s="56"/>
      <c r="G655" s="151"/>
    </row>
    <row r="656" spans="6:7" ht="15.75" customHeight="1" x14ac:dyDescent="0.25">
      <c r="F656" s="56"/>
      <c r="G656" s="151"/>
    </row>
    <row r="657" spans="6:7" ht="15.75" customHeight="1" x14ac:dyDescent="0.25">
      <c r="F657" s="56"/>
      <c r="G657" s="151"/>
    </row>
    <row r="658" spans="6:7" ht="15.75" customHeight="1" x14ac:dyDescent="0.25">
      <c r="F658" s="56"/>
      <c r="G658" s="151"/>
    </row>
    <row r="659" spans="6:7" ht="15.75" customHeight="1" x14ac:dyDescent="0.25">
      <c r="F659" s="56"/>
      <c r="G659" s="151"/>
    </row>
    <row r="660" spans="6:7" ht="15.75" customHeight="1" x14ac:dyDescent="0.25">
      <c r="F660" s="56"/>
      <c r="G660" s="151"/>
    </row>
    <row r="661" spans="6:7" ht="15.75" customHeight="1" x14ac:dyDescent="0.25">
      <c r="F661" s="56"/>
      <c r="G661" s="151"/>
    </row>
    <row r="662" spans="6:7" ht="15.75" customHeight="1" x14ac:dyDescent="0.25">
      <c r="F662" s="56"/>
      <c r="G662" s="151"/>
    </row>
    <row r="663" spans="6:7" ht="15.75" customHeight="1" x14ac:dyDescent="0.25">
      <c r="F663" s="56"/>
      <c r="G663" s="151"/>
    </row>
    <row r="664" spans="6:7" ht="15.75" customHeight="1" x14ac:dyDescent="0.25">
      <c r="F664" s="56"/>
      <c r="G664" s="151"/>
    </row>
    <row r="665" spans="6:7" ht="15.75" customHeight="1" x14ac:dyDescent="0.25">
      <c r="F665" s="56"/>
      <c r="G665" s="151"/>
    </row>
    <row r="666" spans="6:7" ht="15.75" customHeight="1" x14ac:dyDescent="0.25">
      <c r="F666" s="56"/>
      <c r="G666" s="151"/>
    </row>
    <row r="667" spans="6:7" ht="15.75" customHeight="1" x14ac:dyDescent="0.25">
      <c r="F667" s="56"/>
      <c r="G667" s="151"/>
    </row>
    <row r="668" spans="6:7" ht="15.75" customHeight="1" x14ac:dyDescent="0.25">
      <c r="F668" s="56"/>
      <c r="G668" s="151"/>
    </row>
    <row r="669" spans="6:7" ht="15.75" customHeight="1" x14ac:dyDescent="0.25">
      <c r="F669" s="56"/>
      <c r="G669" s="151"/>
    </row>
    <row r="670" spans="6:7" ht="15.75" customHeight="1" x14ac:dyDescent="0.25">
      <c r="F670" s="56"/>
      <c r="G670" s="151"/>
    </row>
    <row r="671" spans="6:7" ht="15.75" customHeight="1" x14ac:dyDescent="0.25">
      <c r="F671" s="56"/>
      <c r="G671" s="151"/>
    </row>
    <row r="672" spans="6:7" ht="15.75" customHeight="1" x14ac:dyDescent="0.25">
      <c r="F672" s="56"/>
      <c r="G672" s="151"/>
    </row>
    <row r="673" spans="6:7" ht="15.75" customHeight="1" x14ac:dyDescent="0.25">
      <c r="F673" s="56"/>
      <c r="G673" s="151"/>
    </row>
    <row r="674" spans="6:7" ht="15.75" customHeight="1" x14ac:dyDescent="0.25">
      <c r="F674" s="56"/>
      <c r="G674" s="151"/>
    </row>
    <row r="675" spans="6:7" ht="15.75" customHeight="1" x14ac:dyDescent="0.25">
      <c r="F675" s="56"/>
      <c r="G675" s="151"/>
    </row>
    <row r="676" spans="6:7" ht="15.75" customHeight="1" x14ac:dyDescent="0.25">
      <c r="F676" s="56"/>
      <c r="G676" s="151"/>
    </row>
    <row r="677" spans="6:7" ht="15.75" customHeight="1" x14ac:dyDescent="0.25">
      <c r="F677" s="56"/>
      <c r="G677" s="151"/>
    </row>
    <row r="678" spans="6:7" ht="15.75" customHeight="1" x14ac:dyDescent="0.25">
      <c r="F678" s="56"/>
      <c r="G678" s="151"/>
    </row>
    <row r="679" spans="6:7" ht="15.75" customHeight="1" x14ac:dyDescent="0.25">
      <c r="F679" s="56"/>
      <c r="G679" s="151"/>
    </row>
    <row r="680" spans="6:7" ht="15.75" customHeight="1" x14ac:dyDescent="0.25">
      <c r="F680" s="56"/>
      <c r="G680" s="151"/>
    </row>
    <row r="681" spans="6:7" ht="15.75" customHeight="1" x14ac:dyDescent="0.25">
      <c r="F681" s="56"/>
      <c r="G681" s="151"/>
    </row>
    <row r="682" spans="6:7" ht="15.75" customHeight="1" x14ac:dyDescent="0.25">
      <c r="F682" s="56"/>
      <c r="G682" s="151"/>
    </row>
    <row r="683" spans="6:7" ht="15.75" customHeight="1" x14ac:dyDescent="0.25">
      <c r="F683" s="56"/>
      <c r="G683" s="151"/>
    </row>
    <row r="684" spans="6:7" ht="15.75" customHeight="1" x14ac:dyDescent="0.25">
      <c r="F684" s="56"/>
      <c r="G684" s="151"/>
    </row>
    <row r="685" spans="6:7" ht="15.75" customHeight="1" x14ac:dyDescent="0.25">
      <c r="F685" s="56"/>
      <c r="G685" s="151"/>
    </row>
    <row r="686" spans="6:7" ht="15.75" customHeight="1" x14ac:dyDescent="0.25">
      <c r="F686" s="56"/>
      <c r="G686" s="151"/>
    </row>
    <row r="687" spans="6:7" ht="15.75" customHeight="1" x14ac:dyDescent="0.25">
      <c r="F687" s="56"/>
      <c r="G687" s="151"/>
    </row>
    <row r="688" spans="6:7" ht="15.75" customHeight="1" x14ac:dyDescent="0.25">
      <c r="F688" s="56"/>
      <c r="G688" s="151"/>
    </row>
    <row r="689" spans="6:7" ht="15.75" customHeight="1" x14ac:dyDescent="0.25">
      <c r="F689" s="56"/>
      <c r="G689" s="151"/>
    </row>
    <row r="690" spans="6:7" ht="15.75" customHeight="1" x14ac:dyDescent="0.25">
      <c r="F690" s="56"/>
      <c r="G690" s="151"/>
    </row>
    <row r="691" spans="6:7" ht="15.75" customHeight="1" x14ac:dyDescent="0.25">
      <c r="F691" s="56"/>
      <c r="G691" s="151"/>
    </row>
    <row r="692" spans="6:7" ht="15.75" customHeight="1" x14ac:dyDescent="0.25">
      <c r="F692" s="56"/>
      <c r="G692" s="151"/>
    </row>
    <row r="693" spans="6:7" ht="15.75" customHeight="1" x14ac:dyDescent="0.25">
      <c r="F693" s="56"/>
      <c r="G693" s="151"/>
    </row>
    <row r="694" spans="6:7" ht="15.75" customHeight="1" x14ac:dyDescent="0.25">
      <c r="F694" s="56"/>
      <c r="G694" s="151"/>
    </row>
    <row r="695" spans="6:7" ht="15.75" customHeight="1" x14ac:dyDescent="0.25">
      <c r="F695" s="56"/>
      <c r="G695" s="151"/>
    </row>
    <row r="696" spans="6:7" ht="15.75" customHeight="1" x14ac:dyDescent="0.25">
      <c r="F696" s="56"/>
      <c r="G696" s="151"/>
    </row>
    <row r="697" spans="6:7" ht="15.75" customHeight="1" x14ac:dyDescent="0.25">
      <c r="F697" s="56"/>
      <c r="G697" s="151"/>
    </row>
    <row r="698" spans="6:7" ht="15.75" customHeight="1" x14ac:dyDescent="0.25">
      <c r="F698" s="56"/>
      <c r="G698" s="151"/>
    </row>
    <row r="699" spans="6:7" ht="15.75" customHeight="1" x14ac:dyDescent="0.25">
      <c r="F699" s="56"/>
      <c r="G699" s="151"/>
    </row>
    <row r="700" spans="6:7" ht="15.75" customHeight="1" x14ac:dyDescent="0.25">
      <c r="F700" s="56"/>
      <c r="G700" s="151"/>
    </row>
    <row r="701" spans="6:7" ht="15.75" customHeight="1" x14ac:dyDescent="0.25">
      <c r="F701" s="56"/>
      <c r="G701" s="151"/>
    </row>
    <row r="702" spans="6:7" ht="15.75" customHeight="1" x14ac:dyDescent="0.25">
      <c r="F702" s="56"/>
      <c r="G702" s="151"/>
    </row>
    <row r="703" spans="6:7" ht="15.75" customHeight="1" x14ac:dyDescent="0.25">
      <c r="F703" s="56"/>
      <c r="G703" s="151"/>
    </row>
    <row r="704" spans="6:7" ht="15.75" customHeight="1" x14ac:dyDescent="0.25">
      <c r="F704" s="56"/>
      <c r="G704" s="151"/>
    </row>
    <row r="705" spans="6:7" ht="15.75" customHeight="1" x14ac:dyDescent="0.25">
      <c r="F705" s="56"/>
      <c r="G705" s="151"/>
    </row>
    <row r="706" spans="6:7" ht="15.75" customHeight="1" x14ac:dyDescent="0.25">
      <c r="F706" s="56"/>
      <c r="G706" s="151"/>
    </row>
    <row r="707" spans="6:7" ht="15.75" customHeight="1" x14ac:dyDescent="0.25">
      <c r="F707" s="56"/>
      <c r="G707" s="151"/>
    </row>
    <row r="708" spans="6:7" ht="15.75" customHeight="1" x14ac:dyDescent="0.25">
      <c r="F708" s="56"/>
      <c r="G708" s="151"/>
    </row>
    <row r="709" spans="6:7" ht="15.75" customHeight="1" x14ac:dyDescent="0.25">
      <c r="F709" s="56"/>
      <c r="G709" s="151"/>
    </row>
    <row r="710" spans="6:7" ht="15.75" customHeight="1" x14ac:dyDescent="0.25">
      <c r="F710" s="56"/>
      <c r="G710" s="151"/>
    </row>
    <row r="711" spans="6:7" ht="15.75" customHeight="1" x14ac:dyDescent="0.25">
      <c r="F711" s="56"/>
      <c r="G711" s="151"/>
    </row>
    <row r="712" spans="6:7" ht="15.75" customHeight="1" x14ac:dyDescent="0.25">
      <c r="F712" s="56"/>
      <c r="G712" s="151"/>
    </row>
    <row r="713" spans="6:7" ht="15.75" customHeight="1" x14ac:dyDescent="0.25">
      <c r="F713" s="56"/>
      <c r="G713" s="151"/>
    </row>
    <row r="714" spans="6:7" ht="15.75" customHeight="1" x14ac:dyDescent="0.25">
      <c r="F714" s="56"/>
      <c r="G714" s="151"/>
    </row>
    <row r="715" spans="6:7" ht="15.75" customHeight="1" x14ac:dyDescent="0.25">
      <c r="F715" s="56"/>
      <c r="G715" s="151"/>
    </row>
    <row r="716" spans="6:7" ht="15.75" customHeight="1" x14ac:dyDescent="0.25">
      <c r="F716" s="56"/>
      <c r="G716" s="151"/>
    </row>
    <row r="717" spans="6:7" ht="15.75" customHeight="1" x14ac:dyDescent="0.25">
      <c r="F717" s="56"/>
      <c r="G717" s="151"/>
    </row>
    <row r="718" spans="6:7" ht="15.75" customHeight="1" x14ac:dyDescent="0.25">
      <c r="F718" s="56"/>
      <c r="G718" s="151"/>
    </row>
    <row r="719" spans="6:7" ht="15.75" customHeight="1" x14ac:dyDescent="0.25">
      <c r="F719" s="56"/>
      <c r="G719" s="151"/>
    </row>
    <row r="720" spans="6:7" ht="15.75" customHeight="1" x14ac:dyDescent="0.25">
      <c r="F720" s="56"/>
      <c r="G720" s="151"/>
    </row>
    <row r="721" spans="6:7" ht="15.75" customHeight="1" x14ac:dyDescent="0.25">
      <c r="F721" s="56"/>
      <c r="G721" s="151"/>
    </row>
    <row r="722" spans="6:7" ht="15.75" customHeight="1" x14ac:dyDescent="0.25">
      <c r="F722" s="56"/>
      <c r="G722" s="151"/>
    </row>
    <row r="723" spans="6:7" ht="15.75" customHeight="1" x14ac:dyDescent="0.25">
      <c r="F723" s="56"/>
      <c r="G723" s="151"/>
    </row>
    <row r="724" spans="6:7" ht="15.75" customHeight="1" x14ac:dyDescent="0.25">
      <c r="F724" s="56"/>
      <c r="G724" s="151"/>
    </row>
    <row r="725" spans="6:7" ht="15.75" customHeight="1" x14ac:dyDescent="0.25">
      <c r="F725" s="56"/>
      <c r="G725" s="151"/>
    </row>
    <row r="726" spans="6:7" ht="15.75" customHeight="1" x14ac:dyDescent="0.25">
      <c r="F726" s="56"/>
      <c r="G726" s="151"/>
    </row>
    <row r="727" spans="6:7" ht="15.75" customHeight="1" x14ac:dyDescent="0.25">
      <c r="F727" s="56"/>
      <c r="G727" s="151"/>
    </row>
    <row r="728" spans="6:7" ht="15.75" customHeight="1" x14ac:dyDescent="0.25">
      <c r="F728" s="56"/>
      <c r="G728" s="151"/>
    </row>
    <row r="729" spans="6:7" ht="15.75" customHeight="1" x14ac:dyDescent="0.25">
      <c r="F729" s="56"/>
      <c r="G729" s="151"/>
    </row>
    <row r="730" spans="6:7" ht="15.75" customHeight="1" x14ac:dyDescent="0.25">
      <c r="F730" s="56"/>
      <c r="G730" s="151"/>
    </row>
    <row r="731" spans="6:7" ht="15.75" customHeight="1" x14ac:dyDescent="0.25">
      <c r="F731" s="56"/>
      <c r="G731" s="151"/>
    </row>
    <row r="732" spans="6:7" ht="15.75" customHeight="1" x14ac:dyDescent="0.25">
      <c r="F732" s="56"/>
      <c r="G732" s="151"/>
    </row>
    <row r="733" spans="6:7" ht="15.75" customHeight="1" x14ac:dyDescent="0.25">
      <c r="F733" s="56"/>
      <c r="G733" s="151"/>
    </row>
    <row r="734" spans="6:7" ht="15.75" customHeight="1" x14ac:dyDescent="0.25">
      <c r="F734" s="56"/>
      <c r="G734" s="151"/>
    </row>
    <row r="735" spans="6:7" ht="15.75" customHeight="1" x14ac:dyDescent="0.25">
      <c r="F735" s="56"/>
      <c r="G735" s="151"/>
    </row>
    <row r="736" spans="6:7" ht="15.75" customHeight="1" x14ac:dyDescent="0.25">
      <c r="F736" s="56"/>
      <c r="G736" s="151"/>
    </row>
    <row r="737" spans="6:7" ht="15.75" customHeight="1" x14ac:dyDescent="0.25">
      <c r="F737" s="56"/>
      <c r="G737" s="151"/>
    </row>
    <row r="738" spans="6:7" ht="15.75" customHeight="1" x14ac:dyDescent="0.25">
      <c r="F738" s="56"/>
      <c r="G738" s="151"/>
    </row>
    <row r="739" spans="6:7" ht="15.75" customHeight="1" x14ac:dyDescent="0.25">
      <c r="F739" s="56"/>
      <c r="G739" s="151"/>
    </row>
    <row r="740" spans="6:7" ht="15.75" customHeight="1" x14ac:dyDescent="0.25">
      <c r="F740" s="56"/>
      <c r="G740" s="151"/>
    </row>
    <row r="741" spans="6:7" ht="15.75" customHeight="1" x14ac:dyDescent="0.25">
      <c r="F741" s="56"/>
      <c r="G741" s="151"/>
    </row>
    <row r="742" spans="6:7" ht="15.75" customHeight="1" x14ac:dyDescent="0.25">
      <c r="F742" s="56"/>
      <c r="G742" s="151"/>
    </row>
    <row r="743" spans="6:7" ht="15.75" customHeight="1" x14ac:dyDescent="0.25">
      <c r="F743" s="56"/>
      <c r="G743" s="151"/>
    </row>
    <row r="744" spans="6:7" ht="15.75" customHeight="1" x14ac:dyDescent="0.25">
      <c r="F744" s="56"/>
      <c r="G744" s="151"/>
    </row>
    <row r="745" spans="6:7" ht="15.75" customHeight="1" x14ac:dyDescent="0.25">
      <c r="F745" s="56"/>
      <c r="G745" s="151"/>
    </row>
    <row r="746" spans="6:7" ht="15.75" customHeight="1" x14ac:dyDescent="0.25">
      <c r="F746" s="56"/>
      <c r="G746" s="151"/>
    </row>
    <row r="747" spans="6:7" ht="15.75" customHeight="1" x14ac:dyDescent="0.25">
      <c r="F747" s="56"/>
      <c r="G747" s="151"/>
    </row>
    <row r="748" spans="6:7" ht="15.75" customHeight="1" x14ac:dyDescent="0.25">
      <c r="F748" s="56"/>
      <c r="G748" s="151"/>
    </row>
    <row r="749" spans="6:7" ht="15.75" customHeight="1" x14ac:dyDescent="0.25">
      <c r="F749" s="56"/>
      <c r="G749" s="151"/>
    </row>
    <row r="750" spans="6:7" ht="15.75" customHeight="1" x14ac:dyDescent="0.25">
      <c r="F750" s="56"/>
      <c r="G750" s="151"/>
    </row>
    <row r="751" spans="6:7" ht="15.75" customHeight="1" x14ac:dyDescent="0.25">
      <c r="F751" s="56"/>
      <c r="G751" s="151"/>
    </row>
    <row r="752" spans="6:7" ht="15.75" customHeight="1" x14ac:dyDescent="0.25">
      <c r="F752" s="56"/>
      <c r="G752" s="151"/>
    </row>
    <row r="753" spans="6:7" ht="15.75" customHeight="1" x14ac:dyDescent="0.25">
      <c r="F753" s="56"/>
      <c r="G753" s="151"/>
    </row>
    <row r="754" spans="6:7" ht="15.75" customHeight="1" x14ac:dyDescent="0.25">
      <c r="F754" s="56"/>
      <c r="G754" s="151"/>
    </row>
    <row r="755" spans="6:7" ht="15.75" customHeight="1" x14ac:dyDescent="0.25">
      <c r="F755" s="56"/>
      <c r="G755" s="151"/>
    </row>
    <row r="756" spans="6:7" ht="15.75" customHeight="1" x14ac:dyDescent="0.25">
      <c r="F756" s="56"/>
      <c r="G756" s="151"/>
    </row>
    <row r="757" spans="6:7" ht="15.75" customHeight="1" x14ac:dyDescent="0.25">
      <c r="F757" s="56"/>
      <c r="G757" s="151"/>
    </row>
    <row r="758" spans="6:7" ht="15.75" customHeight="1" x14ac:dyDescent="0.25">
      <c r="F758" s="56"/>
      <c r="G758" s="151"/>
    </row>
    <row r="759" spans="6:7" ht="15.75" customHeight="1" x14ac:dyDescent="0.25">
      <c r="F759" s="56"/>
      <c r="G759" s="151"/>
    </row>
    <row r="760" spans="6:7" ht="15.75" customHeight="1" x14ac:dyDescent="0.25">
      <c r="F760" s="56"/>
      <c r="G760" s="151"/>
    </row>
    <row r="761" spans="6:7" ht="15.75" customHeight="1" x14ac:dyDescent="0.25">
      <c r="F761" s="56"/>
      <c r="G761" s="151"/>
    </row>
    <row r="762" spans="6:7" ht="15.75" customHeight="1" x14ac:dyDescent="0.25">
      <c r="F762" s="56"/>
      <c r="G762" s="151"/>
    </row>
    <row r="763" spans="6:7" ht="15.75" customHeight="1" x14ac:dyDescent="0.25">
      <c r="F763" s="56"/>
      <c r="G763" s="151"/>
    </row>
    <row r="764" spans="6:7" ht="15.75" customHeight="1" x14ac:dyDescent="0.25">
      <c r="F764" s="56"/>
      <c r="G764" s="151"/>
    </row>
    <row r="765" spans="6:7" ht="15.75" customHeight="1" x14ac:dyDescent="0.25">
      <c r="F765" s="56"/>
      <c r="G765" s="151"/>
    </row>
    <row r="766" spans="6:7" ht="15.75" customHeight="1" x14ac:dyDescent="0.25">
      <c r="F766" s="56"/>
      <c r="G766" s="151"/>
    </row>
    <row r="767" spans="6:7" ht="15.75" customHeight="1" x14ac:dyDescent="0.25">
      <c r="F767" s="56"/>
      <c r="G767" s="151"/>
    </row>
    <row r="768" spans="6:7" ht="15.75" customHeight="1" x14ac:dyDescent="0.25">
      <c r="F768" s="56"/>
      <c r="G768" s="151"/>
    </row>
    <row r="769" spans="6:7" ht="15.75" customHeight="1" x14ac:dyDescent="0.25">
      <c r="F769" s="56"/>
      <c r="G769" s="151"/>
    </row>
    <row r="770" spans="6:7" ht="15.75" customHeight="1" x14ac:dyDescent="0.25">
      <c r="F770" s="56"/>
      <c r="G770" s="151"/>
    </row>
    <row r="771" spans="6:7" ht="15.75" customHeight="1" x14ac:dyDescent="0.25">
      <c r="F771" s="56"/>
      <c r="G771" s="151"/>
    </row>
    <row r="772" spans="6:7" ht="15.75" customHeight="1" x14ac:dyDescent="0.25">
      <c r="F772" s="56"/>
      <c r="G772" s="151"/>
    </row>
    <row r="773" spans="6:7" ht="15.75" customHeight="1" x14ac:dyDescent="0.25">
      <c r="F773" s="56"/>
      <c r="G773" s="151"/>
    </row>
    <row r="774" spans="6:7" ht="15.75" customHeight="1" x14ac:dyDescent="0.25">
      <c r="F774" s="56"/>
      <c r="G774" s="151"/>
    </row>
    <row r="775" spans="6:7" ht="15.75" customHeight="1" x14ac:dyDescent="0.25">
      <c r="F775" s="56"/>
      <c r="G775" s="151"/>
    </row>
    <row r="776" spans="6:7" ht="15.75" customHeight="1" x14ac:dyDescent="0.25">
      <c r="F776" s="56"/>
      <c r="G776" s="151"/>
    </row>
    <row r="777" spans="6:7" ht="15.75" customHeight="1" x14ac:dyDescent="0.25">
      <c r="F777" s="56"/>
      <c r="G777" s="151"/>
    </row>
    <row r="778" spans="6:7" ht="15.75" customHeight="1" x14ac:dyDescent="0.25">
      <c r="F778" s="56"/>
      <c r="G778" s="151"/>
    </row>
    <row r="779" spans="6:7" ht="15.75" customHeight="1" x14ac:dyDescent="0.25">
      <c r="F779" s="56"/>
      <c r="G779" s="151"/>
    </row>
    <row r="780" spans="6:7" ht="15.75" customHeight="1" x14ac:dyDescent="0.25">
      <c r="F780" s="56"/>
      <c r="G780" s="151"/>
    </row>
    <row r="781" spans="6:7" ht="15.75" customHeight="1" x14ac:dyDescent="0.25">
      <c r="F781" s="56"/>
      <c r="G781" s="151"/>
    </row>
    <row r="782" spans="6:7" ht="15.75" customHeight="1" x14ac:dyDescent="0.25">
      <c r="F782" s="56"/>
      <c r="G782" s="151"/>
    </row>
    <row r="783" spans="6:7" ht="15.75" customHeight="1" x14ac:dyDescent="0.25">
      <c r="F783" s="56"/>
      <c r="G783" s="151"/>
    </row>
    <row r="784" spans="6:7" ht="15.75" customHeight="1" x14ac:dyDescent="0.25">
      <c r="F784" s="56"/>
      <c r="G784" s="151"/>
    </row>
    <row r="785" spans="6:7" ht="15.75" customHeight="1" x14ac:dyDescent="0.25">
      <c r="F785" s="56"/>
      <c r="G785" s="151"/>
    </row>
    <row r="786" spans="6:7" ht="15.75" customHeight="1" x14ac:dyDescent="0.25">
      <c r="F786" s="56"/>
      <c r="G786" s="151"/>
    </row>
    <row r="787" spans="6:7" ht="15.75" customHeight="1" x14ac:dyDescent="0.25">
      <c r="F787" s="56"/>
      <c r="G787" s="151"/>
    </row>
    <row r="788" spans="6:7" ht="15.75" customHeight="1" x14ac:dyDescent="0.25">
      <c r="F788" s="56"/>
      <c r="G788" s="151"/>
    </row>
    <row r="789" spans="6:7" ht="15.75" customHeight="1" x14ac:dyDescent="0.25">
      <c r="F789" s="56"/>
      <c r="G789" s="151"/>
    </row>
    <row r="790" spans="6:7" ht="15.75" customHeight="1" x14ac:dyDescent="0.25">
      <c r="F790" s="56"/>
      <c r="G790" s="151"/>
    </row>
    <row r="791" spans="6:7" ht="15.75" customHeight="1" x14ac:dyDescent="0.25">
      <c r="F791" s="56"/>
      <c r="G791" s="151"/>
    </row>
    <row r="792" spans="6:7" ht="15.75" customHeight="1" x14ac:dyDescent="0.25">
      <c r="F792" s="56"/>
      <c r="G792" s="151"/>
    </row>
    <row r="793" spans="6:7" ht="15.75" customHeight="1" x14ac:dyDescent="0.25">
      <c r="F793" s="56"/>
      <c r="G793" s="151"/>
    </row>
    <row r="794" spans="6:7" ht="15.75" customHeight="1" x14ac:dyDescent="0.25">
      <c r="F794" s="56"/>
      <c r="G794" s="151"/>
    </row>
    <row r="795" spans="6:7" ht="15.75" customHeight="1" x14ac:dyDescent="0.25">
      <c r="F795" s="56"/>
      <c r="G795" s="151"/>
    </row>
    <row r="796" spans="6:7" ht="15.75" customHeight="1" x14ac:dyDescent="0.25">
      <c r="F796" s="56"/>
      <c r="G796" s="151"/>
    </row>
    <row r="797" spans="6:7" ht="15.75" customHeight="1" x14ac:dyDescent="0.25">
      <c r="F797" s="56"/>
      <c r="G797" s="151"/>
    </row>
    <row r="798" spans="6:7" ht="15.75" customHeight="1" x14ac:dyDescent="0.25">
      <c r="F798" s="56"/>
      <c r="G798" s="151"/>
    </row>
    <row r="799" spans="6:7" ht="15.75" customHeight="1" x14ac:dyDescent="0.25">
      <c r="F799" s="56"/>
      <c r="G799" s="151"/>
    </row>
    <row r="800" spans="6:7" ht="15.75" customHeight="1" x14ac:dyDescent="0.25">
      <c r="F800" s="56"/>
      <c r="G800" s="151"/>
    </row>
    <row r="801" spans="6:7" ht="15.75" customHeight="1" x14ac:dyDescent="0.25">
      <c r="F801" s="56"/>
      <c r="G801" s="151"/>
    </row>
    <row r="802" spans="6:7" ht="15.75" customHeight="1" x14ac:dyDescent="0.25">
      <c r="F802" s="56"/>
      <c r="G802" s="151"/>
    </row>
    <row r="803" spans="6:7" ht="15.75" customHeight="1" x14ac:dyDescent="0.25">
      <c r="F803" s="56"/>
      <c r="G803" s="151"/>
    </row>
    <row r="804" spans="6:7" ht="15.75" customHeight="1" x14ac:dyDescent="0.25">
      <c r="F804" s="56"/>
      <c r="G804" s="151"/>
    </row>
    <row r="805" spans="6:7" ht="15.75" customHeight="1" x14ac:dyDescent="0.25">
      <c r="F805" s="56"/>
      <c r="G805" s="151"/>
    </row>
    <row r="806" spans="6:7" ht="15.75" customHeight="1" x14ac:dyDescent="0.25">
      <c r="F806" s="56"/>
      <c r="G806" s="151"/>
    </row>
    <row r="807" spans="6:7" ht="15.75" customHeight="1" x14ac:dyDescent="0.25">
      <c r="F807" s="56"/>
      <c r="G807" s="151"/>
    </row>
    <row r="808" spans="6:7" ht="15.75" customHeight="1" x14ac:dyDescent="0.25">
      <c r="F808" s="56"/>
      <c r="G808" s="151"/>
    </row>
    <row r="809" spans="6:7" ht="15.75" customHeight="1" x14ac:dyDescent="0.25">
      <c r="F809" s="56"/>
      <c r="G809" s="151"/>
    </row>
    <row r="810" spans="6:7" ht="15.75" customHeight="1" x14ac:dyDescent="0.25">
      <c r="F810" s="56"/>
      <c r="G810" s="151"/>
    </row>
    <row r="811" spans="6:7" ht="15.75" customHeight="1" x14ac:dyDescent="0.25">
      <c r="F811" s="56"/>
      <c r="G811" s="151"/>
    </row>
    <row r="812" spans="6:7" ht="15.75" customHeight="1" x14ac:dyDescent="0.25">
      <c r="F812" s="56"/>
      <c r="G812" s="151"/>
    </row>
    <row r="813" spans="6:7" ht="15.75" customHeight="1" x14ac:dyDescent="0.25">
      <c r="F813" s="56"/>
      <c r="G813" s="151"/>
    </row>
    <row r="814" spans="6:7" ht="15.75" customHeight="1" x14ac:dyDescent="0.25">
      <c r="F814" s="56"/>
      <c r="G814" s="151"/>
    </row>
    <row r="815" spans="6:7" ht="15.75" customHeight="1" x14ac:dyDescent="0.25">
      <c r="F815" s="56"/>
      <c r="G815" s="151"/>
    </row>
    <row r="816" spans="6:7" ht="15.75" customHeight="1" x14ac:dyDescent="0.25">
      <c r="F816" s="56"/>
      <c r="G816" s="151"/>
    </row>
    <row r="817" spans="6:7" ht="15.75" customHeight="1" x14ac:dyDescent="0.25">
      <c r="F817" s="56"/>
      <c r="G817" s="151"/>
    </row>
    <row r="818" spans="6:7" ht="15.75" customHeight="1" x14ac:dyDescent="0.25">
      <c r="F818" s="56"/>
      <c r="G818" s="151"/>
    </row>
    <row r="819" spans="6:7" ht="15.75" customHeight="1" x14ac:dyDescent="0.25">
      <c r="F819" s="56"/>
      <c r="G819" s="151"/>
    </row>
    <row r="820" spans="6:7" ht="15.75" customHeight="1" x14ac:dyDescent="0.25">
      <c r="F820" s="56"/>
      <c r="G820" s="151"/>
    </row>
    <row r="821" spans="6:7" ht="15.75" customHeight="1" x14ac:dyDescent="0.25">
      <c r="F821" s="56"/>
      <c r="G821" s="151"/>
    </row>
    <row r="822" spans="6:7" ht="15.75" customHeight="1" x14ac:dyDescent="0.25">
      <c r="F822" s="56"/>
      <c r="G822" s="151"/>
    </row>
    <row r="823" spans="6:7" ht="15.75" customHeight="1" x14ac:dyDescent="0.25">
      <c r="F823" s="56"/>
      <c r="G823" s="151"/>
    </row>
    <row r="824" spans="6:7" ht="15.75" customHeight="1" x14ac:dyDescent="0.25">
      <c r="F824" s="56"/>
      <c r="G824" s="151"/>
    </row>
    <row r="825" spans="6:7" ht="15.75" customHeight="1" x14ac:dyDescent="0.25">
      <c r="F825" s="56"/>
      <c r="G825" s="151"/>
    </row>
    <row r="826" spans="6:7" ht="15.75" customHeight="1" x14ac:dyDescent="0.25">
      <c r="F826" s="56"/>
      <c r="G826" s="151"/>
    </row>
    <row r="827" spans="6:7" ht="15.75" customHeight="1" x14ac:dyDescent="0.25">
      <c r="F827" s="56"/>
      <c r="G827" s="151"/>
    </row>
    <row r="828" spans="6:7" ht="15.75" customHeight="1" x14ac:dyDescent="0.25">
      <c r="F828" s="56"/>
      <c r="G828" s="151"/>
    </row>
    <row r="829" spans="6:7" ht="15.75" customHeight="1" x14ac:dyDescent="0.25">
      <c r="F829" s="56"/>
      <c r="G829" s="151"/>
    </row>
    <row r="830" spans="6:7" ht="15.75" customHeight="1" x14ac:dyDescent="0.25">
      <c r="F830" s="56"/>
      <c r="G830" s="151"/>
    </row>
    <row r="831" spans="6:7" ht="15.75" customHeight="1" x14ac:dyDescent="0.25">
      <c r="F831" s="56"/>
      <c r="G831" s="151"/>
    </row>
    <row r="832" spans="6:7" ht="15.75" customHeight="1" x14ac:dyDescent="0.25">
      <c r="F832" s="56"/>
      <c r="G832" s="151"/>
    </row>
    <row r="833" spans="6:7" ht="15.75" customHeight="1" x14ac:dyDescent="0.25">
      <c r="F833" s="56"/>
      <c r="G833" s="151"/>
    </row>
    <row r="834" spans="6:7" ht="15.75" customHeight="1" x14ac:dyDescent="0.25">
      <c r="F834" s="56"/>
      <c r="G834" s="151"/>
    </row>
    <row r="835" spans="6:7" ht="15.75" customHeight="1" x14ac:dyDescent="0.25">
      <c r="F835" s="56"/>
      <c r="G835" s="151"/>
    </row>
    <row r="836" spans="6:7" ht="15.75" customHeight="1" x14ac:dyDescent="0.25">
      <c r="F836" s="56"/>
      <c r="G836" s="151"/>
    </row>
    <row r="837" spans="6:7" ht="15.75" customHeight="1" x14ac:dyDescent="0.25">
      <c r="F837" s="56"/>
      <c r="G837" s="151"/>
    </row>
    <row r="838" spans="6:7" ht="15.75" customHeight="1" x14ac:dyDescent="0.25">
      <c r="F838" s="56"/>
      <c r="G838" s="151"/>
    </row>
    <row r="839" spans="6:7" ht="15.75" customHeight="1" x14ac:dyDescent="0.25">
      <c r="F839" s="56"/>
      <c r="G839" s="151"/>
    </row>
    <row r="840" spans="6:7" ht="15.75" customHeight="1" x14ac:dyDescent="0.25">
      <c r="F840" s="56"/>
      <c r="G840" s="151"/>
    </row>
    <row r="841" spans="6:7" ht="15.75" customHeight="1" x14ac:dyDescent="0.25">
      <c r="F841" s="56"/>
      <c r="G841" s="151"/>
    </row>
    <row r="842" spans="6:7" ht="15.75" customHeight="1" x14ac:dyDescent="0.25">
      <c r="F842" s="56"/>
      <c r="G842" s="151"/>
    </row>
    <row r="843" spans="6:7" ht="15.75" customHeight="1" x14ac:dyDescent="0.25">
      <c r="F843" s="56"/>
      <c r="G843" s="151"/>
    </row>
    <row r="844" spans="6:7" ht="15.75" customHeight="1" x14ac:dyDescent="0.25">
      <c r="F844" s="56"/>
      <c r="G844" s="151"/>
    </row>
    <row r="845" spans="6:7" ht="15.75" customHeight="1" x14ac:dyDescent="0.25">
      <c r="F845" s="56"/>
      <c r="G845" s="151"/>
    </row>
    <row r="846" spans="6:7" ht="15.75" customHeight="1" x14ac:dyDescent="0.25">
      <c r="F846" s="56"/>
      <c r="G846" s="151"/>
    </row>
    <row r="847" spans="6:7" ht="15.75" customHeight="1" x14ac:dyDescent="0.25">
      <c r="F847" s="56"/>
      <c r="G847" s="151"/>
    </row>
    <row r="848" spans="6:7" ht="15.75" customHeight="1" x14ac:dyDescent="0.25">
      <c r="F848" s="56"/>
      <c r="G848" s="151"/>
    </row>
    <row r="849" spans="6:7" ht="15.75" customHeight="1" x14ac:dyDescent="0.25">
      <c r="F849" s="56"/>
      <c r="G849" s="151"/>
    </row>
    <row r="850" spans="6:7" ht="15.75" customHeight="1" x14ac:dyDescent="0.25">
      <c r="F850" s="56"/>
      <c r="G850" s="151"/>
    </row>
    <row r="851" spans="6:7" ht="15.75" customHeight="1" x14ac:dyDescent="0.25">
      <c r="F851" s="56"/>
      <c r="G851" s="151"/>
    </row>
    <row r="852" spans="6:7" ht="15.75" customHeight="1" x14ac:dyDescent="0.25">
      <c r="F852" s="56"/>
      <c r="G852" s="151"/>
    </row>
    <row r="853" spans="6:7" ht="15.75" customHeight="1" x14ac:dyDescent="0.25">
      <c r="F853" s="56"/>
      <c r="G853" s="151"/>
    </row>
    <row r="854" spans="6:7" ht="15.75" customHeight="1" x14ac:dyDescent="0.25">
      <c r="F854" s="56"/>
      <c r="G854" s="151"/>
    </row>
    <row r="855" spans="6:7" ht="15.75" customHeight="1" x14ac:dyDescent="0.25">
      <c r="F855" s="56"/>
      <c r="G855" s="151"/>
    </row>
    <row r="856" spans="6:7" ht="15.75" customHeight="1" x14ac:dyDescent="0.25">
      <c r="F856" s="56"/>
      <c r="G856" s="151"/>
    </row>
    <row r="857" spans="6:7" ht="15.75" customHeight="1" x14ac:dyDescent="0.25">
      <c r="F857" s="56"/>
      <c r="G857" s="151"/>
    </row>
    <row r="858" spans="6:7" ht="15.75" customHeight="1" x14ac:dyDescent="0.25">
      <c r="F858" s="56"/>
      <c r="G858" s="151"/>
    </row>
    <row r="859" spans="6:7" ht="15.75" customHeight="1" x14ac:dyDescent="0.25">
      <c r="F859" s="56"/>
      <c r="G859" s="151"/>
    </row>
    <row r="860" spans="6:7" ht="15.75" customHeight="1" x14ac:dyDescent="0.25">
      <c r="F860" s="56"/>
      <c r="G860" s="151"/>
    </row>
    <row r="861" spans="6:7" ht="15.75" customHeight="1" x14ac:dyDescent="0.25">
      <c r="F861" s="56"/>
      <c r="G861" s="151"/>
    </row>
    <row r="862" spans="6:7" ht="15.75" customHeight="1" x14ac:dyDescent="0.25">
      <c r="F862" s="56"/>
      <c r="G862" s="151"/>
    </row>
    <row r="863" spans="6:7" ht="15.75" customHeight="1" x14ac:dyDescent="0.25">
      <c r="F863" s="56"/>
      <c r="G863" s="151"/>
    </row>
    <row r="864" spans="6:7" ht="15.75" customHeight="1" x14ac:dyDescent="0.25">
      <c r="F864" s="56"/>
      <c r="G864" s="151"/>
    </row>
    <row r="865" spans="6:7" ht="15.75" customHeight="1" x14ac:dyDescent="0.25">
      <c r="F865" s="56"/>
      <c r="G865" s="151"/>
    </row>
    <row r="866" spans="6:7" ht="15.75" customHeight="1" x14ac:dyDescent="0.25">
      <c r="F866" s="56"/>
      <c r="G866" s="151"/>
    </row>
    <row r="867" spans="6:7" ht="15.75" customHeight="1" x14ac:dyDescent="0.25">
      <c r="F867" s="56"/>
      <c r="G867" s="151"/>
    </row>
    <row r="868" spans="6:7" ht="15.75" customHeight="1" x14ac:dyDescent="0.25">
      <c r="F868" s="56"/>
      <c r="G868" s="151"/>
    </row>
    <row r="869" spans="6:7" ht="15.75" customHeight="1" x14ac:dyDescent="0.25">
      <c r="F869" s="56"/>
      <c r="G869" s="151"/>
    </row>
    <row r="870" spans="6:7" ht="15.75" customHeight="1" x14ac:dyDescent="0.25">
      <c r="F870" s="56"/>
      <c r="G870" s="151"/>
    </row>
    <row r="871" spans="6:7" ht="15.75" customHeight="1" x14ac:dyDescent="0.25">
      <c r="F871" s="56"/>
      <c r="G871" s="151"/>
    </row>
    <row r="872" spans="6:7" ht="15.75" customHeight="1" x14ac:dyDescent="0.25">
      <c r="F872" s="56"/>
      <c r="G872" s="151"/>
    </row>
    <row r="873" spans="6:7" ht="15.75" customHeight="1" x14ac:dyDescent="0.25">
      <c r="F873" s="56"/>
      <c r="G873" s="151"/>
    </row>
    <row r="874" spans="6:7" ht="15.75" customHeight="1" x14ac:dyDescent="0.25">
      <c r="F874" s="56"/>
      <c r="G874" s="151"/>
    </row>
    <row r="875" spans="6:7" ht="15.75" customHeight="1" x14ac:dyDescent="0.25">
      <c r="F875" s="56"/>
      <c r="G875" s="151"/>
    </row>
    <row r="876" spans="6:7" ht="15.75" customHeight="1" x14ac:dyDescent="0.25">
      <c r="F876" s="56"/>
      <c r="G876" s="151"/>
    </row>
    <row r="877" spans="6:7" ht="15.75" customHeight="1" x14ac:dyDescent="0.25">
      <c r="F877" s="56"/>
      <c r="G877" s="151"/>
    </row>
    <row r="878" spans="6:7" ht="15.75" customHeight="1" x14ac:dyDescent="0.25">
      <c r="F878" s="56"/>
      <c r="G878" s="151"/>
    </row>
    <row r="879" spans="6:7" ht="15.75" customHeight="1" x14ac:dyDescent="0.25">
      <c r="F879" s="56"/>
      <c r="G879" s="151"/>
    </row>
    <row r="880" spans="6:7" ht="15.75" customHeight="1" x14ac:dyDescent="0.25">
      <c r="F880" s="56"/>
      <c r="G880" s="151"/>
    </row>
    <row r="881" spans="6:7" ht="15.75" customHeight="1" x14ac:dyDescent="0.25">
      <c r="F881" s="56"/>
      <c r="G881" s="151"/>
    </row>
    <row r="882" spans="6:7" ht="15.75" customHeight="1" x14ac:dyDescent="0.25">
      <c r="F882" s="56"/>
      <c r="G882" s="151"/>
    </row>
    <row r="883" spans="6:7" ht="15.75" customHeight="1" x14ac:dyDescent="0.25">
      <c r="F883" s="56"/>
      <c r="G883" s="151"/>
    </row>
    <row r="884" spans="6:7" ht="15.75" customHeight="1" x14ac:dyDescent="0.25">
      <c r="F884" s="56"/>
      <c r="G884" s="151"/>
    </row>
    <row r="885" spans="6:7" ht="15.75" customHeight="1" x14ac:dyDescent="0.25">
      <c r="F885" s="56"/>
      <c r="G885" s="151"/>
    </row>
    <row r="886" spans="6:7" ht="15.75" customHeight="1" x14ac:dyDescent="0.25">
      <c r="F886" s="56"/>
      <c r="G886" s="151"/>
    </row>
    <row r="887" spans="6:7" ht="15.75" customHeight="1" x14ac:dyDescent="0.25">
      <c r="F887" s="56"/>
      <c r="G887" s="151"/>
    </row>
    <row r="888" spans="6:7" ht="15.75" customHeight="1" x14ac:dyDescent="0.25">
      <c r="F888" s="56"/>
      <c r="G888" s="151"/>
    </row>
    <row r="889" spans="6:7" ht="15.75" customHeight="1" x14ac:dyDescent="0.25">
      <c r="F889" s="56"/>
      <c r="G889" s="151"/>
    </row>
    <row r="890" spans="6:7" ht="15.75" customHeight="1" x14ac:dyDescent="0.25">
      <c r="F890" s="56"/>
      <c r="G890" s="151"/>
    </row>
    <row r="891" spans="6:7" ht="15.75" customHeight="1" x14ac:dyDescent="0.25">
      <c r="F891" s="56"/>
      <c r="G891" s="151"/>
    </row>
    <row r="892" spans="6:7" ht="15.75" customHeight="1" x14ac:dyDescent="0.25">
      <c r="F892" s="56"/>
      <c r="G892" s="151"/>
    </row>
    <row r="893" spans="6:7" ht="15.75" customHeight="1" x14ac:dyDescent="0.25">
      <c r="F893" s="56"/>
      <c r="G893" s="151"/>
    </row>
    <row r="894" spans="6:7" ht="15.75" customHeight="1" x14ac:dyDescent="0.25">
      <c r="F894" s="56"/>
      <c r="G894" s="151"/>
    </row>
    <row r="895" spans="6:7" ht="15.75" customHeight="1" x14ac:dyDescent="0.25">
      <c r="F895" s="56"/>
      <c r="G895" s="151"/>
    </row>
    <row r="896" spans="6:7" ht="15.75" customHeight="1" x14ac:dyDescent="0.25">
      <c r="F896" s="56"/>
      <c r="G896" s="151"/>
    </row>
    <row r="897" spans="6:7" ht="15.75" customHeight="1" x14ac:dyDescent="0.25">
      <c r="F897" s="56"/>
      <c r="G897" s="151"/>
    </row>
    <row r="898" spans="6:7" ht="15.75" customHeight="1" x14ac:dyDescent="0.25">
      <c r="F898" s="56"/>
      <c r="G898" s="151"/>
    </row>
    <row r="899" spans="6:7" ht="15.75" customHeight="1" x14ac:dyDescent="0.25">
      <c r="F899" s="56"/>
      <c r="G899" s="151"/>
    </row>
    <row r="900" spans="6:7" ht="15.75" customHeight="1" x14ac:dyDescent="0.25">
      <c r="F900" s="56"/>
      <c r="G900" s="151"/>
    </row>
    <row r="901" spans="6:7" ht="15.75" customHeight="1" x14ac:dyDescent="0.25">
      <c r="F901" s="56"/>
      <c r="G901" s="151"/>
    </row>
    <row r="902" spans="6:7" ht="15.75" customHeight="1" x14ac:dyDescent="0.25">
      <c r="F902" s="56"/>
      <c r="G902" s="151"/>
    </row>
    <row r="903" spans="6:7" ht="15.75" customHeight="1" x14ac:dyDescent="0.25">
      <c r="F903" s="56"/>
      <c r="G903" s="151"/>
    </row>
    <row r="904" spans="6:7" ht="15.75" customHeight="1" x14ac:dyDescent="0.25">
      <c r="F904" s="56"/>
      <c r="G904" s="151"/>
    </row>
    <row r="905" spans="6:7" ht="15.75" customHeight="1" x14ac:dyDescent="0.25">
      <c r="F905" s="56"/>
      <c r="G905" s="151"/>
    </row>
    <row r="906" spans="6:7" ht="15.75" customHeight="1" x14ac:dyDescent="0.25">
      <c r="F906" s="56"/>
      <c r="G906" s="151"/>
    </row>
    <row r="907" spans="6:7" ht="15.75" customHeight="1" x14ac:dyDescent="0.25">
      <c r="F907" s="56"/>
      <c r="G907" s="151"/>
    </row>
    <row r="908" spans="6:7" ht="15.75" customHeight="1" x14ac:dyDescent="0.25">
      <c r="F908" s="56"/>
      <c r="G908" s="151"/>
    </row>
    <row r="909" spans="6:7" ht="15.75" customHeight="1" x14ac:dyDescent="0.25">
      <c r="F909" s="56"/>
      <c r="G909" s="151"/>
    </row>
    <row r="910" spans="6:7" ht="15.75" customHeight="1" x14ac:dyDescent="0.25">
      <c r="F910" s="56"/>
      <c r="G910" s="151"/>
    </row>
    <row r="911" spans="6:7" ht="15.75" customHeight="1" x14ac:dyDescent="0.25">
      <c r="F911" s="56"/>
      <c r="G911" s="151"/>
    </row>
    <row r="912" spans="6:7" ht="15.75" customHeight="1" x14ac:dyDescent="0.25">
      <c r="F912" s="56"/>
      <c r="G912" s="151"/>
    </row>
    <row r="913" spans="6:7" ht="15.75" customHeight="1" x14ac:dyDescent="0.25">
      <c r="F913" s="56"/>
      <c r="G913" s="151"/>
    </row>
    <row r="914" spans="6:7" ht="15.75" customHeight="1" x14ac:dyDescent="0.25">
      <c r="F914" s="56"/>
      <c r="G914" s="151"/>
    </row>
    <row r="915" spans="6:7" ht="15.75" customHeight="1" x14ac:dyDescent="0.25">
      <c r="F915" s="56"/>
      <c r="G915" s="151"/>
    </row>
    <row r="916" spans="6:7" ht="15.75" customHeight="1" x14ac:dyDescent="0.25">
      <c r="F916" s="56"/>
      <c r="G916" s="151"/>
    </row>
    <row r="917" spans="6:7" ht="15.75" customHeight="1" x14ac:dyDescent="0.25">
      <c r="F917" s="56"/>
      <c r="G917" s="151"/>
    </row>
    <row r="918" spans="6:7" ht="15.75" customHeight="1" x14ac:dyDescent="0.25">
      <c r="F918" s="56"/>
      <c r="G918" s="151"/>
    </row>
    <row r="919" spans="6:7" ht="15.75" customHeight="1" x14ac:dyDescent="0.25">
      <c r="F919" s="56"/>
      <c r="G919" s="151"/>
    </row>
    <row r="920" spans="6:7" ht="15.75" customHeight="1" x14ac:dyDescent="0.25">
      <c r="F920" s="56"/>
      <c r="G920" s="151"/>
    </row>
    <row r="921" spans="6:7" ht="15.75" customHeight="1" x14ac:dyDescent="0.25">
      <c r="F921" s="56"/>
      <c r="G921" s="151"/>
    </row>
    <row r="922" spans="6:7" ht="15.75" customHeight="1" x14ac:dyDescent="0.25">
      <c r="F922" s="56"/>
      <c r="G922" s="151"/>
    </row>
    <row r="923" spans="6:7" ht="15.75" customHeight="1" x14ac:dyDescent="0.25">
      <c r="F923" s="56"/>
      <c r="G923" s="151"/>
    </row>
    <row r="924" spans="6:7" ht="15.75" customHeight="1" x14ac:dyDescent="0.25">
      <c r="F924" s="56"/>
      <c r="G924" s="151"/>
    </row>
    <row r="925" spans="6:7" ht="15.75" customHeight="1" x14ac:dyDescent="0.25">
      <c r="F925" s="56"/>
      <c r="G925" s="151"/>
    </row>
    <row r="926" spans="6:7" ht="15.75" customHeight="1" x14ac:dyDescent="0.25">
      <c r="F926" s="56"/>
      <c r="G926" s="151"/>
    </row>
    <row r="927" spans="6:7" ht="15.75" customHeight="1" x14ac:dyDescent="0.25">
      <c r="F927" s="56"/>
      <c r="G927" s="151"/>
    </row>
    <row r="928" spans="6:7" ht="15.75" customHeight="1" x14ac:dyDescent="0.25">
      <c r="F928" s="56"/>
      <c r="G928" s="151"/>
    </row>
    <row r="929" spans="6:7" ht="15.75" customHeight="1" x14ac:dyDescent="0.25">
      <c r="F929" s="56"/>
      <c r="G929" s="151"/>
    </row>
    <row r="930" spans="6:7" ht="15.75" customHeight="1" x14ac:dyDescent="0.25">
      <c r="F930" s="56"/>
      <c r="G930" s="151"/>
    </row>
    <row r="931" spans="6:7" ht="15.75" customHeight="1" x14ac:dyDescent="0.25">
      <c r="F931" s="56"/>
      <c r="G931" s="151"/>
    </row>
    <row r="932" spans="6:7" ht="15.75" customHeight="1" x14ac:dyDescent="0.25">
      <c r="F932" s="56"/>
      <c r="G932" s="151"/>
    </row>
    <row r="933" spans="6:7" ht="15.75" customHeight="1" x14ac:dyDescent="0.25">
      <c r="F933" s="56"/>
      <c r="G933" s="151"/>
    </row>
    <row r="934" spans="6:7" ht="15.75" customHeight="1" x14ac:dyDescent="0.25">
      <c r="F934" s="56"/>
      <c r="G934" s="151"/>
    </row>
    <row r="935" spans="6:7" ht="15.75" customHeight="1" x14ac:dyDescent="0.25">
      <c r="F935" s="56"/>
      <c r="G935" s="151"/>
    </row>
    <row r="936" spans="6:7" ht="15.75" customHeight="1" x14ac:dyDescent="0.25">
      <c r="F936" s="56"/>
      <c r="G936" s="151"/>
    </row>
    <row r="937" spans="6:7" ht="15.75" customHeight="1" x14ac:dyDescent="0.25">
      <c r="F937" s="56"/>
      <c r="G937" s="151"/>
    </row>
    <row r="938" spans="6:7" ht="15.75" customHeight="1" x14ac:dyDescent="0.25">
      <c r="F938" s="56"/>
      <c r="G938" s="151"/>
    </row>
    <row r="939" spans="6:7" ht="15.75" customHeight="1" x14ac:dyDescent="0.25">
      <c r="F939" s="56"/>
      <c r="G939" s="151"/>
    </row>
    <row r="940" spans="6:7" ht="15.75" customHeight="1" x14ac:dyDescent="0.25">
      <c r="F940" s="56"/>
      <c r="G940" s="151"/>
    </row>
    <row r="941" spans="6:7" ht="15.75" customHeight="1" x14ac:dyDescent="0.25">
      <c r="F941" s="56"/>
      <c r="G941" s="151"/>
    </row>
    <row r="942" spans="6:7" ht="15.75" customHeight="1" x14ac:dyDescent="0.25">
      <c r="F942" s="56"/>
      <c r="G942" s="151"/>
    </row>
    <row r="943" spans="6:7" ht="15.75" customHeight="1" x14ac:dyDescent="0.25">
      <c r="F943" s="56"/>
      <c r="G943" s="151"/>
    </row>
    <row r="944" spans="6:7" ht="15.75" customHeight="1" x14ac:dyDescent="0.25">
      <c r="F944" s="56"/>
      <c r="G944" s="151"/>
    </row>
    <row r="945" spans="6:7" ht="15.75" customHeight="1" x14ac:dyDescent="0.25">
      <c r="F945" s="56"/>
      <c r="G945" s="151"/>
    </row>
    <row r="946" spans="6:7" ht="15.75" customHeight="1" x14ac:dyDescent="0.25">
      <c r="F946" s="56"/>
      <c r="G946" s="151"/>
    </row>
    <row r="947" spans="6:7" ht="15.75" customHeight="1" x14ac:dyDescent="0.25">
      <c r="F947" s="56"/>
      <c r="G947" s="151"/>
    </row>
    <row r="948" spans="6:7" ht="15.75" customHeight="1" x14ac:dyDescent="0.25">
      <c r="F948" s="56"/>
      <c r="G948" s="151"/>
    </row>
    <row r="949" spans="6:7" ht="15.75" customHeight="1" x14ac:dyDescent="0.25">
      <c r="F949" s="56"/>
      <c r="G949" s="151"/>
    </row>
    <row r="950" spans="6:7" ht="15.75" customHeight="1" x14ac:dyDescent="0.25">
      <c r="F950" s="56"/>
      <c r="G950" s="151"/>
    </row>
    <row r="951" spans="6:7" ht="15.75" customHeight="1" x14ac:dyDescent="0.25">
      <c r="F951" s="56"/>
      <c r="G951" s="151"/>
    </row>
    <row r="952" spans="6:7" ht="15.75" customHeight="1" x14ac:dyDescent="0.25">
      <c r="F952" s="56"/>
      <c r="G952" s="151"/>
    </row>
    <row r="953" spans="6:7" ht="15.75" customHeight="1" x14ac:dyDescent="0.25">
      <c r="F953" s="56"/>
      <c r="G953" s="151"/>
    </row>
    <row r="954" spans="6:7" ht="15.75" customHeight="1" x14ac:dyDescent="0.25">
      <c r="F954" s="56"/>
      <c r="G954" s="151"/>
    </row>
    <row r="955" spans="6:7" ht="15.75" customHeight="1" x14ac:dyDescent="0.25">
      <c r="F955" s="56"/>
      <c r="G955" s="151"/>
    </row>
    <row r="956" spans="6:7" ht="15.75" customHeight="1" x14ac:dyDescent="0.25">
      <c r="F956" s="56"/>
      <c r="G956" s="151"/>
    </row>
    <row r="957" spans="6:7" ht="15.75" customHeight="1" x14ac:dyDescent="0.25">
      <c r="F957" s="56"/>
      <c r="G957" s="151"/>
    </row>
    <row r="958" spans="6:7" ht="15.75" customHeight="1" x14ac:dyDescent="0.25">
      <c r="F958" s="56"/>
      <c r="G958" s="151"/>
    </row>
    <row r="959" spans="6:7" ht="15.75" customHeight="1" x14ac:dyDescent="0.25">
      <c r="F959" s="56"/>
      <c r="G959" s="151"/>
    </row>
    <row r="960" spans="6:7" ht="15.75" customHeight="1" x14ac:dyDescent="0.25">
      <c r="F960" s="56"/>
      <c r="G960" s="151"/>
    </row>
    <row r="961" spans="6:7" ht="15.75" customHeight="1" x14ac:dyDescent="0.25">
      <c r="F961" s="56"/>
      <c r="G961" s="151"/>
    </row>
    <row r="962" spans="6:7" ht="15.75" customHeight="1" x14ac:dyDescent="0.25">
      <c r="F962" s="56"/>
      <c r="G962" s="151"/>
    </row>
    <row r="963" spans="6:7" ht="15.75" customHeight="1" x14ac:dyDescent="0.25">
      <c r="F963" s="56"/>
      <c r="G963" s="151"/>
    </row>
    <row r="964" spans="6:7" ht="15.75" customHeight="1" x14ac:dyDescent="0.25">
      <c r="F964" s="56"/>
      <c r="G964" s="151"/>
    </row>
    <row r="965" spans="6:7" ht="15.75" customHeight="1" x14ac:dyDescent="0.25">
      <c r="F965" s="56"/>
      <c r="G965" s="151"/>
    </row>
    <row r="966" spans="6:7" ht="15.75" customHeight="1" x14ac:dyDescent="0.25">
      <c r="F966" s="56"/>
      <c r="G966" s="151"/>
    </row>
    <row r="967" spans="6:7" ht="15.75" customHeight="1" x14ac:dyDescent="0.25">
      <c r="F967" s="56"/>
      <c r="G967" s="151"/>
    </row>
    <row r="968" spans="6:7" ht="15.75" customHeight="1" x14ac:dyDescent="0.25">
      <c r="F968" s="56"/>
      <c r="G968" s="151"/>
    </row>
    <row r="969" spans="6:7" ht="15.75" customHeight="1" x14ac:dyDescent="0.25">
      <c r="F969" s="56"/>
      <c r="G969" s="151"/>
    </row>
    <row r="970" spans="6:7" ht="15.75" customHeight="1" x14ac:dyDescent="0.25">
      <c r="F970" s="56"/>
      <c r="G970" s="151"/>
    </row>
    <row r="971" spans="6:7" ht="15.75" customHeight="1" x14ac:dyDescent="0.25">
      <c r="F971" s="56"/>
      <c r="G971" s="151"/>
    </row>
    <row r="972" spans="6:7" ht="15.75" customHeight="1" x14ac:dyDescent="0.25">
      <c r="F972" s="56"/>
      <c r="G972" s="151"/>
    </row>
    <row r="973" spans="6:7" ht="15.75" customHeight="1" x14ac:dyDescent="0.25">
      <c r="F973" s="56"/>
      <c r="G973" s="151"/>
    </row>
    <row r="974" spans="6:7" ht="15.75" customHeight="1" x14ac:dyDescent="0.25">
      <c r="F974" s="56"/>
      <c r="G974" s="151"/>
    </row>
    <row r="975" spans="6:7" ht="15.75" customHeight="1" x14ac:dyDescent="0.25">
      <c r="F975" s="56"/>
      <c r="G975" s="151"/>
    </row>
    <row r="976" spans="6:7" ht="15.75" customHeight="1" x14ac:dyDescent="0.25">
      <c r="F976" s="56"/>
      <c r="G976" s="151"/>
    </row>
    <row r="977" spans="6:7" ht="15.75" customHeight="1" x14ac:dyDescent="0.25">
      <c r="F977" s="56"/>
      <c r="G977" s="151"/>
    </row>
    <row r="978" spans="6:7" ht="15.75" customHeight="1" x14ac:dyDescent="0.25">
      <c r="F978" s="56"/>
      <c r="G978" s="151"/>
    </row>
    <row r="979" spans="6:7" ht="15.75" customHeight="1" x14ac:dyDescent="0.25">
      <c r="F979" s="56"/>
      <c r="G979" s="151"/>
    </row>
    <row r="980" spans="6:7" ht="15.75" customHeight="1" x14ac:dyDescent="0.25">
      <c r="F980" s="56"/>
      <c r="G980" s="151"/>
    </row>
    <row r="981" spans="6:7" ht="15.75" customHeight="1" x14ac:dyDescent="0.25">
      <c r="F981" s="56"/>
      <c r="G981" s="151"/>
    </row>
    <row r="982" spans="6:7" ht="15.75" customHeight="1" x14ac:dyDescent="0.25">
      <c r="F982" s="56"/>
      <c r="G982" s="151"/>
    </row>
    <row r="983" spans="6:7" ht="15.75" customHeight="1" x14ac:dyDescent="0.25">
      <c r="F983" s="56"/>
      <c r="G983" s="151"/>
    </row>
    <row r="984" spans="6:7" ht="15.75" customHeight="1" x14ac:dyDescent="0.25">
      <c r="F984" s="56"/>
      <c r="G984" s="151"/>
    </row>
    <row r="985" spans="6:7" ht="15.75" customHeight="1" x14ac:dyDescent="0.25">
      <c r="F985" s="56"/>
      <c r="G985" s="151"/>
    </row>
    <row r="986" spans="6:7" ht="15.75" customHeight="1" x14ac:dyDescent="0.25">
      <c r="F986" s="56"/>
      <c r="G986" s="151"/>
    </row>
    <row r="987" spans="6:7" ht="15.75" customHeight="1" x14ac:dyDescent="0.25">
      <c r="F987" s="56"/>
      <c r="G987" s="151"/>
    </row>
    <row r="988" spans="6:7" ht="15.75" customHeight="1" x14ac:dyDescent="0.25">
      <c r="F988" s="56"/>
      <c r="G988" s="151"/>
    </row>
    <row r="989" spans="6:7" ht="15.75" customHeight="1" x14ac:dyDescent="0.25">
      <c r="F989" s="56"/>
      <c r="G989" s="151"/>
    </row>
    <row r="990" spans="6:7" ht="15.75" customHeight="1" x14ac:dyDescent="0.25">
      <c r="F990" s="56"/>
      <c r="G990" s="151"/>
    </row>
    <row r="991" spans="6:7" ht="15.75" customHeight="1" x14ac:dyDescent="0.25">
      <c r="F991" s="56"/>
      <c r="G991" s="151"/>
    </row>
    <row r="992" spans="6:7" ht="15.75" customHeight="1" x14ac:dyDescent="0.25">
      <c r="F992" s="56"/>
      <c r="G992" s="151"/>
    </row>
    <row r="993" spans="6:7" ht="15.75" customHeight="1" x14ac:dyDescent="0.25">
      <c r="F993" s="56"/>
      <c r="G993" s="151"/>
    </row>
    <row r="994" spans="6:7" ht="15.75" customHeight="1" x14ac:dyDescent="0.25">
      <c r="F994" s="56"/>
      <c r="G994" s="151"/>
    </row>
    <row r="995" spans="6:7" ht="15.75" customHeight="1" x14ac:dyDescent="0.25">
      <c r="F995" s="56"/>
      <c r="G995" s="151"/>
    </row>
    <row r="996" spans="6:7" ht="15.75" customHeight="1" x14ac:dyDescent="0.25">
      <c r="F996" s="56"/>
      <c r="G996" s="151"/>
    </row>
    <row r="997" spans="6:7" ht="15.75" customHeight="1" x14ac:dyDescent="0.25">
      <c r="F997" s="56"/>
      <c r="G997" s="151"/>
    </row>
    <row r="998" spans="6:7" ht="15.75" customHeight="1" x14ac:dyDescent="0.25">
      <c r="F998" s="56"/>
      <c r="G998" s="151"/>
    </row>
    <row r="999" spans="6:7" ht="15.75" customHeight="1" x14ac:dyDescent="0.25">
      <c r="F999" s="56"/>
      <c r="G999" s="151"/>
    </row>
    <row r="1000" spans="6:7" ht="15.75" customHeight="1" x14ac:dyDescent="0.25">
      <c r="F1000" s="56"/>
      <c r="G1000" s="151"/>
    </row>
  </sheetData>
  <mergeCells count="8">
    <mergeCell ref="C120:E120"/>
    <mergeCell ref="C121:E121"/>
    <mergeCell ref="C145:E145"/>
    <mergeCell ref="C2:E2"/>
    <mergeCell ref="H2:J2"/>
    <mergeCell ref="C117:E117"/>
    <mergeCell ref="C118:E118"/>
    <mergeCell ref="C119:E119"/>
  </mergeCells>
  <hyperlinks>
    <hyperlink ref="E100" r:id="rId1" xr:uid="{00000000-0004-0000-0900-000000000000}"/>
  </hyperlink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1000"/>
  <sheetViews>
    <sheetView showGridLines="0" workbookViewId="0"/>
  </sheetViews>
  <sheetFormatPr defaultColWidth="14.42578125" defaultRowHeight="15" customHeight="1" x14ac:dyDescent="0.25"/>
  <cols>
    <col min="1" max="2" width="8.7109375" customWidth="1"/>
    <col min="3" max="3" width="73.42578125" customWidth="1"/>
    <col min="4" max="4" width="10.28515625" customWidth="1"/>
    <col min="5" max="26" width="8.7109375" customWidth="1"/>
  </cols>
  <sheetData>
    <row r="1" spans="1:4" ht="15" customHeight="1" x14ac:dyDescent="0.25">
      <c r="A1" s="7"/>
      <c r="B1" s="7"/>
      <c r="C1" s="7"/>
      <c r="D1" s="379"/>
    </row>
    <row r="2" spans="1:4" ht="15.75" x14ac:dyDescent="0.25">
      <c r="A2" s="7"/>
      <c r="B2" s="790" t="s">
        <v>901</v>
      </c>
      <c r="C2" s="532"/>
      <c r="D2" s="533"/>
    </row>
    <row r="3" spans="1:4" ht="15" customHeight="1" x14ac:dyDescent="0.25">
      <c r="A3" s="7"/>
      <c r="B3" s="7"/>
      <c r="C3" s="7"/>
      <c r="D3" s="379"/>
    </row>
    <row r="4" spans="1:4" ht="15" customHeight="1" x14ac:dyDescent="0.25">
      <c r="A4" s="7"/>
      <c r="B4" s="380" t="s">
        <v>6</v>
      </c>
      <c r="C4" s="381" t="s">
        <v>904</v>
      </c>
      <c r="D4" s="380" t="s">
        <v>905</v>
      </c>
    </row>
    <row r="5" spans="1:4" x14ac:dyDescent="0.25">
      <c r="A5" s="7"/>
      <c r="B5" s="33" t="s">
        <v>906</v>
      </c>
      <c r="C5" s="107" t="s">
        <v>907</v>
      </c>
      <c r="D5" s="382">
        <v>0.2</v>
      </c>
    </row>
    <row r="6" spans="1:4" x14ac:dyDescent="0.25">
      <c r="A6" s="7"/>
      <c r="B6" s="33" t="s">
        <v>910</v>
      </c>
      <c r="C6" s="190" t="s">
        <v>911</v>
      </c>
      <c r="D6" s="382">
        <v>1.4999999999999999E-2</v>
      </c>
    </row>
    <row r="7" spans="1:4" x14ac:dyDescent="0.25">
      <c r="A7" s="7"/>
      <c r="B7" s="33" t="s">
        <v>912</v>
      </c>
      <c r="C7" s="190" t="s">
        <v>914</v>
      </c>
      <c r="D7" s="382">
        <v>0.01</v>
      </c>
    </row>
    <row r="8" spans="1:4" x14ac:dyDescent="0.25">
      <c r="A8" s="7"/>
      <c r="B8" s="33" t="s">
        <v>915</v>
      </c>
      <c r="C8" s="190" t="s">
        <v>916</v>
      </c>
      <c r="D8" s="382">
        <v>2E-3</v>
      </c>
    </row>
    <row r="9" spans="1:4" x14ac:dyDescent="0.25">
      <c r="A9" s="7"/>
      <c r="B9" s="33" t="s">
        <v>917</v>
      </c>
      <c r="C9" s="190" t="s">
        <v>918</v>
      </c>
      <c r="D9" s="382">
        <v>6.0000000000000001E-3</v>
      </c>
    </row>
    <row r="10" spans="1:4" x14ac:dyDescent="0.25">
      <c r="A10" s="7"/>
      <c r="B10" s="33" t="s">
        <v>919</v>
      </c>
      <c r="C10" s="107" t="s">
        <v>920</v>
      </c>
      <c r="D10" s="382">
        <v>2.5000000000000001E-2</v>
      </c>
    </row>
    <row r="11" spans="1:4" x14ac:dyDescent="0.25">
      <c r="A11" s="7"/>
      <c r="B11" s="33" t="s">
        <v>921</v>
      </c>
      <c r="C11" s="107" t="s">
        <v>922</v>
      </c>
      <c r="D11" s="382">
        <v>0.03</v>
      </c>
    </row>
    <row r="12" spans="1:4" x14ac:dyDescent="0.25">
      <c r="A12" s="7"/>
      <c r="B12" s="33" t="s">
        <v>923</v>
      </c>
      <c r="C12" s="107" t="s">
        <v>924</v>
      </c>
      <c r="D12" s="382">
        <v>0.08</v>
      </c>
    </row>
    <row r="13" spans="1:4" x14ac:dyDescent="0.25">
      <c r="A13" s="7"/>
      <c r="B13" s="52" t="s">
        <v>6</v>
      </c>
      <c r="C13" s="385" t="s">
        <v>926</v>
      </c>
      <c r="D13" s="387">
        <f>SUM(D5:D12)</f>
        <v>0.36800000000000005</v>
      </c>
    </row>
    <row r="14" spans="1:4" x14ac:dyDescent="0.25">
      <c r="A14" s="7"/>
      <c r="B14" s="380" t="s">
        <v>9</v>
      </c>
      <c r="C14" s="381" t="s">
        <v>927</v>
      </c>
      <c r="D14" s="388"/>
    </row>
    <row r="15" spans="1:4" x14ac:dyDescent="0.25">
      <c r="A15" s="7"/>
      <c r="B15" s="33" t="s">
        <v>928</v>
      </c>
      <c r="C15" s="107" t="s">
        <v>929</v>
      </c>
      <c r="D15" s="389">
        <f>IF('8 - CAGED'!C15&gt;24,(1-'8 - CAGED'!C14)*('8 - CAGED'!C18+'8 - CAGED'!C17)/'8 - CAGED'!C16,('8 - CAGED'!C18+'8 - CAGED'!C17)/'8 - CAGED'!C16-'7 - ENCARGOS SOCIAIS'!D24)</f>
        <v>4.2085158970902148E-2</v>
      </c>
    </row>
    <row r="16" spans="1:4" x14ac:dyDescent="0.25">
      <c r="A16" s="7"/>
      <c r="B16" s="33" t="s">
        <v>932</v>
      </c>
      <c r="C16" s="107" t="s">
        <v>933</v>
      </c>
      <c r="D16" s="382">
        <f>'8 - CAGED'!C19/'8 - CAGED'!C16</f>
        <v>8.3333333333333329E-2</v>
      </c>
    </row>
    <row r="17" spans="1:6" x14ac:dyDescent="0.25">
      <c r="A17" s="7"/>
      <c r="B17" s="33" t="s">
        <v>934</v>
      </c>
      <c r="C17" s="107" t="s">
        <v>935</v>
      </c>
      <c r="D17" s="382">
        <f>((5*0.8503*0.0502)/360)</f>
        <v>5.9284805555555558E-4</v>
      </c>
      <c r="F17" s="390"/>
    </row>
    <row r="18" spans="1:6" x14ac:dyDescent="0.25">
      <c r="A18" s="7"/>
      <c r="B18" s="33" t="s">
        <v>936</v>
      </c>
      <c r="C18" s="107" t="s">
        <v>937</v>
      </c>
      <c r="D18" s="382">
        <f>2.96/360</f>
        <v>8.2222222222222228E-3</v>
      </c>
    </row>
    <row r="19" spans="1:6" x14ac:dyDescent="0.25">
      <c r="A19" s="7"/>
      <c r="B19" s="33" t="s">
        <v>938</v>
      </c>
      <c r="C19" s="107" t="s">
        <v>939</v>
      </c>
      <c r="D19" s="382">
        <f>(15*0.074)/360</f>
        <v>3.0833333333333329E-3</v>
      </c>
    </row>
    <row r="20" spans="1:6" x14ac:dyDescent="0.25">
      <c r="A20" s="7"/>
      <c r="B20" s="33" t="s">
        <v>940</v>
      </c>
      <c r="C20" s="107" t="s">
        <v>941</v>
      </c>
      <c r="D20" s="382">
        <f>5.96/360</f>
        <v>1.6555555555555556E-2</v>
      </c>
    </row>
    <row r="21" spans="1:6" ht="15.75" customHeight="1" x14ac:dyDescent="0.25">
      <c r="A21" s="7"/>
      <c r="B21" s="52" t="s">
        <v>9</v>
      </c>
      <c r="C21" s="385" t="s">
        <v>942</v>
      </c>
      <c r="D21" s="387">
        <f>SUM(D15:D20)</f>
        <v>0.15387245147090212</v>
      </c>
    </row>
    <row r="22" spans="1:6" ht="15.75" customHeight="1" x14ac:dyDescent="0.25">
      <c r="A22" s="7"/>
      <c r="B22" s="380" t="s">
        <v>12</v>
      </c>
      <c r="C22" s="381" t="s">
        <v>943</v>
      </c>
      <c r="D22" s="388"/>
    </row>
    <row r="23" spans="1:6" ht="15.75" customHeight="1" x14ac:dyDescent="0.25">
      <c r="A23" s="7"/>
      <c r="B23" s="33" t="s">
        <v>944</v>
      </c>
      <c r="C23" s="107" t="s">
        <v>945</v>
      </c>
      <c r="D23" s="382">
        <f>('8 - CAGED'!C20*'8 - CAGED'!C13)/'8 - CAGED'!C16</f>
        <v>3.2580499719132683E-2</v>
      </c>
    </row>
    <row r="24" spans="1:6" ht="15.75" customHeight="1" x14ac:dyDescent="0.25">
      <c r="A24" s="7"/>
      <c r="B24" s="33" t="s">
        <v>946</v>
      </c>
      <c r="C24" s="107" t="s">
        <v>947</v>
      </c>
      <c r="D24" s="382">
        <f>IF('8 - CAGED'!C15&gt;12,((12/'8 - CAGED'!C15)*('8 - CAGED'!C18+'8 - CAGED'!C17))/'8 - CAGED'!C16,('8 - CAGED'!C17+'8 - CAGED'!C18)/'8 - CAGED'!C16)</f>
        <v>6.9025952140208957E-2</v>
      </c>
    </row>
    <row r="25" spans="1:6" ht="15.75" customHeight="1" x14ac:dyDescent="0.25">
      <c r="A25" s="7"/>
      <c r="B25" s="33" t="s">
        <v>949</v>
      </c>
      <c r="C25" s="107" t="s">
        <v>950</v>
      </c>
      <c r="D25" s="382">
        <f>D24*D23</f>
        <v>2.2489000143169438E-3</v>
      </c>
    </row>
    <row r="26" spans="1:6" ht="15.75" customHeight="1" x14ac:dyDescent="0.25">
      <c r="A26" s="7"/>
      <c r="B26" s="33" t="s">
        <v>951</v>
      </c>
      <c r="C26" s="107" t="s">
        <v>952</v>
      </c>
      <c r="D26" s="382">
        <f>('8 - CAGED'!C16+'8 - CAGED'!C19+'8 - CAGED'!C17)/'8 - CAGED'!C14*'8 - CAGED'!C21*'8 - CAGED'!C22*'8 - CAGED'!C13/'8 - CAGED'!C16</f>
        <v>2.0342243827160499E-2</v>
      </c>
    </row>
    <row r="27" spans="1:6" ht="15.75" customHeight="1" x14ac:dyDescent="0.25">
      <c r="A27" s="7"/>
      <c r="B27" s="33" t="s">
        <v>954</v>
      </c>
      <c r="C27" s="107" t="s">
        <v>955</v>
      </c>
      <c r="D27" s="382">
        <f>('8 - CAGED'!C18/'8 - CAGED'!C16)*'8 - CAGED'!C13/12</f>
        <v>2.4682196756918699E-3</v>
      </c>
    </row>
    <row r="28" spans="1:6" ht="15.75" customHeight="1" x14ac:dyDescent="0.25">
      <c r="A28" s="7"/>
      <c r="B28" s="52" t="s">
        <v>12</v>
      </c>
      <c r="C28" s="385" t="s">
        <v>956</v>
      </c>
      <c r="D28" s="387">
        <f>SUM(D23:D27)</f>
        <v>0.12666581537651095</v>
      </c>
    </row>
    <row r="29" spans="1:6" ht="15.75" customHeight="1" x14ac:dyDescent="0.25">
      <c r="A29" s="7"/>
      <c r="B29" s="380" t="s">
        <v>15</v>
      </c>
      <c r="C29" s="381" t="s">
        <v>957</v>
      </c>
      <c r="D29" s="388"/>
    </row>
    <row r="30" spans="1:6" ht="15.75" customHeight="1" x14ac:dyDescent="0.25">
      <c r="A30" s="7"/>
      <c r="B30" s="33" t="s">
        <v>958</v>
      </c>
      <c r="C30" s="107" t="s">
        <v>959</v>
      </c>
      <c r="D30" s="382">
        <f>D13*D21</f>
        <v>5.6625062141291989E-2</v>
      </c>
    </row>
    <row r="31" spans="1:6" ht="15.75" customHeight="1" x14ac:dyDescent="0.25">
      <c r="A31" s="7"/>
      <c r="B31" s="33" t="s">
        <v>960</v>
      </c>
      <c r="C31" s="107" t="s">
        <v>961</v>
      </c>
      <c r="D31" s="382">
        <f>'8 - CAGED'!C21*'7 - ENCARGOS SOCIAIS'!D23</f>
        <v>2.6064399775306145E-3</v>
      </c>
    </row>
    <row r="32" spans="1:6" ht="15.75" customHeight="1" x14ac:dyDescent="0.25">
      <c r="A32" s="7"/>
      <c r="B32" s="52" t="s">
        <v>15</v>
      </c>
      <c r="C32" s="385" t="s">
        <v>962</v>
      </c>
      <c r="D32" s="387">
        <f>D30+D31</f>
        <v>5.9231502118822603E-2</v>
      </c>
    </row>
    <row r="33" spans="1:4" ht="15.75" customHeight="1" x14ac:dyDescent="0.25">
      <c r="A33" s="7"/>
      <c r="B33" s="381"/>
      <c r="C33" s="380" t="s">
        <v>963</v>
      </c>
      <c r="D33" s="391">
        <f>D13+D21+D28+D32</f>
        <v>0.70776976896623567</v>
      </c>
    </row>
    <row r="34" spans="1:4" ht="15.75" customHeight="1" x14ac:dyDescent="0.25">
      <c r="B34" s="392"/>
      <c r="C34" s="393"/>
      <c r="D34" s="394"/>
    </row>
    <row r="35" spans="1:4" ht="15.75" customHeight="1" x14ac:dyDescent="0.25"/>
    <row r="36" spans="1:4" ht="15.75" customHeight="1" x14ac:dyDescent="0.25"/>
    <row r="37" spans="1:4" ht="15.75" customHeight="1" x14ac:dyDescent="0.25"/>
    <row r="38" spans="1:4" ht="15" customHeight="1" x14ac:dyDescent="0.25">
      <c r="C38" s="56"/>
    </row>
    <row r="39" spans="1:4" ht="15.75" customHeight="1" x14ac:dyDescent="0.25"/>
    <row r="40" spans="1:4" ht="15.75" customHeight="1" x14ac:dyDescent="0.25"/>
    <row r="41" spans="1:4" ht="15" customHeight="1" x14ac:dyDescent="0.25">
      <c r="B41" s="791"/>
      <c r="C41" s="625"/>
      <c r="D41" s="625"/>
    </row>
    <row r="42" spans="1:4" ht="15.75" customHeight="1" x14ac:dyDescent="0.25"/>
    <row r="43" spans="1:4" ht="15.75" customHeight="1" x14ac:dyDescent="0.25"/>
    <row r="44" spans="1:4" ht="15" customHeight="1" x14ac:dyDescent="0.25">
      <c r="B44" s="151"/>
      <c r="C44" s="151"/>
      <c r="D44" s="151"/>
    </row>
    <row r="45" spans="1:4" ht="15" customHeight="1" x14ac:dyDescent="0.25">
      <c r="D45" s="333"/>
    </row>
    <row r="46" spans="1:4" ht="15" customHeight="1" x14ac:dyDescent="0.25">
      <c r="D46" s="333"/>
    </row>
    <row r="47" spans="1:4" ht="15" customHeight="1" x14ac:dyDescent="0.25">
      <c r="D47" s="333"/>
    </row>
    <row r="48" spans="1:4" ht="15" customHeight="1" x14ac:dyDescent="0.25">
      <c r="D48" s="333"/>
    </row>
    <row r="49" spans="2:4" ht="15" customHeight="1" x14ac:dyDescent="0.25">
      <c r="D49" s="333"/>
    </row>
    <row r="50" spans="2:4" ht="15" customHeight="1" x14ac:dyDescent="0.25">
      <c r="D50" s="333"/>
    </row>
    <row r="51" spans="2:4" ht="15" customHeight="1" x14ac:dyDescent="0.25">
      <c r="D51" s="333"/>
    </row>
    <row r="52" spans="2:4" ht="15" customHeight="1" x14ac:dyDescent="0.25">
      <c r="D52" s="333"/>
    </row>
    <row r="53" spans="2:4" ht="15" customHeight="1" x14ac:dyDescent="0.25">
      <c r="B53" s="151"/>
      <c r="C53" s="151"/>
      <c r="D53" s="396"/>
    </row>
    <row r="54" spans="2:4" ht="15" customHeight="1" x14ac:dyDescent="0.25">
      <c r="B54" s="151"/>
      <c r="C54" s="151"/>
      <c r="D54" s="151"/>
    </row>
    <row r="55" spans="2:4" ht="15" customHeight="1" x14ac:dyDescent="0.25">
      <c r="D55" s="333"/>
    </row>
    <row r="56" spans="2:4" ht="15" customHeight="1" x14ac:dyDescent="0.25">
      <c r="D56" s="333"/>
    </row>
    <row r="57" spans="2:4" ht="15" customHeight="1" x14ac:dyDescent="0.25">
      <c r="D57" s="333"/>
    </row>
    <row r="58" spans="2:4" ht="15" customHeight="1" x14ac:dyDescent="0.25">
      <c r="D58" s="333"/>
    </row>
    <row r="59" spans="2:4" ht="15" customHeight="1" x14ac:dyDescent="0.25">
      <c r="D59" s="333"/>
    </row>
    <row r="60" spans="2:4" ht="15" customHeight="1" x14ac:dyDescent="0.25">
      <c r="D60" s="333"/>
    </row>
    <row r="61" spans="2:4" ht="15" customHeight="1" x14ac:dyDescent="0.25">
      <c r="B61" s="151"/>
      <c r="C61" s="151"/>
      <c r="D61" s="396"/>
    </row>
    <row r="62" spans="2:4" ht="15" customHeight="1" x14ac:dyDescent="0.25">
      <c r="B62" s="151"/>
      <c r="C62" s="151"/>
      <c r="D62" s="151"/>
    </row>
    <row r="63" spans="2:4" ht="15" customHeight="1" x14ac:dyDescent="0.25">
      <c r="D63" s="333"/>
    </row>
    <row r="64" spans="2:4" ht="15" customHeight="1" x14ac:dyDescent="0.25">
      <c r="D64" s="333"/>
    </row>
    <row r="65" spans="2:4" ht="15" customHeight="1" x14ac:dyDescent="0.25">
      <c r="D65" s="333"/>
    </row>
    <row r="66" spans="2:4" ht="15" customHeight="1" x14ac:dyDescent="0.25">
      <c r="D66" s="333"/>
    </row>
    <row r="67" spans="2:4" ht="15" customHeight="1" x14ac:dyDescent="0.25">
      <c r="D67" s="333"/>
    </row>
    <row r="68" spans="2:4" ht="15" customHeight="1" x14ac:dyDescent="0.25">
      <c r="B68" s="151"/>
      <c r="C68" s="151"/>
      <c r="D68" s="396"/>
    </row>
    <row r="69" spans="2:4" ht="15" customHeight="1" x14ac:dyDescent="0.25">
      <c r="B69" s="151"/>
      <c r="C69" s="151"/>
      <c r="D69" s="151"/>
    </row>
    <row r="70" spans="2:4" ht="15" customHeight="1" x14ac:dyDescent="0.25">
      <c r="D70" s="333"/>
    </row>
    <row r="71" spans="2:4" ht="15" customHeight="1" x14ac:dyDescent="0.25">
      <c r="D71" s="333"/>
    </row>
    <row r="72" spans="2:4" ht="15" customHeight="1" x14ac:dyDescent="0.25">
      <c r="B72" s="151"/>
      <c r="C72" s="151"/>
      <c r="D72" s="396"/>
    </row>
    <row r="73" spans="2:4" ht="15" customHeight="1" x14ac:dyDescent="0.25">
      <c r="B73" s="151"/>
      <c r="C73" s="56"/>
      <c r="D73" s="396"/>
    </row>
    <row r="74" spans="2:4" ht="15.75" customHeight="1" x14ac:dyDescent="0.25"/>
    <row r="75" spans="2:4" ht="15.75" customHeight="1" x14ac:dyDescent="0.25"/>
    <row r="76" spans="2:4" ht="15.75" customHeight="1" x14ac:dyDescent="0.25"/>
    <row r="77" spans="2:4" ht="15.75" customHeight="1" x14ac:dyDescent="0.25"/>
    <row r="78" spans="2:4" ht="15.75" customHeight="1" x14ac:dyDescent="0.25"/>
    <row r="79" spans="2:4" ht="15.75" customHeight="1" x14ac:dyDescent="0.25"/>
    <row r="80" spans="2:4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B2:D2"/>
    <mergeCell ref="B41:D41"/>
  </mergeCell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000"/>
  <sheetViews>
    <sheetView showGridLines="0" workbookViewId="0"/>
  </sheetViews>
  <sheetFormatPr defaultColWidth="14.42578125" defaultRowHeight="15" customHeight="1" x14ac:dyDescent="0.25"/>
  <cols>
    <col min="1" max="1" width="8.7109375" customWidth="1"/>
    <col min="2" max="2" width="56" customWidth="1"/>
    <col min="3" max="3" width="12.42578125" customWidth="1"/>
    <col min="4" max="26" width="8.7109375" customWidth="1"/>
  </cols>
  <sheetData>
    <row r="1" spans="1:5" ht="15" customHeight="1" x14ac:dyDescent="0.25">
      <c r="A1" s="7"/>
      <c r="B1" s="7"/>
      <c r="C1" s="7"/>
    </row>
    <row r="2" spans="1:5" ht="15.75" x14ac:dyDescent="0.25">
      <c r="A2" s="7"/>
      <c r="B2" s="790" t="s">
        <v>968</v>
      </c>
      <c r="C2" s="533"/>
    </row>
    <row r="3" spans="1:5" x14ac:dyDescent="0.25">
      <c r="A3" s="7"/>
      <c r="B3" s="307"/>
      <c r="C3" s="307"/>
    </row>
    <row r="4" spans="1:5" x14ac:dyDescent="0.25">
      <c r="A4" s="7"/>
      <c r="B4" s="797" t="s">
        <v>969</v>
      </c>
      <c r="C4" s="538"/>
    </row>
    <row r="5" spans="1:5" x14ac:dyDescent="0.25">
      <c r="A5" s="7"/>
      <c r="B5" s="385" t="s">
        <v>970</v>
      </c>
      <c r="C5" s="398">
        <v>4724</v>
      </c>
    </row>
    <row r="6" spans="1:5" x14ac:dyDescent="0.25">
      <c r="A6" s="7"/>
      <c r="B6" s="385" t="s">
        <v>971</v>
      </c>
      <c r="C6" s="398">
        <v>4492</v>
      </c>
    </row>
    <row r="7" spans="1:5" x14ac:dyDescent="0.25">
      <c r="A7" s="7"/>
      <c r="B7" s="107" t="s">
        <v>972</v>
      </c>
      <c r="C7" s="399">
        <f>C6*0.5869</f>
        <v>2636.3548000000001</v>
      </c>
    </row>
    <row r="8" spans="1:5" x14ac:dyDescent="0.25">
      <c r="A8" s="7"/>
      <c r="B8" s="385" t="s">
        <v>973</v>
      </c>
      <c r="C8" s="399"/>
      <c r="E8" s="333"/>
    </row>
    <row r="9" spans="1:5" x14ac:dyDescent="0.25">
      <c r="A9" s="7"/>
      <c r="B9" s="107" t="s">
        <v>974</v>
      </c>
      <c r="C9" s="399">
        <v>6956</v>
      </c>
    </row>
    <row r="10" spans="1:5" x14ac:dyDescent="0.25">
      <c r="A10" s="7"/>
      <c r="B10" s="107" t="s">
        <v>975</v>
      </c>
      <c r="C10" s="399">
        <v>7879</v>
      </c>
    </row>
    <row r="11" spans="1:5" x14ac:dyDescent="0.25">
      <c r="A11" s="7"/>
      <c r="B11" s="107" t="s">
        <v>976</v>
      </c>
      <c r="C11" s="399">
        <f>C5-C6</f>
        <v>232</v>
      </c>
      <c r="D11" s="333"/>
    </row>
    <row r="12" spans="1:5" x14ac:dyDescent="0.25">
      <c r="A12" s="7"/>
      <c r="B12" s="385" t="s">
        <v>977</v>
      </c>
      <c r="C12" s="398">
        <f>MEDIAN(C9:C10)</f>
        <v>7417.5</v>
      </c>
    </row>
    <row r="13" spans="1:5" x14ac:dyDescent="0.25">
      <c r="A13" s="7"/>
      <c r="B13" s="385" t="s">
        <v>978</v>
      </c>
      <c r="C13" s="400">
        <f>C7/C12</f>
        <v>0.35542363329962928</v>
      </c>
    </row>
    <row r="14" spans="1:5" x14ac:dyDescent="0.25">
      <c r="A14" s="7"/>
      <c r="B14" s="385" t="s">
        <v>979</v>
      </c>
      <c r="C14" s="400">
        <f>((C5+C6)/2)/C12</f>
        <v>0.62123356926188067</v>
      </c>
      <c r="D14" s="390"/>
    </row>
    <row r="15" spans="1:5" x14ac:dyDescent="0.25">
      <c r="A15" s="7"/>
      <c r="B15" s="385" t="s">
        <v>981</v>
      </c>
      <c r="C15" s="401">
        <f>12/C14</f>
        <v>19.31640625</v>
      </c>
    </row>
    <row r="16" spans="1:5" x14ac:dyDescent="0.25">
      <c r="A16" s="7"/>
      <c r="B16" s="385" t="s">
        <v>982</v>
      </c>
      <c r="C16" s="385">
        <v>360</v>
      </c>
    </row>
    <row r="17" spans="1:3" x14ac:dyDescent="0.25">
      <c r="A17" s="7"/>
      <c r="B17" s="385" t="s">
        <v>983</v>
      </c>
      <c r="C17" s="385">
        <v>10</v>
      </c>
    </row>
    <row r="18" spans="1:3" x14ac:dyDescent="0.25">
      <c r="A18" s="7"/>
      <c r="B18" s="385" t="s">
        <v>984</v>
      </c>
      <c r="C18" s="385">
        <v>30</v>
      </c>
    </row>
    <row r="19" spans="1:3" x14ac:dyDescent="0.25">
      <c r="A19" s="7"/>
      <c r="B19" s="385" t="s">
        <v>985</v>
      </c>
      <c r="C19" s="385">
        <v>30</v>
      </c>
    </row>
    <row r="20" spans="1:3" x14ac:dyDescent="0.25">
      <c r="A20" s="7"/>
      <c r="B20" s="385" t="s">
        <v>986</v>
      </c>
      <c r="C20" s="385">
        <f>30+(3*TRUNC(1,C14))</f>
        <v>33</v>
      </c>
    </row>
    <row r="21" spans="1:3" ht="15.75" customHeight="1" x14ac:dyDescent="0.25">
      <c r="A21" s="7"/>
      <c r="B21" s="385" t="s">
        <v>987</v>
      </c>
      <c r="C21" s="402">
        <v>0.08</v>
      </c>
    </row>
    <row r="22" spans="1:3" ht="15.75" customHeight="1" x14ac:dyDescent="0.25">
      <c r="A22" s="7"/>
      <c r="B22" s="385" t="s">
        <v>988</v>
      </c>
      <c r="C22" s="402">
        <v>0.4</v>
      </c>
    </row>
    <row r="23" spans="1:3" ht="15.75" customHeight="1" x14ac:dyDescent="0.25">
      <c r="A23" s="7"/>
      <c r="B23" s="798"/>
      <c r="C23" s="542"/>
    </row>
    <row r="24" spans="1:3" ht="15.75" customHeight="1" x14ac:dyDescent="0.25">
      <c r="A24" s="7"/>
      <c r="B24" s="799"/>
      <c r="C24" s="544"/>
    </row>
    <row r="25" spans="1:3" ht="15.75" customHeight="1" x14ac:dyDescent="0.25">
      <c r="A25" s="7"/>
      <c r="B25" s="792" t="s">
        <v>834</v>
      </c>
      <c r="C25" s="538"/>
    </row>
    <row r="26" spans="1:3" ht="99.75" customHeight="1" x14ac:dyDescent="0.25">
      <c r="A26" s="7"/>
      <c r="B26" s="794" t="s">
        <v>989</v>
      </c>
      <c r="C26" s="626"/>
    </row>
    <row r="27" spans="1:3" ht="16.5" customHeight="1" x14ac:dyDescent="0.25">
      <c r="A27" s="7"/>
      <c r="B27" s="792" t="s">
        <v>990</v>
      </c>
      <c r="C27" s="538"/>
    </row>
    <row r="28" spans="1:3" ht="141.75" customHeight="1" x14ac:dyDescent="0.25">
      <c r="A28" s="7"/>
      <c r="B28" s="796" t="s">
        <v>991</v>
      </c>
      <c r="C28" s="538"/>
    </row>
    <row r="29" spans="1:3" ht="15.75" customHeight="1" x14ac:dyDescent="0.25">
      <c r="B29" s="403"/>
    </row>
    <row r="30" spans="1:3" ht="15.75" customHeight="1" x14ac:dyDescent="0.25"/>
    <row r="31" spans="1:3" ht="15.75" customHeight="1" x14ac:dyDescent="0.25"/>
    <row r="32" spans="1:3" ht="15.75" customHeight="1" x14ac:dyDescent="0.25"/>
    <row r="33" spans="2:3" ht="15.75" customHeight="1" x14ac:dyDescent="0.25"/>
    <row r="34" spans="2:3" ht="15.75" customHeight="1" x14ac:dyDescent="0.25"/>
    <row r="35" spans="2:3" ht="15.75" customHeight="1" x14ac:dyDescent="0.25"/>
    <row r="36" spans="2:3" ht="15.75" customHeight="1" x14ac:dyDescent="0.25"/>
    <row r="37" spans="2:3" ht="15" customHeight="1" x14ac:dyDescent="0.25">
      <c r="B37" s="791"/>
      <c r="C37" s="625"/>
    </row>
    <row r="38" spans="2:3" ht="15" customHeight="1" x14ac:dyDescent="0.25">
      <c r="B38" s="311"/>
      <c r="C38" s="311"/>
    </row>
    <row r="39" spans="2:3" ht="15" customHeight="1" x14ac:dyDescent="0.25">
      <c r="B39" s="662"/>
      <c r="C39" s="625"/>
    </row>
    <row r="40" spans="2:3" ht="15" customHeight="1" x14ac:dyDescent="0.25">
      <c r="B40" s="151"/>
      <c r="C40" s="404"/>
    </row>
    <row r="41" spans="2:3" ht="15" customHeight="1" x14ac:dyDescent="0.25">
      <c r="B41" s="151"/>
      <c r="C41" s="404"/>
    </row>
    <row r="42" spans="2:3" ht="15" customHeight="1" x14ac:dyDescent="0.25">
      <c r="C42" s="405"/>
    </row>
    <row r="43" spans="2:3" ht="15" customHeight="1" x14ac:dyDescent="0.25">
      <c r="B43" s="151"/>
      <c r="C43" s="405"/>
    </row>
    <row r="44" spans="2:3" ht="15" customHeight="1" x14ac:dyDescent="0.25">
      <c r="C44" s="405"/>
    </row>
    <row r="45" spans="2:3" ht="15" customHeight="1" x14ac:dyDescent="0.25">
      <c r="C45" s="405"/>
    </row>
    <row r="46" spans="2:3" ht="15" customHeight="1" x14ac:dyDescent="0.25">
      <c r="C46" s="405"/>
    </row>
    <row r="47" spans="2:3" ht="15" customHeight="1" x14ac:dyDescent="0.25">
      <c r="C47" s="405"/>
    </row>
    <row r="48" spans="2:3" ht="15" customHeight="1" x14ac:dyDescent="0.25">
      <c r="B48" s="151"/>
      <c r="C48" s="404"/>
    </row>
    <row r="49" spans="2:3" ht="15" customHeight="1" x14ac:dyDescent="0.25">
      <c r="B49" s="151"/>
      <c r="C49" s="396"/>
    </row>
    <row r="50" spans="2:3" ht="15" customHeight="1" x14ac:dyDescent="0.25">
      <c r="B50" s="151"/>
      <c r="C50" s="396"/>
    </row>
    <row r="51" spans="2:3" ht="15" customHeight="1" x14ac:dyDescent="0.25">
      <c r="B51" s="151"/>
      <c r="C51" s="406"/>
    </row>
    <row r="52" spans="2:3" ht="15" customHeight="1" x14ac:dyDescent="0.25">
      <c r="B52" s="151"/>
      <c r="C52" s="151"/>
    </row>
    <row r="53" spans="2:3" ht="15" customHeight="1" x14ac:dyDescent="0.25">
      <c r="B53" s="151"/>
      <c r="C53" s="151"/>
    </row>
    <row r="54" spans="2:3" ht="15" customHeight="1" x14ac:dyDescent="0.25">
      <c r="B54" s="151"/>
      <c r="C54" s="151"/>
    </row>
    <row r="55" spans="2:3" ht="15" customHeight="1" x14ac:dyDescent="0.25">
      <c r="B55" s="151"/>
      <c r="C55" s="151"/>
    </row>
    <row r="56" spans="2:3" ht="15" customHeight="1" x14ac:dyDescent="0.25">
      <c r="B56" s="151"/>
      <c r="C56" s="151"/>
    </row>
    <row r="57" spans="2:3" ht="15" customHeight="1" x14ac:dyDescent="0.25">
      <c r="B57" s="151"/>
      <c r="C57" s="407"/>
    </row>
    <row r="58" spans="2:3" ht="15" customHeight="1" x14ac:dyDescent="0.25">
      <c r="B58" s="151"/>
      <c r="C58" s="407"/>
    </row>
    <row r="59" spans="2:3" ht="15.75" customHeight="1" x14ac:dyDescent="0.25"/>
    <row r="60" spans="2:3" ht="15.75" customHeight="1" x14ac:dyDescent="0.25"/>
    <row r="61" spans="2:3" ht="15.75" customHeight="1" x14ac:dyDescent="0.25"/>
    <row r="62" spans="2:3" ht="15.75" customHeight="1" x14ac:dyDescent="0.25"/>
    <row r="63" spans="2:3" ht="15.75" customHeight="1" x14ac:dyDescent="0.25"/>
    <row r="64" spans="2: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B28:C28"/>
    <mergeCell ref="B37:C37"/>
    <mergeCell ref="B39:C39"/>
    <mergeCell ref="B2:C2"/>
    <mergeCell ref="B4:C4"/>
    <mergeCell ref="B23:C23"/>
    <mergeCell ref="B24:C24"/>
    <mergeCell ref="B25:C25"/>
    <mergeCell ref="B26:C26"/>
    <mergeCell ref="B27:C27"/>
  </mergeCells>
  <printOptions horizontalCentered="1"/>
  <pageMargins left="0.51180555555555596" right="0.51180555555555596" top="0.78749999999999998" bottom="0.78749999999999998" header="0" footer="0"/>
  <pageSetup paperSize="9" orientation="portrait"/>
  <headerFooter>
    <oddFooter>&amp;R&amp;P de 45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000"/>
  <sheetViews>
    <sheetView showGridLines="0" workbookViewId="0"/>
  </sheetViews>
  <sheetFormatPr defaultColWidth="14.42578125" defaultRowHeight="15" customHeight="1" x14ac:dyDescent="0.25"/>
  <cols>
    <col min="1" max="2" width="8.7109375" customWidth="1"/>
    <col min="3" max="3" width="47" customWidth="1"/>
    <col min="4" max="26" width="8.7109375" customWidth="1"/>
  </cols>
  <sheetData>
    <row r="1" spans="1:4" ht="15" customHeight="1" x14ac:dyDescent="0.25">
      <c r="A1" s="7"/>
      <c r="B1" s="7"/>
      <c r="C1" s="7"/>
      <c r="D1" s="7"/>
    </row>
    <row r="2" spans="1:4" ht="15.75" x14ac:dyDescent="0.25">
      <c r="A2" s="7"/>
      <c r="B2" s="790" t="s">
        <v>1004</v>
      </c>
      <c r="C2" s="532"/>
      <c r="D2" s="533"/>
    </row>
    <row r="3" spans="1:4" ht="15" customHeight="1" x14ac:dyDescent="0.25">
      <c r="A3" s="7"/>
      <c r="B3" s="7"/>
      <c r="C3" s="7"/>
      <c r="D3" s="7"/>
    </row>
    <row r="4" spans="1:4" x14ac:dyDescent="0.25">
      <c r="A4" s="7"/>
      <c r="B4" s="380" t="s">
        <v>273</v>
      </c>
      <c r="C4" s="380" t="s">
        <v>239</v>
      </c>
      <c r="D4" s="408" t="s">
        <v>141</v>
      </c>
    </row>
    <row r="5" spans="1:4" x14ac:dyDescent="0.25">
      <c r="A5" s="7"/>
      <c r="B5" s="52" t="s">
        <v>6</v>
      </c>
      <c r="C5" s="385" t="s">
        <v>1007</v>
      </c>
      <c r="D5" s="400">
        <v>5.0799999999999998E-2</v>
      </c>
    </row>
    <row r="6" spans="1:4" x14ac:dyDescent="0.25">
      <c r="A6" s="7"/>
      <c r="B6" s="52" t="s">
        <v>9</v>
      </c>
      <c r="C6" s="385" t="s">
        <v>1008</v>
      </c>
      <c r="D6" s="400">
        <v>1.3299999999999999E-2</v>
      </c>
    </row>
    <row r="7" spans="1:4" x14ac:dyDescent="0.25">
      <c r="A7" s="7"/>
      <c r="B7" s="52" t="s">
        <v>12</v>
      </c>
      <c r="C7" s="385" t="s">
        <v>1009</v>
      </c>
      <c r="D7" s="400">
        <v>0.1085</v>
      </c>
    </row>
    <row r="8" spans="1:4" x14ac:dyDescent="0.25">
      <c r="A8" s="7"/>
      <c r="B8" s="52" t="s">
        <v>15</v>
      </c>
      <c r="C8" s="385" t="s">
        <v>1010</v>
      </c>
      <c r="D8" s="400">
        <f>(1+D9)^(D10/252)-1</f>
        <v>5.1255062445492161E-3</v>
      </c>
    </row>
    <row r="9" spans="1:4" x14ac:dyDescent="0.25">
      <c r="A9" s="7"/>
      <c r="B9" s="33" t="s">
        <v>1013</v>
      </c>
      <c r="C9" s="107" t="s">
        <v>1014</v>
      </c>
      <c r="D9" s="409">
        <v>0.13750000000000001</v>
      </c>
    </row>
    <row r="10" spans="1:4" x14ac:dyDescent="0.25">
      <c r="A10" s="7"/>
      <c r="B10" s="33" t="s">
        <v>1017</v>
      </c>
      <c r="C10" s="107" t="s">
        <v>1018</v>
      </c>
      <c r="D10" s="107">
        <v>10</v>
      </c>
    </row>
    <row r="11" spans="1:4" x14ac:dyDescent="0.25">
      <c r="A11" s="7"/>
      <c r="B11" s="52" t="s">
        <v>17</v>
      </c>
      <c r="C11" s="385" t="s">
        <v>1019</v>
      </c>
      <c r="D11" s="400">
        <f>SUM(D12:D14)</f>
        <v>7.1500000000000008E-2</v>
      </c>
    </row>
    <row r="12" spans="1:4" x14ac:dyDescent="0.25">
      <c r="A12" s="7"/>
      <c r="B12" s="33" t="s">
        <v>1020</v>
      </c>
      <c r="C12" s="107" t="s">
        <v>1021</v>
      </c>
      <c r="D12" s="410">
        <v>3.5000000000000003E-2</v>
      </c>
    </row>
    <row r="13" spans="1:4" x14ac:dyDescent="0.25">
      <c r="A13" s="7"/>
      <c r="B13" s="33" t="s">
        <v>1023</v>
      </c>
      <c r="C13" s="107" t="s">
        <v>1025</v>
      </c>
      <c r="D13" s="410">
        <v>6.4999999999999997E-3</v>
      </c>
    </row>
    <row r="14" spans="1:4" x14ac:dyDescent="0.25">
      <c r="A14" s="7"/>
      <c r="B14" s="33" t="s">
        <v>1026</v>
      </c>
      <c r="C14" s="107" t="s">
        <v>1027</v>
      </c>
      <c r="D14" s="410">
        <v>0.03</v>
      </c>
    </row>
    <row r="15" spans="1:4" x14ac:dyDescent="0.25">
      <c r="A15" s="7"/>
      <c r="B15" s="411"/>
      <c r="C15" s="412" t="s">
        <v>1028</v>
      </c>
      <c r="D15" s="413">
        <f>(((1+D5+D6)*(1+D7)*(1+D8))/(1-D11))-1</f>
        <v>0.27689893995634196</v>
      </c>
    </row>
    <row r="16" spans="1:4" ht="69" customHeight="1" x14ac:dyDescent="0.25">
      <c r="A16" s="7"/>
      <c r="B16" s="793" t="s">
        <v>1029</v>
      </c>
      <c r="C16" s="542"/>
      <c r="D16" s="577"/>
    </row>
    <row r="17" spans="1:4" ht="24" customHeight="1" x14ac:dyDescent="0.25">
      <c r="A17" s="7"/>
      <c r="B17" s="794" t="s">
        <v>1030</v>
      </c>
      <c r="C17" s="625"/>
      <c r="D17" s="626"/>
    </row>
    <row r="18" spans="1:4" ht="30.75" customHeight="1" x14ac:dyDescent="0.25">
      <c r="A18" s="7"/>
      <c r="B18" s="794" t="s">
        <v>1031</v>
      </c>
      <c r="C18" s="625"/>
      <c r="D18" s="626"/>
    </row>
    <row r="19" spans="1:4" ht="31.5" customHeight="1" x14ac:dyDescent="0.25">
      <c r="A19" s="7"/>
      <c r="B19" s="801" t="s">
        <v>1032</v>
      </c>
      <c r="C19" s="625"/>
      <c r="D19" s="626"/>
    </row>
    <row r="20" spans="1:4" ht="19.5" customHeight="1" x14ac:dyDescent="0.25">
      <c r="A20" s="7"/>
      <c r="B20" s="795" t="s">
        <v>1033</v>
      </c>
      <c r="C20" s="544"/>
      <c r="D20" s="579"/>
    </row>
    <row r="21" spans="1:4" ht="15.75" customHeight="1" x14ac:dyDescent="0.25"/>
    <row r="22" spans="1:4" ht="15.75" customHeight="1" x14ac:dyDescent="0.25"/>
    <row r="23" spans="1:4" ht="15.75" customHeight="1" x14ac:dyDescent="0.25"/>
    <row r="24" spans="1:4" ht="15" customHeight="1" x14ac:dyDescent="0.25">
      <c r="C24" s="56"/>
    </row>
    <row r="25" spans="1:4" ht="15.75" customHeight="1" x14ac:dyDescent="0.25"/>
    <row r="26" spans="1:4" ht="15.75" customHeight="1" x14ac:dyDescent="0.25"/>
    <row r="27" spans="1:4" ht="15" customHeight="1" x14ac:dyDescent="0.25">
      <c r="B27" s="791"/>
      <c r="C27" s="625"/>
      <c r="D27" s="625"/>
    </row>
    <row r="28" spans="1:4" ht="15.75" customHeight="1" x14ac:dyDescent="0.25"/>
    <row r="29" spans="1:4" ht="15" customHeight="1" x14ac:dyDescent="0.25">
      <c r="C29" s="56"/>
      <c r="D29" s="65"/>
    </row>
    <row r="30" spans="1:4" ht="15" customHeight="1" x14ac:dyDescent="0.25">
      <c r="B30" s="151"/>
      <c r="C30" s="151"/>
      <c r="D30" s="396"/>
    </row>
    <row r="31" spans="1:4" ht="15" customHeight="1" x14ac:dyDescent="0.25">
      <c r="B31" s="151"/>
      <c r="C31" s="151"/>
      <c r="D31" s="396"/>
    </row>
    <row r="32" spans="1:4" ht="15" customHeight="1" x14ac:dyDescent="0.25">
      <c r="B32" s="151"/>
      <c r="C32" s="151"/>
      <c r="D32" s="396"/>
    </row>
    <row r="33" spans="2:4" ht="15" customHeight="1" x14ac:dyDescent="0.25">
      <c r="B33" s="151"/>
      <c r="C33" s="151"/>
      <c r="D33" s="396"/>
    </row>
    <row r="34" spans="2:4" ht="15" customHeight="1" x14ac:dyDescent="0.25">
      <c r="D34" s="333"/>
    </row>
    <row r="35" spans="2:4" ht="15" customHeight="1" x14ac:dyDescent="0.25">
      <c r="D35" s="153"/>
    </row>
    <row r="36" spans="2:4" ht="15" customHeight="1" x14ac:dyDescent="0.25">
      <c r="B36" s="151"/>
      <c r="C36" s="151"/>
      <c r="D36" s="396"/>
    </row>
    <row r="37" spans="2:4" ht="15" customHeight="1" x14ac:dyDescent="0.25">
      <c r="D37" s="333"/>
    </row>
    <row r="38" spans="2:4" ht="15" customHeight="1" x14ac:dyDescent="0.25">
      <c r="D38" s="333"/>
    </row>
    <row r="39" spans="2:4" ht="15" customHeight="1" x14ac:dyDescent="0.25">
      <c r="D39" s="333"/>
    </row>
    <row r="40" spans="2:4" ht="15" customHeight="1" x14ac:dyDescent="0.25">
      <c r="C40" s="151"/>
      <c r="D40" s="396"/>
    </row>
    <row r="41" spans="2:4" ht="54" customHeight="1" x14ac:dyDescent="0.25">
      <c r="B41" s="800"/>
      <c r="C41" s="625"/>
      <c r="D41" s="625"/>
    </row>
    <row r="42" spans="2:4" ht="29.25" customHeight="1" x14ac:dyDescent="0.25">
      <c r="B42" s="800"/>
      <c r="C42" s="625"/>
      <c r="D42" s="625"/>
    </row>
    <row r="43" spans="2:4" ht="38.25" customHeight="1" x14ac:dyDescent="0.25">
      <c r="B43" s="800"/>
      <c r="C43" s="625"/>
      <c r="D43" s="625"/>
    </row>
    <row r="44" spans="2:4" ht="33.75" customHeight="1" x14ac:dyDescent="0.25">
      <c r="B44" s="800"/>
      <c r="C44" s="625"/>
      <c r="D44" s="625"/>
    </row>
    <row r="45" spans="2:4" ht="39.75" customHeight="1" x14ac:dyDescent="0.25">
      <c r="B45" s="800"/>
      <c r="C45" s="625"/>
      <c r="D45" s="625"/>
    </row>
    <row r="46" spans="2:4" ht="15.75" customHeight="1" x14ac:dyDescent="0.25"/>
    <row r="47" spans="2:4" ht="15.75" customHeight="1" x14ac:dyDescent="0.25"/>
    <row r="48" spans="2: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20:D20"/>
    <mergeCell ref="B27:D27"/>
    <mergeCell ref="B2:D2"/>
    <mergeCell ref="B16:D16"/>
    <mergeCell ref="B17:D17"/>
    <mergeCell ref="B18:D18"/>
    <mergeCell ref="B19:D19"/>
    <mergeCell ref="B41:D41"/>
    <mergeCell ref="B42:D42"/>
    <mergeCell ref="B43:D43"/>
    <mergeCell ref="B44:D44"/>
    <mergeCell ref="B45:D45"/>
  </mergeCells>
  <printOptions horizontalCentered="1"/>
  <pageMargins left="0.51180555555555596" right="0.51180555555555596" top="0.78749999999999998" bottom="0.78749999999999998" header="0" footer="0"/>
  <pageSetup paperSize="9" orientation="portrait"/>
  <headerFooter>
    <oddFooter>&amp;R&amp;P de 45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1000"/>
  <sheetViews>
    <sheetView showGridLines="0" workbookViewId="0"/>
  </sheetViews>
  <sheetFormatPr defaultColWidth="14.42578125" defaultRowHeight="15" customHeight="1" x14ac:dyDescent="0.25"/>
  <cols>
    <col min="1" max="1" width="8.7109375" customWidth="1"/>
    <col min="2" max="2" width="7.85546875" customWidth="1"/>
    <col min="3" max="3" width="37.28515625" customWidth="1"/>
    <col min="4" max="4" width="9.140625" customWidth="1"/>
    <col min="5" max="5" width="37.42578125" customWidth="1"/>
    <col min="6" max="6" width="18.42578125" customWidth="1"/>
    <col min="7" max="7" width="24.140625" customWidth="1"/>
    <col min="8" max="8" width="11.7109375" customWidth="1"/>
    <col min="9" max="10" width="14.42578125" customWidth="1"/>
    <col min="11" max="11" width="8.7109375" customWidth="1"/>
    <col min="12" max="12" width="12.7109375" customWidth="1"/>
    <col min="13" max="26" width="8.7109375" customWidth="1"/>
  </cols>
  <sheetData>
    <row r="1" spans="1:13" ht="15" customHeight="1" x14ac:dyDescent="0.25">
      <c r="A1" s="7"/>
      <c r="B1" s="7"/>
      <c r="C1" s="7"/>
      <c r="D1" s="7"/>
      <c r="E1" s="7"/>
      <c r="F1" s="414"/>
      <c r="G1" s="414"/>
      <c r="H1" s="414"/>
      <c r="I1" s="414"/>
      <c r="J1" s="10"/>
      <c r="K1" s="7"/>
    </row>
    <row r="2" spans="1:13" ht="15.75" x14ac:dyDescent="0.25">
      <c r="A2" s="7"/>
      <c r="B2" s="790" t="s">
        <v>1036</v>
      </c>
      <c r="C2" s="532"/>
      <c r="D2" s="532"/>
      <c r="E2" s="532"/>
      <c r="F2" s="532"/>
      <c r="G2" s="532"/>
      <c r="H2" s="532"/>
      <c r="I2" s="532"/>
      <c r="J2" s="533"/>
      <c r="K2" s="415"/>
      <c r="L2" s="416"/>
    </row>
    <row r="3" spans="1:13" ht="15" customHeight="1" x14ac:dyDescent="0.25">
      <c r="A3" s="7"/>
      <c r="B3" s="7"/>
      <c r="C3" s="7"/>
      <c r="D3" s="7"/>
      <c r="E3" s="7"/>
      <c r="F3" s="414"/>
      <c r="G3" s="414"/>
      <c r="H3" s="414"/>
      <c r="I3" s="414"/>
      <c r="J3" s="10"/>
      <c r="K3" s="7"/>
    </row>
    <row r="4" spans="1:13" x14ac:dyDescent="0.25">
      <c r="A4" s="7"/>
      <c r="B4" s="805" t="s">
        <v>1037</v>
      </c>
      <c r="C4" s="611"/>
      <c r="D4" s="611"/>
      <c r="E4" s="611"/>
      <c r="F4" s="611"/>
      <c r="G4" s="611"/>
      <c r="H4" s="611"/>
      <c r="I4" s="611"/>
      <c r="J4" s="777"/>
      <c r="K4" s="7"/>
    </row>
    <row r="5" spans="1:13" ht="25.5" x14ac:dyDescent="0.25">
      <c r="A5" s="7"/>
      <c r="B5" s="418" t="s">
        <v>1042</v>
      </c>
      <c r="C5" s="418" t="s">
        <v>1043</v>
      </c>
      <c r="D5" s="418" t="s">
        <v>23</v>
      </c>
      <c r="E5" s="418" t="s">
        <v>1044</v>
      </c>
      <c r="F5" s="418" t="s">
        <v>1045</v>
      </c>
      <c r="G5" s="418" t="s">
        <v>1046</v>
      </c>
      <c r="H5" s="419" t="s">
        <v>1047</v>
      </c>
      <c r="I5" s="418" t="s">
        <v>1048</v>
      </c>
      <c r="J5" s="419" t="s">
        <v>1049</v>
      </c>
      <c r="K5" s="7"/>
    </row>
    <row r="6" spans="1:13" ht="20.25" customHeight="1" x14ac:dyDescent="0.25">
      <c r="A6" s="7"/>
      <c r="B6" s="804" t="s">
        <v>1050</v>
      </c>
      <c r="C6" s="802" t="s">
        <v>1052</v>
      </c>
      <c r="D6" s="804" t="s">
        <v>335</v>
      </c>
      <c r="E6" s="422" t="s">
        <v>1053</v>
      </c>
      <c r="F6" s="423" t="s">
        <v>1054</v>
      </c>
      <c r="G6" s="424" t="s">
        <v>1055</v>
      </c>
      <c r="H6" s="425">
        <v>45596</v>
      </c>
      <c r="I6" s="426">
        <v>36.15</v>
      </c>
      <c r="J6" s="806">
        <f>AVERAGE(I6:$I$8)</f>
        <v>34.836666666666666</v>
      </c>
      <c r="K6" s="7"/>
      <c r="L6" s="390"/>
    </row>
    <row r="7" spans="1:13" x14ac:dyDescent="0.25">
      <c r="A7" s="7"/>
      <c r="B7" s="549"/>
      <c r="C7" s="549"/>
      <c r="D7" s="549"/>
      <c r="E7" s="428" t="s">
        <v>1066</v>
      </c>
      <c r="F7" s="429" t="s">
        <v>1067</v>
      </c>
      <c r="G7" s="431" t="s">
        <v>1068</v>
      </c>
      <c r="H7" s="432">
        <v>45965</v>
      </c>
      <c r="I7" s="250">
        <v>38.33</v>
      </c>
      <c r="J7" s="549"/>
      <c r="K7" s="7"/>
      <c r="L7" s="390"/>
    </row>
    <row r="8" spans="1:13" ht="25.5" x14ac:dyDescent="0.25">
      <c r="A8" s="7"/>
      <c r="B8" s="803"/>
      <c r="C8" s="803"/>
      <c r="D8" s="803"/>
      <c r="E8" s="433" t="s">
        <v>1076</v>
      </c>
      <c r="F8" s="434" t="s">
        <v>1078</v>
      </c>
      <c r="G8" s="435" t="s">
        <v>1079</v>
      </c>
      <c r="H8" s="436">
        <v>45716</v>
      </c>
      <c r="I8" s="252">
        <v>30.03</v>
      </c>
      <c r="J8" s="803"/>
      <c r="K8" s="7"/>
      <c r="L8" s="390"/>
    </row>
    <row r="9" spans="1:13" ht="15" customHeight="1" x14ac:dyDescent="0.25">
      <c r="A9" s="7"/>
      <c r="B9" s="804" t="s">
        <v>1085</v>
      </c>
      <c r="C9" s="802" t="s">
        <v>1086</v>
      </c>
      <c r="D9" s="804" t="s">
        <v>335</v>
      </c>
      <c r="E9" s="438" t="s">
        <v>1088</v>
      </c>
      <c r="F9" s="438" t="s">
        <v>1089</v>
      </c>
      <c r="G9" s="439" t="s">
        <v>1090</v>
      </c>
      <c r="H9" s="440">
        <v>45741</v>
      </c>
      <c r="I9" s="441">
        <v>8.1999999999999993</v>
      </c>
      <c r="J9" s="806">
        <f>AVERAGE(I9:I11)</f>
        <v>8.4966666666666661</v>
      </c>
      <c r="K9" s="7"/>
      <c r="L9" s="390"/>
    </row>
    <row r="10" spans="1:13" ht="25.5" x14ac:dyDescent="0.25">
      <c r="A10" s="7"/>
      <c r="B10" s="549"/>
      <c r="C10" s="549"/>
      <c r="D10" s="549"/>
      <c r="E10" s="428" t="s">
        <v>1095</v>
      </c>
      <c r="F10" s="429" t="s">
        <v>1096</v>
      </c>
      <c r="G10" s="431" t="s">
        <v>1097</v>
      </c>
      <c r="H10" s="442">
        <v>45581</v>
      </c>
      <c r="I10" s="250">
        <v>8.25</v>
      </c>
      <c r="J10" s="549"/>
      <c r="K10" s="7"/>
      <c r="L10" s="390"/>
    </row>
    <row r="11" spans="1:13" ht="25.5" x14ac:dyDescent="0.25">
      <c r="A11" s="7"/>
      <c r="B11" s="803"/>
      <c r="C11" s="803"/>
      <c r="D11" s="803"/>
      <c r="E11" s="443" t="s">
        <v>1098</v>
      </c>
      <c r="F11" s="434" t="s">
        <v>1099</v>
      </c>
      <c r="G11" s="435" t="s">
        <v>1100</v>
      </c>
      <c r="H11" s="436">
        <v>45625</v>
      </c>
      <c r="I11" s="252">
        <v>9.0399999999999991</v>
      </c>
      <c r="J11" s="803"/>
      <c r="K11" s="7"/>
      <c r="L11" s="390"/>
    </row>
    <row r="12" spans="1:13" ht="20.25" customHeight="1" x14ac:dyDescent="0.25">
      <c r="A12" s="7"/>
      <c r="B12" s="804" t="s">
        <v>1101</v>
      </c>
      <c r="C12" s="802" t="s">
        <v>1102</v>
      </c>
      <c r="D12" s="804" t="s">
        <v>1103</v>
      </c>
      <c r="E12" s="422" t="s">
        <v>1104</v>
      </c>
      <c r="F12" s="423" t="s">
        <v>1105</v>
      </c>
      <c r="G12" s="444" t="s">
        <v>1068</v>
      </c>
      <c r="H12" s="445">
        <v>45769</v>
      </c>
      <c r="I12" s="441">
        <v>89.25</v>
      </c>
      <c r="J12" s="806">
        <f>AVERAGE(I12:$I$14)</f>
        <v>94.673333333333332</v>
      </c>
      <c r="K12" s="7"/>
      <c r="L12" s="390"/>
    </row>
    <row r="13" spans="1:13" ht="25.5" x14ac:dyDescent="0.25">
      <c r="A13" s="7"/>
      <c r="B13" s="549"/>
      <c r="C13" s="549"/>
      <c r="D13" s="549"/>
      <c r="E13" s="428" t="s">
        <v>1106</v>
      </c>
      <c r="F13" s="429" t="s">
        <v>1107</v>
      </c>
      <c r="G13" s="446" t="s">
        <v>1068</v>
      </c>
      <c r="H13" s="432">
        <v>45769</v>
      </c>
      <c r="I13" s="250">
        <v>97.12</v>
      </c>
      <c r="J13" s="549"/>
      <c r="K13" s="7"/>
      <c r="L13" s="390"/>
    </row>
    <row r="14" spans="1:13" ht="25.5" x14ac:dyDescent="0.25">
      <c r="A14" s="7"/>
      <c r="B14" s="803"/>
      <c r="C14" s="803"/>
      <c r="D14" s="803"/>
      <c r="E14" s="443" t="s">
        <v>1108</v>
      </c>
      <c r="F14" s="423" t="s">
        <v>1109</v>
      </c>
      <c r="G14" s="435" t="s">
        <v>1068</v>
      </c>
      <c r="H14" s="447">
        <v>45769</v>
      </c>
      <c r="I14" s="252">
        <v>97.65</v>
      </c>
      <c r="J14" s="803"/>
      <c r="K14" s="7"/>
      <c r="L14" s="390"/>
    </row>
    <row r="15" spans="1:13" ht="15" customHeight="1" x14ac:dyDescent="0.25">
      <c r="A15" s="7"/>
      <c r="B15" s="804" t="s">
        <v>1110</v>
      </c>
      <c r="C15" s="802" t="s">
        <v>1111</v>
      </c>
      <c r="D15" s="804" t="s">
        <v>335</v>
      </c>
      <c r="E15" s="438" t="s">
        <v>1112</v>
      </c>
      <c r="F15" s="438" t="s">
        <v>1113</v>
      </c>
      <c r="G15" s="439" t="s">
        <v>1114</v>
      </c>
      <c r="H15" s="440">
        <v>45490</v>
      </c>
      <c r="I15" s="441">
        <v>40.1</v>
      </c>
      <c r="J15" s="806">
        <f>AVERAGE(I15:$I$17)</f>
        <v>44.393333333333338</v>
      </c>
      <c r="K15" s="7"/>
      <c r="L15" s="390"/>
      <c r="M15" s="448"/>
    </row>
    <row r="16" spans="1:13" ht="25.5" x14ac:dyDescent="0.25">
      <c r="A16" s="7"/>
      <c r="B16" s="549"/>
      <c r="C16" s="549"/>
      <c r="D16" s="549"/>
      <c r="E16" s="429" t="s">
        <v>1115</v>
      </c>
      <c r="F16" s="429" t="s">
        <v>1116</v>
      </c>
      <c r="G16" s="431" t="s">
        <v>1117</v>
      </c>
      <c r="H16" s="442">
        <v>45456</v>
      </c>
      <c r="I16" s="250">
        <v>48.98</v>
      </c>
      <c r="J16" s="549"/>
      <c r="K16" s="7"/>
      <c r="L16" s="390"/>
    </row>
    <row r="17" spans="1:12" x14ac:dyDescent="0.25">
      <c r="A17" s="7"/>
      <c r="B17" s="803"/>
      <c r="C17" s="803"/>
      <c r="D17" s="803"/>
      <c r="E17" s="434" t="s">
        <v>1118</v>
      </c>
      <c r="F17" s="434" t="s">
        <v>1119</v>
      </c>
      <c r="G17" s="449" t="s">
        <v>1068</v>
      </c>
      <c r="H17" s="447">
        <v>45750</v>
      </c>
      <c r="I17" s="252">
        <v>44.1</v>
      </c>
      <c r="J17" s="803"/>
      <c r="K17" s="7"/>
      <c r="L17" s="390"/>
    </row>
    <row r="18" spans="1:12" ht="15" customHeight="1" x14ac:dyDescent="0.25">
      <c r="A18" s="7"/>
      <c r="B18" s="804" t="s">
        <v>1120</v>
      </c>
      <c r="C18" s="802" t="s">
        <v>1121</v>
      </c>
      <c r="D18" s="804" t="s">
        <v>335</v>
      </c>
      <c r="E18" s="422" t="s">
        <v>1122</v>
      </c>
      <c r="F18" s="423" t="s">
        <v>1123</v>
      </c>
      <c r="G18" s="450" t="s">
        <v>1068</v>
      </c>
      <c r="H18" s="451">
        <v>45758</v>
      </c>
      <c r="I18" s="441">
        <v>82.98</v>
      </c>
      <c r="J18" s="806">
        <f>AVERAGE(I18:$I$20)</f>
        <v>83.660000000000011</v>
      </c>
      <c r="K18" s="7"/>
      <c r="L18" s="390"/>
    </row>
    <row r="19" spans="1:12" x14ac:dyDescent="0.25">
      <c r="A19" s="7"/>
      <c r="B19" s="549"/>
      <c r="C19" s="549"/>
      <c r="D19" s="549"/>
      <c r="E19" s="428" t="s">
        <v>1124</v>
      </c>
      <c r="F19" s="452" t="s">
        <v>1125</v>
      </c>
      <c r="G19" s="450" t="s">
        <v>1068</v>
      </c>
      <c r="H19" s="432">
        <v>45758</v>
      </c>
      <c r="I19" s="250">
        <v>78.75</v>
      </c>
      <c r="J19" s="549"/>
      <c r="K19" s="7"/>
      <c r="L19" s="390"/>
    </row>
    <row r="20" spans="1:12" x14ac:dyDescent="0.25">
      <c r="A20" s="7"/>
      <c r="B20" s="803"/>
      <c r="C20" s="803"/>
      <c r="D20" s="803"/>
      <c r="E20" s="433" t="s">
        <v>1126</v>
      </c>
      <c r="F20" s="434" t="s">
        <v>1127</v>
      </c>
      <c r="G20" s="450" t="s">
        <v>1068</v>
      </c>
      <c r="H20" s="453">
        <v>45758</v>
      </c>
      <c r="I20" s="252">
        <v>89.25</v>
      </c>
      <c r="J20" s="803"/>
      <c r="K20" s="7"/>
      <c r="L20" s="390"/>
    </row>
    <row r="21" spans="1:12" ht="20.25" customHeight="1" x14ac:dyDescent="0.25">
      <c r="A21" s="7"/>
      <c r="B21" s="804" t="s">
        <v>1128</v>
      </c>
      <c r="C21" s="802" t="s">
        <v>1129</v>
      </c>
      <c r="D21" s="804" t="s">
        <v>335</v>
      </c>
      <c r="E21" s="422" t="s">
        <v>1130</v>
      </c>
      <c r="F21" s="438" t="s">
        <v>1131</v>
      </c>
      <c r="G21" s="439" t="s">
        <v>1097</v>
      </c>
      <c r="H21" s="440">
        <v>45581</v>
      </c>
      <c r="I21" s="441">
        <v>9.34</v>
      </c>
      <c r="J21" s="806">
        <f>AVERAGE(I21:$I$23)</f>
        <v>9.2099999999999991</v>
      </c>
      <c r="K21" s="7"/>
      <c r="L21" s="390"/>
    </row>
    <row r="22" spans="1:12" ht="27" customHeight="1" x14ac:dyDescent="0.25">
      <c r="A22" s="7"/>
      <c r="B22" s="549"/>
      <c r="C22" s="549"/>
      <c r="D22" s="549"/>
      <c r="E22" s="429" t="s">
        <v>1132</v>
      </c>
      <c r="F22" s="429" t="s">
        <v>1133</v>
      </c>
      <c r="G22" s="431" t="s">
        <v>1134</v>
      </c>
      <c r="H22" s="442">
        <v>45632</v>
      </c>
      <c r="I22" s="250">
        <v>9.68</v>
      </c>
      <c r="J22" s="549"/>
      <c r="K22" s="7"/>
      <c r="L22" s="390"/>
    </row>
    <row r="23" spans="1:12" ht="15.75" customHeight="1" x14ac:dyDescent="0.25">
      <c r="A23" s="7"/>
      <c r="B23" s="803"/>
      <c r="C23" s="803"/>
      <c r="D23" s="803"/>
      <c r="E23" s="433" t="s">
        <v>1135</v>
      </c>
      <c r="F23" s="434" t="s">
        <v>1136</v>
      </c>
      <c r="G23" s="435" t="s">
        <v>1068</v>
      </c>
      <c r="H23" s="436">
        <v>45632</v>
      </c>
      <c r="I23" s="252">
        <v>8.61</v>
      </c>
      <c r="J23" s="803"/>
      <c r="K23" s="7"/>
      <c r="L23" s="390"/>
    </row>
    <row r="24" spans="1:12" ht="15" customHeight="1" x14ac:dyDescent="0.25">
      <c r="A24" s="7"/>
      <c r="B24" s="804" t="s">
        <v>1137</v>
      </c>
      <c r="C24" s="802" t="s">
        <v>1138</v>
      </c>
      <c r="D24" s="804" t="s">
        <v>335</v>
      </c>
      <c r="E24" s="422" t="s">
        <v>1139</v>
      </c>
      <c r="F24" s="438" t="s">
        <v>1140</v>
      </c>
      <c r="G24" s="439" t="s">
        <v>1090</v>
      </c>
      <c r="H24" s="454">
        <v>45741</v>
      </c>
      <c r="I24" s="441">
        <v>63.22</v>
      </c>
      <c r="J24" s="806">
        <f>AVERAGE(I24:$I$26)</f>
        <v>55.079999999999991</v>
      </c>
      <c r="K24" s="7"/>
      <c r="L24" s="390"/>
    </row>
    <row r="25" spans="1:12" ht="15.75" customHeight="1" x14ac:dyDescent="0.25">
      <c r="A25" s="7"/>
      <c r="B25" s="549"/>
      <c r="C25" s="549"/>
      <c r="D25" s="549"/>
      <c r="E25" s="428" t="s">
        <v>1141</v>
      </c>
      <c r="F25" s="429" t="s">
        <v>1142</v>
      </c>
      <c r="G25" s="431" t="s">
        <v>1143</v>
      </c>
      <c r="H25" s="442">
        <v>45425</v>
      </c>
      <c r="I25" s="250">
        <v>47.76</v>
      </c>
      <c r="J25" s="549"/>
      <c r="K25" s="7"/>
      <c r="L25" s="390"/>
    </row>
    <row r="26" spans="1:12" ht="15.75" customHeight="1" x14ac:dyDescent="0.25">
      <c r="A26" s="7"/>
      <c r="B26" s="803"/>
      <c r="C26" s="803"/>
      <c r="D26" s="803"/>
      <c r="E26" s="434" t="s">
        <v>1144</v>
      </c>
      <c r="F26" s="434" t="s">
        <v>1113</v>
      </c>
      <c r="G26" s="435" t="s">
        <v>1114</v>
      </c>
      <c r="H26" s="425">
        <v>45490</v>
      </c>
      <c r="I26" s="252">
        <v>54.26</v>
      </c>
      <c r="J26" s="803"/>
      <c r="K26" s="7"/>
      <c r="L26" s="390"/>
    </row>
    <row r="27" spans="1:12" ht="20.25" customHeight="1" x14ac:dyDescent="0.25">
      <c r="A27" s="7"/>
      <c r="B27" s="804" t="s">
        <v>1145</v>
      </c>
      <c r="C27" s="802" t="s">
        <v>1146</v>
      </c>
      <c r="D27" s="804" t="s">
        <v>335</v>
      </c>
      <c r="E27" s="422" t="s">
        <v>1147</v>
      </c>
      <c r="F27" s="438" t="s">
        <v>1148</v>
      </c>
      <c r="G27" s="439" t="s">
        <v>1149</v>
      </c>
      <c r="H27" s="440">
        <v>45436</v>
      </c>
      <c r="I27" s="441">
        <v>67.5</v>
      </c>
      <c r="J27" s="806">
        <f>AVERAGE(I27:$I29)</f>
        <v>67.736666666666665</v>
      </c>
      <c r="K27" s="7"/>
      <c r="L27" s="390"/>
    </row>
    <row r="28" spans="1:12" ht="15.75" customHeight="1" x14ac:dyDescent="0.25">
      <c r="A28" s="7"/>
      <c r="B28" s="549"/>
      <c r="C28" s="549"/>
      <c r="D28" s="549"/>
      <c r="E28" s="428" t="s">
        <v>1150</v>
      </c>
      <c r="F28" s="429" t="s">
        <v>1151</v>
      </c>
      <c r="G28" s="431" t="s">
        <v>1068</v>
      </c>
      <c r="H28" s="432">
        <v>45758</v>
      </c>
      <c r="I28" s="250">
        <v>72.72</v>
      </c>
      <c r="J28" s="549"/>
      <c r="K28" s="7"/>
      <c r="L28" s="390"/>
    </row>
    <row r="29" spans="1:12" ht="15.75" customHeight="1" x14ac:dyDescent="0.25">
      <c r="A29" s="7"/>
      <c r="B29" s="803"/>
      <c r="C29" s="803"/>
      <c r="D29" s="803"/>
      <c r="E29" s="455" t="s">
        <v>1144</v>
      </c>
      <c r="F29" s="423" t="s">
        <v>1113</v>
      </c>
      <c r="G29" s="435" t="s">
        <v>1152</v>
      </c>
      <c r="H29" s="436">
        <v>45699</v>
      </c>
      <c r="I29" s="252">
        <v>62.99</v>
      </c>
      <c r="J29" s="803"/>
      <c r="K29" s="7"/>
      <c r="L29" s="390"/>
    </row>
    <row r="30" spans="1:12" ht="15" customHeight="1" x14ac:dyDescent="0.25">
      <c r="A30" s="7"/>
      <c r="B30" s="804" t="s">
        <v>1153</v>
      </c>
      <c r="C30" s="802" t="s">
        <v>1154</v>
      </c>
      <c r="D30" s="804" t="s">
        <v>1155</v>
      </c>
      <c r="E30" s="422" t="s">
        <v>1156</v>
      </c>
      <c r="F30" s="438" t="s">
        <v>1157</v>
      </c>
      <c r="G30" s="439" t="s">
        <v>1158</v>
      </c>
      <c r="H30" s="445">
        <v>45625</v>
      </c>
      <c r="I30" s="441">
        <v>80.62</v>
      </c>
      <c r="J30" s="806">
        <f>AVERAGE(I30:$I$32)</f>
        <v>84.38</v>
      </c>
      <c r="K30" s="7"/>
      <c r="L30" s="390"/>
    </row>
    <row r="31" spans="1:12" ht="15.75" customHeight="1" x14ac:dyDescent="0.25">
      <c r="A31" s="7"/>
      <c r="B31" s="549"/>
      <c r="C31" s="549"/>
      <c r="D31" s="549"/>
      <c r="E31" s="428" t="s">
        <v>1159</v>
      </c>
      <c r="F31" s="429" t="s">
        <v>1160</v>
      </c>
      <c r="G31" s="446" t="s">
        <v>1068</v>
      </c>
      <c r="H31" s="432">
        <v>45754</v>
      </c>
      <c r="I31" s="250">
        <v>94.39</v>
      </c>
      <c r="J31" s="549"/>
      <c r="K31" s="7"/>
      <c r="L31" s="390"/>
    </row>
    <row r="32" spans="1:12" ht="15.75" customHeight="1" x14ac:dyDescent="0.25">
      <c r="A32" s="7"/>
      <c r="B32" s="803"/>
      <c r="C32" s="803"/>
      <c r="D32" s="803"/>
      <c r="E32" s="443" t="s">
        <v>1161</v>
      </c>
      <c r="F32" s="423" t="s">
        <v>1162</v>
      </c>
      <c r="G32" s="449" t="s">
        <v>1068</v>
      </c>
      <c r="H32" s="432">
        <v>45754</v>
      </c>
      <c r="I32" s="252">
        <v>78.13</v>
      </c>
      <c r="J32" s="803"/>
      <c r="K32" s="7"/>
      <c r="L32" s="390"/>
    </row>
    <row r="33" spans="1:14" ht="15" customHeight="1" x14ac:dyDescent="0.25">
      <c r="A33" s="7"/>
      <c r="B33" s="804" t="s">
        <v>1163</v>
      </c>
      <c r="C33" s="802" t="s">
        <v>1164</v>
      </c>
      <c r="D33" s="804" t="s">
        <v>335</v>
      </c>
      <c r="E33" s="422" t="s">
        <v>1165</v>
      </c>
      <c r="F33" s="438" t="s">
        <v>1166</v>
      </c>
      <c r="G33" s="456" t="s">
        <v>1068</v>
      </c>
      <c r="H33" s="445">
        <v>45777</v>
      </c>
      <c r="I33" s="441">
        <v>40.840000000000003</v>
      </c>
      <c r="J33" s="806">
        <f>AVERAGE(I33:$I$35)</f>
        <v>44.47</v>
      </c>
      <c r="K33" s="7"/>
      <c r="L33" s="390"/>
    </row>
    <row r="34" spans="1:14" ht="15.75" customHeight="1" x14ac:dyDescent="0.25">
      <c r="A34" s="7"/>
      <c r="B34" s="549"/>
      <c r="C34" s="549"/>
      <c r="D34" s="549"/>
      <c r="E34" s="429" t="s">
        <v>1167</v>
      </c>
      <c r="F34" s="429" t="s">
        <v>1168</v>
      </c>
      <c r="G34" s="446" t="s">
        <v>1068</v>
      </c>
      <c r="H34" s="432">
        <v>45751</v>
      </c>
      <c r="I34" s="250">
        <v>47.14</v>
      </c>
      <c r="J34" s="549"/>
      <c r="K34" s="7"/>
      <c r="L34" s="390"/>
    </row>
    <row r="35" spans="1:14" ht="15.75" customHeight="1" x14ac:dyDescent="0.25">
      <c r="A35" s="7"/>
      <c r="B35" s="803"/>
      <c r="C35" s="803"/>
      <c r="D35" s="803"/>
      <c r="E35" s="434" t="s">
        <v>1169</v>
      </c>
      <c r="F35" s="434" t="s">
        <v>1170</v>
      </c>
      <c r="G35" s="457" t="s">
        <v>1068</v>
      </c>
      <c r="H35" s="447">
        <v>45751</v>
      </c>
      <c r="I35" s="252">
        <v>45.43</v>
      </c>
      <c r="J35" s="803"/>
      <c r="K35" s="7"/>
      <c r="L35" s="390"/>
    </row>
    <row r="36" spans="1:14" ht="15" customHeight="1" x14ac:dyDescent="0.25">
      <c r="A36" s="7"/>
      <c r="B36" s="804" t="s">
        <v>1171</v>
      </c>
      <c r="C36" s="802" t="s">
        <v>1172</v>
      </c>
      <c r="D36" s="804" t="s">
        <v>335</v>
      </c>
      <c r="E36" s="458" t="s">
        <v>1173</v>
      </c>
      <c r="F36" s="459" t="s">
        <v>1174</v>
      </c>
      <c r="G36" s="456" t="s">
        <v>1068</v>
      </c>
      <c r="H36" s="445">
        <v>45777</v>
      </c>
      <c r="I36" s="441">
        <v>18.48</v>
      </c>
      <c r="J36" s="806">
        <f>AVERAGE(I36:$I$38)</f>
        <v>21.349999999999998</v>
      </c>
      <c r="K36" s="7"/>
      <c r="L36" s="390"/>
    </row>
    <row r="37" spans="1:14" ht="15.75" customHeight="1" x14ac:dyDescent="0.25">
      <c r="A37" s="7"/>
      <c r="B37" s="549"/>
      <c r="C37" s="549"/>
      <c r="D37" s="549"/>
      <c r="E37" s="428" t="s">
        <v>1175</v>
      </c>
      <c r="F37" s="429" t="s">
        <v>1176</v>
      </c>
      <c r="G37" s="431" t="s">
        <v>1177</v>
      </c>
      <c r="H37" s="442">
        <v>45482</v>
      </c>
      <c r="I37" s="250">
        <v>20.7</v>
      </c>
      <c r="J37" s="549"/>
      <c r="K37" s="7"/>
      <c r="L37" s="390"/>
    </row>
    <row r="38" spans="1:14" ht="15.75" customHeight="1" x14ac:dyDescent="0.25">
      <c r="A38" s="7"/>
      <c r="B38" s="803"/>
      <c r="C38" s="803"/>
      <c r="D38" s="803"/>
      <c r="E38" s="433" t="s">
        <v>1178</v>
      </c>
      <c r="F38" s="434" t="s">
        <v>1179</v>
      </c>
      <c r="G38" s="435" t="s">
        <v>1158</v>
      </c>
      <c r="H38" s="447">
        <v>45625</v>
      </c>
      <c r="I38" s="252">
        <v>24.87</v>
      </c>
      <c r="J38" s="803"/>
      <c r="K38" s="7"/>
      <c r="L38" s="390"/>
    </row>
    <row r="39" spans="1:14" ht="15" customHeight="1" x14ac:dyDescent="0.25">
      <c r="A39" s="7"/>
      <c r="B39" s="804" t="s">
        <v>1180</v>
      </c>
      <c r="C39" s="802" t="s">
        <v>1181</v>
      </c>
      <c r="D39" s="804" t="s">
        <v>335</v>
      </c>
      <c r="E39" s="438" t="s">
        <v>1169</v>
      </c>
      <c r="F39" s="438" t="s">
        <v>1170</v>
      </c>
      <c r="G39" s="456" t="s">
        <v>1068</v>
      </c>
      <c r="H39" s="445">
        <v>45751</v>
      </c>
      <c r="I39" s="441">
        <v>42</v>
      </c>
      <c r="J39" s="806">
        <f>AVERAGE(I39:$I$41)</f>
        <v>42.74</v>
      </c>
      <c r="K39" s="7"/>
      <c r="L39" s="390"/>
    </row>
    <row r="40" spans="1:14" ht="15.75" customHeight="1" x14ac:dyDescent="0.25">
      <c r="A40" s="7"/>
      <c r="B40" s="549"/>
      <c r="C40" s="549"/>
      <c r="D40" s="549"/>
      <c r="E40" s="428" t="s">
        <v>1182</v>
      </c>
      <c r="F40" s="429" t="s">
        <v>1183</v>
      </c>
      <c r="G40" s="446" t="s">
        <v>1068</v>
      </c>
      <c r="H40" s="432">
        <v>45751</v>
      </c>
      <c r="I40" s="250">
        <v>46.72</v>
      </c>
      <c r="J40" s="549"/>
      <c r="K40" s="7"/>
      <c r="L40" s="390"/>
    </row>
    <row r="41" spans="1:14" ht="15.75" customHeight="1" x14ac:dyDescent="0.25">
      <c r="A41" s="7"/>
      <c r="B41" s="803"/>
      <c r="C41" s="803"/>
      <c r="D41" s="803"/>
      <c r="E41" s="433" t="s">
        <v>1184</v>
      </c>
      <c r="F41" s="434" t="s">
        <v>1185</v>
      </c>
      <c r="G41" s="449" t="s">
        <v>1068</v>
      </c>
      <c r="H41" s="447">
        <v>45751</v>
      </c>
      <c r="I41" s="252">
        <v>39.5</v>
      </c>
      <c r="J41" s="803"/>
      <c r="K41" s="7"/>
      <c r="L41" s="390"/>
    </row>
    <row r="42" spans="1:14" ht="15" customHeight="1" x14ac:dyDescent="0.25">
      <c r="A42" s="7"/>
      <c r="B42" s="804" t="s">
        <v>1186</v>
      </c>
      <c r="C42" s="802" t="s">
        <v>1187</v>
      </c>
      <c r="D42" s="804" t="s">
        <v>335</v>
      </c>
      <c r="E42" s="438" t="s">
        <v>1132</v>
      </c>
      <c r="F42" s="459" t="s">
        <v>1133</v>
      </c>
      <c r="G42" s="460" t="s">
        <v>1188</v>
      </c>
      <c r="H42" s="440">
        <v>45727</v>
      </c>
      <c r="I42" s="441">
        <v>18.010000000000002</v>
      </c>
      <c r="J42" s="806">
        <f>AVERAGE(I42:$I$44)</f>
        <v>16.393333333333334</v>
      </c>
      <c r="K42" s="7"/>
      <c r="L42" s="390"/>
    </row>
    <row r="43" spans="1:14" ht="15.75" customHeight="1" x14ac:dyDescent="0.25">
      <c r="A43" s="7"/>
      <c r="B43" s="549"/>
      <c r="C43" s="549"/>
      <c r="D43" s="549"/>
      <c r="E43" s="428" t="s">
        <v>1189</v>
      </c>
      <c r="F43" s="429" t="s">
        <v>1190</v>
      </c>
      <c r="G43" s="431" t="s">
        <v>1152</v>
      </c>
      <c r="H43" s="442">
        <v>45699</v>
      </c>
      <c r="I43" s="250">
        <v>14.72</v>
      </c>
      <c r="J43" s="549"/>
      <c r="K43" s="7"/>
      <c r="L43" s="390"/>
    </row>
    <row r="44" spans="1:14" ht="15.75" customHeight="1" x14ac:dyDescent="0.25">
      <c r="A44" s="7"/>
      <c r="B44" s="803"/>
      <c r="C44" s="803"/>
      <c r="D44" s="803"/>
      <c r="E44" s="433" t="s">
        <v>1191</v>
      </c>
      <c r="F44" s="434" t="s">
        <v>1192</v>
      </c>
      <c r="G44" s="435" t="s">
        <v>1193</v>
      </c>
      <c r="H44" s="436">
        <v>45512</v>
      </c>
      <c r="I44" s="252">
        <v>16.45</v>
      </c>
      <c r="J44" s="803"/>
      <c r="K44" s="7"/>
      <c r="L44" s="390"/>
    </row>
    <row r="45" spans="1:14" ht="15" customHeight="1" x14ac:dyDescent="0.25">
      <c r="A45" s="7"/>
      <c r="B45" s="804" t="s">
        <v>1194</v>
      </c>
      <c r="C45" s="815" t="s">
        <v>1195</v>
      </c>
      <c r="D45" s="804" t="s">
        <v>335</v>
      </c>
      <c r="E45" s="461" t="s">
        <v>1196</v>
      </c>
      <c r="F45" s="423" t="s">
        <v>1197</v>
      </c>
      <c r="G45" s="444" t="s">
        <v>1068</v>
      </c>
      <c r="H45" s="462">
        <v>45769</v>
      </c>
      <c r="I45" s="463">
        <v>427.4</v>
      </c>
      <c r="J45" s="806">
        <f>AVERAGE(I45:$I$47)</f>
        <v>416.23</v>
      </c>
      <c r="K45" s="7"/>
      <c r="L45" s="390"/>
    </row>
    <row r="46" spans="1:14" ht="15.75" customHeight="1" x14ac:dyDescent="0.25">
      <c r="A46" s="7"/>
      <c r="B46" s="549"/>
      <c r="C46" s="549"/>
      <c r="D46" s="549"/>
      <c r="E46" s="428" t="s">
        <v>1198</v>
      </c>
      <c r="F46" s="429" t="s">
        <v>1199</v>
      </c>
      <c r="G46" s="446" t="s">
        <v>1068</v>
      </c>
      <c r="H46" s="432">
        <v>45769</v>
      </c>
      <c r="I46" s="250">
        <v>412.98</v>
      </c>
      <c r="J46" s="549"/>
      <c r="K46" s="7"/>
      <c r="L46" s="390"/>
    </row>
    <row r="47" spans="1:14" ht="15.75" customHeight="1" x14ac:dyDescent="0.25">
      <c r="A47" s="7"/>
      <c r="B47" s="803"/>
      <c r="C47" s="803"/>
      <c r="D47" s="803"/>
      <c r="E47" s="461" t="s">
        <v>1200</v>
      </c>
      <c r="F47" s="423" t="s">
        <v>1201</v>
      </c>
      <c r="G47" s="444" t="s">
        <v>1068</v>
      </c>
      <c r="H47" s="462">
        <v>45769</v>
      </c>
      <c r="I47" s="464">
        <v>408.31</v>
      </c>
      <c r="J47" s="803"/>
      <c r="K47" s="7"/>
      <c r="L47" s="390"/>
    </row>
    <row r="48" spans="1:14" ht="15" customHeight="1" x14ac:dyDescent="0.25">
      <c r="A48" s="7"/>
      <c r="B48" s="804" t="s">
        <v>1202</v>
      </c>
      <c r="C48" s="802" t="s">
        <v>267</v>
      </c>
      <c r="D48" s="804" t="s">
        <v>335</v>
      </c>
      <c r="E48" s="458" t="s">
        <v>1203</v>
      </c>
      <c r="F48" s="459" t="s">
        <v>1204</v>
      </c>
      <c r="G48" s="460" t="s">
        <v>1114</v>
      </c>
      <c r="H48" s="454">
        <v>45490</v>
      </c>
      <c r="I48" s="441">
        <v>19.12</v>
      </c>
      <c r="J48" s="806">
        <f>AVERAGE(I48:$I$50)</f>
        <v>18.52</v>
      </c>
      <c r="K48" s="7"/>
      <c r="L48" s="390"/>
      <c r="N48" s="465" t="str">
        <f>LOWER(L48)</f>
        <v/>
      </c>
    </row>
    <row r="49" spans="1:13" ht="15.75" customHeight="1" x14ac:dyDescent="0.25">
      <c r="A49" s="7"/>
      <c r="B49" s="549"/>
      <c r="C49" s="549"/>
      <c r="D49" s="549"/>
      <c r="E49" s="428" t="s">
        <v>1095</v>
      </c>
      <c r="F49" s="429" t="s">
        <v>1096</v>
      </c>
      <c r="G49" s="431" t="s">
        <v>1205</v>
      </c>
      <c r="H49" s="442">
        <v>45497</v>
      </c>
      <c r="I49" s="250">
        <v>16.93</v>
      </c>
      <c r="J49" s="549"/>
      <c r="K49" s="7"/>
      <c r="L49" s="390"/>
    </row>
    <row r="50" spans="1:13" ht="15.75" customHeight="1" x14ac:dyDescent="0.25">
      <c r="A50" s="7"/>
      <c r="B50" s="803"/>
      <c r="C50" s="803"/>
      <c r="D50" s="803"/>
      <c r="E50" s="466" t="s">
        <v>1161</v>
      </c>
      <c r="F50" s="466" t="s">
        <v>1162</v>
      </c>
      <c r="G50" s="457" t="s">
        <v>1068</v>
      </c>
      <c r="H50" s="467">
        <v>45796</v>
      </c>
      <c r="I50" s="252">
        <v>19.510000000000002</v>
      </c>
      <c r="J50" s="803"/>
      <c r="K50" s="7"/>
      <c r="L50" s="390"/>
      <c r="M50" s="38"/>
    </row>
    <row r="51" spans="1:13" ht="30" customHeight="1" x14ac:dyDescent="0.25">
      <c r="A51" s="7"/>
      <c r="B51" s="804" t="s">
        <v>1206</v>
      </c>
      <c r="C51" s="802" t="s">
        <v>1207</v>
      </c>
      <c r="D51" s="804" t="s">
        <v>1208</v>
      </c>
      <c r="E51" s="428" t="s">
        <v>1209</v>
      </c>
      <c r="F51" s="429" t="s">
        <v>1210</v>
      </c>
      <c r="G51" s="444" t="s">
        <v>1211</v>
      </c>
      <c r="H51" s="440">
        <v>45588</v>
      </c>
      <c r="I51" s="468">
        <v>195.45</v>
      </c>
      <c r="J51" s="806">
        <f>AVERAGE(I51:$I$53)</f>
        <v>212.1933333333333</v>
      </c>
      <c r="K51" s="7"/>
      <c r="L51" s="390"/>
    </row>
    <row r="52" spans="1:13" ht="15.75" customHeight="1" x14ac:dyDescent="0.25">
      <c r="A52" s="7"/>
      <c r="B52" s="549"/>
      <c r="C52" s="549"/>
      <c r="D52" s="549"/>
      <c r="E52" s="428" t="s">
        <v>1212</v>
      </c>
      <c r="F52" s="429" t="s">
        <v>1213</v>
      </c>
      <c r="G52" s="431" t="s">
        <v>1214</v>
      </c>
      <c r="H52" s="442">
        <v>45468</v>
      </c>
      <c r="I52" s="250">
        <v>231.14</v>
      </c>
      <c r="J52" s="549"/>
      <c r="K52" s="7"/>
      <c r="L52" s="390"/>
    </row>
    <row r="53" spans="1:13" ht="15.75" customHeight="1" x14ac:dyDescent="0.25">
      <c r="A53" s="7"/>
      <c r="B53" s="803"/>
      <c r="C53" s="803"/>
      <c r="D53" s="803"/>
      <c r="E53" s="433" t="s">
        <v>1215</v>
      </c>
      <c r="F53" s="434" t="s">
        <v>1216</v>
      </c>
      <c r="G53" s="435" t="s">
        <v>1217</v>
      </c>
      <c r="H53" s="447">
        <v>45755</v>
      </c>
      <c r="I53" s="252">
        <v>209.99</v>
      </c>
      <c r="J53" s="803"/>
      <c r="K53" s="7"/>
      <c r="L53" s="390"/>
    </row>
    <row r="54" spans="1:13" ht="20.25" customHeight="1" x14ac:dyDescent="0.25">
      <c r="A54" s="7"/>
      <c r="B54" s="804" t="s">
        <v>1218</v>
      </c>
      <c r="C54" s="802" t="s">
        <v>1219</v>
      </c>
      <c r="D54" s="804" t="s">
        <v>335</v>
      </c>
      <c r="E54" s="422" t="s">
        <v>1220</v>
      </c>
      <c r="F54" s="438" t="s">
        <v>1221</v>
      </c>
      <c r="G54" s="444" t="s">
        <v>1222</v>
      </c>
      <c r="H54" s="440">
        <v>45679</v>
      </c>
      <c r="I54" s="441">
        <v>9.4</v>
      </c>
      <c r="J54" s="806">
        <f>AVERAGE(I54:$I$56)</f>
        <v>10.023333333333333</v>
      </c>
      <c r="K54" s="7"/>
      <c r="L54" s="390"/>
    </row>
    <row r="55" spans="1:13" ht="15.75" customHeight="1" x14ac:dyDescent="0.25">
      <c r="A55" s="7"/>
      <c r="B55" s="549"/>
      <c r="C55" s="549"/>
      <c r="D55" s="549"/>
      <c r="E55" s="428" t="s">
        <v>1223</v>
      </c>
      <c r="F55" s="429" t="s">
        <v>1224</v>
      </c>
      <c r="G55" s="446" t="s">
        <v>1068</v>
      </c>
      <c r="H55" s="432">
        <v>45754</v>
      </c>
      <c r="I55" s="250">
        <v>10.39</v>
      </c>
      <c r="J55" s="549"/>
      <c r="K55" s="7"/>
      <c r="L55" s="390"/>
    </row>
    <row r="56" spans="1:13" ht="15.75" customHeight="1" x14ac:dyDescent="0.25">
      <c r="A56" s="7"/>
      <c r="B56" s="803"/>
      <c r="C56" s="803"/>
      <c r="D56" s="803"/>
      <c r="E56" s="433" t="s">
        <v>1225</v>
      </c>
      <c r="F56" s="434" t="s">
        <v>1226</v>
      </c>
      <c r="G56" s="449" t="s">
        <v>1068</v>
      </c>
      <c r="H56" s="447">
        <v>45754</v>
      </c>
      <c r="I56" s="252">
        <v>10.28</v>
      </c>
      <c r="J56" s="803"/>
      <c r="K56" s="7"/>
      <c r="L56" s="390"/>
    </row>
    <row r="57" spans="1:13" ht="20.25" customHeight="1" x14ac:dyDescent="0.25">
      <c r="A57" s="7"/>
      <c r="B57" s="804" t="s">
        <v>1227</v>
      </c>
      <c r="C57" s="802" t="s">
        <v>1228</v>
      </c>
      <c r="D57" s="804" t="s">
        <v>1103</v>
      </c>
      <c r="E57" s="422" t="s">
        <v>1229</v>
      </c>
      <c r="F57" s="438" t="s">
        <v>1230</v>
      </c>
      <c r="G57" s="439" t="s">
        <v>1231</v>
      </c>
      <c r="H57" s="445">
        <v>45586</v>
      </c>
      <c r="I57" s="441">
        <v>9.18</v>
      </c>
      <c r="J57" s="806">
        <f>AVERAGE(I57:$I$59)</f>
        <v>8.4466666666666672</v>
      </c>
      <c r="K57" s="7"/>
      <c r="L57" s="390"/>
    </row>
    <row r="58" spans="1:13" ht="15.75" customHeight="1" x14ac:dyDescent="0.25">
      <c r="A58" s="7"/>
      <c r="B58" s="549"/>
      <c r="C58" s="549"/>
      <c r="D58" s="549"/>
      <c r="E58" s="428" t="s">
        <v>1232</v>
      </c>
      <c r="F58" s="429" t="s">
        <v>1233</v>
      </c>
      <c r="G58" s="446" t="s">
        <v>1068</v>
      </c>
      <c r="H58" s="432">
        <v>45796</v>
      </c>
      <c r="I58" s="250">
        <v>8.3800000000000008</v>
      </c>
      <c r="J58" s="549"/>
      <c r="K58" s="7"/>
      <c r="L58" s="390"/>
    </row>
    <row r="59" spans="1:13" ht="15.75" customHeight="1" x14ac:dyDescent="0.25">
      <c r="A59" s="7"/>
      <c r="B59" s="803"/>
      <c r="C59" s="803"/>
      <c r="D59" s="803"/>
      <c r="E59" s="433" t="s">
        <v>1234</v>
      </c>
      <c r="F59" s="434" t="s">
        <v>1235</v>
      </c>
      <c r="G59" s="435" t="s">
        <v>1068</v>
      </c>
      <c r="H59" s="447">
        <v>45796</v>
      </c>
      <c r="I59" s="252">
        <v>7.78</v>
      </c>
      <c r="J59" s="803"/>
      <c r="K59" s="7"/>
      <c r="L59" s="390"/>
    </row>
    <row r="60" spans="1:13" ht="15" customHeight="1" x14ac:dyDescent="0.25">
      <c r="A60" s="7"/>
      <c r="B60" s="804" t="s">
        <v>1236</v>
      </c>
      <c r="C60" s="802" t="s">
        <v>1237</v>
      </c>
      <c r="D60" s="804" t="s">
        <v>335</v>
      </c>
      <c r="E60" s="422" t="s">
        <v>1238</v>
      </c>
      <c r="F60" s="438" t="s">
        <v>1239</v>
      </c>
      <c r="G60" s="439" t="s">
        <v>1240</v>
      </c>
      <c r="H60" s="445">
        <v>45744</v>
      </c>
      <c r="I60" s="441">
        <v>4.22</v>
      </c>
      <c r="J60" s="806">
        <f>AVERAGE(I60:$I$62)</f>
        <v>4.1399999999999997</v>
      </c>
      <c r="K60" s="7"/>
      <c r="L60" s="390"/>
    </row>
    <row r="61" spans="1:13" ht="15.75" customHeight="1" x14ac:dyDescent="0.25">
      <c r="A61" s="7"/>
      <c r="B61" s="549"/>
      <c r="C61" s="549"/>
      <c r="D61" s="549"/>
      <c r="E61" s="428" t="s">
        <v>1241</v>
      </c>
      <c r="F61" s="429" t="s">
        <v>1242</v>
      </c>
      <c r="G61" s="446" t="s">
        <v>1068</v>
      </c>
      <c r="H61" s="432">
        <v>45965</v>
      </c>
      <c r="I61" s="250">
        <v>3.72</v>
      </c>
      <c r="J61" s="549"/>
      <c r="K61" s="7"/>
      <c r="L61" s="390"/>
    </row>
    <row r="62" spans="1:13" ht="15.75" customHeight="1" x14ac:dyDescent="0.25">
      <c r="A62" s="7"/>
      <c r="B62" s="803"/>
      <c r="C62" s="803"/>
      <c r="D62" s="803"/>
      <c r="E62" s="433" t="s">
        <v>1243</v>
      </c>
      <c r="F62" s="434" t="s">
        <v>1067</v>
      </c>
      <c r="G62" s="435" t="s">
        <v>1068</v>
      </c>
      <c r="H62" s="447">
        <v>45796</v>
      </c>
      <c r="I62" s="252">
        <v>4.4800000000000004</v>
      </c>
      <c r="J62" s="803"/>
      <c r="K62" s="7"/>
      <c r="L62" s="390"/>
    </row>
    <row r="63" spans="1:13" ht="15" customHeight="1" x14ac:dyDescent="0.25">
      <c r="A63" s="7"/>
      <c r="B63" s="804" t="s">
        <v>1244</v>
      </c>
      <c r="C63" s="802" t="s">
        <v>1245</v>
      </c>
      <c r="D63" s="804" t="s">
        <v>335</v>
      </c>
      <c r="E63" s="422" t="s">
        <v>1246</v>
      </c>
      <c r="F63" s="438" t="s">
        <v>1247</v>
      </c>
      <c r="G63" s="439" t="s">
        <v>1149</v>
      </c>
      <c r="H63" s="440">
        <v>45436</v>
      </c>
      <c r="I63" s="441">
        <v>110.3</v>
      </c>
      <c r="J63" s="806">
        <f>AVERAGE(I63:$I$65)</f>
        <v>111.56333333333333</v>
      </c>
      <c r="K63" s="7"/>
      <c r="L63" s="390"/>
    </row>
    <row r="64" spans="1:13" ht="30" customHeight="1" x14ac:dyDescent="0.25">
      <c r="A64" s="7"/>
      <c r="B64" s="549"/>
      <c r="C64" s="549"/>
      <c r="D64" s="549"/>
      <c r="E64" s="429" t="s">
        <v>1112</v>
      </c>
      <c r="F64" s="429" t="s">
        <v>1113</v>
      </c>
      <c r="G64" s="431" t="s">
        <v>1114</v>
      </c>
      <c r="H64" s="442">
        <v>45490</v>
      </c>
      <c r="I64" s="250">
        <v>103.06</v>
      </c>
      <c r="J64" s="549"/>
      <c r="K64" s="7"/>
      <c r="L64" s="390"/>
    </row>
    <row r="65" spans="1:12" ht="15.75" customHeight="1" x14ac:dyDescent="0.25">
      <c r="A65" s="7"/>
      <c r="B65" s="803"/>
      <c r="C65" s="803"/>
      <c r="D65" s="803"/>
      <c r="E65" s="433" t="s">
        <v>1248</v>
      </c>
      <c r="F65" s="434" t="s">
        <v>1249</v>
      </c>
      <c r="G65" s="435" t="s">
        <v>1250</v>
      </c>
      <c r="H65" s="436">
        <v>45429</v>
      </c>
      <c r="I65" s="252">
        <v>121.33</v>
      </c>
      <c r="J65" s="803"/>
      <c r="K65" s="7"/>
      <c r="L65" s="390"/>
    </row>
    <row r="66" spans="1:12" ht="20.25" customHeight="1" x14ac:dyDescent="0.25">
      <c r="A66" s="7"/>
      <c r="B66" s="804" t="s">
        <v>1251</v>
      </c>
      <c r="C66" s="802" t="s">
        <v>1252</v>
      </c>
      <c r="D66" s="804" t="s">
        <v>335</v>
      </c>
      <c r="E66" s="422" t="s">
        <v>1253</v>
      </c>
      <c r="F66" s="423" t="s">
        <v>1148</v>
      </c>
      <c r="G66" s="444" t="s">
        <v>1117</v>
      </c>
      <c r="H66" s="445">
        <v>45456</v>
      </c>
      <c r="I66" s="441">
        <v>150.6</v>
      </c>
      <c r="J66" s="806">
        <f>AVERAGE(I66:$I$68)</f>
        <v>156.05666666666664</v>
      </c>
      <c r="K66" s="7"/>
      <c r="L66" s="390"/>
    </row>
    <row r="67" spans="1:12" ht="35.25" customHeight="1" x14ac:dyDescent="0.25">
      <c r="A67" s="7"/>
      <c r="B67" s="549"/>
      <c r="C67" s="549"/>
      <c r="D67" s="549"/>
      <c r="E67" s="428" t="s">
        <v>1254</v>
      </c>
      <c r="F67" s="429" t="s">
        <v>1255</v>
      </c>
      <c r="G67" s="431" t="s">
        <v>1256</v>
      </c>
      <c r="H67" s="442">
        <v>45461</v>
      </c>
      <c r="I67" s="250">
        <v>161.80000000000001</v>
      </c>
      <c r="J67" s="549"/>
      <c r="K67" s="7"/>
      <c r="L67" s="390"/>
    </row>
    <row r="68" spans="1:12" ht="15.75" customHeight="1" x14ac:dyDescent="0.25">
      <c r="A68" s="7"/>
      <c r="B68" s="803"/>
      <c r="C68" s="803"/>
      <c r="D68" s="803"/>
      <c r="E68" s="434" t="s">
        <v>1112</v>
      </c>
      <c r="F68" s="434" t="s">
        <v>1113</v>
      </c>
      <c r="G68" s="435" t="s">
        <v>1257</v>
      </c>
      <c r="H68" s="436">
        <v>45674</v>
      </c>
      <c r="I68" s="252">
        <v>155.77000000000001</v>
      </c>
      <c r="J68" s="803"/>
      <c r="K68" s="7"/>
      <c r="L68" s="390"/>
    </row>
    <row r="69" spans="1:12" ht="15" customHeight="1" x14ac:dyDescent="0.25">
      <c r="A69" s="7"/>
      <c r="B69" s="804" t="s">
        <v>1258</v>
      </c>
      <c r="C69" s="802" t="s">
        <v>1259</v>
      </c>
      <c r="D69" s="804" t="s">
        <v>1155</v>
      </c>
      <c r="E69" s="458" t="s">
        <v>1159</v>
      </c>
      <c r="F69" s="423" t="s">
        <v>1160</v>
      </c>
      <c r="G69" s="469" t="s">
        <v>1068</v>
      </c>
      <c r="H69" s="445">
        <v>45754</v>
      </c>
      <c r="I69" s="441">
        <v>5.03</v>
      </c>
      <c r="J69" s="806">
        <f>AVERAGE(I69:$I$71)</f>
        <v>5.1333333333333337</v>
      </c>
      <c r="K69" s="7"/>
      <c r="L69" s="390"/>
    </row>
    <row r="70" spans="1:12" ht="15.75" customHeight="1" x14ac:dyDescent="0.25">
      <c r="A70" s="7"/>
      <c r="B70" s="549"/>
      <c r="C70" s="549"/>
      <c r="D70" s="549"/>
      <c r="E70" s="429" t="s">
        <v>1260</v>
      </c>
      <c r="F70" s="429" t="s">
        <v>1261</v>
      </c>
      <c r="G70" s="446" t="s">
        <v>1068</v>
      </c>
      <c r="H70" s="432">
        <v>45754</v>
      </c>
      <c r="I70" s="250">
        <v>6.19</v>
      </c>
      <c r="J70" s="549"/>
      <c r="K70" s="7"/>
      <c r="L70" s="390"/>
    </row>
    <row r="71" spans="1:12" ht="15.75" customHeight="1" x14ac:dyDescent="0.25">
      <c r="A71" s="7"/>
      <c r="B71" s="803"/>
      <c r="C71" s="803"/>
      <c r="D71" s="803"/>
      <c r="E71" s="433" t="s">
        <v>1262</v>
      </c>
      <c r="F71" s="434" t="s">
        <v>1263</v>
      </c>
      <c r="G71" s="470" t="s">
        <v>1264</v>
      </c>
      <c r="H71" s="436">
        <v>45670</v>
      </c>
      <c r="I71" s="252">
        <v>4.18</v>
      </c>
      <c r="J71" s="803"/>
      <c r="K71" s="7"/>
      <c r="L71" s="390"/>
    </row>
    <row r="72" spans="1:12" ht="30" customHeight="1" x14ac:dyDescent="0.25">
      <c r="A72" s="7"/>
      <c r="B72" s="804" t="s">
        <v>1265</v>
      </c>
      <c r="C72" s="802" t="s">
        <v>1266</v>
      </c>
      <c r="D72" s="804" t="s">
        <v>1155</v>
      </c>
      <c r="E72" s="438" t="s">
        <v>1132</v>
      </c>
      <c r="F72" s="423" t="s">
        <v>1133</v>
      </c>
      <c r="G72" s="424" t="s">
        <v>1149</v>
      </c>
      <c r="H72" s="440">
        <v>45436</v>
      </c>
      <c r="I72" s="441">
        <v>7.82</v>
      </c>
      <c r="J72" s="806">
        <f>AVERAGE(I72:$I$74)</f>
        <v>8.2700000000000014</v>
      </c>
      <c r="K72" s="7"/>
      <c r="L72" s="390"/>
    </row>
    <row r="73" spans="1:12" ht="30" customHeight="1" x14ac:dyDescent="0.25">
      <c r="A73" s="7"/>
      <c r="B73" s="549"/>
      <c r="C73" s="549"/>
      <c r="D73" s="549"/>
      <c r="E73" s="428" t="s">
        <v>1150</v>
      </c>
      <c r="F73" s="429" t="s">
        <v>1151</v>
      </c>
      <c r="G73" s="446" t="s">
        <v>1068</v>
      </c>
      <c r="H73" s="432">
        <v>45779</v>
      </c>
      <c r="I73" s="250">
        <v>9.75</v>
      </c>
      <c r="J73" s="549"/>
      <c r="K73" s="7"/>
      <c r="L73" s="390"/>
    </row>
    <row r="74" spans="1:12" ht="30" customHeight="1" x14ac:dyDescent="0.25">
      <c r="A74" s="7"/>
      <c r="B74" s="803"/>
      <c r="C74" s="803"/>
      <c r="D74" s="803"/>
      <c r="E74" s="433" t="s">
        <v>1267</v>
      </c>
      <c r="F74" s="434" t="s">
        <v>1268</v>
      </c>
      <c r="G74" s="449" t="s">
        <v>1068</v>
      </c>
      <c r="H74" s="447">
        <v>45758</v>
      </c>
      <c r="I74" s="252">
        <v>7.24</v>
      </c>
      <c r="J74" s="803"/>
      <c r="K74" s="7"/>
      <c r="L74" s="390"/>
    </row>
    <row r="75" spans="1:12" ht="30" customHeight="1" x14ac:dyDescent="0.25">
      <c r="A75" s="7"/>
      <c r="B75" s="804" t="s">
        <v>1269</v>
      </c>
      <c r="C75" s="802" t="s">
        <v>1270</v>
      </c>
      <c r="D75" s="804" t="s">
        <v>1155</v>
      </c>
      <c r="E75" s="458" t="s">
        <v>1147</v>
      </c>
      <c r="F75" s="459" t="s">
        <v>1148</v>
      </c>
      <c r="G75" s="439" t="s">
        <v>1149</v>
      </c>
      <c r="H75" s="440">
        <v>45436</v>
      </c>
      <c r="I75" s="441">
        <v>2.3199999999999998</v>
      </c>
      <c r="J75" s="806">
        <f>AVERAGE(I75:$I$77)</f>
        <v>2.8833333333333333</v>
      </c>
      <c r="K75" s="7"/>
      <c r="L75" s="390"/>
    </row>
    <row r="76" spans="1:12" ht="15.75" customHeight="1" x14ac:dyDescent="0.25">
      <c r="A76" s="7"/>
      <c r="B76" s="549"/>
      <c r="C76" s="549"/>
      <c r="D76" s="549"/>
      <c r="E76" s="428" t="s">
        <v>1271</v>
      </c>
      <c r="F76" s="471" t="s">
        <v>1272</v>
      </c>
      <c r="G76" s="446" t="s">
        <v>1068</v>
      </c>
      <c r="H76" s="432">
        <v>45754</v>
      </c>
      <c r="I76" s="250">
        <v>3.24</v>
      </c>
      <c r="J76" s="549"/>
      <c r="K76" s="7"/>
      <c r="L76" s="390"/>
    </row>
    <row r="77" spans="1:12" ht="15.75" customHeight="1" x14ac:dyDescent="0.25">
      <c r="A77" s="7"/>
      <c r="B77" s="803"/>
      <c r="C77" s="803"/>
      <c r="D77" s="803"/>
      <c r="E77" s="433" t="s">
        <v>1273</v>
      </c>
      <c r="F77" s="434" t="s">
        <v>1274</v>
      </c>
      <c r="G77" s="457" t="s">
        <v>1068</v>
      </c>
      <c r="H77" s="447">
        <v>45754</v>
      </c>
      <c r="I77" s="252">
        <v>3.09</v>
      </c>
      <c r="J77" s="803"/>
      <c r="K77" s="7"/>
      <c r="L77" s="390"/>
    </row>
    <row r="78" spans="1:12" ht="15" customHeight="1" x14ac:dyDescent="0.25">
      <c r="A78" s="7"/>
      <c r="B78" s="804" t="s">
        <v>1275</v>
      </c>
      <c r="C78" s="802" t="s">
        <v>1276</v>
      </c>
      <c r="D78" s="804" t="s">
        <v>335</v>
      </c>
      <c r="E78" s="455" t="s">
        <v>1112</v>
      </c>
      <c r="F78" s="455" t="s">
        <v>1113</v>
      </c>
      <c r="G78" s="472" t="s">
        <v>1090</v>
      </c>
      <c r="H78" s="425">
        <v>45741</v>
      </c>
      <c r="I78" s="426">
        <v>145.52000000000001</v>
      </c>
      <c r="J78" s="806">
        <f>AVERAGE(I78:$I$80)</f>
        <v>146.51999999999998</v>
      </c>
      <c r="K78" s="7"/>
      <c r="L78" s="390"/>
    </row>
    <row r="79" spans="1:12" ht="15.75" customHeight="1" x14ac:dyDescent="0.25">
      <c r="A79" s="7"/>
      <c r="B79" s="549"/>
      <c r="C79" s="549"/>
      <c r="D79" s="549"/>
      <c r="E79" s="428" t="s">
        <v>1277</v>
      </c>
      <c r="F79" s="429" t="s">
        <v>1278</v>
      </c>
      <c r="G79" s="446" t="s">
        <v>1068</v>
      </c>
      <c r="H79" s="432">
        <v>45758</v>
      </c>
      <c r="I79" s="250">
        <v>157.38999999999999</v>
      </c>
      <c r="J79" s="549"/>
      <c r="K79" s="7"/>
      <c r="L79" s="390"/>
    </row>
    <row r="80" spans="1:12" ht="15.75" customHeight="1" x14ac:dyDescent="0.25">
      <c r="A80" s="7"/>
      <c r="B80" s="803"/>
      <c r="C80" s="803"/>
      <c r="D80" s="803"/>
      <c r="E80" s="433" t="s">
        <v>1150</v>
      </c>
      <c r="F80" s="434" t="s">
        <v>1151</v>
      </c>
      <c r="G80" s="449" t="s">
        <v>1068</v>
      </c>
      <c r="H80" s="447">
        <v>45758</v>
      </c>
      <c r="I80" s="252">
        <v>136.65</v>
      </c>
      <c r="J80" s="803"/>
      <c r="K80" s="7"/>
      <c r="L80" s="390"/>
    </row>
    <row r="81" spans="1:12" ht="15" customHeight="1" x14ac:dyDescent="0.25">
      <c r="A81" s="7"/>
      <c r="B81" s="804" t="s">
        <v>1279</v>
      </c>
      <c r="C81" s="802" t="s">
        <v>1280</v>
      </c>
      <c r="D81" s="804" t="s">
        <v>335</v>
      </c>
      <c r="E81" s="471" t="s">
        <v>1112</v>
      </c>
      <c r="F81" s="473" t="s">
        <v>1113</v>
      </c>
      <c r="G81" s="472" t="s">
        <v>1090</v>
      </c>
      <c r="H81" s="474">
        <v>45741</v>
      </c>
      <c r="I81" s="475">
        <v>136.03</v>
      </c>
      <c r="J81" s="806">
        <f>AVERAGE(I81:$I$83)</f>
        <v>134.89000000000001</v>
      </c>
      <c r="K81" s="7"/>
      <c r="L81" s="390"/>
    </row>
    <row r="82" spans="1:12" ht="15.75" customHeight="1" x14ac:dyDescent="0.25">
      <c r="A82" s="7"/>
      <c r="B82" s="549"/>
      <c r="C82" s="549"/>
      <c r="D82" s="549"/>
      <c r="E82" s="428" t="s">
        <v>1147</v>
      </c>
      <c r="F82" s="429" t="s">
        <v>1148</v>
      </c>
      <c r="G82" s="431" t="s">
        <v>1281</v>
      </c>
      <c r="H82" s="442">
        <v>45699</v>
      </c>
      <c r="I82" s="250">
        <v>123.01</v>
      </c>
      <c r="J82" s="549"/>
      <c r="K82" s="7"/>
      <c r="L82" s="390"/>
    </row>
    <row r="83" spans="1:12" ht="15.75" customHeight="1" x14ac:dyDescent="0.25">
      <c r="A83" s="7"/>
      <c r="B83" s="803"/>
      <c r="C83" s="803"/>
      <c r="D83" s="803"/>
      <c r="E83" s="433" t="s">
        <v>1150</v>
      </c>
      <c r="F83" s="466" t="s">
        <v>1151</v>
      </c>
      <c r="G83" s="470" t="s">
        <v>1068</v>
      </c>
      <c r="H83" s="467">
        <v>45758</v>
      </c>
      <c r="I83" s="464">
        <v>145.63</v>
      </c>
      <c r="J83" s="803"/>
      <c r="K83" s="7"/>
      <c r="L83" s="390"/>
    </row>
    <row r="84" spans="1:12" ht="20.25" customHeight="1" x14ac:dyDescent="0.25">
      <c r="A84" s="7"/>
      <c r="B84" s="804" t="s">
        <v>1282</v>
      </c>
      <c r="C84" s="802" t="s">
        <v>1283</v>
      </c>
      <c r="D84" s="804" t="s">
        <v>1155</v>
      </c>
      <c r="E84" s="443" t="s">
        <v>1284</v>
      </c>
      <c r="F84" s="455" t="s">
        <v>1285</v>
      </c>
      <c r="G84" s="472" t="s">
        <v>1286</v>
      </c>
      <c r="H84" s="453">
        <v>45495</v>
      </c>
      <c r="I84" s="426">
        <v>18.760000000000002</v>
      </c>
      <c r="J84" s="806">
        <f>AVERAGE(I84:$I$86)</f>
        <v>17.73</v>
      </c>
      <c r="K84" s="7"/>
      <c r="L84" s="390"/>
    </row>
    <row r="85" spans="1:12" ht="15.75" customHeight="1" x14ac:dyDescent="0.25">
      <c r="A85" s="7"/>
      <c r="B85" s="549"/>
      <c r="C85" s="549"/>
      <c r="D85" s="549"/>
      <c r="E85" s="428" t="s">
        <v>1287</v>
      </c>
      <c r="F85" s="429" t="s">
        <v>1288</v>
      </c>
      <c r="G85" s="446" t="s">
        <v>1068</v>
      </c>
      <c r="H85" s="453">
        <v>45761</v>
      </c>
      <c r="I85" s="250">
        <v>17.739999999999998</v>
      </c>
      <c r="J85" s="549"/>
      <c r="K85" s="7"/>
      <c r="L85" s="390"/>
    </row>
    <row r="86" spans="1:12" ht="15.75" customHeight="1" x14ac:dyDescent="0.25">
      <c r="A86" s="7"/>
      <c r="B86" s="803"/>
      <c r="C86" s="803"/>
      <c r="D86" s="803"/>
      <c r="E86" s="434" t="s">
        <v>1289</v>
      </c>
      <c r="F86" s="434" t="s">
        <v>1290</v>
      </c>
      <c r="G86" s="449" t="s">
        <v>1068</v>
      </c>
      <c r="H86" s="447">
        <v>45761</v>
      </c>
      <c r="I86" s="252">
        <v>16.690000000000001</v>
      </c>
      <c r="J86" s="803"/>
      <c r="K86" s="7"/>
      <c r="L86" s="390"/>
    </row>
    <row r="87" spans="1:12" ht="15" customHeight="1" x14ac:dyDescent="0.25">
      <c r="A87" s="7"/>
      <c r="B87" s="804" t="s">
        <v>1291</v>
      </c>
      <c r="C87" s="802" t="s">
        <v>1292</v>
      </c>
      <c r="D87" s="804" t="s">
        <v>335</v>
      </c>
      <c r="E87" s="443" t="s">
        <v>1293</v>
      </c>
      <c r="F87" s="455" t="s">
        <v>1294</v>
      </c>
      <c r="G87" s="472" t="s">
        <v>1068</v>
      </c>
      <c r="H87" s="476">
        <v>45758</v>
      </c>
      <c r="I87" s="426">
        <v>5.24</v>
      </c>
      <c r="J87" s="806">
        <f>AVERAGE(I87:$I$89)</f>
        <v>4.7966666666666669</v>
      </c>
      <c r="K87" s="7"/>
      <c r="L87" s="390"/>
    </row>
    <row r="88" spans="1:12" ht="15.75" customHeight="1" x14ac:dyDescent="0.25">
      <c r="A88" s="7"/>
      <c r="B88" s="549"/>
      <c r="C88" s="549"/>
      <c r="D88" s="549"/>
      <c r="E88" s="428" t="s">
        <v>1295</v>
      </c>
      <c r="F88" s="429" t="s">
        <v>1296</v>
      </c>
      <c r="G88" s="431" t="s">
        <v>1297</v>
      </c>
      <c r="H88" s="442">
        <v>45644</v>
      </c>
      <c r="I88" s="250">
        <v>4.45</v>
      </c>
      <c r="J88" s="549"/>
      <c r="K88" s="7"/>
      <c r="L88" s="390"/>
    </row>
    <row r="89" spans="1:12" ht="15.75" customHeight="1" x14ac:dyDescent="0.25">
      <c r="A89" s="7"/>
      <c r="B89" s="803"/>
      <c r="C89" s="803"/>
      <c r="D89" s="803"/>
      <c r="E89" s="433" t="s">
        <v>1298</v>
      </c>
      <c r="F89" s="434" t="s">
        <v>1299</v>
      </c>
      <c r="G89" s="449" t="s">
        <v>1068</v>
      </c>
      <c r="H89" s="447">
        <v>45758</v>
      </c>
      <c r="I89" s="252">
        <v>4.7</v>
      </c>
      <c r="J89" s="803"/>
      <c r="K89" s="7"/>
      <c r="L89" s="390"/>
    </row>
    <row r="90" spans="1:12" ht="15" customHeight="1" x14ac:dyDescent="0.25">
      <c r="A90" s="7"/>
      <c r="B90" s="804" t="s">
        <v>1300</v>
      </c>
      <c r="C90" s="802" t="s">
        <v>1301</v>
      </c>
      <c r="D90" s="804" t="s">
        <v>335</v>
      </c>
      <c r="E90" s="455" t="s">
        <v>1302</v>
      </c>
      <c r="F90" s="455" t="s">
        <v>1303</v>
      </c>
      <c r="G90" s="472" t="s">
        <v>1149</v>
      </c>
      <c r="H90" s="425">
        <v>45436</v>
      </c>
      <c r="I90" s="426">
        <v>2.68</v>
      </c>
      <c r="J90" s="806">
        <f>AVERAGE(I90:$I$92)</f>
        <v>3.0066666666666664</v>
      </c>
      <c r="K90" s="7"/>
      <c r="L90" s="390"/>
    </row>
    <row r="91" spans="1:12" ht="15.75" customHeight="1" x14ac:dyDescent="0.25">
      <c r="A91" s="7"/>
      <c r="B91" s="549"/>
      <c r="C91" s="549"/>
      <c r="D91" s="549"/>
      <c r="E91" s="428" t="s">
        <v>1147</v>
      </c>
      <c r="F91" s="429" t="s">
        <v>1148</v>
      </c>
      <c r="G91" s="431" t="s">
        <v>1281</v>
      </c>
      <c r="H91" s="442">
        <v>45699</v>
      </c>
      <c r="I91" s="250">
        <v>2.68</v>
      </c>
      <c r="J91" s="549"/>
      <c r="K91" s="7"/>
      <c r="L91" s="390"/>
    </row>
    <row r="92" spans="1:12" ht="15.75" customHeight="1" x14ac:dyDescent="0.25">
      <c r="A92" s="7"/>
      <c r="B92" s="803"/>
      <c r="C92" s="803"/>
      <c r="D92" s="803"/>
      <c r="E92" s="433" t="s">
        <v>1304</v>
      </c>
      <c r="F92" s="434" t="s">
        <v>1305</v>
      </c>
      <c r="G92" s="449" t="s">
        <v>1068</v>
      </c>
      <c r="H92" s="447">
        <v>45758</v>
      </c>
      <c r="I92" s="252">
        <v>3.66</v>
      </c>
      <c r="J92" s="803"/>
      <c r="K92" s="7"/>
      <c r="L92" s="390"/>
    </row>
    <row r="93" spans="1:12" ht="15" customHeight="1" x14ac:dyDescent="0.25">
      <c r="A93" s="7"/>
      <c r="B93" s="804" t="s">
        <v>1306</v>
      </c>
      <c r="C93" s="802" t="s">
        <v>1307</v>
      </c>
      <c r="D93" s="804" t="s">
        <v>335</v>
      </c>
      <c r="E93" s="443" t="s">
        <v>1308</v>
      </c>
      <c r="F93" s="443" t="s">
        <v>1309</v>
      </c>
      <c r="G93" s="472" t="s">
        <v>1068</v>
      </c>
      <c r="H93" s="453">
        <v>45769</v>
      </c>
      <c r="I93" s="426">
        <v>10.38</v>
      </c>
      <c r="J93" s="806">
        <f>AVERAGE(I93:$I$95)</f>
        <v>9.4666666666666668</v>
      </c>
      <c r="K93" s="7"/>
      <c r="L93" s="390"/>
    </row>
    <row r="94" spans="1:12" ht="15.75" customHeight="1" x14ac:dyDescent="0.25">
      <c r="A94" s="7"/>
      <c r="B94" s="549"/>
      <c r="C94" s="549"/>
      <c r="D94" s="549"/>
      <c r="E94" s="428" t="s">
        <v>1310</v>
      </c>
      <c r="F94" s="429" t="s">
        <v>1311</v>
      </c>
      <c r="G94" s="446" t="s">
        <v>1068</v>
      </c>
      <c r="H94" s="432">
        <v>45769</v>
      </c>
      <c r="I94" s="250">
        <v>10.49</v>
      </c>
      <c r="J94" s="549"/>
      <c r="K94" s="7"/>
      <c r="L94" s="390"/>
    </row>
    <row r="95" spans="1:12" ht="15.75" customHeight="1" x14ac:dyDescent="0.25">
      <c r="A95" s="7"/>
      <c r="B95" s="803"/>
      <c r="C95" s="803"/>
      <c r="D95" s="803"/>
      <c r="E95" s="433" t="s">
        <v>1312</v>
      </c>
      <c r="F95" s="434" t="s">
        <v>1313</v>
      </c>
      <c r="G95" s="435" t="s">
        <v>1068</v>
      </c>
      <c r="H95" s="447">
        <v>45785</v>
      </c>
      <c r="I95" s="252">
        <v>7.53</v>
      </c>
      <c r="J95" s="803"/>
      <c r="K95" s="7"/>
      <c r="L95" s="390"/>
    </row>
    <row r="96" spans="1:12" ht="20.25" customHeight="1" x14ac:dyDescent="0.25">
      <c r="A96" s="7"/>
      <c r="B96" s="804" t="s">
        <v>1314</v>
      </c>
      <c r="C96" s="802" t="s">
        <v>1315</v>
      </c>
      <c r="D96" s="804" t="s">
        <v>1103</v>
      </c>
      <c r="E96" s="477" t="s">
        <v>1316</v>
      </c>
      <c r="F96" s="473" t="s">
        <v>1317</v>
      </c>
      <c r="G96" s="472" t="s">
        <v>1318</v>
      </c>
      <c r="H96" s="476">
        <v>45418</v>
      </c>
      <c r="I96" s="475">
        <v>14.25</v>
      </c>
      <c r="J96" s="806">
        <f>AVERAGE(I96:$I$98)</f>
        <v>13.38</v>
      </c>
      <c r="K96" s="7"/>
      <c r="L96" s="390"/>
    </row>
    <row r="97" spans="1:12" ht="15.75" customHeight="1" x14ac:dyDescent="0.25">
      <c r="A97" s="7"/>
      <c r="B97" s="549"/>
      <c r="C97" s="549"/>
      <c r="D97" s="549"/>
      <c r="E97" s="428" t="s">
        <v>1319</v>
      </c>
      <c r="F97" s="429" t="s">
        <v>1320</v>
      </c>
      <c r="G97" s="446" t="s">
        <v>1068</v>
      </c>
      <c r="H97" s="432">
        <v>45965</v>
      </c>
      <c r="I97" s="250">
        <v>11.39</v>
      </c>
      <c r="J97" s="549"/>
      <c r="K97" s="7"/>
      <c r="L97" s="390"/>
    </row>
    <row r="98" spans="1:12" ht="15.75" customHeight="1" x14ac:dyDescent="0.25">
      <c r="A98" s="7"/>
      <c r="B98" s="803"/>
      <c r="C98" s="803"/>
      <c r="D98" s="803"/>
      <c r="E98" s="433" t="s">
        <v>1321</v>
      </c>
      <c r="F98" s="466" t="s">
        <v>1322</v>
      </c>
      <c r="G98" s="457" t="s">
        <v>1068</v>
      </c>
      <c r="H98" s="467">
        <v>45965</v>
      </c>
      <c r="I98" s="464">
        <v>14.5</v>
      </c>
      <c r="J98" s="803"/>
      <c r="K98" s="7"/>
      <c r="L98" s="390"/>
    </row>
    <row r="99" spans="1:12" ht="15" customHeight="1" x14ac:dyDescent="0.25">
      <c r="A99" s="7"/>
      <c r="B99" s="804" t="s">
        <v>1323</v>
      </c>
      <c r="C99" s="802" t="s">
        <v>1324</v>
      </c>
      <c r="D99" s="804" t="s">
        <v>1325</v>
      </c>
      <c r="E99" s="477" t="s">
        <v>1326</v>
      </c>
      <c r="F99" s="473" t="s">
        <v>1327</v>
      </c>
      <c r="G99" s="472" t="s">
        <v>1158</v>
      </c>
      <c r="H99" s="474">
        <v>45625</v>
      </c>
      <c r="I99" s="475">
        <v>14.37</v>
      </c>
      <c r="J99" s="806">
        <f>AVERAGE(I99:$I$101)</f>
        <v>14.9</v>
      </c>
      <c r="K99" s="7"/>
      <c r="L99" s="390"/>
    </row>
    <row r="100" spans="1:12" ht="15.75" customHeight="1" x14ac:dyDescent="0.25">
      <c r="A100" s="7"/>
      <c r="B100" s="549"/>
      <c r="C100" s="549"/>
      <c r="D100" s="549"/>
      <c r="E100" s="428" t="s">
        <v>1328</v>
      </c>
      <c r="F100" s="429" t="s">
        <v>1329</v>
      </c>
      <c r="G100" s="446" t="s">
        <v>1068</v>
      </c>
      <c r="H100" s="432">
        <v>45758</v>
      </c>
      <c r="I100" s="250">
        <v>14.59</v>
      </c>
      <c r="J100" s="549"/>
      <c r="K100" s="7"/>
      <c r="L100" s="390"/>
    </row>
    <row r="101" spans="1:12" ht="15.75" customHeight="1" x14ac:dyDescent="0.25">
      <c r="A101" s="7"/>
      <c r="B101" s="803"/>
      <c r="C101" s="803"/>
      <c r="D101" s="803"/>
      <c r="E101" s="433" t="s">
        <v>1330</v>
      </c>
      <c r="F101" s="466" t="s">
        <v>1331</v>
      </c>
      <c r="G101" s="457" t="s">
        <v>1068</v>
      </c>
      <c r="H101" s="467">
        <v>45965</v>
      </c>
      <c r="I101" s="464">
        <v>15.74</v>
      </c>
      <c r="J101" s="803"/>
      <c r="K101" s="7"/>
      <c r="L101" s="390"/>
    </row>
    <row r="102" spans="1:12" ht="20.25" customHeight="1" x14ac:dyDescent="0.25">
      <c r="A102" s="7"/>
      <c r="B102" s="804" t="s">
        <v>1332</v>
      </c>
      <c r="C102" s="802" t="s">
        <v>1333</v>
      </c>
      <c r="D102" s="804" t="s">
        <v>335</v>
      </c>
      <c r="E102" s="477" t="s">
        <v>1334</v>
      </c>
      <c r="F102" s="473" t="s">
        <v>1335</v>
      </c>
      <c r="G102" s="443" t="s">
        <v>1336</v>
      </c>
      <c r="H102" s="476">
        <v>45783</v>
      </c>
      <c r="I102" s="475">
        <v>230.34</v>
      </c>
      <c r="J102" s="806">
        <f>AVERAGE(I102:$I$104)</f>
        <v>247.79666666666665</v>
      </c>
      <c r="K102" s="7"/>
      <c r="L102" s="390"/>
    </row>
    <row r="103" spans="1:12" ht="15.75" customHeight="1" x14ac:dyDescent="0.25">
      <c r="A103" s="7"/>
      <c r="B103" s="549"/>
      <c r="C103" s="549"/>
      <c r="D103" s="549"/>
      <c r="E103" s="428" t="s">
        <v>1337</v>
      </c>
      <c r="F103" s="429" t="s">
        <v>1338</v>
      </c>
      <c r="G103" s="428" t="s">
        <v>1339</v>
      </c>
      <c r="H103" s="432">
        <v>45783</v>
      </c>
      <c r="I103" s="250">
        <v>261.70999999999998</v>
      </c>
      <c r="J103" s="549"/>
      <c r="K103" s="7"/>
      <c r="L103" s="390"/>
    </row>
    <row r="104" spans="1:12" ht="15.75" customHeight="1" x14ac:dyDescent="0.25">
      <c r="A104" s="7"/>
      <c r="B104" s="803"/>
      <c r="C104" s="803"/>
      <c r="D104" s="803"/>
      <c r="E104" s="433" t="s">
        <v>1340</v>
      </c>
      <c r="F104" s="466" t="s">
        <v>1341</v>
      </c>
      <c r="G104" s="478" t="s">
        <v>1342</v>
      </c>
      <c r="H104" s="467">
        <v>45783</v>
      </c>
      <c r="I104" s="464">
        <v>251.34</v>
      </c>
      <c r="J104" s="803"/>
      <c r="K104" s="7"/>
      <c r="L104" s="390"/>
    </row>
    <row r="105" spans="1:12" ht="15" customHeight="1" x14ac:dyDescent="0.25">
      <c r="A105" s="7"/>
      <c r="B105" s="804" t="s">
        <v>1343</v>
      </c>
      <c r="C105" s="802" t="s">
        <v>1344</v>
      </c>
      <c r="D105" s="804" t="s">
        <v>335</v>
      </c>
      <c r="E105" s="477" t="s">
        <v>1345</v>
      </c>
      <c r="F105" s="473" t="s">
        <v>1346</v>
      </c>
      <c r="G105" s="472" t="s">
        <v>1055</v>
      </c>
      <c r="H105" s="474">
        <v>45596</v>
      </c>
      <c r="I105" s="475">
        <v>23.88</v>
      </c>
      <c r="J105" s="806">
        <f>AVERAGE(I105:$I$107)</f>
        <v>22.343333333333334</v>
      </c>
      <c r="K105" s="7"/>
      <c r="L105" s="390"/>
    </row>
    <row r="106" spans="1:12" ht="15.75" customHeight="1" x14ac:dyDescent="0.25">
      <c r="A106" s="7"/>
      <c r="B106" s="549"/>
      <c r="C106" s="549"/>
      <c r="D106" s="549"/>
      <c r="E106" s="428" t="s">
        <v>1347</v>
      </c>
      <c r="F106" s="429" t="s">
        <v>1348</v>
      </c>
      <c r="G106" s="431" t="s">
        <v>1349</v>
      </c>
      <c r="H106" s="442">
        <v>45446</v>
      </c>
      <c r="I106" s="250">
        <v>20.03</v>
      </c>
      <c r="J106" s="549"/>
      <c r="K106" s="7"/>
      <c r="L106" s="390"/>
    </row>
    <row r="107" spans="1:12" ht="15.75" customHeight="1" x14ac:dyDescent="0.25">
      <c r="A107" s="7"/>
      <c r="B107" s="803"/>
      <c r="C107" s="803"/>
      <c r="D107" s="803"/>
      <c r="E107" s="433" t="s">
        <v>1350</v>
      </c>
      <c r="F107" s="466" t="s">
        <v>1351</v>
      </c>
      <c r="G107" s="470" t="s">
        <v>1079</v>
      </c>
      <c r="H107" s="479">
        <v>45716</v>
      </c>
      <c r="I107" s="464">
        <v>23.12</v>
      </c>
      <c r="J107" s="803"/>
      <c r="K107" s="7"/>
      <c r="L107" s="390"/>
    </row>
    <row r="108" spans="1:12" ht="20.25" customHeight="1" x14ac:dyDescent="0.25">
      <c r="A108" s="7"/>
      <c r="B108" s="804" t="s">
        <v>1352</v>
      </c>
      <c r="C108" s="802" t="s">
        <v>1353</v>
      </c>
      <c r="D108" s="804" t="s">
        <v>335</v>
      </c>
      <c r="E108" s="477" t="s">
        <v>1354</v>
      </c>
      <c r="F108" s="429" t="s">
        <v>1355</v>
      </c>
      <c r="G108" s="472" t="s">
        <v>1068</v>
      </c>
      <c r="H108" s="476">
        <v>45769</v>
      </c>
      <c r="I108" s="475">
        <v>1.89</v>
      </c>
      <c r="J108" s="806">
        <f>AVERAGE(I108:$I$110)</f>
        <v>2.0299999999999998</v>
      </c>
      <c r="K108" s="7"/>
      <c r="L108" s="390"/>
    </row>
    <row r="109" spans="1:12" ht="15.75" customHeight="1" x14ac:dyDescent="0.25">
      <c r="A109" s="7"/>
      <c r="B109" s="549"/>
      <c r="C109" s="549"/>
      <c r="D109" s="549"/>
      <c r="E109" s="428" t="s">
        <v>1356</v>
      </c>
      <c r="F109" s="429" t="s">
        <v>1357</v>
      </c>
      <c r="G109" s="446" t="s">
        <v>1068</v>
      </c>
      <c r="H109" s="432">
        <v>45769</v>
      </c>
      <c r="I109" s="250">
        <v>2.1</v>
      </c>
      <c r="J109" s="549"/>
      <c r="K109" s="7"/>
      <c r="L109" s="390"/>
    </row>
    <row r="110" spans="1:12" ht="15.75" customHeight="1" x14ac:dyDescent="0.25">
      <c r="A110" s="7"/>
      <c r="B110" s="803"/>
      <c r="C110" s="803"/>
      <c r="D110" s="803"/>
      <c r="E110" s="433" t="s">
        <v>1358</v>
      </c>
      <c r="F110" s="466" t="s">
        <v>1359</v>
      </c>
      <c r="G110" s="470" t="s">
        <v>1068</v>
      </c>
      <c r="H110" s="467">
        <v>45769</v>
      </c>
      <c r="I110" s="464">
        <v>2.1</v>
      </c>
      <c r="J110" s="803"/>
      <c r="K110" s="7"/>
      <c r="L110" s="390"/>
    </row>
    <row r="111" spans="1:12" ht="26.25" customHeight="1" x14ac:dyDescent="0.25">
      <c r="A111" s="7"/>
      <c r="B111" s="804" t="s">
        <v>1360</v>
      </c>
      <c r="C111" s="802" t="s">
        <v>1361</v>
      </c>
      <c r="D111" s="804" t="s">
        <v>1155</v>
      </c>
      <c r="E111" s="477" t="s">
        <v>1362</v>
      </c>
      <c r="F111" s="429" t="s">
        <v>1363</v>
      </c>
      <c r="G111" s="472" t="s">
        <v>1068</v>
      </c>
      <c r="H111" s="476">
        <v>45754</v>
      </c>
      <c r="I111" s="475">
        <v>116.18</v>
      </c>
      <c r="J111" s="806">
        <f>AVERAGE(I111:$I$113)</f>
        <v>116.83</v>
      </c>
      <c r="K111" s="7"/>
      <c r="L111" s="390"/>
    </row>
    <row r="112" spans="1:12" ht="38.25" customHeight="1" x14ac:dyDescent="0.25">
      <c r="A112" s="7"/>
      <c r="B112" s="549"/>
      <c r="C112" s="549"/>
      <c r="D112" s="549"/>
      <c r="E112" s="428" t="s">
        <v>1364</v>
      </c>
      <c r="F112" s="429" t="s">
        <v>1365</v>
      </c>
      <c r="G112" s="431" t="s">
        <v>1068</v>
      </c>
      <c r="H112" s="432">
        <v>45754</v>
      </c>
      <c r="I112" s="250">
        <v>100.17</v>
      </c>
      <c r="J112" s="549"/>
      <c r="K112" s="7"/>
      <c r="L112" s="390"/>
    </row>
    <row r="113" spans="1:12" ht="15.75" customHeight="1" x14ac:dyDescent="0.25">
      <c r="A113" s="7"/>
      <c r="B113" s="803"/>
      <c r="C113" s="803"/>
      <c r="D113" s="803"/>
      <c r="E113" s="433" t="s">
        <v>1366</v>
      </c>
      <c r="F113" s="466" t="s">
        <v>1367</v>
      </c>
      <c r="G113" s="470" t="s">
        <v>1068</v>
      </c>
      <c r="H113" s="467">
        <v>45754</v>
      </c>
      <c r="I113" s="464">
        <v>134.13999999999999</v>
      </c>
      <c r="J113" s="803"/>
      <c r="K113" s="7"/>
      <c r="L113" s="390"/>
    </row>
    <row r="114" spans="1:12" ht="15" customHeight="1" x14ac:dyDescent="0.25">
      <c r="A114" s="7"/>
      <c r="B114" s="804" t="s">
        <v>1368</v>
      </c>
      <c r="C114" s="802" t="s">
        <v>1369</v>
      </c>
      <c r="D114" s="804" t="s">
        <v>1370</v>
      </c>
      <c r="E114" s="477" t="s">
        <v>1371</v>
      </c>
      <c r="F114" s="473" t="s">
        <v>1372</v>
      </c>
      <c r="G114" s="472" t="s">
        <v>1068</v>
      </c>
      <c r="H114" s="476">
        <v>45769</v>
      </c>
      <c r="I114" s="475">
        <v>3.18</v>
      </c>
      <c r="J114" s="806">
        <f>AVERAGE(I114:$I$116)</f>
        <v>3.1233333333333335</v>
      </c>
      <c r="K114" s="7"/>
      <c r="L114" s="390"/>
    </row>
    <row r="115" spans="1:12" ht="15.75" customHeight="1" x14ac:dyDescent="0.25">
      <c r="A115" s="7"/>
      <c r="B115" s="549"/>
      <c r="C115" s="549"/>
      <c r="D115" s="549"/>
      <c r="E115" s="428" t="s">
        <v>1373</v>
      </c>
      <c r="F115" s="429" t="s">
        <v>1374</v>
      </c>
      <c r="G115" s="446" t="s">
        <v>1068</v>
      </c>
      <c r="H115" s="432">
        <v>45769</v>
      </c>
      <c r="I115" s="250">
        <v>2.57</v>
      </c>
      <c r="J115" s="549"/>
      <c r="K115" s="7"/>
      <c r="L115" s="390"/>
    </row>
    <row r="116" spans="1:12" ht="15.75" customHeight="1" x14ac:dyDescent="0.25">
      <c r="A116" s="7"/>
      <c r="B116" s="803"/>
      <c r="C116" s="803"/>
      <c r="D116" s="803"/>
      <c r="E116" s="433" t="s">
        <v>1375</v>
      </c>
      <c r="F116" s="466" t="s">
        <v>1376</v>
      </c>
      <c r="G116" s="470" t="s">
        <v>1068</v>
      </c>
      <c r="H116" s="467">
        <v>45769</v>
      </c>
      <c r="I116" s="464">
        <v>3.62</v>
      </c>
      <c r="J116" s="803"/>
      <c r="K116" s="7"/>
      <c r="L116" s="390"/>
    </row>
    <row r="117" spans="1:12" ht="15" customHeight="1" x14ac:dyDescent="0.25">
      <c r="A117" s="7"/>
      <c r="B117" s="804" t="s">
        <v>1377</v>
      </c>
      <c r="C117" s="802" t="s">
        <v>1378</v>
      </c>
      <c r="D117" s="804" t="s">
        <v>335</v>
      </c>
      <c r="E117" s="477" t="s">
        <v>1379</v>
      </c>
      <c r="F117" s="423" t="s">
        <v>1380</v>
      </c>
      <c r="G117" s="480" t="s">
        <v>1068</v>
      </c>
      <c r="H117" s="476">
        <v>45758</v>
      </c>
      <c r="I117" s="475">
        <v>52.39</v>
      </c>
      <c r="J117" s="806">
        <f>AVERAGE(I117:$I$119)</f>
        <v>53.346666666666664</v>
      </c>
      <c r="K117" s="7"/>
      <c r="L117" s="390"/>
    </row>
    <row r="118" spans="1:12" ht="15.75" customHeight="1" x14ac:dyDescent="0.25">
      <c r="A118" s="7"/>
      <c r="B118" s="549"/>
      <c r="C118" s="549"/>
      <c r="D118" s="549"/>
      <c r="E118" s="428" t="s">
        <v>1381</v>
      </c>
      <c r="F118" s="429" t="s">
        <v>1382</v>
      </c>
      <c r="G118" s="446" t="s">
        <v>1068</v>
      </c>
      <c r="H118" s="432">
        <v>45779</v>
      </c>
      <c r="I118" s="250">
        <v>55.16</v>
      </c>
      <c r="J118" s="549"/>
      <c r="K118" s="7"/>
      <c r="L118" s="390"/>
    </row>
    <row r="119" spans="1:12" ht="15.75" customHeight="1" x14ac:dyDescent="0.25">
      <c r="A119" s="7"/>
      <c r="B119" s="803"/>
      <c r="C119" s="803"/>
      <c r="D119" s="803"/>
      <c r="E119" s="433" t="s">
        <v>1383</v>
      </c>
      <c r="F119" s="466" t="s">
        <v>1384</v>
      </c>
      <c r="G119" s="470" t="s">
        <v>1068</v>
      </c>
      <c r="H119" s="467">
        <v>45758</v>
      </c>
      <c r="I119" s="464">
        <v>52.49</v>
      </c>
      <c r="J119" s="803"/>
      <c r="K119" s="7"/>
      <c r="L119" s="390"/>
    </row>
    <row r="120" spans="1:12" ht="15" customHeight="1" x14ac:dyDescent="0.25">
      <c r="A120" s="7"/>
      <c r="B120" s="804" t="s">
        <v>1385</v>
      </c>
      <c r="C120" s="802" t="s">
        <v>1386</v>
      </c>
      <c r="D120" s="804" t="s">
        <v>335</v>
      </c>
      <c r="E120" s="477" t="s">
        <v>1308</v>
      </c>
      <c r="F120" s="481" t="s">
        <v>1309</v>
      </c>
      <c r="G120" s="472" t="s">
        <v>1068</v>
      </c>
      <c r="H120" s="476">
        <v>45769</v>
      </c>
      <c r="I120" s="475">
        <v>8.6</v>
      </c>
      <c r="J120" s="806">
        <f>AVERAGE(I120:$I$122)</f>
        <v>11.75</v>
      </c>
      <c r="K120" s="7"/>
      <c r="L120" s="390"/>
    </row>
    <row r="121" spans="1:12" ht="15.75" customHeight="1" x14ac:dyDescent="0.25">
      <c r="A121" s="7"/>
      <c r="B121" s="549"/>
      <c r="C121" s="549"/>
      <c r="D121" s="549"/>
      <c r="E121" s="428" t="s">
        <v>1310</v>
      </c>
      <c r="F121" s="429" t="s">
        <v>1311</v>
      </c>
      <c r="G121" s="446" t="s">
        <v>1068</v>
      </c>
      <c r="H121" s="432">
        <v>45769</v>
      </c>
      <c r="I121" s="250">
        <v>14.69</v>
      </c>
      <c r="J121" s="549"/>
      <c r="K121" s="7"/>
      <c r="L121" s="390"/>
    </row>
    <row r="122" spans="1:12" ht="15.75" customHeight="1" x14ac:dyDescent="0.25">
      <c r="A122" s="7"/>
      <c r="B122" s="803"/>
      <c r="C122" s="803"/>
      <c r="D122" s="803"/>
      <c r="E122" s="433" t="s">
        <v>1387</v>
      </c>
      <c r="F122" s="466" t="s">
        <v>1388</v>
      </c>
      <c r="G122" s="470" t="s">
        <v>1068</v>
      </c>
      <c r="H122" s="467">
        <v>45785</v>
      </c>
      <c r="I122" s="464">
        <v>11.96</v>
      </c>
      <c r="J122" s="803"/>
      <c r="K122" s="7"/>
      <c r="L122" s="390"/>
    </row>
    <row r="123" spans="1:12" ht="15" customHeight="1" x14ac:dyDescent="0.25">
      <c r="A123" s="7"/>
      <c r="B123" s="804" t="s">
        <v>1389</v>
      </c>
      <c r="C123" s="802" t="s">
        <v>1390</v>
      </c>
      <c r="D123" s="804" t="s">
        <v>335</v>
      </c>
      <c r="E123" s="477" t="s">
        <v>1391</v>
      </c>
      <c r="F123" s="481" t="s">
        <v>1392</v>
      </c>
      <c r="G123" s="444" t="s">
        <v>1068</v>
      </c>
      <c r="H123" s="476">
        <v>45807</v>
      </c>
      <c r="I123" s="475">
        <v>1279.8499999999999</v>
      </c>
      <c r="J123" s="806">
        <f>AVERAGE(I123:$I$125)</f>
        <v>1326.83</v>
      </c>
      <c r="K123" s="7"/>
      <c r="L123" s="390"/>
    </row>
    <row r="124" spans="1:12" ht="15.75" customHeight="1" x14ac:dyDescent="0.25">
      <c r="A124" s="7"/>
      <c r="B124" s="549"/>
      <c r="C124" s="549"/>
      <c r="D124" s="549"/>
      <c r="E124" s="428" t="s">
        <v>1393</v>
      </c>
      <c r="F124" s="429" t="s">
        <v>1394</v>
      </c>
      <c r="G124" s="431" t="s">
        <v>1068</v>
      </c>
      <c r="H124" s="432">
        <v>45807</v>
      </c>
      <c r="I124" s="250">
        <v>1358.28</v>
      </c>
      <c r="J124" s="549"/>
      <c r="K124" s="7"/>
      <c r="L124" s="390"/>
    </row>
    <row r="125" spans="1:12" ht="15.75" customHeight="1" x14ac:dyDescent="0.25">
      <c r="A125" s="7"/>
      <c r="B125" s="803"/>
      <c r="C125" s="803"/>
      <c r="D125" s="803"/>
      <c r="E125" s="433" t="s">
        <v>1395</v>
      </c>
      <c r="F125" s="466" t="s">
        <v>1396</v>
      </c>
      <c r="G125" s="435" t="s">
        <v>1068</v>
      </c>
      <c r="H125" s="467">
        <v>45807</v>
      </c>
      <c r="I125" s="464">
        <v>1342.36</v>
      </c>
      <c r="J125" s="803"/>
      <c r="K125" s="7"/>
      <c r="L125" s="390"/>
    </row>
    <row r="126" spans="1:12" ht="15.75" customHeight="1" x14ac:dyDescent="0.25">
      <c r="A126" s="7"/>
      <c r="B126" s="414"/>
      <c r="C126" s="482"/>
      <c r="D126" s="414"/>
      <c r="E126" s="483"/>
      <c r="F126" s="414"/>
      <c r="G126" s="484"/>
      <c r="H126" s="485"/>
      <c r="I126" s="486"/>
      <c r="J126" s="486"/>
      <c r="K126" s="7"/>
    </row>
    <row r="127" spans="1:12" ht="15.75" customHeight="1" x14ac:dyDescent="0.25">
      <c r="A127" s="7"/>
      <c r="B127" s="414"/>
      <c r="C127" s="482"/>
      <c r="D127" s="414"/>
      <c r="E127" s="483"/>
      <c r="F127" s="414"/>
      <c r="G127" s="484"/>
      <c r="H127" s="485"/>
      <c r="I127" s="486"/>
      <c r="J127" s="486"/>
      <c r="K127" s="7"/>
    </row>
    <row r="128" spans="1:12" ht="15.75" customHeight="1" x14ac:dyDescent="0.25">
      <c r="A128" s="7"/>
      <c r="B128" s="807" t="s">
        <v>1397</v>
      </c>
      <c r="C128" s="808"/>
      <c r="D128" s="808"/>
      <c r="E128" s="808"/>
      <c r="F128" s="808"/>
      <c r="G128" s="808"/>
      <c r="H128" s="808"/>
      <c r="I128" s="808"/>
      <c r="J128" s="809"/>
      <c r="K128" s="7"/>
    </row>
    <row r="129" spans="1:12" ht="15.75" customHeight="1" x14ac:dyDescent="0.25">
      <c r="A129" s="7"/>
      <c r="B129" s="699" t="s">
        <v>1398</v>
      </c>
      <c r="C129" s="537"/>
      <c r="D129" s="537"/>
      <c r="E129" s="537"/>
      <c r="F129" s="537"/>
      <c r="G129" s="537"/>
      <c r="H129" s="537"/>
      <c r="I129" s="537"/>
      <c r="J129" s="538"/>
      <c r="K129" s="7"/>
    </row>
    <row r="130" spans="1:12" ht="15.75" customHeight="1" x14ac:dyDescent="0.25">
      <c r="A130" s="7"/>
      <c r="B130" s="418" t="s">
        <v>1042</v>
      </c>
      <c r="C130" s="418" t="s">
        <v>1043</v>
      </c>
      <c r="D130" s="418" t="s">
        <v>23</v>
      </c>
      <c r="E130" s="418" t="s">
        <v>1044</v>
      </c>
      <c r="F130" s="418" t="s">
        <v>1045</v>
      </c>
      <c r="G130" s="418" t="s">
        <v>1046</v>
      </c>
      <c r="H130" s="419" t="s">
        <v>1047</v>
      </c>
      <c r="I130" s="418" t="s">
        <v>1048</v>
      </c>
      <c r="J130" s="419" t="s">
        <v>1049</v>
      </c>
      <c r="K130" s="7"/>
    </row>
    <row r="131" spans="1:12" ht="15" customHeight="1" x14ac:dyDescent="0.25">
      <c r="A131" s="7"/>
      <c r="B131" s="814" t="s">
        <v>1399</v>
      </c>
      <c r="C131" s="815" t="s">
        <v>1400</v>
      </c>
      <c r="D131" s="804" t="s">
        <v>335</v>
      </c>
      <c r="E131" s="487" t="s">
        <v>1401</v>
      </c>
      <c r="F131" s="428" t="s">
        <v>1402</v>
      </c>
      <c r="G131" s="428" t="s">
        <v>1068</v>
      </c>
      <c r="H131" s="476">
        <v>45750</v>
      </c>
      <c r="I131" s="426">
        <v>371338.75</v>
      </c>
      <c r="J131" s="812">
        <f>AVERAGE(I131:$I$133)</f>
        <v>428702.46333333338</v>
      </c>
      <c r="K131" s="7"/>
    </row>
    <row r="132" spans="1:12" ht="15.75" customHeight="1" x14ac:dyDescent="0.25">
      <c r="A132" s="7"/>
      <c r="B132" s="549"/>
      <c r="C132" s="549"/>
      <c r="D132" s="549"/>
      <c r="E132" s="428" t="s">
        <v>1403</v>
      </c>
      <c r="F132" s="429" t="s">
        <v>1404</v>
      </c>
      <c r="G132" s="429" t="s">
        <v>1068</v>
      </c>
      <c r="H132" s="432">
        <v>45775</v>
      </c>
      <c r="I132" s="250">
        <v>443507.4</v>
      </c>
      <c r="J132" s="549"/>
      <c r="K132" s="7"/>
    </row>
    <row r="133" spans="1:12" ht="15.75" customHeight="1" x14ac:dyDescent="0.25">
      <c r="A133" s="7"/>
      <c r="B133" s="803"/>
      <c r="C133" s="803"/>
      <c r="D133" s="803"/>
      <c r="E133" s="433" t="s">
        <v>1405</v>
      </c>
      <c r="F133" s="466" t="s">
        <v>1406</v>
      </c>
      <c r="G133" s="434" t="s">
        <v>1068</v>
      </c>
      <c r="H133" s="467">
        <v>45779</v>
      </c>
      <c r="I133" s="464">
        <v>471261.24</v>
      </c>
      <c r="J133" s="803"/>
      <c r="K133" s="7"/>
    </row>
    <row r="134" spans="1:12" ht="15" customHeight="1" x14ac:dyDescent="0.25">
      <c r="A134" s="7"/>
      <c r="B134" s="804" t="s">
        <v>1407</v>
      </c>
      <c r="C134" s="802" t="s">
        <v>1408</v>
      </c>
      <c r="D134" s="804" t="s">
        <v>335</v>
      </c>
      <c r="E134" s="422" t="s">
        <v>1403</v>
      </c>
      <c r="F134" s="438" t="s">
        <v>1404</v>
      </c>
      <c r="G134" s="438" t="s">
        <v>1068</v>
      </c>
      <c r="H134" s="445">
        <v>45775</v>
      </c>
      <c r="I134" s="441">
        <v>575383.66</v>
      </c>
      <c r="J134" s="806">
        <f>AVERAGE(I134:$I$135)</f>
        <v>539031.15500000003</v>
      </c>
      <c r="K134" s="7"/>
    </row>
    <row r="135" spans="1:12" ht="15.75" customHeight="1" x14ac:dyDescent="0.25">
      <c r="A135" s="7"/>
      <c r="B135" s="803"/>
      <c r="C135" s="803"/>
      <c r="D135" s="803"/>
      <c r="E135" s="433" t="s">
        <v>1405</v>
      </c>
      <c r="F135" s="434" t="s">
        <v>1406</v>
      </c>
      <c r="G135" s="434" t="s">
        <v>1068</v>
      </c>
      <c r="H135" s="447">
        <v>45779</v>
      </c>
      <c r="I135" s="252">
        <v>502678.65</v>
      </c>
      <c r="J135" s="803"/>
      <c r="K135" s="7"/>
    </row>
    <row r="136" spans="1:12" ht="15" customHeight="1" x14ac:dyDescent="0.25">
      <c r="A136" s="7"/>
      <c r="B136" s="814" t="s">
        <v>1409</v>
      </c>
      <c r="C136" s="815" t="s">
        <v>1410</v>
      </c>
      <c r="D136" s="814" t="s">
        <v>335</v>
      </c>
      <c r="E136" s="443" t="s">
        <v>1403</v>
      </c>
      <c r="F136" s="455" t="s">
        <v>1404</v>
      </c>
      <c r="G136" s="455" t="s">
        <v>1068</v>
      </c>
      <c r="H136" s="453">
        <v>45775</v>
      </c>
      <c r="I136" s="426">
        <v>639326.84</v>
      </c>
      <c r="J136" s="812">
        <f>AVERAGE(I136:$I$138)</f>
        <v>558700.5199999999</v>
      </c>
      <c r="K136" s="7"/>
    </row>
    <row r="137" spans="1:12" ht="15.75" customHeight="1" x14ac:dyDescent="0.25">
      <c r="A137" s="7"/>
      <c r="B137" s="549"/>
      <c r="C137" s="549"/>
      <c r="D137" s="549"/>
      <c r="E137" s="428" t="s">
        <v>1405</v>
      </c>
      <c r="F137" s="429" t="s">
        <v>1406</v>
      </c>
      <c r="G137" s="429" t="s">
        <v>1068</v>
      </c>
      <c r="H137" s="432">
        <v>45779</v>
      </c>
      <c r="I137" s="250">
        <v>575985.96</v>
      </c>
      <c r="J137" s="549"/>
      <c r="K137" s="7"/>
    </row>
    <row r="138" spans="1:12" ht="15.75" customHeight="1" x14ac:dyDescent="0.25">
      <c r="A138" s="7"/>
      <c r="B138" s="803"/>
      <c r="C138" s="803"/>
      <c r="D138" s="803"/>
      <c r="E138" s="434" t="s">
        <v>1411</v>
      </c>
      <c r="F138" s="434" t="s">
        <v>1412</v>
      </c>
      <c r="G138" s="488" t="s">
        <v>1068</v>
      </c>
      <c r="H138" s="447">
        <v>45792</v>
      </c>
      <c r="I138" s="252">
        <v>460788.76</v>
      </c>
      <c r="J138" s="803"/>
      <c r="K138" s="7"/>
    </row>
    <row r="139" spans="1:12" ht="15" customHeight="1" x14ac:dyDescent="0.25">
      <c r="A139" s="7"/>
      <c r="B139" s="804" t="s">
        <v>1413</v>
      </c>
      <c r="C139" s="802" t="s">
        <v>1414</v>
      </c>
      <c r="D139" s="804" t="s">
        <v>335</v>
      </c>
      <c r="E139" s="422" t="s">
        <v>1403</v>
      </c>
      <c r="F139" s="438" t="s">
        <v>1404</v>
      </c>
      <c r="G139" s="438" t="s">
        <v>1068</v>
      </c>
      <c r="H139" s="445">
        <v>45775</v>
      </c>
      <c r="I139" s="441">
        <v>708834.87</v>
      </c>
      <c r="J139" s="806">
        <f>AVERAGE(I139:$I$140)</f>
        <v>679064.06499999994</v>
      </c>
      <c r="K139" s="7"/>
    </row>
    <row r="140" spans="1:12" ht="15.75" customHeight="1" x14ac:dyDescent="0.25">
      <c r="A140" s="7"/>
      <c r="B140" s="803"/>
      <c r="C140" s="803"/>
      <c r="D140" s="803"/>
      <c r="E140" s="433" t="s">
        <v>1405</v>
      </c>
      <c r="F140" s="434" t="s">
        <v>1406</v>
      </c>
      <c r="G140" s="434" t="s">
        <v>1068</v>
      </c>
      <c r="H140" s="447">
        <v>45779</v>
      </c>
      <c r="I140" s="252">
        <v>649293.26</v>
      </c>
      <c r="J140" s="803"/>
      <c r="K140" s="7"/>
    </row>
    <row r="141" spans="1:12" ht="15.75" customHeight="1" x14ac:dyDescent="0.25">
      <c r="A141" s="7"/>
      <c r="B141" s="699" t="s">
        <v>1415</v>
      </c>
      <c r="C141" s="537"/>
      <c r="D141" s="537"/>
      <c r="E141" s="537"/>
      <c r="F141" s="537"/>
      <c r="G141" s="537"/>
      <c r="H141" s="537"/>
      <c r="I141" s="537"/>
      <c r="J141" s="538"/>
      <c r="K141" s="7"/>
      <c r="L141" s="21"/>
    </row>
    <row r="142" spans="1:12" ht="15.75" customHeight="1" x14ac:dyDescent="0.25">
      <c r="A142" s="7"/>
      <c r="B142" s="418" t="s">
        <v>1042</v>
      </c>
      <c r="C142" s="418" t="s">
        <v>1043</v>
      </c>
      <c r="D142" s="418" t="s">
        <v>23</v>
      </c>
      <c r="E142" s="418" t="s">
        <v>1044</v>
      </c>
      <c r="F142" s="418" t="s">
        <v>1045</v>
      </c>
      <c r="G142" s="418" t="s">
        <v>1046</v>
      </c>
      <c r="H142" s="419" t="s">
        <v>1047</v>
      </c>
      <c r="I142" s="418" t="s">
        <v>1048</v>
      </c>
      <c r="J142" s="419" t="s">
        <v>1049</v>
      </c>
      <c r="K142" s="7"/>
      <c r="L142" s="21"/>
    </row>
    <row r="143" spans="1:12" ht="15" customHeight="1" x14ac:dyDescent="0.25">
      <c r="A143" s="7"/>
      <c r="B143" s="804" t="s">
        <v>1416</v>
      </c>
      <c r="C143" s="802" t="s">
        <v>1417</v>
      </c>
      <c r="D143" s="804" t="s">
        <v>335</v>
      </c>
      <c r="E143" s="422" t="s">
        <v>1418</v>
      </c>
      <c r="F143" s="489" t="s">
        <v>1419</v>
      </c>
      <c r="G143" s="422" t="s">
        <v>1068</v>
      </c>
      <c r="H143" s="445">
        <v>45750</v>
      </c>
      <c r="I143" s="427">
        <v>253462.8</v>
      </c>
      <c r="J143" s="806">
        <f>AVERAGE(I143:$I$144)</f>
        <v>236978.27</v>
      </c>
      <c r="K143" s="7"/>
      <c r="L143" s="21"/>
    </row>
    <row r="144" spans="1:12" ht="15.75" customHeight="1" x14ac:dyDescent="0.25">
      <c r="A144" s="7"/>
      <c r="B144" s="803"/>
      <c r="C144" s="803"/>
      <c r="D144" s="803"/>
      <c r="E144" s="433" t="s">
        <v>1420</v>
      </c>
      <c r="F144" s="434" t="s">
        <v>1421</v>
      </c>
      <c r="G144" s="434" t="s">
        <v>1068</v>
      </c>
      <c r="H144" s="447">
        <v>45771</v>
      </c>
      <c r="I144" s="252">
        <v>220493.74</v>
      </c>
      <c r="J144" s="803"/>
      <c r="K144" s="7"/>
      <c r="L144" s="21"/>
    </row>
    <row r="145" spans="1:12" ht="18" customHeight="1" x14ac:dyDescent="0.25">
      <c r="A145" s="7"/>
      <c r="B145" s="490" t="s">
        <v>1422</v>
      </c>
      <c r="C145" s="491" t="s">
        <v>1423</v>
      </c>
      <c r="D145" s="490" t="s">
        <v>335</v>
      </c>
      <c r="E145" s="492" t="s">
        <v>1418</v>
      </c>
      <c r="F145" s="493" t="s">
        <v>1419</v>
      </c>
      <c r="G145" s="492" t="s">
        <v>1068</v>
      </c>
      <c r="H145" s="494">
        <v>45776</v>
      </c>
      <c r="I145" s="495">
        <v>250481.6</v>
      </c>
      <c r="J145" s="495">
        <f>AVERAGE($I$145)</f>
        <v>250481.6</v>
      </c>
      <c r="K145" s="7"/>
      <c r="L145" s="21"/>
    </row>
    <row r="146" spans="1:12" ht="15" customHeight="1" x14ac:dyDescent="0.25">
      <c r="A146" s="7"/>
      <c r="B146" s="804" t="s">
        <v>1424</v>
      </c>
      <c r="C146" s="802" t="s">
        <v>1425</v>
      </c>
      <c r="D146" s="804" t="s">
        <v>335</v>
      </c>
      <c r="E146" s="422" t="s">
        <v>1418</v>
      </c>
      <c r="F146" s="489" t="s">
        <v>1419</v>
      </c>
      <c r="G146" s="422" t="s">
        <v>1068</v>
      </c>
      <c r="H146" s="445">
        <v>45750</v>
      </c>
      <c r="I146" s="427">
        <v>280972.02</v>
      </c>
      <c r="J146" s="806">
        <f>AVERAGE(I146:$I$147)</f>
        <v>263857.505</v>
      </c>
      <c r="K146" s="7"/>
      <c r="L146" s="21"/>
    </row>
    <row r="147" spans="1:12" ht="15.75" customHeight="1" x14ac:dyDescent="0.25">
      <c r="A147" s="7"/>
      <c r="B147" s="803"/>
      <c r="C147" s="803"/>
      <c r="D147" s="803"/>
      <c r="E147" s="433" t="s">
        <v>1420</v>
      </c>
      <c r="F147" s="434" t="s">
        <v>1421</v>
      </c>
      <c r="G147" s="434" t="s">
        <v>1068</v>
      </c>
      <c r="H147" s="447">
        <v>45771</v>
      </c>
      <c r="I147" s="252">
        <v>246742.99</v>
      </c>
      <c r="J147" s="803"/>
      <c r="K147" s="7"/>
      <c r="L147" s="21"/>
    </row>
    <row r="148" spans="1:12" ht="15" customHeight="1" x14ac:dyDescent="0.25">
      <c r="A148" s="7"/>
      <c r="B148" s="804" t="s">
        <v>1426</v>
      </c>
      <c r="C148" s="802" t="s">
        <v>1427</v>
      </c>
      <c r="D148" s="804" t="s">
        <v>335</v>
      </c>
      <c r="E148" s="422" t="s">
        <v>1418</v>
      </c>
      <c r="F148" s="489" t="s">
        <v>1419</v>
      </c>
      <c r="G148" s="422" t="s">
        <v>1068</v>
      </c>
      <c r="H148" s="445">
        <v>45750</v>
      </c>
      <c r="I148" s="427">
        <v>295146.62</v>
      </c>
      <c r="J148" s="806">
        <f>AVERAGE(I148:$I$149)</f>
        <v>281444.51</v>
      </c>
      <c r="K148" s="7"/>
      <c r="L148" s="21"/>
    </row>
    <row r="149" spans="1:12" ht="15.75" customHeight="1" x14ac:dyDescent="0.25">
      <c r="A149" s="7"/>
      <c r="B149" s="803"/>
      <c r="C149" s="803"/>
      <c r="D149" s="803"/>
      <c r="E149" s="433" t="s">
        <v>1420</v>
      </c>
      <c r="F149" s="434" t="s">
        <v>1421</v>
      </c>
      <c r="G149" s="434" t="s">
        <v>1068</v>
      </c>
      <c r="H149" s="447">
        <v>45771</v>
      </c>
      <c r="I149" s="252">
        <v>267742.40000000002</v>
      </c>
      <c r="J149" s="803"/>
      <c r="K149" s="7"/>
      <c r="L149" s="21"/>
    </row>
    <row r="150" spans="1:12" ht="25.5" customHeight="1" x14ac:dyDescent="0.25">
      <c r="A150" s="7"/>
      <c r="B150" s="496" t="s">
        <v>1428</v>
      </c>
      <c r="C150" s="497" t="s">
        <v>1429</v>
      </c>
      <c r="D150" s="496" t="s">
        <v>335</v>
      </c>
      <c r="E150" s="478" t="s">
        <v>1418</v>
      </c>
      <c r="F150" s="466" t="s">
        <v>1419</v>
      </c>
      <c r="G150" s="466" t="s">
        <v>1068</v>
      </c>
      <c r="H150" s="467">
        <v>45750</v>
      </c>
      <c r="I150" s="464">
        <v>1289678.3700000001</v>
      </c>
      <c r="J150" s="464">
        <f>$I$150</f>
        <v>1289678.3700000001</v>
      </c>
      <c r="K150" s="7"/>
      <c r="L150" s="21"/>
    </row>
    <row r="151" spans="1:12" ht="39.75" customHeight="1" x14ac:dyDescent="0.25">
      <c r="A151" s="7"/>
      <c r="B151" s="498" t="s">
        <v>1430</v>
      </c>
      <c r="C151" s="497" t="s">
        <v>1431</v>
      </c>
      <c r="D151" s="490" t="s">
        <v>335</v>
      </c>
      <c r="E151" s="492" t="s">
        <v>1432</v>
      </c>
      <c r="F151" s="499" t="s">
        <v>1433</v>
      </c>
      <c r="G151" s="499" t="s">
        <v>1068</v>
      </c>
      <c r="H151" s="494">
        <v>45792</v>
      </c>
      <c r="I151" s="495">
        <v>37491.449999999997</v>
      </c>
      <c r="J151" s="500">
        <f>$I$151</f>
        <v>37491.449999999997</v>
      </c>
      <c r="K151" s="7"/>
      <c r="L151" s="21"/>
    </row>
    <row r="152" spans="1:12" ht="15.75" customHeight="1" x14ac:dyDescent="0.25">
      <c r="A152" s="7"/>
      <c r="B152" s="699" t="s">
        <v>1434</v>
      </c>
      <c r="C152" s="537"/>
      <c r="D152" s="537"/>
      <c r="E152" s="537"/>
      <c r="F152" s="537"/>
      <c r="G152" s="537"/>
      <c r="H152" s="537"/>
      <c r="I152" s="537"/>
      <c r="J152" s="538"/>
      <c r="K152" s="7"/>
    </row>
    <row r="153" spans="1:12" ht="15.75" customHeight="1" x14ac:dyDescent="0.25">
      <c r="A153" s="7"/>
      <c r="B153" s="418" t="s">
        <v>1042</v>
      </c>
      <c r="C153" s="418" t="s">
        <v>1043</v>
      </c>
      <c r="D153" s="418" t="s">
        <v>23</v>
      </c>
      <c r="E153" s="418" t="s">
        <v>1044</v>
      </c>
      <c r="F153" s="418" t="s">
        <v>1045</v>
      </c>
      <c r="G153" s="418" t="s">
        <v>1046</v>
      </c>
      <c r="H153" s="419" t="s">
        <v>1047</v>
      </c>
      <c r="I153" s="418" t="s">
        <v>1048</v>
      </c>
      <c r="J153" s="419" t="s">
        <v>1049</v>
      </c>
      <c r="K153" s="7"/>
    </row>
    <row r="154" spans="1:12" ht="33" customHeight="1" x14ac:dyDescent="0.25">
      <c r="A154" s="7"/>
      <c r="B154" s="814" t="s">
        <v>1435</v>
      </c>
      <c r="C154" s="815" t="s">
        <v>1436</v>
      </c>
      <c r="D154" s="814" t="s">
        <v>1208</v>
      </c>
      <c r="E154" s="501" t="s">
        <v>1437</v>
      </c>
      <c r="F154" s="502" t="s">
        <v>1438</v>
      </c>
      <c r="G154" s="36" t="s">
        <v>1439</v>
      </c>
      <c r="H154" s="453">
        <v>46154</v>
      </c>
      <c r="I154" s="503">
        <v>640000</v>
      </c>
      <c r="J154" s="812">
        <f>AVERAGE(I154:$I$156)</f>
        <v>607766.66666666663</v>
      </c>
      <c r="K154" s="7"/>
    </row>
    <row r="155" spans="1:12" ht="34.5" customHeight="1" x14ac:dyDescent="0.25">
      <c r="A155" s="7"/>
      <c r="B155" s="549"/>
      <c r="C155" s="549"/>
      <c r="D155" s="549"/>
      <c r="E155" s="36" t="s">
        <v>1440</v>
      </c>
      <c r="F155" s="504" t="s">
        <v>1441</v>
      </c>
      <c r="G155" s="36" t="s">
        <v>1439</v>
      </c>
      <c r="H155" s="453" t="s">
        <v>1442</v>
      </c>
      <c r="I155" s="254">
        <v>605900</v>
      </c>
      <c r="J155" s="549"/>
      <c r="K155" s="7"/>
    </row>
    <row r="156" spans="1:12" ht="30" customHeight="1" x14ac:dyDescent="0.25">
      <c r="A156" s="7"/>
      <c r="B156" s="550"/>
      <c r="C156" s="550"/>
      <c r="D156" s="550"/>
      <c r="E156" s="505" t="s">
        <v>1443</v>
      </c>
      <c r="F156" s="506" t="s">
        <v>1444</v>
      </c>
      <c r="G156" s="126" t="s">
        <v>1439</v>
      </c>
      <c r="H156" s="474">
        <v>46154</v>
      </c>
      <c r="I156" s="507">
        <v>577400</v>
      </c>
      <c r="J156" s="803"/>
      <c r="K156" s="7"/>
      <c r="L156" s="21"/>
    </row>
    <row r="157" spans="1:12" ht="30" customHeight="1" x14ac:dyDescent="0.25">
      <c r="A157" s="7"/>
      <c r="B157" s="804" t="s">
        <v>1445</v>
      </c>
      <c r="C157" s="802" t="s">
        <v>1446</v>
      </c>
      <c r="D157" s="804" t="s">
        <v>1208</v>
      </c>
      <c r="E157" s="501" t="s">
        <v>1440</v>
      </c>
      <c r="F157" s="502" t="s">
        <v>1441</v>
      </c>
      <c r="G157" s="501" t="s">
        <v>1439</v>
      </c>
      <c r="H157" s="508">
        <v>46230</v>
      </c>
      <c r="I157" s="503">
        <v>605900</v>
      </c>
      <c r="J157" s="812">
        <f>AVERAGE(I157:$I$159)</f>
        <v>578233.33333333337</v>
      </c>
      <c r="K157" s="7"/>
    </row>
    <row r="158" spans="1:12" ht="30" customHeight="1" x14ac:dyDescent="0.25">
      <c r="A158" s="7"/>
      <c r="B158" s="549"/>
      <c r="C158" s="549"/>
      <c r="D158" s="549"/>
      <c r="E158" s="36" t="s">
        <v>1447</v>
      </c>
      <c r="F158" s="504" t="s">
        <v>1448</v>
      </c>
      <c r="G158" s="36" t="s">
        <v>1439</v>
      </c>
      <c r="H158" s="432">
        <v>46226</v>
      </c>
      <c r="I158" s="254">
        <v>575000</v>
      </c>
      <c r="J158" s="549"/>
      <c r="K158" s="7"/>
      <c r="L158" s="21"/>
    </row>
    <row r="159" spans="1:12" ht="30" customHeight="1" x14ac:dyDescent="0.25">
      <c r="A159" s="7"/>
      <c r="B159" s="550"/>
      <c r="C159" s="550"/>
      <c r="D159" s="550"/>
      <c r="E159" s="505" t="s">
        <v>1449</v>
      </c>
      <c r="F159" s="506" t="s">
        <v>1450</v>
      </c>
      <c r="G159" s="505" t="s">
        <v>1439</v>
      </c>
      <c r="H159" s="509">
        <v>46203</v>
      </c>
      <c r="I159" s="507">
        <v>553800</v>
      </c>
      <c r="J159" s="803"/>
      <c r="K159" s="7"/>
    </row>
    <row r="160" spans="1:12" ht="30" customHeight="1" x14ac:dyDescent="0.25">
      <c r="A160" s="7"/>
      <c r="B160" s="804" t="s">
        <v>1451</v>
      </c>
      <c r="C160" s="802" t="s">
        <v>1452</v>
      </c>
      <c r="D160" s="804" t="s">
        <v>1208</v>
      </c>
      <c r="E160" s="501" t="s">
        <v>1453</v>
      </c>
      <c r="F160" s="502" t="s">
        <v>1438</v>
      </c>
      <c r="G160" s="501" t="s">
        <v>1439</v>
      </c>
      <c r="H160" s="508">
        <v>46161</v>
      </c>
      <c r="I160" s="503">
        <v>769000</v>
      </c>
      <c r="J160" s="812">
        <f>AVERAGE(I160:$I$162)</f>
        <v>758000</v>
      </c>
      <c r="K160" s="7"/>
    </row>
    <row r="161" spans="1:12" ht="30" customHeight="1" x14ac:dyDescent="0.25">
      <c r="A161" s="7"/>
      <c r="B161" s="549"/>
      <c r="C161" s="549"/>
      <c r="D161" s="549"/>
      <c r="E161" s="36" t="s">
        <v>1454</v>
      </c>
      <c r="F161" s="504" t="s">
        <v>1455</v>
      </c>
      <c r="G161" s="36" t="s">
        <v>1439</v>
      </c>
      <c r="H161" s="432">
        <v>46009</v>
      </c>
      <c r="I161" s="254">
        <v>840000</v>
      </c>
      <c r="J161" s="549"/>
      <c r="K161" s="7"/>
    </row>
    <row r="162" spans="1:12" ht="39.75" customHeight="1" x14ac:dyDescent="0.25">
      <c r="A162" s="7"/>
      <c r="B162" s="803"/>
      <c r="C162" s="803"/>
      <c r="D162" s="803"/>
      <c r="E162" s="36" t="s">
        <v>1456</v>
      </c>
      <c r="F162" s="504" t="s">
        <v>1457</v>
      </c>
      <c r="G162" s="246" t="s">
        <v>1439</v>
      </c>
      <c r="H162" s="432">
        <v>45839</v>
      </c>
      <c r="I162" s="254">
        <v>665000</v>
      </c>
      <c r="J162" s="803"/>
      <c r="K162" s="7"/>
    </row>
    <row r="163" spans="1:12" ht="39.75" customHeight="1" x14ac:dyDescent="0.25">
      <c r="A163" s="7"/>
      <c r="B163" s="804" t="s">
        <v>1458</v>
      </c>
      <c r="C163" s="802" t="s">
        <v>1459</v>
      </c>
      <c r="D163" s="804" t="s">
        <v>1208</v>
      </c>
      <c r="E163" s="501" t="s">
        <v>1460</v>
      </c>
      <c r="F163" s="502" t="s">
        <v>1461</v>
      </c>
      <c r="G163" s="501" t="s">
        <v>1439</v>
      </c>
      <c r="H163" s="508">
        <v>46027</v>
      </c>
      <c r="I163" s="503">
        <v>839000</v>
      </c>
      <c r="J163" s="812">
        <f>AVERAGE(I163:$I$165)</f>
        <v>795000</v>
      </c>
      <c r="K163" s="7"/>
    </row>
    <row r="164" spans="1:12" ht="19.5" customHeight="1" x14ac:dyDescent="0.25">
      <c r="A164" s="7"/>
      <c r="B164" s="549"/>
      <c r="C164" s="549"/>
      <c r="D164" s="549"/>
      <c r="E164" s="36" t="s">
        <v>1462</v>
      </c>
      <c r="F164" s="504" t="s">
        <v>1463</v>
      </c>
      <c r="G164" s="36" t="s">
        <v>1439</v>
      </c>
      <c r="H164" s="432">
        <v>46021</v>
      </c>
      <c r="I164" s="254">
        <v>620000</v>
      </c>
      <c r="J164" s="549"/>
      <c r="K164" s="7"/>
    </row>
    <row r="165" spans="1:12" ht="15.75" customHeight="1" x14ac:dyDescent="0.25">
      <c r="A165" s="7"/>
      <c r="B165" s="803"/>
      <c r="C165" s="803"/>
      <c r="D165" s="803"/>
      <c r="E165" s="244" t="s">
        <v>1453</v>
      </c>
      <c r="F165" s="510" t="s">
        <v>1438</v>
      </c>
      <c r="G165" s="496" t="s">
        <v>1439</v>
      </c>
      <c r="H165" s="447">
        <v>46196</v>
      </c>
      <c r="I165" s="256">
        <v>926000</v>
      </c>
      <c r="J165" s="803"/>
      <c r="K165" s="7"/>
    </row>
    <row r="166" spans="1:12" ht="19.5" customHeight="1" x14ac:dyDescent="0.25">
      <c r="A166" s="7"/>
      <c r="B166" s="804" t="s">
        <v>1464</v>
      </c>
      <c r="C166" s="802" t="s">
        <v>1465</v>
      </c>
      <c r="D166" s="804" t="s">
        <v>1208</v>
      </c>
      <c r="E166" s="501" t="s">
        <v>1466</v>
      </c>
      <c r="F166" s="502" t="s">
        <v>1467</v>
      </c>
      <c r="G166" s="501" t="s">
        <v>1439</v>
      </c>
      <c r="H166" s="508">
        <v>46255</v>
      </c>
      <c r="I166" s="503">
        <v>514989</v>
      </c>
      <c r="J166" s="812">
        <f>AVERAGE(I166:$I$168)</f>
        <v>497963</v>
      </c>
      <c r="K166" s="7"/>
    </row>
    <row r="167" spans="1:12" ht="15" customHeight="1" x14ac:dyDescent="0.25">
      <c r="A167" s="7"/>
      <c r="B167" s="549"/>
      <c r="C167" s="549"/>
      <c r="D167" s="549"/>
      <c r="E167" s="36" t="s">
        <v>1468</v>
      </c>
      <c r="F167" s="504" t="s">
        <v>1469</v>
      </c>
      <c r="G167" s="36" t="s">
        <v>1439</v>
      </c>
      <c r="H167" s="432">
        <v>46171</v>
      </c>
      <c r="I167" s="254">
        <v>506900</v>
      </c>
      <c r="J167" s="549"/>
      <c r="K167" s="7"/>
    </row>
    <row r="168" spans="1:12" ht="54.75" customHeight="1" x14ac:dyDescent="0.25">
      <c r="A168" s="7"/>
      <c r="B168" s="803"/>
      <c r="C168" s="803"/>
      <c r="D168" s="803"/>
      <c r="E168" s="505" t="s">
        <v>1470</v>
      </c>
      <c r="F168" s="506" t="s">
        <v>1471</v>
      </c>
      <c r="G168" s="505" t="s">
        <v>1439</v>
      </c>
      <c r="H168" s="509">
        <v>46059</v>
      </c>
      <c r="I168" s="507">
        <v>472000</v>
      </c>
      <c r="J168" s="803"/>
      <c r="K168" s="7"/>
    </row>
    <row r="169" spans="1:12" ht="15" customHeight="1" x14ac:dyDescent="0.25">
      <c r="A169" s="7"/>
      <c r="B169" s="814" t="s">
        <v>1472</v>
      </c>
      <c r="C169" s="815" t="s">
        <v>1473</v>
      </c>
      <c r="D169" s="814" t="s">
        <v>1208</v>
      </c>
      <c r="E169" s="511" t="s">
        <v>1466</v>
      </c>
      <c r="F169" s="512" t="s">
        <v>1467</v>
      </c>
      <c r="G169" s="501" t="s">
        <v>1439</v>
      </c>
      <c r="H169" s="513">
        <v>46255</v>
      </c>
      <c r="I169" s="503">
        <v>553000</v>
      </c>
      <c r="J169" s="812">
        <f>AVERAGE(I169:$I$171)</f>
        <v>546933.33333333337</v>
      </c>
      <c r="K169" s="7"/>
    </row>
    <row r="170" spans="1:12" ht="20.25" customHeight="1" x14ac:dyDescent="0.25">
      <c r="A170" s="7"/>
      <c r="B170" s="549"/>
      <c r="C170" s="549"/>
      <c r="D170" s="549"/>
      <c r="E170" s="36" t="s">
        <v>1474</v>
      </c>
      <c r="F170" s="514" t="s">
        <v>1475</v>
      </c>
      <c r="G170" s="36" t="s">
        <v>1439</v>
      </c>
      <c r="H170" s="432">
        <v>46168</v>
      </c>
      <c r="I170" s="254">
        <v>531800</v>
      </c>
      <c r="J170" s="549"/>
      <c r="K170" s="7"/>
    </row>
    <row r="171" spans="1:12" ht="55.5" customHeight="1" x14ac:dyDescent="0.25">
      <c r="A171" s="7"/>
      <c r="B171" s="803"/>
      <c r="C171" s="803"/>
      <c r="D171" s="803"/>
      <c r="E171" s="244" t="s">
        <v>1476</v>
      </c>
      <c r="F171" s="515" t="s">
        <v>1477</v>
      </c>
      <c r="G171" s="244" t="s">
        <v>1439</v>
      </c>
      <c r="H171" s="447">
        <v>46219</v>
      </c>
      <c r="I171" s="256">
        <v>556000</v>
      </c>
      <c r="J171" s="803"/>
      <c r="K171" s="7"/>
    </row>
    <row r="172" spans="1:12" ht="15" customHeight="1" x14ac:dyDescent="0.25">
      <c r="A172" s="7"/>
      <c r="B172" s="814" t="s">
        <v>1478</v>
      </c>
      <c r="C172" s="815" t="s">
        <v>1479</v>
      </c>
      <c r="D172" s="814" t="s">
        <v>1208</v>
      </c>
      <c r="E172" s="511" t="s">
        <v>1474</v>
      </c>
      <c r="F172" s="512" t="s">
        <v>1480</v>
      </c>
      <c r="G172" s="501" t="s">
        <v>1439</v>
      </c>
      <c r="H172" s="513">
        <v>46255</v>
      </c>
      <c r="I172" s="503">
        <v>413900</v>
      </c>
      <c r="J172" s="813">
        <f>AVERAGE(I172:$I$174)</f>
        <v>414230</v>
      </c>
      <c r="K172" s="7"/>
    </row>
    <row r="173" spans="1:12" ht="15.75" customHeight="1" x14ac:dyDescent="0.25">
      <c r="A173" s="7"/>
      <c r="B173" s="549"/>
      <c r="C173" s="549"/>
      <c r="D173" s="549"/>
      <c r="E173" s="36" t="s">
        <v>1476</v>
      </c>
      <c r="F173" s="514" t="s">
        <v>1481</v>
      </c>
      <c r="G173" s="36" t="s">
        <v>1439</v>
      </c>
      <c r="H173" s="432">
        <v>46260</v>
      </c>
      <c r="I173" s="254">
        <v>432290</v>
      </c>
      <c r="J173" s="549"/>
      <c r="K173" s="7"/>
      <c r="L173" s="21"/>
    </row>
    <row r="174" spans="1:12" ht="46.5" customHeight="1" x14ac:dyDescent="0.25">
      <c r="A174" s="7"/>
      <c r="B174" s="803"/>
      <c r="C174" s="803"/>
      <c r="D174" s="803"/>
      <c r="E174" s="244" t="s">
        <v>1482</v>
      </c>
      <c r="F174" s="515" t="s">
        <v>1483</v>
      </c>
      <c r="G174" s="244" t="s">
        <v>1439</v>
      </c>
      <c r="H174" s="447">
        <v>46234</v>
      </c>
      <c r="I174" s="256">
        <v>396500</v>
      </c>
      <c r="J174" s="803"/>
      <c r="K174" s="7"/>
      <c r="L174" s="21"/>
    </row>
    <row r="175" spans="1:12" ht="15" customHeight="1" x14ac:dyDescent="0.25">
      <c r="A175" s="7"/>
      <c r="B175" s="814" t="s">
        <v>1484</v>
      </c>
      <c r="C175" s="815" t="s">
        <v>1485</v>
      </c>
      <c r="D175" s="814" t="s">
        <v>1208</v>
      </c>
      <c r="E175" s="501" t="s">
        <v>1486</v>
      </c>
      <c r="F175" s="512" t="s">
        <v>1487</v>
      </c>
      <c r="G175" s="501" t="s">
        <v>1439</v>
      </c>
      <c r="H175" s="508">
        <v>46107</v>
      </c>
      <c r="I175" s="503">
        <v>455000</v>
      </c>
      <c r="J175" s="813">
        <f>AVERAGE(I175:$I$177)</f>
        <v>434950</v>
      </c>
      <c r="K175" s="7"/>
      <c r="L175" s="21"/>
    </row>
    <row r="176" spans="1:12" ht="39.75" customHeight="1" x14ac:dyDescent="0.25">
      <c r="A176" s="7"/>
      <c r="B176" s="549"/>
      <c r="C176" s="549"/>
      <c r="D176" s="549"/>
      <c r="E176" s="36" t="s">
        <v>1474</v>
      </c>
      <c r="F176" s="514" t="s">
        <v>1480</v>
      </c>
      <c r="G176" s="36" t="s">
        <v>1439</v>
      </c>
      <c r="H176" s="432">
        <v>46255</v>
      </c>
      <c r="I176" s="254">
        <v>484000</v>
      </c>
      <c r="J176" s="549"/>
      <c r="K176" s="7"/>
    </row>
    <row r="177" spans="1:11" ht="39.75" customHeight="1" x14ac:dyDescent="0.25">
      <c r="A177" s="7"/>
      <c r="B177" s="803"/>
      <c r="C177" s="803"/>
      <c r="D177" s="803"/>
      <c r="E177" s="244" t="s">
        <v>1482</v>
      </c>
      <c r="F177" s="515" t="s">
        <v>1483</v>
      </c>
      <c r="G177" s="244" t="s">
        <v>1439</v>
      </c>
      <c r="H177" s="447">
        <v>46126</v>
      </c>
      <c r="I177" s="256">
        <v>365850</v>
      </c>
      <c r="J177" s="803"/>
      <c r="K177" s="7"/>
    </row>
    <row r="178" spans="1:11" ht="39.75" customHeight="1" x14ac:dyDescent="0.25">
      <c r="A178" s="7"/>
      <c r="B178" s="699" t="s">
        <v>1488</v>
      </c>
      <c r="C178" s="537"/>
      <c r="D178" s="537"/>
      <c r="E178" s="537"/>
      <c r="F178" s="537"/>
      <c r="G178" s="537"/>
      <c r="H178" s="537"/>
      <c r="I178" s="537"/>
      <c r="J178" s="538"/>
      <c r="K178" s="7"/>
    </row>
    <row r="179" spans="1:11" ht="30" customHeight="1" x14ac:dyDescent="0.25">
      <c r="A179" s="7"/>
      <c r="B179" s="418" t="s">
        <v>1042</v>
      </c>
      <c r="C179" s="418" t="s">
        <v>1043</v>
      </c>
      <c r="D179" s="418" t="s">
        <v>23</v>
      </c>
      <c r="E179" s="418" t="s">
        <v>1044</v>
      </c>
      <c r="F179" s="418" t="s">
        <v>1045</v>
      </c>
      <c r="G179" s="418" t="s">
        <v>1046</v>
      </c>
      <c r="H179" s="419" t="s">
        <v>1047</v>
      </c>
      <c r="I179" s="418" t="s">
        <v>1048</v>
      </c>
      <c r="J179" s="419" t="s">
        <v>1049</v>
      </c>
      <c r="K179" s="7"/>
    </row>
    <row r="180" spans="1:11" ht="30" customHeight="1" x14ac:dyDescent="0.25">
      <c r="A180" s="7"/>
      <c r="B180" s="814" t="s">
        <v>1489</v>
      </c>
      <c r="C180" s="815" t="s">
        <v>1490</v>
      </c>
      <c r="D180" s="814" t="s">
        <v>335</v>
      </c>
      <c r="E180" s="455" t="s">
        <v>1491</v>
      </c>
      <c r="F180" s="455" t="s">
        <v>1492</v>
      </c>
      <c r="G180" s="472" t="s">
        <v>1493</v>
      </c>
      <c r="H180" s="425">
        <v>45693</v>
      </c>
      <c r="I180" s="426">
        <v>96495.59</v>
      </c>
      <c r="J180" s="812">
        <f>AVERAGE(I180:$I$182)</f>
        <v>92215.736666666679</v>
      </c>
      <c r="K180" s="7"/>
    </row>
    <row r="181" spans="1:11" ht="30" customHeight="1" x14ac:dyDescent="0.25">
      <c r="A181" s="7"/>
      <c r="B181" s="549"/>
      <c r="C181" s="549"/>
      <c r="D181" s="549"/>
      <c r="E181" s="428" t="s">
        <v>1494</v>
      </c>
      <c r="F181" s="477" t="s">
        <v>1495</v>
      </c>
      <c r="G181" s="431" t="s">
        <v>1496</v>
      </c>
      <c r="H181" s="442">
        <v>45488</v>
      </c>
      <c r="I181" s="250">
        <v>87608.73</v>
      </c>
      <c r="J181" s="549"/>
      <c r="K181" s="7"/>
    </row>
    <row r="182" spans="1:11" ht="67.5" customHeight="1" x14ac:dyDescent="0.25">
      <c r="A182" s="7"/>
      <c r="B182" s="803"/>
      <c r="C182" s="803"/>
      <c r="D182" s="803"/>
      <c r="E182" s="478" t="s">
        <v>1497</v>
      </c>
      <c r="F182" s="433" t="s">
        <v>1498</v>
      </c>
      <c r="G182" s="435" t="s">
        <v>1499</v>
      </c>
      <c r="H182" s="436">
        <v>45491</v>
      </c>
      <c r="I182" s="252">
        <v>92542.89</v>
      </c>
      <c r="J182" s="803"/>
      <c r="K182" s="7"/>
    </row>
    <row r="183" spans="1:11" ht="15" customHeight="1" x14ac:dyDescent="0.25">
      <c r="A183" s="7"/>
      <c r="B183" s="814" t="s">
        <v>1500</v>
      </c>
      <c r="C183" s="815" t="s">
        <v>1501</v>
      </c>
      <c r="D183" s="814" t="s">
        <v>335</v>
      </c>
      <c r="E183" s="477" t="s">
        <v>1502</v>
      </c>
      <c r="F183" s="473" t="s">
        <v>1503</v>
      </c>
      <c r="G183" s="455" t="s">
        <v>1068</v>
      </c>
      <c r="H183" s="476">
        <v>45748</v>
      </c>
      <c r="I183" s="475">
        <v>114079.26</v>
      </c>
      <c r="J183" s="812">
        <f>AVERAGE(I183:$I$185)</f>
        <v>112802.76</v>
      </c>
      <c r="K183" s="7"/>
    </row>
    <row r="184" spans="1:11" ht="15.75" customHeight="1" x14ac:dyDescent="0.25">
      <c r="A184" s="7"/>
      <c r="B184" s="549"/>
      <c r="C184" s="549"/>
      <c r="D184" s="549"/>
      <c r="E184" s="428" t="s">
        <v>1504</v>
      </c>
      <c r="F184" s="429" t="s">
        <v>1495</v>
      </c>
      <c r="G184" s="431" t="s">
        <v>1505</v>
      </c>
      <c r="H184" s="432">
        <v>45565</v>
      </c>
      <c r="I184" s="250">
        <v>111359.6</v>
      </c>
      <c r="J184" s="549"/>
      <c r="K184" s="7"/>
    </row>
    <row r="185" spans="1:11" ht="66" customHeight="1" x14ac:dyDescent="0.25">
      <c r="A185" s="7"/>
      <c r="B185" s="803"/>
      <c r="C185" s="803"/>
      <c r="D185" s="803"/>
      <c r="E185" s="433" t="s">
        <v>1506</v>
      </c>
      <c r="F185" s="466" t="s">
        <v>1507</v>
      </c>
      <c r="G185" s="470" t="s">
        <v>1508</v>
      </c>
      <c r="H185" s="467">
        <v>45638</v>
      </c>
      <c r="I185" s="464">
        <v>112969.42</v>
      </c>
      <c r="J185" s="803"/>
      <c r="K185" s="7"/>
    </row>
    <row r="186" spans="1:11" ht="15" customHeight="1" x14ac:dyDescent="0.25">
      <c r="A186" s="7"/>
      <c r="B186" s="814" t="s">
        <v>1509</v>
      </c>
      <c r="C186" s="802" t="s">
        <v>1510</v>
      </c>
      <c r="D186" s="804" t="s">
        <v>335</v>
      </c>
      <c r="E186" s="516" t="s">
        <v>1511</v>
      </c>
      <c r="F186" s="422" t="s">
        <v>1512</v>
      </c>
      <c r="G186" s="517" t="s">
        <v>1068</v>
      </c>
      <c r="H186" s="445">
        <v>45763</v>
      </c>
      <c r="I186" s="441">
        <v>132741.43</v>
      </c>
      <c r="J186" s="811">
        <f>AVERAGE(I186:$I$188)</f>
        <v>147494.21333333335</v>
      </c>
      <c r="K186" s="7"/>
    </row>
    <row r="187" spans="1:11" ht="45" customHeight="1" x14ac:dyDescent="0.25">
      <c r="A187" s="7"/>
      <c r="B187" s="549"/>
      <c r="C187" s="549"/>
      <c r="D187" s="549"/>
      <c r="E187" s="428" t="s">
        <v>1513</v>
      </c>
      <c r="F187" s="428" t="s">
        <v>1514</v>
      </c>
      <c r="G187" s="518" t="s">
        <v>1068</v>
      </c>
      <c r="H187" s="432">
        <v>45763</v>
      </c>
      <c r="I187" s="250">
        <v>152245.68</v>
      </c>
      <c r="J187" s="549"/>
      <c r="K187" s="7"/>
    </row>
    <row r="188" spans="1:11" ht="15.75" customHeight="1" x14ac:dyDescent="0.25">
      <c r="A188" s="7"/>
      <c r="B188" s="803"/>
      <c r="C188" s="803"/>
      <c r="D188" s="803"/>
      <c r="E188" s="433" t="s">
        <v>1515</v>
      </c>
      <c r="F188" s="434" t="s">
        <v>1516</v>
      </c>
      <c r="G188" s="488" t="s">
        <v>1068</v>
      </c>
      <c r="H188" s="447">
        <v>45763</v>
      </c>
      <c r="I188" s="252">
        <v>157495.53</v>
      </c>
      <c r="J188" s="803"/>
      <c r="K188" s="7"/>
    </row>
    <row r="189" spans="1:11" ht="15.75" customHeight="1" x14ac:dyDescent="0.25">
      <c r="A189" s="7"/>
      <c r="B189" s="699" t="s">
        <v>1517</v>
      </c>
      <c r="C189" s="537"/>
      <c r="D189" s="537"/>
      <c r="E189" s="537"/>
      <c r="F189" s="537"/>
      <c r="G189" s="537"/>
      <c r="H189" s="537"/>
      <c r="I189" s="537"/>
      <c r="J189" s="538"/>
      <c r="K189" s="7"/>
    </row>
    <row r="190" spans="1:11" ht="15.75" customHeight="1" x14ac:dyDescent="0.25">
      <c r="A190" s="7"/>
      <c r="B190" s="418" t="s">
        <v>1042</v>
      </c>
      <c r="C190" s="418" t="s">
        <v>1043</v>
      </c>
      <c r="D190" s="418" t="s">
        <v>23</v>
      </c>
      <c r="E190" s="418" t="s">
        <v>1044</v>
      </c>
      <c r="F190" s="418" t="s">
        <v>1045</v>
      </c>
      <c r="G190" s="418" t="s">
        <v>1046</v>
      </c>
      <c r="H190" s="419" t="s">
        <v>1047</v>
      </c>
      <c r="I190" s="418" t="s">
        <v>1048</v>
      </c>
      <c r="J190" s="419" t="s">
        <v>1049</v>
      </c>
      <c r="K190" s="7"/>
    </row>
    <row r="191" spans="1:11" ht="20.25" customHeight="1" x14ac:dyDescent="0.25">
      <c r="A191" s="7"/>
      <c r="B191" s="804" t="s">
        <v>1518</v>
      </c>
      <c r="C191" s="802" t="s">
        <v>1519</v>
      </c>
      <c r="D191" s="804" t="s">
        <v>335</v>
      </c>
      <c r="E191" s="422" t="s">
        <v>1520</v>
      </c>
      <c r="F191" s="438" t="s">
        <v>1521</v>
      </c>
      <c r="G191" s="439" t="s">
        <v>1068</v>
      </c>
      <c r="H191" s="445">
        <v>45769</v>
      </c>
      <c r="I191" s="441">
        <v>1783.9</v>
      </c>
      <c r="J191" s="806">
        <f>AVERAGE(I191:$I$194)</f>
        <v>1744.5825</v>
      </c>
      <c r="K191" s="7"/>
    </row>
    <row r="192" spans="1:11" ht="15.75" customHeight="1" x14ac:dyDescent="0.25">
      <c r="A192" s="7"/>
      <c r="B192" s="549"/>
      <c r="C192" s="549"/>
      <c r="D192" s="549"/>
      <c r="E192" s="428" t="s">
        <v>1522</v>
      </c>
      <c r="F192" s="429" t="s">
        <v>1523</v>
      </c>
      <c r="G192" s="446" t="s">
        <v>1068</v>
      </c>
      <c r="H192" s="432">
        <v>45769</v>
      </c>
      <c r="I192" s="250">
        <v>1718.37</v>
      </c>
      <c r="J192" s="549"/>
      <c r="K192" s="7"/>
    </row>
    <row r="193" spans="1:11" ht="15.75" customHeight="1" x14ac:dyDescent="0.25">
      <c r="A193" s="7"/>
      <c r="B193" s="549"/>
      <c r="C193" s="549"/>
      <c r="D193" s="549"/>
      <c r="E193" s="428" t="s">
        <v>1524</v>
      </c>
      <c r="F193" s="429" t="s">
        <v>1525</v>
      </c>
      <c r="G193" s="428" t="s">
        <v>1068</v>
      </c>
      <c r="H193" s="432">
        <v>45770</v>
      </c>
      <c r="I193" s="250">
        <v>1784.95</v>
      </c>
      <c r="J193" s="549"/>
      <c r="K193" s="7"/>
    </row>
    <row r="194" spans="1:11" ht="53.25" customHeight="1" x14ac:dyDescent="0.25">
      <c r="A194" s="7"/>
      <c r="B194" s="803"/>
      <c r="C194" s="803"/>
      <c r="D194" s="803"/>
      <c r="E194" s="433" t="s">
        <v>1526</v>
      </c>
      <c r="F194" s="434" t="s">
        <v>1527</v>
      </c>
      <c r="G194" s="435" t="s">
        <v>1528</v>
      </c>
      <c r="H194" s="447">
        <v>45527</v>
      </c>
      <c r="I194" s="252">
        <v>1691.11</v>
      </c>
      <c r="J194" s="803"/>
      <c r="K194" s="7"/>
    </row>
    <row r="195" spans="1:11" ht="15" customHeight="1" x14ac:dyDescent="0.25">
      <c r="A195" s="7"/>
      <c r="B195" s="814" t="s">
        <v>1529</v>
      </c>
      <c r="C195" s="815" t="s">
        <v>1530</v>
      </c>
      <c r="D195" s="814" t="s">
        <v>335</v>
      </c>
      <c r="E195" s="455" t="s">
        <v>1531</v>
      </c>
      <c r="F195" s="519" t="s">
        <v>1532</v>
      </c>
      <c r="G195" s="444" t="s">
        <v>1533</v>
      </c>
      <c r="H195" s="453">
        <v>45684</v>
      </c>
      <c r="I195" s="426">
        <v>278.52</v>
      </c>
      <c r="J195" s="812">
        <f>AVERAGE(I195:$I$197)</f>
        <v>287.16666666666669</v>
      </c>
      <c r="K195" s="7"/>
    </row>
    <row r="196" spans="1:11" ht="15.75" customHeight="1" x14ac:dyDescent="0.25">
      <c r="A196" s="7"/>
      <c r="B196" s="549"/>
      <c r="C196" s="549"/>
      <c r="D196" s="549"/>
      <c r="E196" s="428" t="s">
        <v>1534</v>
      </c>
      <c r="F196" s="429" t="s">
        <v>1535</v>
      </c>
      <c r="G196" s="431" t="s">
        <v>1536</v>
      </c>
      <c r="H196" s="432">
        <v>45715</v>
      </c>
      <c r="I196" s="250">
        <v>259.69</v>
      </c>
      <c r="J196" s="549"/>
      <c r="K196" s="7"/>
    </row>
    <row r="197" spans="1:11" ht="20.25" customHeight="1" x14ac:dyDescent="0.25">
      <c r="A197" s="7"/>
      <c r="B197" s="803"/>
      <c r="C197" s="803"/>
      <c r="D197" s="803"/>
      <c r="E197" s="434" t="s">
        <v>1537</v>
      </c>
      <c r="F197" s="434" t="s">
        <v>1538</v>
      </c>
      <c r="G197" s="449" t="s">
        <v>1068</v>
      </c>
      <c r="H197" s="447">
        <v>45789</v>
      </c>
      <c r="I197" s="252">
        <v>323.29000000000002</v>
      </c>
      <c r="J197" s="803"/>
      <c r="K197" s="7"/>
    </row>
    <row r="198" spans="1:11" ht="15" customHeight="1" x14ac:dyDescent="0.25">
      <c r="A198" s="7"/>
      <c r="B198" s="814" t="s">
        <v>1539</v>
      </c>
      <c r="C198" s="815" t="s">
        <v>1540</v>
      </c>
      <c r="D198" s="814" t="s">
        <v>335</v>
      </c>
      <c r="E198" s="443" t="s">
        <v>1541</v>
      </c>
      <c r="F198" s="519" t="s">
        <v>1542</v>
      </c>
      <c r="G198" s="431" t="s">
        <v>1068</v>
      </c>
      <c r="H198" s="453">
        <v>45757</v>
      </c>
      <c r="I198" s="426">
        <v>375.48</v>
      </c>
      <c r="J198" s="812">
        <f>AVERAGE(I198:$I$200)</f>
        <v>374.19333333333338</v>
      </c>
      <c r="K198" s="7"/>
    </row>
    <row r="199" spans="1:11" ht="15.75" customHeight="1" x14ac:dyDescent="0.25">
      <c r="A199" s="7"/>
      <c r="B199" s="549"/>
      <c r="C199" s="549"/>
      <c r="D199" s="549"/>
      <c r="E199" s="520" t="s">
        <v>1537</v>
      </c>
      <c r="F199" s="429" t="s">
        <v>1538</v>
      </c>
      <c r="G199" s="431" t="s">
        <v>1068</v>
      </c>
      <c r="H199" s="453">
        <v>45798</v>
      </c>
      <c r="I199" s="250">
        <v>372.19</v>
      </c>
      <c r="J199" s="549"/>
      <c r="K199" s="7"/>
    </row>
    <row r="200" spans="1:11" ht="15" customHeight="1" x14ac:dyDescent="0.25">
      <c r="A200" s="7"/>
      <c r="B200" s="803"/>
      <c r="C200" s="803"/>
      <c r="D200" s="803"/>
      <c r="E200" s="521" t="s">
        <v>1543</v>
      </c>
      <c r="F200" s="434" t="s">
        <v>1544</v>
      </c>
      <c r="G200" s="449" t="s">
        <v>1068</v>
      </c>
      <c r="H200" s="447">
        <v>45790</v>
      </c>
      <c r="I200" s="252">
        <v>374.91</v>
      </c>
      <c r="J200" s="803"/>
      <c r="K200" s="7"/>
    </row>
    <row r="201" spans="1:11" ht="15" customHeight="1" x14ac:dyDescent="0.25">
      <c r="A201" s="7"/>
      <c r="B201" s="814" t="s">
        <v>1545</v>
      </c>
      <c r="C201" s="815" t="s">
        <v>1546</v>
      </c>
      <c r="D201" s="814" t="s">
        <v>335</v>
      </c>
      <c r="E201" s="428" t="s">
        <v>1547</v>
      </c>
      <c r="F201" s="429" t="s">
        <v>1548</v>
      </c>
      <c r="G201" s="423" t="s">
        <v>1549</v>
      </c>
      <c r="H201" s="453">
        <v>45715</v>
      </c>
      <c r="I201" s="250">
        <v>731.67</v>
      </c>
      <c r="J201" s="812">
        <f>AVERAGE(I201:$I$203)</f>
        <v>720.73666666666668</v>
      </c>
      <c r="K201" s="7"/>
    </row>
    <row r="202" spans="1:11" ht="15.75" customHeight="1" x14ac:dyDescent="0.25">
      <c r="A202" s="7"/>
      <c r="B202" s="549"/>
      <c r="C202" s="549"/>
      <c r="D202" s="549"/>
      <c r="E202" s="429" t="s">
        <v>1543</v>
      </c>
      <c r="F202" s="429" t="s">
        <v>1544</v>
      </c>
      <c r="G202" s="431" t="s">
        <v>1068</v>
      </c>
      <c r="H202" s="453">
        <v>45790</v>
      </c>
      <c r="I202" s="250">
        <v>750.88</v>
      </c>
      <c r="J202" s="549"/>
      <c r="K202" s="7"/>
    </row>
    <row r="203" spans="1:11" ht="15.75" customHeight="1" x14ac:dyDescent="0.25">
      <c r="A203" s="7"/>
      <c r="B203" s="803"/>
      <c r="C203" s="803"/>
      <c r="D203" s="803"/>
      <c r="E203" s="521" t="s">
        <v>1550</v>
      </c>
      <c r="F203" s="434" t="s">
        <v>1551</v>
      </c>
      <c r="G203" s="449" t="s">
        <v>1068</v>
      </c>
      <c r="H203" s="447">
        <v>45790</v>
      </c>
      <c r="I203" s="252">
        <v>679.66</v>
      </c>
      <c r="J203" s="803"/>
      <c r="K203" s="7"/>
    </row>
    <row r="204" spans="1:11" ht="15" customHeight="1" x14ac:dyDescent="0.25">
      <c r="A204" s="7"/>
      <c r="B204" s="814" t="s">
        <v>1552</v>
      </c>
      <c r="C204" s="815" t="s">
        <v>1553</v>
      </c>
      <c r="D204" s="814" t="s">
        <v>335</v>
      </c>
      <c r="E204" s="428" t="s">
        <v>1543</v>
      </c>
      <c r="F204" s="429" t="s">
        <v>1544</v>
      </c>
      <c r="G204" s="431" t="s">
        <v>1068</v>
      </c>
      <c r="H204" s="453">
        <v>45775</v>
      </c>
      <c r="I204" s="250">
        <v>932.37</v>
      </c>
      <c r="J204" s="812">
        <f>AVERAGE(I204:$I$206)</f>
        <v>937.62333333333333</v>
      </c>
      <c r="K204" s="7"/>
    </row>
    <row r="205" spans="1:11" ht="15.75" customHeight="1" x14ac:dyDescent="0.25">
      <c r="A205" s="7"/>
      <c r="B205" s="549"/>
      <c r="C205" s="549"/>
      <c r="D205" s="549"/>
      <c r="E205" s="429" t="s">
        <v>1554</v>
      </c>
      <c r="F205" s="429" t="s">
        <v>1555</v>
      </c>
      <c r="G205" s="431" t="s">
        <v>1068</v>
      </c>
      <c r="H205" s="453">
        <v>45790</v>
      </c>
      <c r="I205" s="250">
        <v>877.36</v>
      </c>
      <c r="J205" s="549"/>
      <c r="K205" s="7"/>
    </row>
    <row r="206" spans="1:11" ht="15" customHeight="1" x14ac:dyDescent="0.25">
      <c r="A206" s="7"/>
      <c r="B206" s="803"/>
      <c r="C206" s="803"/>
      <c r="D206" s="803"/>
      <c r="E206" s="521" t="s">
        <v>1537</v>
      </c>
      <c r="F206" s="434" t="s">
        <v>1538</v>
      </c>
      <c r="G206" s="449" t="s">
        <v>1068</v>
      </c>
      <c r="H206" s="447">
        <v>45775</v>
      </c>
      <c r="I206" s="252">
        <v>1003.14</v>
      </c>
      <c r="J206" s="803"/>
      <c r="K206" s="7"/>
    </row>
    <row r="207" spans="1:11" ht="15" customHeight="1" x14ac:dyDescent="0.25">
      <c r="A207" s="7"/>
      <c r="B207" s="814" t="s">
        <v>1556</v>
      </c>
      <c r="C207" s="815" t="s">
        <v>1557</v>
      </c>
      <c r="D207" s="814" t="s">
        <v>335</v>
      </c>
      <c r="E207" s="443" t="s">
        <v>1558</v>
      </c>
      <c r="F207" s="519" t="s">
        <v>1559</v>
      </c>
      <c r="G207" s="431" t="s">
        <v>1068</v>
      </c>
      <c r="H207" s="453">
        <v>45790</v>
      </c>
      <c r="I207" s="426">
        <v>1915.42</v>
      </c>
      <c r="J207" s="812">
        <f>AVERAGE(I207:$I$209)</f>
        <v>2090.67</v>
      </c>
      <c r="K207" s="7"/>
    </row>
    <row r="208" spans="1:11" ht="15.75" customHeight="1" x14ac:dyDescent="0.25">
      <c r="A208" s="7"/>
      <c r="B208" s="549"/>
      <c r="C208" s="549"/>
      <c r="D208" s="549"/>
      <c r="E208" s="520" t="s">
        <v>1560</v>
      </c>
      <c r="F208" s="429" t="s">
        <v>1561</v>
      </c>
      <c r="G208" s="431" t="s">
        <v>1068</v>
      </c>
      <c r="H208" s="453">
        <v>45757</v>
      </c>
      <c r="I208" s="250">
        <v>2320.4299999999998</v>
      </c>
      <c r="J208" s="549"/>
      <c r="K208" s="7"/>
    </row>
    <row r="209" spans="1:11" ht="15" customHeight="1" x14ac:dyDescent="0.25">
      <c r="A209" s="7"/>
      <c r="B209" s="803"/>
      <c r="C209" s="803"/>
      <c r="D209" s="803"/>
      <c r="E209" s="522" t="s">
        <v>1537</v>
      </c>
      <c r="F209" s="434" t="s">
        <v>1538</v>
      </c>
      <c r="G209" s="449" t="s">
        <v>1068</v>
      </c>
      <c r="H209" s="447">
        <v>45790</v>
      </c>
      <c r="I209" s="252">
        <v>2036.16</v>
      </c>
      <c r="J209" s="803"/>
      <c r="K209" s="7"/>
    </row>
    <row r="210" spans="1:11" ht="15" customHeight="1" x14ac:dyDescent="0.25">
      <c r="A210" s="7"/>
      <c r="B210" s="814" t="s">
        <v>1562</v>
      </c>
      <c r="C210" s="815" t="s">
        <v>1563</v>
      </c>
      <c r="D210" s="814" t="s">
        <v>335</v>
      </c>
      <c r="E210" s="443" t="s">
        <v>1564</v>
      </c>
      <c r="F210" s="519" t="s">
        <v>1565</v>
      </c>
      <c r="G210" s="431" t="s">
        <v>1068</v>
      </c>
      <c r="H210" s="453">
        <v>45764</v>
      </c>
      <c r="I210" s="426">
        <v>261.33999999999997</v>
      </c>
      <c r="J210" s="812">
        <f>AVERAGE(I210:$I$212)</f>
        <v>246.76666666666665</v>
      </c>
      <c r="K210" s="7"/>
    </row>
    <row r="211" spans="1:11" ht="15.75" customHeight="1" x14ac:dyDescent="0.25">
      <c r="A211" s="7"/>
      <c r="B211" s="549"/>
      <c r="C211" s="549"/>
      <c r="D211" s="549"/>
      <c r="E211" s="428" t="s">
        <v>1543</v>
      </c>
      <c r="F211" s="429" t="s">
        <v>1544</v>
      </c>
      <c r="G211" s="431" t="s">
        <v>1068</v>
      </c>
      <c r="H211" s="453">
        <v>45764</v>
      </c>
      <c r="I211" s="250">
        <v>247.79</v>
      </c>
      <c r="J211" s="549"/>
      <c r="K211" s="7"/>
    </row>
    <row r="212" spans="1:11" ht="15" customHeight="1" x14ac:dyDescent="0.25">
      <c r="A212" s="7"/>
      <c r="B212" s="803"/>
      <c r="C212" s="803"/>
      <c r="D212" s="803"/>
      <c r="E212" s="434" t="s">
        <v>1554</v>
      </c>
      <c r="F212" s="434" t="s">
        <v>1555</v>
      </c>
      <c r="G212" s="435" t="s">
        <v>1068</v>
      </c>
      <c r="H212" s="447">
        <v>45764</v>
      </c>
      <c r="I212" s="252">
        <v>231.17</v>
      </c>
      <c r="J212" s="803"/>
      <c r="K212" s="7"/>
    </row>
    <row r="213" spans="1:11" ht="15" customHeight="1" x14ac:dyDescent="0.25">
      <c r="A213" s="7"/>
      <c r="B213" s="814" t="s">
        <v>1566</v>
      </c>
      <c r="C213" s="815" t="s">
        <v>1567</v>
      </c>
      <c r="D213" s="814" t="s">
        <v>369</v>
      </c>
      <c r="E213" s="455" t="s">
        <v>1568</v>
      </c>
      <c r="F213" s="455" t="s">
        <v>1569</v>
      </c>
      <c r="G213" s="480" t="s">
        <v>1068</v>
      </c>
      <c r="H213" s="453">
        <v>45743</v>
      </c>
      <c r="I213" s="426">
        <v>46.4</v>
      </c>
      <c r="J213" s="812">
        <f>AVERAGE(I213:$I$215)</f>
        <v>43.476666666666659</v>
      </c>
      <c r="K213" s="7"/>
    </row>
    <row r="214" spans="1:11" ht="15.75" customHeight="1" x14ac:dyDescent="0.25">
      <c r="A214" s="7"/>
      <c r="B214" s="549"/>
      <c r="C214" s="549"/>
      <c r="D214" s="549"/>
      <c r="E214" s="428" t="s">
        <v>1570</v>
      </c>
      <c r="F214" s="429" t="s">
        <v>1571</v>
      </c>
      <c r="G214" s="446" t="s">
        <v>1068</v>
      </c>
      <c r="H214" s="432">
        <v>45743</v>
      </c>
      <c r="I214" s="250">
        <v>40.799999999999997</v>
      </c>
      <c r="J214" s="549"/>
      <c r="K214" s="7"/>
    </row>
    <row r="215" spans="1:11" ht="30" customHeight="1" x14ac:dyDescent="0.25">
      <c r="A215" s="7"/>
      <c r="B215" s="803"/>
      <c r="C215" s="803"/>
      <c r="D215" s="803"/>
      <c r="E215" s="433" t="s">
        <v>1391</v>
      </c>
      <c r="F215" s="434" t="s">
        <v>1392</v>
      </c>
      <c r="G215" s="449" t="s">
        <v>1068</v>
      </c>
      <c r="H215" s="447">
        <v>45743</v>
      </c>
      <c r="I215" s="252">
        <v>43.23</v>
      </c>
      <c r="J215" s="803"/>
      <c r="K215" s="7"/>
    </row>
    <row r="216" spans="1:11" ht="15" customHeight="1" x14ac:dyDescent="0.25">
      <c r="A216" s="7"/>
      <c r="B216" s="814" t="s">
        <v>1572</v>
      </c>
      <c r="C216" s="815" t="s">
        <v>1573</v>
      </c>
      <c r="D216" s="814" t="s">
        <v>369</v>
      </c>
      <c r="E216" s="443" t="s">
        <v>1574</v>
      </c>
      <c r="F216" s="519" t="s">
        <v>1392</v>
      </c>
      <c r="G216" s="431" t="s">
        <v>1068</v>
      </c>
      <c r="H216" s="453">
        <v>45790</v>
      </c>
      <c r="I216" s="426">
        <v>20.350000000000001</v>
      </c>
      <c r="J216" s="812">
        <f>AVERAGE(I216:$I$218)</f>
        <v>20.973333333333333</v>
      </c>
      <c r="K216" s="7"/>
    </row>
    <row r="217" spans="1:11" ht="15.75" customHeight="1" x14ac:dyDescent="0.25">
      <c r="A217" s="7"/>
      <c r="B217" s="549"/>
      <c r="C217" s="549"/>
      <c r="D217" s="549"/>
      <c r="E217" s="520" t="s">
        <v>1537</v>
      </c>
      <c r="F217" s="429" t="s">
        <v>1538</v>
      </c>
      <c r="G217" s="431" t="s">
        <v>1068</v>
      </c>
      <c r="H217" s="453">
        <v>45757</v>
      </c>
      <c r="I217" s="250">
        <v>24.2</v>
      </c>
      <c r="J217" s="549"/>
      <c r="K217" s="7"/>
    </row>
    <row r="218" spans="1:11" ht="15.75" customHeight="1" x14ac:dyDescent="0.25">
      <c r="A218" s="7"/>
      <c r="B218" s="803"/>
      <c r="C218" s="803"/>
      <c r="D218" s="803"/>
      <c r="E218" s="521" t="s">
        <v>1575</v>
      </c>
      <c r="F218" s="434" t="s">
        <v>1576</v>
      </c>
      <c r="G218" s="449" t="s">
        <v>1068</v>
      </c>
      <c r="H218" s="447">
        <v>45757</v>
      </c>
      <c r="I218" s="252">
        <v>18.37</v>
      </c>
      <c r="J218" s="803"/>
      <c r="K218" s="7"/>
    </row>
    <row r="219" spans="1:11" ht="15" customHeight="1" x14ac:dyDescent="0.25">
      <c r="A219" s="7"/>
      <c r="B219" s="814" t="s">
        <v>1577</v>
      </c>
      <c r="C219" s="815" t="s">
        <v>1578</v>
      </c>
      <c r="D219" s="814" t="s">
        <v>369</v>
      </c>
      <c r="E219" s="443" t="s">
        <v>1579</v>
      </c>
      <c r="F219" s="519" t="s">
        <v>1580</v>
      </c>
      <c r="G219" s="431" t="s">
        <v>1068</v>
      </c>
      <c r="H219" s="453">
        <v>45791</v>
      </c>
      <c r="I219" s="426">
        <v>31.31</v>
      </c>
      <c r="J219" s="812">
        <f>AVERAGE(I219:$I$221)</f>
        <v>34.336666666666666</v>
      </c>
      <c r="K219" s="7"/>
    </row>
    <row r="220" spans="1:11" ht="15.75" customHeight="1" x14ac:dyDescent="0.25">
      <c r="A220" s="7"/>
      <c r="B220" s="549"/>
      <c r="C220" s="549"/>
      <c r="D220" s="549"/>
      <c r="E220" s="523" t="s">
        <v>1581</v>
      </c>
      <c r="F220" s="429" t="s">
        <v>1571</v>
      </c>
      <c r="G220" s="431" t="s">
        <v>1068</v>
      </c>
      <c r="H220" s="453">
        <v>45791</v>
      </c>
      <c r="I220" s="250">
        <v>36.29</v>
      </c>
      <c r="J220" s="549"/>
      <c r="K220" s="7"/>
    </row>
    <row r="221" spans="1:11" ht="15.75" customHeight="1" x14ac:dyDescent="0.25">
      <c r="A221" s="7"/>
      <c r="B221" s="803"/>
      <c r="C221" s="803"/>
      <c r="D221" s="803"/>
      <c r="E221" s="521" t="s">
        <v>1582</v>
      </c>
      <c r="F221" s="434" t="s">
        <v>1583</v>
      </c>
      <c r="G221" s="449" t="s">
        <v>1068</v>
      </c>
      <c r="H221" s="447">
        <v>45791</v>
      </c>
      <c r="I221" s="252">
        <v>35.409999999999997</v>
      </c>
      <c r="J221" s="803"/>
      <c r="K221" s="7"/>
    </row>
    <row r="222" spans="1:11" ht="15" customHeight="1" x14ac:dyDescent="0.25">
      <c r="A222" s="7"/>
      <c r="B222" s="814" t="s">
        <v>1584</v>
      </c>
      <c r="C222" s="815" t="s">
        <v>1585</v>
      </c>
      <c r="D222" s="814" t="s">
        <v>369</v>
      </c>
      <c r="E222" s="443" t="s">
        <v>1586</v>
      </c>
      <c r="F222" s="519" t="s">
        <v>1587</v>
      </c>
      <c r="G222" s="431" t="s">
        <v>1068</v>
      </c>
      <c r="H222" s="453">
        <v>45791</v>
      </c>
      <c r="I222" s="426">
        <v>79.81</v>
      </c>
      <c r="J222" s="812">
        <f>AVERAGE(I222:$I$224)</f>
        <v>91.399999999999991</v>
      </c>
      <c r="K222" s="7"/>
    </row>
    <row r="223" spans="1:11" ht="15.75" customHeight="1" x14ac:dyDescent="0.25">
      <c r="A223" s="7"/>
      <c r="B223" s="549"/>
      <c r="C223" s="549"/>
      <c r="D223" s="549"/>
      <c r="E223" s="523" t="s">
        <v>1588</v>
      </c>
      <c r="F223" s="429" t="s">
        <v>1589</v>
      </c>
      <c r="G223" s="431" t="s">
        <v>1068</v>
      </c>
      <c r="H223" s="453">
        <v>45758</v>
      </c>
      <c r="I223" s="250">
        <v>102.89</v>
      </c>
      <c r="J223" s="549"/>
      <c r="K223" s="7"/>
    </row>
    <row r="224" spans="1:11" ht="15.75" customHeight="1" x14ac:dyDescent="0.25">
      <c r="A224" s="7"/>
      <c r="B224" s="803"/>
      <c r="C224" s="803"/>
      <c r="D224" s="803"/>
      <c r="E224" s="521" t="s">
        <v>1590</v>
      </c>
      <c r="F224" s="434" t="s">
        <v>1591</v>
      </c>
      <c r="G224" s="449" t="s">
        <v>1068</v>
      </c>
      <c r="H224" s="447">
        <v>45758</v>
      </c>
      <c r="I224" s="252">
        <v>91.5</v>
      </c>
      <c r="J224" s="803"/>
      <c r="K224" s="7"/>
    </row>
    <row r="225" spans="1:13" ht="20.25" customHeight="1" x14ac:dyDescent="0.25">
      <c r="A225" s="7"/>
      <c r="B225" s="814" t="s">
        <v>1592</v>
      </c>
      <c r="C225" s="815" t="s">
        <v>1593</v>
      </c>
      <c r="D225" s="814" t="s">
        <v>369</v>
      </c>
      <c r="E225" s="443" t="s">
        <v>1594</v>
      </c>
      <c r="F225" s="519" t="s">
        <v>1595</v>
      </c>
      <c r="G225" s="431" t="s">
        <v>1068</v>
      </c>
      <c r="H225" s="476">
        <v>45791</v>
      </c>
      <c r="I225" s="426">
        <v>24.77</v>
      </c>
      <c r="J225" s="812">
        <f>AVERAGE(I225:$I$227)</f>
        <v>25.786666666666665</v>
      </c>
      <c r="K225" s="7"/>
    </row>
    <row r="226" spans="1:13" ht="15.75" customHeight="1" x14ac:dyDescent="0.25">
      <c r="A226" s="7"/>
      <c r="B226" s="549"/>
      <c r="C226" s="549"/>
      <c r="D226" s="549"/>
      <c r="E226" s="523" t="s">
        <v>1596</v>
      </c>
      <c r="F226" s="429" t="s">
        <v>1597</v>
      </c>
      <c r="G226" s="431" t="s">
        <v>1068</v>
      </c>
      <c r="H226" s="432">
        <v>45757</v>
      </c>
      <c r="I226" s="250">
        <v>28.87</v>
      </c>
      <c r="J226" s="549"/>
      <c r="K226" s="7"/>
    </row>
    <row r="227" spans="1:13" ht="15.75" customHeight="1" x14ac:dyDescent="0.25">
      <c r="A227" s="7"/>
      <c r="B227" s="803"/>
      <c r="C227" s="803"/>
      <c r="D227" s="803"/>
      <c r="E227" s="433" t="s">
        <v>1598</v>
      </c>
      <c r="F227" s="524" t="s">
        <v>1599</v>
      </c>
      <c r="G227" s="449" t="s">
        <v>1068</v>
      </c>
      <c r="H227" s="447">
        <v>45791</v>
      </c>
      <c r="I227" s="252">
        <v>23.72</v>
      </c>
      <c r="J227" s="803"/>
      <c r="K227" s="7"/>
    </row>
    <row r="228" spans="1:13" ht="15" customHeight="1" x14ac:dyDescent="0.25">
      <c r="A228" s="7"/>
      <c r="B228" s="814" t="s">
        <v>1600</v>
      </c>
      <c r="C228" s="815" t="s">
        <v>1601</v>
      </c>
      <c r="D228" s="814" t="s">
        <v>1370</v>
      </c>
      <c r="E228" s="477" t="s">
        <v>1602</v>
      </c>
      <c r="F228" s="473" t="s">
        <v>1603</v>
      </c>
      <c r="G228" s="450" t="s">
        <v>1068</v>
      </c>
      <c r="H228" s="476">
        <v>45757</v>
      </c>
      <c r="I228" s="475">
        <v>40.82</v>
      </c>
      <c r="J228" s="812">
        <f>AVERAGE(I228:$I$230)</f>
        <v>43.276666666666664</v>
      </c>
      <c r="K228" s="7"/>
    </row>
    <row r="229" spans="1:13" ht="15" customHeight="1" x14ac:dyDescent="0.25">
      <c r="A229" s="7"/>
      <c r="B229" s="549"/>
      <c r="C229" s="549"/>
      <c r="D229" s="549"/>
      <c r="E229" s="428" t="s">
        <v>1604</v>
      </c>
      <c r="F229" s="429" t="s">
        <v>1605</v>
      </c>
      <c r="G229" s="431" t="s">
        <v>1068</v>
      </c>
      <c r="H229" s="432">
        <v>45757</v>
      </c>
      <c r="I229" s="250">
        <v>40.57</v>
      </c>
      <c r="J229" s="549"/>
      <c r="K229" s="7"/>
    </row>
    <row r="230" spans="1:13" ht="57" customHeight="1" x14ac:dyDescent="0.25">
      <c r="A230" s="7"/>
      <c r="B230" s="803"/>
      <c r="C230" s="803"/>
      <c r="D230" s="803"/>
      <c r="E230" s="433" t="s">
        <v>1606</v>
      </c>
      <c r="F230" s="466" t="s">
        <v>1607</v>
      </c>
      <c r="G230" s="449" t="s">
        <v>1068</v>
      </c>
      <c r="H230" s="467">
        <v>45791</v>
      </c>
      <c r="I230" s="464">
        <v>48.44</v>
      </c>
      <c r="J230" s="803"/>
      <c r="K230" s="7"/>
    </row>
    <row r="231" spans="1:13" ht="15.75" customHeight="1" x14ac:dyDescent="0.25">
      <c r="A231" s="7"/>
      <c r="B231" s="699" t="s">
        <v>1608</v>
      </c>
      <c r="C231" s="537"/>
      <c r="D231" s="537"/>
      <c r="E231" s="537"/>
      <c r="F231" s="537"/>
      <c r="G231" s="537"/>
      <c r="H231" s="537"/>
      <c r="I231" s="537"/>
      <c r="J231" s="538"/>
      <c r="K231" s="7"/>
    </row>
    <row r="232" spans="1:13" ht="15.75" customHeight="1" x14ac:dyDescent="0.25">
      <c r="A232" s="7"/>
      <c r="B232" s="418" t="s">
        <v>1042</v>
      </c>
      <c r="C232" s="418" t="s">
        <v>1043</v>
      </c>
      <c r="D232" s="418" t="s">
        <v>23</v>
      </c>
      <c r="E232" s="418" t="s">
        <v>1044</v>
      </c>
      <c r="F232" s="418" t="s">
        <v>1045</v>
      </c>
      <c r="G232" s="418" t="s">
        <v>1046</v>
      </c>
      <c r="H232" s="419" t="s">
        <v>1047</v>
      </c>
      <c r="I232" s="418" t="s">
        <v>1048</v>
      </c>
      <c r="J232" s="419" t="s">
        <v>1049</v>
      </c>
      <c r="K232" s="7"/>
    </row>
    <row r="233" spans="1:13" ht="15" customHeight="1" x14ac:dyDescent="0.25">
      <c r="A233" s="7"/>
      <c r="B233" s="814" t="s">
        <v>1609</v>
      </c>
      <c r="C233" s="815" t="s">
        <v>1610</v>
      </c>
      <c r="D233" s="814" t="s">
        <v>579</v>
      </c>
      <c r="E233" s="477" t="s">
        <v>1611</v>
      </c>
      <c r="F233" s="473" t="s">
        <v>1612</v>
      </c>
      <c r="G233" s="424" t="s">
        <v>1613</v>
      </c>
      <c r="H233" s="476">
        <v>45506</v>
      </c>
      <c r="I233" s="475">
        <v>51.87</v>
      </c>
      <c r="J233" s="812">
        <f>AVERAGE(I233:$I$235)</f>
        <v>57.093333333333334</v>
      </c>
      <c r="K233" s="7"/>
    </row>
    <row r="234" spans="1:13" ht="15" customHeight="1" x14ac:dyDescent="0.25">
      <c r="A234" s="7"/>
      <c r="B234" s="549"/>
      <c r="C234" s="549"/>
      <c r="D234" s="549"/>
      <c r="E234" s="428" t="s">
        <v>1614</v>
      </c>
      <c r="F234" s="429" t="s">
        <v>1615</v>
      </c>
      <c r="G234" s="431" t="s">
        <v>1616</v>
      </c>
      <c r="H234" s="432">
        <v>45610</v>
      </c>
      <c r="I234" s="250">
        <v>59.38</v>
      </c>
      <c r="J234" s="549"/>
      <c r="K234" s="7"/>
    </row>
    <row r="235" spans="1:13" ht="15.75" customHeight="1" x14ac:dyDescent="0.25">
      <c r="A235" s="7"/>
      <c r="B235" s="803"/>
      <c r="C235" s="803"/>
      <c r="D235" s="803"/>
      <c r="E235" s="433" t="s">
        <v>1617</v>
      </c>
      <c r="F235" s="466" t="s">
        <v>1618</v>
      </c>
      <c r="G235" s="435" t="s">
        <v>1619</v>
      </c>
      <c r="H235" s="467">
        <v>45705</v>
      </c>
      <c r="I235" s="464">
        <v>60.03</v>
      </c>
      <c r="J235" s="803"/>
      <c r="K235" s="7"/>
    </row>
    <row r="236" spans="1:13" ht="15" customHeight="1" x14ac:dyDescent="0.25">
      <c r="A236" s="7"/>
      <c r="B236" s="816" t="s">
        <v>1620</v>
      </c>
      <c r="C236" s="802" t="s">
        <v>1621</v>
      </c>
      <c r="D236" s="804" t="s">
        <v>579</v>
      </c>
      <c r="E236" s="422" t="s">
        <v>1622</v>
      </c>
      <c r="F236" s="438" t="s">
        <v>1623</v>
      </c>
      <c r="G236" s="438" t="s">
        <v>1068</v>
      </c>
      <c r="H236" s="445">
        <v>46265</v>
      </c>
      <c r="I236" s="441">
        <v>250</v>
      </c>
      <c r="J236" s="806">
        <f>AVERAGE(I236:$I$239)</f>
        <v>414.23250000000002</v>
      </c>
      <c r="K236" s="7"/>
      <c r="M236" s="390"/>
    </row>
    <row r="237" spans="1:13" ht="15" customHeight="1" x14ac:dyDescent="0.25">
      <c r="A237" s="7"/>
      <c r="B237" s="549"/>
      <c r="C237" s="549"/>
      <c r="D237" s="549"/>
      <c r="E237" s="428" t="s">
        <v>1624</v>
      </c>
      <c r="F237" s="429" t="s">
        <v>1625</v>
      </c>
      <c r="G237" s="429" t="s">
        <v>1068</v>
      </c>
      <c r="H237" s="432">
        <v>46265</v>
      </c>
      <c r="I237" s="250">
        <v>614.79999999999995</v>
      </c>
      <c r="J237" s="549"/>
      <c r="K237" s="7"/>
      <c r="M237" s="390"/>
    </row>
    <row r="238" spans="1:13" ht="15.75" customHeight="1" x14ac:dyDescent="0.25">
      <c r="A238" s="7"/>
      <c r="B238" s="549"/>
      <c r="C238" s="549"/>
      <c r="D238" s="549"/>
      <c r="E238" s="428" t="s">
        <v>1626</v>
      </c>
      <c r="F238" s="429" t="s">
        <v>1627</v>
      </c>
      <c r="G238" s="429" t="s">
        <v>1068</v>
      </c>
      <c r="H238" s="432">
        <v>46265</v>
      </c>
      <c r="I238" s="250">
        <v>558.92999999999995</v>
      </c>
      <c r="J238" s="549"/>
      <c r="K238" s="7"/>
      <c r="M238" s="390"/>
    </row>
    <row r="239" spans="1:13" ht="15.75" customHeight="1" x14ac:dyDescent="0.25">
      <c r="A239" s="7"/>
      <c r="B239" s="803"/>
      <c r="C239" s="803"/>
      <c r="D239" s="550"/>
      <c r="E239" s="428" t="s">
        <v>1628</v>
      </c>
      <c r="F239" s="429" t="s">
        <v>1629</v>
      </c>
      <c r="G239" s="429" t="s">
        <v>1068</v>
      </c>
      <c r="H239" s="432">
        <v>46265</v>
      </c>
      <c r="I239" s="250">
        <v>233.2</v>
      </c>
      <c r="J239" s="803"/>
      <c r="K239" s="7"/>
      <c r="M239" s="390"/>
    </row>
    <row r="240" spans="1:13" ht="15" customHeight="1" x14ac:dyDescent="0.25">
      <c r="A240" s="7"/>
      <c r="B240" s="816" t="s">
        <v>1630</v>
      </c>
      <c r="C240" s="817" t="s">
        <v>1631</v>
      </c>
      <c r="D240" s="804" t="s">
        <v>579</v>
      </c>
      <c r="E240" s="422" t="s">
        <v>1632</v>
      </c>
      <c r="F240" s="438" t="s">
        <v>1633</v>
      </c>
      <c r="G240" s="438" t="s">
        <v>1068</v>
      </c>
      <c r="H240" s="445">
        <v>45762</v>
      </c>
      <c r="I240" s="441">
        <v>293.39</v>
      </c>
      <c r="J240" s="806">
        <f>AVERAGE(I240:$I$242)</f>
        <v>279.09666666666664</v>
      </c>
      <c r="K240" s="7"/>
      <c r="M240" s="390"/>
    </row>
    <row r="241" spans="1:13" ht="15.75" customHeight="1" x14ac:dyDescent="0.25">
      <c r="A241" s="7"/>
      <c r="B241" s="549"/>
      <c r="C241" s="549"/>
      <c r="D241" s="549"/>
      <c r="E241" s="428" t="s">
        <v>1622</v>
      </c>
      <c r="F241" s="429" t="s">
        <v>1623</v>
      </c>
      <c r="G241" s="429" t="s">
        <v>1068</v>
      </c>
      <c r="H241" s="432">
        <v>46265</v>
      </c>
      <c r="I241" s="250">
        <v>269</v>
      </c>
      <c r="J241" s="549"/>
      <c r="K241" s="7"/>
      <c r="M241" s="390"/>
    </row>
    <row r="242" spans="1:13" ht="15.75" customHeight="1" x14ac:dyDescent="0.25">
      <c r="A242" s="7"/>
      <c r="B242" s="803"/>
      <c r="C242" s="803"/>
      <c r="D242" s="550"/>
      <c r="E242" s="428" t="s">
        <v>1628</v>
      </c>
      <c r="F242" s="434" t="s">
        <v>1629</v>
      </c>
      <c r="G242" s="434" t="s">
        <v>1068</v>
      </c>
      <c r="H242" s="447">
        <v>46265</v>
      </c>
      <c r="I242" s="252">
        <v>274.89999999999998</v>
      </c>
      <c r="J242" s="803"/>
      <c r="K242" s="7"/>
      <c r="M242" s="390"/>
    </row>
    <row r="243" spans="1:13" ht="15" customHeight="1" x14ac:dyDescent="0.25">
      <c r="A243" s="7"/>
      <c r="B243" s="814" t="s">
        <v>1634</v>
      </c>
      <c r="C243" s="815" t="s">
        <v>1635</v>
      </c>
      <c r="D243" s="804" t="s">
        <v>579</v>
      </c>
      <c r="E243" s="422" t="s">
        <v>1636</v>
      </c>
      <c r="F243" s="455" t="s">
        <v>1637</v>
      </c>
      <c r="G243" s="443" t="s">
        <v>1068</v>
      </c>
      <c r="H243" s="453">
        <v>45775</v>
      </c>
      <c r="I243" s="426">
        <v>1551.62</v>
      </c>
      <c r="J243" s="812">
        <f>MEDIAN(I243:$I$245)</f>
        <v>1727.96</v>
      </c>
      <c r="K243" s="7"/>
    </row>
    <row r="244" spans="1:13" ht="15.75" customHeight="1" x14ac:dyDescent="0.25">
      <c r="A244" s="7"/>
      <c r="B244" s="549"/>
      <c r="C244" s="549"/>
      <c r="D244" s="549"/>
      <c r="E244" s="428" t="s">
        <v>1638</v>
      </c>
      <c r="F244" s="429" t="s">
        <v>1639</v>
      </c>
      <c r="G244" s="429" t="s">
        <v>1068</v>
      </c>
      <c r="H244" s="432">
        <v>45771</v>
      </c>
      <c r="I244" s="250">
        <v>4079.13</v>
      </c>
      <c r="J244" s="549"/>
      <c r="K244" s="7"/>
    </row>
    <row r="245" spans="1:13" ht="15.75" customHeight="1" x14ac:dyDescent="0.25">
      <c r="A245" s="7"/>
      <c r="B245" s="803"/>
      <c r="C245" s="803"/>
      <c r="D245" s="803"/>
      <c r="E245" s="478" t="s">
        <v>1640</v>
      </c>
      <c r="F245" s="466" t="s">
        <v>1641</v>
      </c>
      <c r="G245" s="466" t="s">
        <v>1068</v>
      </c>
      <c r="H245" s="467">
        <v>45779</v>
      </c>
      <c r="I245" s="464">
        <v>1727.96</v>
      </c>
      <c r="J245" s="803"/>
      <c r="K245" s="7"/>
    </row>
    <row r="246" spans="1:13" ht="15" customHeight="1" x14ac:dyDescent="0.25">
      <c r="A246" s="7"/>
      <c r="B246" s="814" t="s">
        <v>1642</v>
      </c>
      <c r="C246" s="815" t="s">
        <v>1643</v>
      </c>
      <c r="D246" s="814" t="s">
        <v>579</v>
      </c>
      <c r="E246" s="428" t="s">
        <v>1636</v>
      </c>
      <c r="F246" s="429" t="s">
        <v>1637</v>
      </c>
      <c r="G246" s="428" t="s">
        <v>1068</v>
      </c>
      <c r="H246" s="432">
        <v>45775</v>
      </c>
      <c r="I246" s="250">
        <v>326.66000000000003</v>
      </c>
      <c r="J246" s="812">
        <f>MEDIAN(I246:$I$248)</f>
        <v>147.41999999999999</v>
      </c>
      <c r="K246" s="7"/>
    </row>
    <row r="247" spans="1:13" ht="15.75" customHeight="1" x14ac:dyDescent="0.25">
      <c r="A247" s="7"/>
      <c r="B247" s="549"/>
      <c r="C247" s="549"/>
      <c r="D247" s="549"/>
      <c r="E247" s="428" t="s">
        <v>1638</v>
      </c>
      <c r="F247" s="429" t="s">
        <v>1639</v>
      </c>
      <c r="G247" s="429" t="s">
        <v>1068</v>
      </c>
      <c r="H247" s="432">
        <v>45771</v>
      </c>
      <c r="I247" s="250">
        <v>147.41999999999999</v>
      </c>
      <c r="J247" s="549"/>
      <c r="K247" s="7"/>
    </row>
    <row r="248" spans="1:13" ht="15.75" customHeight="1" x14ac:dyDescent="0.25">
      <c r="A248" s="7"/>
      <c r="B248" s="803"/>
      <c r="C248" s="803"/>
      <c r="D248" s="803"/>
      <c r="E248" s="478" t="s">
        <v>1640</v>
      </c>
      <c r="F248" s="466" t="s">
        <v>1641</v>
      </c>
      <c r="G248" s="466" t="s">
        <v>1068</v>
      </c>
      <c r="H248" s="467">
        <v>45779</v>
      </c>
      <c r="I248" s="464">
        <v>104.72</v>
      </c>
      <c r="J248" s="803"/>
      <c r="K248" s="7"/>
    </row>
    <row r="249" spans="1:13" ht="15" customHeight="1" x14ac:dyDescent="0.25">
      <c r="A249" s="7"/>
      <c r="B249" s="814" t="s">
        <v>1644</v>
      </c>
      <c r="C249" s="815" t="s">
        <v>1645</v>
      </c>
      <c r="D249" s="814" t="s">
        <v>579</v>
      </c>
      <c r="E249" s="428" t="s">
        <v>1638</v>
      </c>
      <c r="F249" s="429" t="s">
        <v>1639</v>
      </c>
      <c r="G249" s="429" t="s">
        <v>1068</v>
      </c>
      <c r="H249" s="432">
        <v>45771</v>
      </c>
      <c r="I249" s="250">
        <v>299.24</v>
      </c>
      <c r="J249" s="812">
        <f>MEDIAN(I249:$I$251)</f>
        <v>115.5</v>
      </c>
      <c r="K249" s="7"/>
    </row>
    <row r="250" spans="1:13" ht="15.75" customHeight="1" x14ac:dyDescent="0.25">
      <c r="A250" s="7"/>
      <c r="B250" s="549"/>
      <c r="C250" s="549"/>
      <c r="D250" s="549"/>
      <c r="E250" s="428" t="s">
        <v>1636</v>
      </c>
      <c r="F250" s="429" t="s">
        <v>1637</v>
      </c>
      <c r="G250" s="428" t="s">
        <v>1068</v>
      </c>
      <c r="H250" s="432">
        <v>45775</v>
      </c>
      <c r="I250" s="250">
        <v>115.5</v>
      </c>
      <c r="J250" s="549"/>
      <c r="K250" s="7"/>
    </row>
    <row r="251" spans="1:13" ht="15.75" customHeight="1" x14ac:dyDescent="0.25">
      <c r="A251" s="7"/>
      <c r="B251" s="803"/>
      <c r="C251" s="803"/>
      <c r="D251" s="803"/>
      <c r="E251" s="478" t="s">
        <v>1640</v>
      </c>
      <c r="F251" s="466" t="s">
        <v>1641</v>
      </c>
      <c r="G251" s="466" t="s">
        <v>1068</v>
      </c>
      <c r="H251" s="467">
        <v>45779</v>
      </c>
      <c r="I251" s="464">
        <v>47.13</v>
      </c>
      <c r="J251" s="803"/>
      <c r="K251" s="7"/>
      <c r="L251" s="21"/>
    </row>
    <row r="252" spans="1:13" ht="15" customHeight="1" x14ac:dyDescent="0.25">
      <c r="A252" s="7"/>
      <c r="B252" s="804" t="s">
        <v>1646</v>
      </c>
      <c r="C252" s="802" t="s">
        <v>1647</v>
      </c>
      <c r="D252" s="804" t="s">
        <v>579</v>
      </c>
      <c r="E252" s="458" t="s">
        <v>1648</v>
      </c>
      <c r="F252" s="525" t="s">
        <v>1649</v>
      </c>
      <c r="G252" s="460" t="s">
        <v>1650</v>
      </c>
      <c r="H252" s="451">
        <v>45698</v>
      </c>
      <c r="I252" s="427">
        <v>855.34</v>
      </c>
      <c r="J252" s="806">
        <f>AVERAGE(I252:$I$254)</f>
        <v>858.83333333333337</v>
      </c>
      <c r="K252" s="7"/>
    </row>
    <row r="253" spans="1:13" ht="15.75" customHeight="1" x14ac:dyDescent="0.25">
      <c r="A253" s="7"/>
      <c r="B253" s="549"/>
      <c r="C253" s="549"/>
      <c r="D253" s="549"/>
      <c r="E253" s="428" t="s">
        <v>1651</v>
      </c>
      <c r="F253" s="429" t="s">
        <v>1652</v>
      </c>
      <c r="G253" s="431" t="s">
        <v>1653</v>
      </c>
      <c r="H253" s="432">
        <v>45533</v>
      </c>
      <c r="I253" s="250">
        <v>755.37</v>
      </c>
      <c r="J253" s="549"/>
      <c r="K253" s="7"/>
    </row>
    <row r="254" spans="1:13" ht="15.75" customHeight="1" x14ac:dyDescent="0.25">
      <c r="A254" s="7"/>
      <c r="B254" s="803"/>
      <c r="C254" s="803"/>
      <c r="D254" s="803"/>
      <c r="E254" s="433" t="s">
        <v>1654</v>
      </c>
      <c r="F254" s="466" t="s">
        <v>1655</v>
      </c>
      <c r="G254" s="433" t="s">
        <v>1656</v>
      </c>
      <c r="H254" s="467">
        <v>45533</v>
      </c>
      <c r="I254" s="464">
        <v>965.79</v>
      </c>
      <c r="J254" s="803"/>
      <c r="K254" s="7"/>
      <c r="L254" s="21"/>
    </row>
    <row r="255" spans="1:13" ht="15" customHeight="1" x14ac:dyDescent="0.25">
      <c r="A255" s="7"/>
      <c r="B255" s="804" t="s">
        <v>1657</v>
      </c>
      <c r="C255" s="802" t="s">
        <v>1658</v>
      </c>
      <c r="D255" s="804" t="s">
        <v>579</v>
      </c>
      <c r="E255" s="422" t="s">
        <v>1659</v>
      </c>
      <c r="F255" s="438" t="s">
        <v>1660</v>
      </c>
      <c r="G255" s="439" t="s">
        <v>1661</v>
      </c>
      <c r="H255" s="445">
        <v>45496</v>
      </c>
      <c r="I255" s="441">
        <v>2686.38</v>
      </c>
      <c r="J255" s="806">
        <f>AVERAGE(I255:$I$257)</f>
        <v>2750.0266666666666</v>
      </c>
      <c r="K255" s="7"/>
    </row>
    <row r="256" spans="1:13" ht="15" customHeight="1" x14ac:dyDescent="0.25">
      <c r="A256" s="7"/>
      <c r="B256" s="549"/>
      <c r="C256" s="549"/>
      <c r="D256" s="549"/>
      <c r="E256" s="428" t="s">
        <v>1662</v>
      </c>
      <c r="F256" s="429" t="s">
        <v>1649</v>
      </c>
      <c r="G256" s="431" t="s">
        <v>1663</v>
      </c>
      <c r="H256" s="432">
        <v>45706</v>
      </c>
      <c r="I256" s="250">
        <v>2408.12</v>
      </c>
      <c r="J256" s="549"/>
      <c r="K256" s="7"/>
      <c r="L256" s="21"/>
    </row>
    <row r="257" spans="1:12" ht="15.75" customHeight="1" x14ac:dyDescent="0.25">
      <c r="A257" s="7"/>
      <c r="B257" s="803"/>
      <c r="C257" s="803"/>
      <c r="D257" s="803"/>
      <c r="E257" s="433" t="s">
        <v>1654</v>
      </c>
      <c r="F257" s="434" t="s">
        <v>1655</v>
      </c>
      <c r="G257" s="435" t="s">
        <v>1664</v>
      </c>
      <c r="H257" s="447">
        <v>45539</v>
      </c>
      <c r="I257" s="252">
        <v>3155.58</v>
      </c>
      <c r="J257" s="803"/>
      <c r="K257" s="7"/>
    </row>
    <row r="258" spans="1:12" ht="15" customHeight="1" x14ac:dyDescent="0.25">
      <c r="A258" s="7"/>
      <c r="B258" s="804" t="s">
        <v>1665</v>
      </c>
      <c r="C258" s="802" t="s">
        <v>1666</v>
      </c>
      <c r="D258" s="804" t="s">
        <v>579</v>
      </c>
      <c r="E258" s="422" t="s">
        <v>1667</v>
      </c>
      <c r="F258" s="438" t="s">
        <v>1668</v>
      </c>
      <c r="G258" s="424" t="s">
        <v>1669</v>
      </c>
      <c r="H258" s="445">
        <v>45688</v>
      </c>
      <c r="I258" s="441">
        <v>558.63</v>
      </c>
      <c r="J258" s="806">
        <f>AVERAGE(I258:$I$261)</f>
        <v>550.83750000000009</v>
      </c>
      <c r="K258" s="7"/>
      <c r="L258" s="21"/>
    </row>
    <row r="259" spans="1:12" ht="64.5" customHeight="1" x14ac:dyDescent="0.25">
      <c r="A259" s="7"/>
      <c r="B259" s="549"/>
      <c r="C259" s="549"/>
      <c r="D259" s="549"/>
      <c r="E259" s="428" t="s">
        <v>1670</v>
      </c>
      <c r="F259" s="429" t="s">
        <v>1671</v>
      </c>
      <c r="G259" s="431" t="s">
        <v>1672</v>
      </c>
      <c r="H259" s="432">
        <v>45505</v>
      </c>
      <c r="I259" s="250">
        <v>603.17999999999995</v>
      </c>
      <c r="J259" s="549"/>
      <c r="K259" s="7"/>
      <c r="L259" s="21"/>
    </row>
    <row r="260" spans="1:12" ht="48" customHeight="1" x14ac:dyDescent="0.25">
      <c r="A260" s="7"/>
      <c r="B260" s="549"/>
      <c r="C260" s="549"/>
      <c r="D260" s="549"/>
      <c r="E260" s="428" t="s">
        <v>1673</v>
      </c>
      <c r="F260" s="429" t="s">
        <v>1674</v>
      </c>
      <c r="G260" s="431" t="s">
        <v>1675</v>
      </c>
      <c r="H260" s="476">
        <v>45621</v>
      </c>
      <c r="I260" s="475">
        <v>577.57000000000005</v>
      </c>
      <c r="J260" s="549"/>
      <c r="K260" s="7"/>
    </row>
    <row r="261" spans="1:12" ht="15.75" customHeight="1" x14ac:dyDescent="0.25">
      <c r="A261" s="7"/>
      <c r="B261" s="803"/>
      <c r="C261" s="803"/>
      <c r="D261" s="803"/>
      <c r="E261" s="478" t="s">
        <v>1676</v>
      </c>
      <c r="F261" s="466" t="s">
        <v>1677</v>
      </c>
      <c r="G261" s="470" t="s">
        <v>1678</v>
      </c>
      <c r="H261" s="447">
        <v>45747</v>
      </c>
      <c r="I261" s="252">
        <v>463.97</v>
      </c>
      <c r="J261" s="803"/>
      <c r="K261" s="7"/>
    </row>
    <row r="262" spans="1:12" ht="48.75" customHeight="1" x14ac:dyDescent="0.25">
      <c r="A262" s="7"/>
      <c r="B262" s="814" t="s">
        <v>1679</v>
      </c>
      <c r="C262" s="815" t="s">
        <v>1680</v>
      </c>
      <c r="D262" s="814" t="s">
        <v>579</v>
      </c>
      <c r="E262" s="443" t="s">
        <v>1681</v>
      </c>
      <c r="F262" s="455" t="s">
        <v>1682</v>
      </c>
      <c r="G262" s="444" t="s">
        <v>1683</v>
      </c>
      <c r="H262" s="453">
        <v>45707</v>
      </c>
      <c r="I262" s="426">
        <v>455.97</v>
      </c>
      <c r="J262" s="812">
        <f>AVERAGE(I262:$I$264)</f>
        <v>521.98</v>
      </c>
      <c r="K262" s="7"/>
    </row>
    <row r="263" spans="1:12" ht="15.75" customHeight="1" x14ac:dyDescent="0.25">
      <c r="A263" s="7"/>
      <c r="B263" s="549"/>
      <c r="C263" s="549"/>
      <c r="D263" s="549"/>
      <c r="E263" s="428" t="s">
        <v>1684</v>
      </c>
      <c r="F263" s="429" t="s">
        <v>1685</v>
      </c>
      <c r="G263" s="431" t="s">
        <v>1686</v>
      </c>
      <c r="H263" s="432">
        <v>45762</v>
      </c>
      <c r="I263" s="250">
        <v>582.73</v>
      </c>
      <c r="J263" s="549"/>
      <c r="K263" s="7"/>
    </row>
    <row r="264" spans="1:12" ht="48.75" customHeight="1" x14ac:dyDescent="0.25">
      <c r="A264" s="7"/>
      <c r="B264" s="803"/>
      <c r="C264" s="803"/>
      <c r="D264" s="803"/>
      <c r="E264" s="433" t="s">
        <v>1687</v>
      </c>
      <c r="F264" s="434" t="s">
        <v>1688</v>
      </c>
      <c r="G264" s="435" t="s">
        <v>1689</v>
      </c>
      <c r="H264" s="447">
        <v>45741</v>
      </c>
      <c r="I264" s="252">
        <v>527.24</v>
      </c>
      <c r="J264" s="803"/>
      <c r="K264" s="7"/>
    </row>
    <row r="265" spans="1:12" ht="15" customHeight="1" x14ac:dyDescent="0.25">
      <c r="A265" s="7"/>
      <c r="B265" s="804" t="s">
        <v>1690</v>
      </c>
      <c r="C265" s="802" t="s">
        <v>1691</v>
      </c>
      <c r="D265" s="804" t="s">
        <v>579</v>
      </c>
      <c r="E265" s="422" t="s">
        <v>1692</v>
      </c>
      <c r="F265" s="438" t="s">
        <v>1693</v>
      </c>
      <c r="G265" s="444" t="s">
        <v>1694</v>
      </c>
      <c r="H265" s="445">
        <v>45784</v>
      </c>
      <c r="I265" s="441">
        <v>356.06</v>
      </c>
      <c r="J265" s="806">
        <f>AVERAGE(I265:$I$267)</f>
        <v>427.38333333333338</v>
      </c>
      <c r="K265" s="7"/>
    </row>
    <row r="266" spans="1:12" ht="15" customHeight="1" x14ac:dyDescent="0.25">
      <c r="A266" s="7"/>
      <c r="B266" s="549"/>
      <c r="C266" s="549"/>
      <c r="D266" s="549"/>
      <c r="E266" s="428" t="s">
        <v>1695</v>
      </c>
      <c r="F266" s="429" t="s">
        <v>1696</v>
      </c>
      <c r="G266" s="424" t="s">
        <v>1678</v>
      </c>
      <c r="H266" s="432">
        <v>45747</v>
      </c>
      <c r="I266" s="250">
        <v>453.43</v>
      </c>
      <c r="J266" s="549"/>
      <c r="K266" s="7"/>
    </row>
    <row r="267" spans="1:12" ht="15" customHeight="1" x14ac:dyDescent="0.25">
      <c r="A267" s="7"/>
      <c r="B267" s="803"/>
      <c r="C267" s="803"/>
      <c r="D267" s="803"/>
      <c r="E267" s="433" t="s">
        <v>1673</v>
      </c>
      <c r="F267" s="434" t="s">
        <v>1674</v>
      </c>
      <c r="G267" s="435" t="s">
        <v>1675</v>
      </c>
      <c r="H267" s="447">
        <v>45621</v>
      </c>
      <c r="I267" s="252">
        <v>472.66</v>
      </c>
      <c r="J267" s="803"/>
      <c r="K267" s="7"/>
    </row>
    <row r="268" spans="1:12" ht="75" customHeight="1" x14ac:dyDescent="0.25">
      <c r="A268" s="7"/>
      <c r="B268" s="801" t="s">
        <v>1697</v>
      </c>
      <c r="C268" s="625"/>
      <c r="D268" s="625"/>
      <c r="E268" s="625"/>
      <c r="F268" s="625"/>
      <c r="G268" s="625"/>
      <c r="H268" s="625"/>
      <c r="I268" s="625"/>
      <c r="J268" s="626"/>
      <c r="K268" s="7"/>
    </row>
    <row r="269" spans="1:12" ht="45" customHeight="1" x14ac:dyDescent="0.25">
      <c r="A269" s="7"/>
      <c r="B269" s="801" t="s">
        <v>1698</v>
      </c>
      <c r="C269" s="625"/>
      <c r="D269" s="625"/>
      <c r="E269" s="625"/>
      <c r="F269" s="625"/>
      <c r="G269" s="625"/>
      <c r="H269" s="625"/>
      <c r="I269" s="625"/>
      <c r="J269" s="626"/>
      <c r="K269" s="7"/>
    </row>
    <row r="270" spans="1:12" ht="15" customHeight="1" x14ac:dyDescent="0.25">
      <c r="A270" s="7"/>
      <c r="B270" s="801" t="s">
        <v>1699</v>
      </c>
      <c r="C270" s="625"/>
      <c r="D270" s="625"/>
      <c r="E270" s="625"/>
      <c r="F270" s="625"/>
      <c r="G270" s="625"/>
      <c r="H270" s="625"/>
      <c r="I270" s="625"/>
      <c r="J270" s="626"/>
      <c r="K270" s="7"/>
    </row>
    <row r="271" spans="1:12" ht="31.5" customHeight="1" x14ac:dyDescent="0.25">
      <c r="A271" s="7"/>
      <c r="B271" s="801" t="s">
        <v>1700</v>
      </c>
      <c r="C271" s="625"/>
      <c r="D271" s="625"/>
      <c r="E271" s="625"/>
      <c r="F271" s="625"/>
      <c r="G271" s="625"/>
      <c r="H271" s="625"/>
      <c r="I271" s="625"/>
      <c r="J271" s="626"/>
      <c r="K271" s="7"/>
    </row>
    <row r="272" spans="1:12" ht="24" customHeight="1" x14ac:dyDescent="0.25">
      <c r="A272" s="7"/>
      <c r="B272" s="810" t="s">
        <v>1701</v>
      </c>
      <c r="C272" s="625"/>
      <c r="D272" s="625"/>
      <c r="E272" s="625"/>
      <c r="F272" s="625"/>
      <c r="G272" s="625"/>
      <c r="H272" s="625"/>
      <c r="I272" s="625"/>
      <c r="J272" s="626"/>
      <c r="K272" s="7"/>
    </row>
    <row r="273" spans="1:11" ht="25.5" customHeight="1" x14ac:dyDescent="0.25">
      <c r="A273" s="7"/>
      <c r="B273" s="801" t="s">
        <v>1702</v>
      </c>
      <c r="C273" s="625"/>
      <c r="D273" s="625"/>
      <c r="E273" s="625"/>
      <c r="F273" s="625"/>
      <c r="G273" s="625"/>
      <c r="H273" s="625"/>
      <c r="I273" s="625"/>
      <c r="J273" s="626"/>
      <c r="K273" s="7"/>
    </row>
    <row r="274" spans="1:11" ht="23.25" customHeight="1" x14ac:dyDescent="0.25">
      <c r="A274" s="7"/>
      <c r="B274" s="801" t="s">
        <v>1703</v>
      </c>
      <c r="C274" s="625"/>
      <c r="D274" s="625"/>
      <c r="E274" s="625"/>
      <c r="F274" s="625"/>
      <c r="G274" s="625"/>
      <c r="H274" s="625"/>
      <c r="I274" s="625"/>
      <c r="J274" s="626"/>
      <c r="K274" s="7"/>
    </row>
    <row r="275" spans="1:11" ht="16.5" customHeight="1" x14ac:dyDescent="0.25">
      <c r="A275" s="7"/>
      <c r="B275" s="526" t="s">
        <v>1704</v>
      </c>
      <c r="C275" s="527"/>
      <c r="D275" s="527"/>
      <c r="E275" s="528"/>
      <c r="F275" s="529"/>
      <c r="G275" s="529"/>
      <c r="H275" s="529"/>
      <c r="I275" s="529"/>
      <c r="J275" s="530"/>
      <c r="K275" s="7"/>
    </row>
    <row r="276" spans="1:11" ht="15" customHeight="1" x14ac:dyDescent="0.25">
      <c r="A276" s="7"/>
      <c r="B276" s="7"/>
      <c r="C276" s="7"/>
      <c r="D276" s="7"/>
      <c r="E276" s="7"/>
      <c r="F276" s="414"/>
      <c r="G276" s="414"/>
      <c r="H276" s="414"/>
      <c r="I276" s="414"/>
      <c r="J276" s="10"/>
      <c r="K276" s="7"/>
    </row>
    <row r="277" spans="1:11" ht="15" customHeight="1" x14ac:dyDescent="0.25">
      <c r="A277" s="7"/>
      <c r="B277" s="7"/>
      <c r="C277" s="7"/>
      <c r="D277" s="7"/>
      <c r="E277" s="7"/>
      <c r="F277" s="414"/>
      <c r="G277" s="414"/>
      <c r="H277" s="414"/>
      <c r="I277" s="414"/>
      <c r="J277" s="10"/>
      <c r="K277" s="7"/>
    </row>
    <row r="278" spans="1:11" ht="15.75" customHeight="1" x14ac:dyDescent="0.25">
      <c r="F278" s="38"/>
      <c r="G278" s="38"/>
      <c r="H278" s="38"/>
      <c r="I278" s="38"/>
    </row>
    <row r="279" spans="1:11" ht="15.75" customHeight="1" x14ac:dyDescent="0.25">
      <c r="F279" s="38"/>
      <c r="G279" s="38"/>
      <c r="H279" s="38"/>
      <c r="I279" s="38"/>
    </row>
    <row r="280" spans="1:11" ht="15.75" customHeight="1" x14ac:dyDescent="0.25">
      <c r="F280" s="38"/>
      <c r="G280" s="38"/>
      <c r="H280" s="38"/>
      <c r="I280" s="38"/>
    </row>
    <row r="281" spans="1:11" ht="15.75" customHeight="1" x14ac:dyDescent="0.25">
      <c r="F281" s="38"/>
      <c r="G281" s="38"/>
      <c r="H281" s="38"/>
      <c r="I281" s="38"/>
    </row>
    <row r="282" spans="1:11" ht="15.75" customHeight="1" x14ac:dyDescent="0.25">
      <c r="F282" s="38"/>
      <c r="G282" s="38"/>
      <c r="H282" s="38"/>
      <c r="I282" s="38"/>
    </row>
    <row r="283" spans="1:11" ht="15.75" customHeight="1" x14ac:dyDescent="0.25">
      <c r="F283" s="38"/>
      <c r="G283" s="38"/>
      <c r="H283" s="38"/>
      <c r="I283" s="38"/>
    </row>
    <row r="284" spans="1:11" ht="15.75" customHeight="1" x14ac:dyDescent="0.25">
      <c r="F284" s="38"/>
      <c r="G284" s="38"/>
      <c r="H284" s="38"/>
      <c r="I284" s="38"/>
    </row>
    <row r="285" spans="1:11" ht="15.75" customHeight="1" x14ac:dyDescent="0.25">
      <c r="F285" s="38"/>
      <c r="G285" s="38"/>
      <c r="H285" s="38"/>
      <c r="I285" s="38"/>
    </row>
    <row r="286" spans="1:11" ht="15.75" customHeight="1" x14ac:dyDescent="0.25">
      <c r="F286" s="38"/>
      <c r="G286" s="38"/>
      <c r="H286" s="38"/>
      <c r="I286" s="38"/>
    </row>
    <row r="287" spans="1:11" ht="15.75" customHeight="1" x14ac:dyDescent="0.25">
      <c r="F287" s="38"/>
      <c r="G287" s="38"/>
      <c r="H287" s="38"/>
      <c r="I287" s="38"/>
    </row>
    <row r="288" spans="1:11" ht="15.75" customHeight="1" x14ac:dyDescent="0.25">
      <c r="F288" s="38"/>
      <c r="G288" s="38"/>
      <c r="H288" s="38"/>
      <c r="I288" s="38"/>
    </row>
    <row r="289" spans="6:9" ht="15.75" customHeight="1" x14ac:dyDescent="0.25">
      <c r="F289" s="38"/>
      <c r="G289" s="38"/>
      <c r="H289" s="38"/>
      <c r="I289" s="38"/>
    </row>
    <row r="290" spans="6:9" ht="15.75" customHeight="1" x14ac:dyDescent="0.25">
      <c r="F290" s="38"/>
      <c r="G290" s="38"/>
      <c r="H290" s="38"/>
      <c r="I290" s="38"/>
    </row>
    <row r="291" spans="6:9" ht="15.75" customHeight="1" x14ac:dyDescent="0.25">
      <c r="F291" s="38"/>
      <c r="G291" s="38"/>
      <c r="H291" s="38"/>
      <c r="I291" s="38"/>
    </row>
    <row r="292" spans="6:9" ht="15.75" customHeight="1" x14ac:dyDescent="0.25">
      <c r="F292" s="38"/>
      <c r="G292" s="38"/>
      <c r="H292" s="38"/>
      <c r="I292" s="38"/>
    </row>
    <row r="293" spans="6:9" ht="15.75" customHeight="1" x14ac:dyDescent="0.25">
      <c r="F293" s="38"/>
      <c r="G293" s="38"/>
      <c r="H293" s="38"/>
      <c r="I293" s="38"/>
    </row>
    <row r="294" spans="6:9" ht="15.75" customHeight="1" x14ac:dyDescent="0.25">
      <c r="F294" s="38"/>
      <c r="G294" s="38"/>
      <c r="H294" s="38"/>
      <c r="I294" s="38"/>
    </row>
    <row r="295" spans="6:9" ht="15.75" customHeight="1" x14ac:dyDescent="0.25">
      <c r="F295" s="38"/>
      <c r="G295" s="38"/>
      <c r="H295" s="38"/>
      <c r="I295" s="38"/>
    </row>
    <row r="296" spans="6:9" ht="15.75" customHeight="1" x14ac:dyDescent="0.25">
      <c r="F296" s="38"/>
      <c r="G296" s="38"/>
      <c r="H296" s="38"/>
      <c r="I296" s="38"/>
    </row>
    <row r="297" spans="6:9" ht="15.75" customHeight="1" x14ac:dyDescent="0.25">
      <c r="F297" s="38"/>
      <c r="G297" s="38"/>
      <c r="H297" s="38"/>
      <c r="I297" s="38"/>
    </row>
    <row r="298" spans="6:9" ht="15.75" customHeight="1" x14ac:dyDescent="0.25">
      <c r="F298" s="38"/>
      <c r="G298" s="38"/>
      <c r="H298" s="38"/>
      <c r="I298" s="38"/>
    </row>
    <row r="299" spans="6:9" ht="15.75" customHeight="1" x14ac:dyDescent="0.25">
      <c r="F299" s="38"/>
      <c r="G299" s="38"/>
      <c r="H299" s="38"/>
      <c r="I299" s="38"/>
    </row>
    <row r="300" spans="6:9" ht="15.75" customHeight="1" x14ac:dyDescent="0.25">
      <c r="F300" s="38"/>
      <c r="G300" s="38"/>
      <c r="H300" s="38"/>
      <c r="I300" s="38"/>
    </row>
    <row r="301" spans="6:9" ht="15.75" customHeight="1" x14ac:dyDescent="0.25">
      <c r="F301" s="38"/>
      <c r="G301" s="38"/>
      <c r="H301" s="38"/>
      <c r="I301" s="38"/>
    </row>
    <row r="302" spans="6:9" ht="15.75" customHeight="1" x14ac:dyDescent="0.25">
      <c r="F302" s="38"/>
      <c r="G302" s="38"/>
      <c r="H302" s="38"/>
      <c r="I302" s="38"/>
    </row>
    <row r="303" spans="6:9" ht="15.75" customHeight="1" x14ac:dyDescent="0.25">
      <c r="F303" s="38"/>
      <c r="G303" s="38"/>
      <c r="H303" s="38"/>
      <c r="I303" s="38"/>
    </row>
    <row r="304" spans="6:9" ht="15.75" customHeight="1" x14ac:dyDescent="0.25">
      <c r="F304" s="38"/>
      <c r="G304" s="38"/>
      <c r="H304" s="38"/>
      <c r="I304" s="38"/>
    </row>
    <row r="305" spans="6:9" ht="15.75" customHeight="1" x14ac:dyDescent="0.25">
      <c r="F305" s="38"/>
      <c r="G305" s="38"/>
      <c r="H305" s="38"/>
      <c r="I305" s="38"/>
    </row>
    <row r="306" spans="6:9" ht="15.75" customHeight="1" x14ac:dyDescent="0.25">
      <c r="F306" s="38"/>
      <c r="G306" s="38"/>
      <c r="H306" s="38"/>
      <c r="I306" s="38"/>
    </row>
    <row r="307" spans="6:9" ht="15.75" customHeight="1" x14ac:dyDescent="0.25">
      <c r="F307" s="38"/>
      <c r="G307" s="38"/>
      <c r="H307" s="38"/>
      <c r="I307" s="38"/>
    </row>
    <row r="308" spans="6:9" ht="15.75" customHeight="1" x14ac:dyDescent="0.25">
      <c r="F308" s="38"/>
      <c r="G308" s="38"/>
      <c r="H308" s="38"/>
      <c r="I308" s="38"/>
    </row>
    <row r="309" spans="6:9" ht="15.75" customHeight="1" x14ac:dyDescent="0.25">
      <c r="F309" s="38"/>
      <c r="G309" s="38"/>
      <c r="H309" s="38"/>
      <c r="I309" s="38"/>
    </row>
    <row r="310" spans="6:9" ht="15.75" customHeight="1" x14ac:dyDescent="0.25">
      <c r="F310" s="38"/>
      <c r="G310" s="38"/>
      <c r="H310" s="38"/>
      <c r="I310" s="38"/>
    </row>
    <row r="311" spans="6:9" ht="15.75" customHeight="1" x14ac:dyDescent="0.25">
      <c r="F311" s="38"/>
      <c r="G311" s="38"/>
      <c r="H311" s="38"/>
      <c r="I311" s="38"/>
    </row>
    <row r="312" spans="6:9" ht="15.75" customHeight="1" x14ac:dyDescent="0.25">
      <c r="F312" s="38"/>
      <c r="G312" s="38"/>
      <c r="H312" s="38"/>
      <c r="I312" s="38"/>
    </row>
    <row r="313" spans="6:9" ht="15.75" customHeight="1" x14ac:dyDescent="0.25">
      <c r="F313" s="38"/>
      <c r="G313" s="38"/>
      <c r="H313" s="38"/>
      <c r="I313" s="38"/>
    </row>
    <row r="314" spans="6:9" ht="15.75" customHeight="1" x14ac:dyDescent="0.25">
      <c r="F314" s="38"/>
      <c r="G314" s="38"/>
      <c r="H314" s="38"/>
      <c r="I314" s="38"/>
    </row>
    <row r="315" spans="6:9" ht="15.75" customHeight="1" x14ac:dyDescent="0.25">
      <c r="F315" s="38"/>
      <c r="G315" s="38"/>
      <c r="H315" s="38"/>
      <c r="I315" s="38"/>
    </row>
    <row r="316" spans="6:9" ht="15.75" customHeight="1" x14ac:dyDescent="0.25">
      <c r="F316" s="38"/>
      <c r="G316" s="38"/>
      <c r="H316" s="38"/>
      <c r="I316" s="38"/>
    </row>
    <row r="317" spans="6:9" ht="15.75" customHeight="1" x14ac:dyDescent="0.25">
      <c r="F317" s="38"/>
      <c r="G317" s="38"/>
      <c r="H317" s="38"/>
      <c r="I317" s="38"/>
    </row>
    <row r="318" spans="6:9" ht="15.75" customHeight="1" x14ac:dyDescent="0.25">
      <c r="F318" s="38"/>
      <c r="G318" s="38"/>
      <c r="H318" s="38"/>
      <c r="I318" s="38"/>
    </row>
    <row r="319" spans="6:9" ht="15.75" customHeight="1" x14ac:dyDescent="0.25">
      <c r="F319" s="38"/>
      <c r="G319" s="38"/>
      <c r="H319" s="38"/>
      <c r="I319" s="38"/>
    </row>
    <row r="320" spans="6:9" ht="15.75" customHeight="1" x14ac:dyDescent="0.25">
      <c r="F320" s="38"/>
      <c r="G320" s="38"/>
      <c r="H320" s="38"/>
      <c r="I320" s="38"/>
    </row>
    <row r="321" spans="6:9" ht="15.75" customHeight="1" x14ac:dyDescent="0.25">
      <c r="F321" s="38"/>
      <c r="G321" s="38"/>
      <c r="H321" s="38"/>
      <c r="I321" s="38"/>
    </row>
    <row r="322" spans="6:9" ht="15.75" customHeight="1" x14ac:dyDescent="0.25">
      <c r="F322" s="38"/>
      <c r="G322" s="38"/>
      <c r="H322" s="38"/>
      <c r="I322" s="38"/>
    </row>
    <row r="323" spans="6:9" ht="15.75" customHeight="1" x14ac:dyDescent="0.25">
      <c r="F323" s="38"/>
      <c r="G323" s="38"/>
      <c r="H323" s="38"/>
      <c r="I323" s="38"/>
    </row>
    <row r="324" spans="6:9" ht="15.75" customHeight="1" x14ac:dyDescent="0.25">
      <c r="F324" s="38"/>
      <c r="G324" s="38"/>
      <c r="H324" s="38"/>
      <c r="I324" s="38"/>
    </row>
    <row r="325" spans="6:9" ht="15.75" customHeight="1" x14ac:dyDescent="0.25">
      <c r="F325" s="38"/>
      <c r="G325" s="38"/>
      <c r="H325" s="38"/>
      <c r="I325" s="38"/>
    </row>
    <row r="326" spans="6:9" ht="15.75" customHeight="1" x14ac:dyDescent="0.25">
      <c r="F326" s="38"/>
      <c r="G326" s="38"/>
      <c r="H326" s="38"/>
      <c r="I326" s="38"/>
    </row>
    <row r="327" spans="6:9" ht="15.75" customHeight="1" x14ac:dyDescent="0.25">
      <c r="F327" s="38"/>
      <c r="G327" s="38"/>
      <c r="H327" s="38"/>
      <c r="I327" s="38"/>
    </row>
    <row r="328" spans="6:9" ht="15.75" customHeight="1" x14ac:dyDescent="0.25">
      <c r="F328" s="38"/>
      <c r="G328" s="38"/>
      <c r="H328" s="38"/>
      <c r="I328" s="38"/>
    </row>
    <row r="329" spans="6:9" ht="15.75" customHeight="1" x14ac:dyDescent="0.25">
      <c r="F329" s="38"/>
      <c r="G329" s="38"/>
      <c r="H329" s="38"/>
      <c r="I329" s="38"/>
    </row>
    <row r="330" spans="6:9" ht="15.75" customHeight="1" x14ac:dyDescent="0.25">
      <c r="F330" s="38"/>
      <c r="G330" s="38"/>
      <c r="H330" s="38"/>
      <c r="I330" s="38"/>
    </row>
    <row r="331" spans="6:9" ht="15.75" customHeight="1" x14ac:dyDescent="0.25">
      <c r="F331" s="38"/>
      <c r="G331" s="38"/>
      <c r="H331" s="38"/>
      <c r="I331" s="38"/>
    </row>
    <row r="332" spans="6:9" ht="15.75" customHeight="1" x14ac:dyDescent="0.25">
      <c r="F332" s="38"/>
      <c r="G332" s="38"/>
      <c r="H332" s="38"/>
      <c r="I332" s="38"/>
    </row>
    <row r="333" spans="6:9" ht="15.75" customHeight="1" x14ac:dyDescent="0.25">
      <c r="F333" s="38"/>
      <c r="G333" s="38"/>
      <c r="H333" s="38"/>
      <c r="I333" s="38"/>
    </row>
    <row r="334" spans="6:9" ht="15.75" customHeight="1" x14ac:dyDescent="0.25">
      <c r="F334" s="38"/>
      <c r="G334" s="38"/>
      <c r="H334" s="38"/>
      <c r="I334" s="38"/>
    </row>
    <row r="335" spans="6:9" ht="15.75" customHeight="1" x14ac:dyDescent="0.25">
      <c r="F335" s="38"/>
      <c r="G335" s="38"/>
      <c r="H335" s="38"/>
      <c r="I335" s="38"/>
    </row>
    <row r="336" spans="6:9" ht="15.75" customHeight="1" x14ac:dyDescent="0.25">
      <c r="F336" s="38"/>
      <c r="G336" s="38"/>
      <c r="H336" s="38"/>
      <c r="I336" s="38"/>
    </row>
    <row r="337" spans="6:9" ht="15.75" customHeight="1" x14ac:dyDescent="0.25">
      <c r="F337" s="38"/>
      <c r="G337" s="38"/>
      <c r="H337" s="38"/>
      <c r="I337" s="38"/>
    </row>
    <row r="338" spans="6:9" ht="15.75" customHeight="1" x14ac:dyDescent="0.25">
      <c r="F338" s="38"/>
      <c r="G338" s="38"/>
      <c r="H338" s="38"/>
      <c r="I338" s="38"/>
    </row>
    <row r="339" spans="6:9" ht="15.75" customHeight="1" x14ac:dyDescent="0.25">
      <c r="F339" s="38"/>
      <c r="G339" s="38"/>
      <c r="H339" s="38"/>
      <c r="I339" s="38"/>
    </row>
    <row r="340" spans="6:9" ht="15.75" customHeight="1" x14ac:dyDescent="0.25">
      <c r="F340" s="38"/>
      <c r="G340" s="38"/>
      <c r="H340" s="38"/>
      <c r="I340" s="38"/>
    </row>
    <row r="341" spans="6:9" ht="15.75" customHeight="1" x14ac:dyDescent="0.25">
      <c r="F341" s="38"/>
      <c r="G341" s="38"/>
      <c r="H341" s="38"/>
      <c r="I341" s="38"/>
    </row>
    <row r="342" spans="6:9" ht="15.75" customHeight="1" x14ac:dyDescent="0.25">
      <c r="F342" s="38"/>
      <c r="G342" s="38"/>
      <c r="H342" s="38"/>
      <c r="I342" s="38"/>
    </row>
    <row r="343" spans="6:9" ht="15.75" customHeight="1" x14ac:dyDescent="0.25">
      <c r="F343" s="38"/>
      <c r="G343" s="38"/>
      <c r="H343" s="38"/>
      <c r="I343" s="38"/>
    </row>
    <row r="344" spans="6:9" ht="15.75" customHeight="1" x14ac:dyDescent="0.25">
      <c r="F344" s="38"/>
      <c r="G344" s="38"/>
      <c r="H344" s="38"/>
      <c r="I344" s="38"/>
    </row>
    <row r="345" spans="6:9" ht="15.75" customHeight="1" x14ac:dyDescent="0.25">
      <c r="F345" s="38"/>
      <c r="G345" s="38"/>
      <c r="H345" s="38"/>
      <c r="I345" s="38"/>
    </row>
    <row r="346" spans="6:9" ht="15.75" customHeight="1" x14ac:dyDescent="0.25">
      <c r="F346" s="38"/>
      <c r="G346" s="38"/>
      <c r="H346" s="38"/>
      <c r="I346" s="38"/>
    </row>
    <row r="347" spans="6:9" ht="15.75" customHeight="1" x14ac:dyDescent="0.25">
      <c r="F347" s="38"/>
      <c r="G347" s="38"/>
      <c r="H347" s="38"/>
      <c r="I347" s="38"/>
    </row>
    <row r="348" spans="6:9" ht="15.75" customHeight="1" x14ac:dyDescent="0.25">
      <c r="F348" s="38"/>
      <c r="G348" s="38"/>
      <c r="H348" s="38"/>
      <c r="I348" s="38"/>
    </row>
    <row r="349" spans="6:9" ht="15.75" customHeight="1" x14ac:dyDescent="0.25">
      <c r="F349" s="38"/>
      <c r="G349" s="38"/>
      <c r="H349" s="38"/>
      <c r="I349" s="38"/>
    </row>
    <row r="350" spans="6:9" ht="15.75" customHeight="1" x14ac:dyDescent="0.25">
      <c r="F350" s="38"/>
      <c r="G350" s="38"/>
      <c r="H350" s="38"/>
      <c r="I350" s="38"/>
    </row>
    <row r="351" spans="6:9" ht="15.75" customHeight="1" x14ac:dyDescent="0.25">
      <c r="F351" s="38"/>
      <c r="G351" s="38"/>
      <c r="H351" s="38"/>
      <c r="I351" s="38"/>
    </row>
    <row r="352" spans="6:9" ht="15.75" customHeight="1" x14ac:dyDescent="0.25">
      <c r="F352" s="38"/>
      <c r="G352" s="38"/>
      <c r="H352" s="38"/>
      <c r="I352" s="38"/>
    </row>
    <row r="353" spans="6:9" ht="15.75" customHeight="1" x14ac:dyDescent="0.25">
      <c r="F353" s="38"/>
      <c r="G353" s="38"/>
      <c r="H353" s="38"/>
      <c r="I353" s="38"/>
    </row>
    <row r="354" spans="6:9" ht="15.75" customHeight="1" x14ac:dyDescent="0.25">
      <c r="F354" s="38"/>
      <c r="G354" s="38"/>
      <c r="H354" s="38"/>
      <c r="I354" s="38"/>
    </row>
    <row r="355" spans="6:9" ht="15.75" customHeight="1" x14ac:dyDescent="0.25">
      <c r="F355" s="38"/>
      <c r="G355" s="38"/>
      <c r="H355" s="38"/>
      <c r="I355" s="38"/>
    </row>
    <row r="356" spans="6:9" ht="15.75" customHeight="1" x14ac:dyDescent="0.25">
      <c r="F356" s="38"/>
      <c r="G356" s="38"/>
      <c r="H356" s="38"/>
      <c r="I356" s="38"/>
    </row>
    <row r="357" spans="6:9" ht="15.75" customHeight="1" x14ac:dyDescent="0.25">
      <c r="F357" s="38"/>
      <c r="G357" s="38"/>
      <c r="H357" s="38"/>
      <c r="I357" s="38"/>
    </row>
    <row r="358" spans="6:9" ht="15.75" customHeight="1" x14ac:dyDescent="0.25">
      <c r="F358" s="38"/>
      <c r="G358" s="38"/>
      <c r="H358" s="38"/>
      <c r="I358" s="38"/>
    </row>
    <row r="359" spans="6:9" ht="15.75" customHeight="1" x14ac:dyDescent="0.25">
      <c r="F359" s="38"/>
      <c r="G359" s="38"/>
      <c r="H359" s="38"/>
      <c r="I359" s="38"/>
    </row>
    <row r="360" spans="6:9" ht="15.75" customHeight="1" x14ac:dyDescent="0.25">
      <c r="F360" s="38"/>
      <c r="G360" s="38"/>
      <c r="H360" s="38"/>
      <c r="I360" s="38"/>
    </row>
    <row r="361" spans="6:9" ht="15.75" customHeight="1" x14ac:dyDescent="0.25">
      <c r="F361" s="38"/>
      <c r="G361" s="38"/>
      <c r="H361" s="38"/>
      <c r="I361" s="38"/>
    </row>
    <row r="362" spans="6:9" ht="15.75" customHeight="1" x14ac:dyDescent="0.25">
      <c r="F362" s="38"/>
      <c r="G362" s="38"/>
      <c r="H362" s="38"/>
      <c r="I362" s="38"/>
    </row>
    <row r="363" spans="6:9" ht="15.75" customHeight="1" x14ac:dyDescent="0.25">
      <c r="F363" s="38"/>
      <c r="G363" s="38"/>
      <c r="H363" s="38"/>
      <c r="I363" s="38"/>
    </row>
    <row r="364" spans="6:9" ht="15.75" customHeight="1" x14ac:dyDescent="0.25">
      <c r="F364" s="38"/>
      <c r="G364" s="38"/>
      <c r="H364" s="38"/>
      <c r="I364" s="38"/>
    </row>
    <row r="365" spans="6:9" ht="15.75" customHeight="1" x14ac:dyDescent="0.25">
      <c r="F365" s="38"/>
      <c r="G365" s="38"/>
      <c r="H365" s="38"/>
      <c r="I365" s="38"/>
    </row>
    <row r="366" spans="6:9" ht="15.75" customHeight="1" x14ac:dyDescent="0.25">
      <c r="F366" s="38"/>
      <c r="G366" s="38"/>
      <c r="H366" s="38"/>
      <c r="I366" s="38"/>
    </row>
    <row r="367" spans="6:9" ht="15.75" customHeight="1" x14ac:dyDescent="0.25">
      <c r="F367" s="38"/>
      <c r="G367" s="38"/>
      <c r="H367" s="38"/>
      <c r="I367" s="38"/>
    </row>
    <row r="368" spans="6:9" ht="15.75" customHeight="1" x14ac:dyDescent="0.25">
      <c r="F368" s="38"/>
      <c r="G368" s="38"/>
      <c r="H368" s="38"/>
      <c r="I368" s="38"/>
    </row>
    <row r="369" spans="6:9" ht="15.75" customHeight="1" x14ac:dyDescent="0.25">
      <c r="F369" s="38"/>
      <c r="G369" s="38"/>
      <c r="H369" s="38"/>
      <c r="I369" s="38"/>
    </row>
    <row r="370" spans="6:9" ht="15.75" customHeight="1" x14ac:dyDescent="0.25">
      <c r="F370" s="38"/>
      <c r="G370" s="38"/>
      <c r="H370" s="38"/>
      <c r="I370" s="38"/>
    </row>
    <row r="371" spans="6:9" ht="15.75" customHeight="1" x14ac:dyDescent="0.25">
      <c r="F371" s="38"/>
      <c r="G371" s="38"/>
      <c r="H371" s="38"/>
      <c r="I371" s="38"/>
    </row>
    <row r="372" spans="6:9" ht="15.75" customHeight="1" x14ac:dyDescent="0.25">
      <c r="F372" s="38"/>
      <c r="G372" s="38"/>
      <c r="H372" s="38"/>
      <c r="I372" s="38"/>
    </row>
    <row r="373" spans="6:9" ht="15.75" customHeight="1" x14ac:dyDescent="0.25">
      <c r="F373" s="38"/>
      <c r="G373" s="38"/>
      <c r="H373" s="38"/>
      <c r="I373" s="38"/>
    </row>
    <row r="374" spans="6:9" ht="15.75" customHeight="1" x14ac:dyDescent="0.25">
      <c r="F374" s="38"/>
      <c r="G374" s="38"/>
      <c r="H374" s="38"/>
      <c r="I374" s="38"/>
    </row>
    <row r="375" spans="6:9" ht="15.75" customHeight="1" x14ac:dyDescent="0.25">
      <c r="F375" s="38"/>
      <c r="G375" s="38"/>
      <c r="H375" s="38"/>
      <c r="I375" s="38"/>
    </row>
    <row r="376" spans="6:9" ht="15.75" customHeight="1" x14ac:dyDescent="0.25">
      <c r="F376" s="38"/>
      <c r="G376" s="38"/>
      <c r="H376" s="38"/>
      <c r="I376" s="38"/>
    </row>
    <row r="377" spans="6:9" ht="15.75" customHeight="1" x14ac:dyDescent="0.25">
      <c r="F377" s="38"/>
      <c r="G377" s="38"/>
      <c r="H377" s="38"/>
      <c r="I377" s="38"/>
    </row>
    <row r="378" spans="6:9" ht="15.75" customHeight="1" x14ac:dyDescent="0.25">
      <c r="F378" s="38"/>
      <c r="G378" s="38"/>
      <c r="H378" s="38"/>
      <c r="I378" s="38"/>
    </row>
    <row r="379" spans="6:9" ht="15.75" customHeight="1" x14ac:dyDescent="0.25">
      <c r="F379" s="38"/>
      <c r="G379" s="38"/>
      <c r="H379" s="38"/>
      <c r="I379" s="38"/>
    </row>
    <row r="380" spans="6:9" ht="15.75" customHeight="1" x14ac:dyDescent="0.25">
      <c r="F380" s="38"/>
      <c r="G380" s="38"/>
      <c r="H380" s="38"/>
      <c r="I380" s="38"/>
    </row>
    <row r="381" spans="6:9" ht="15.75" customHeight="1" x14ac:dyDescent="0.25">
      <c r="F381" s="38"/>
      <c r="G381" s="38"/>
      <c r="H381" s="38"/>
      <c r="I381" s="38"/>
    </row>
    <row r="382" spans="6:9" ht="15.75" customHeight="1" x14ac:dyDescent="0.25">
      <c r="F382" s="38"/>
      <c r="G382" s="38"/>
      <c r="H382" s="38"/>
      <c r="I382" s="38"/>
    </row>
    <row r="383" spans="6:9" ht="15.75" customHeight="1" x14ac:dyDescent="0.25">
      <c r="F383" s="38"/>
      <c r="G383" s="38"/>
      <c r="H383" s="38"/>
      <c r="I383" s="38"/>
    </row>
    <row r="384" spans="6:9" ht="15.75" customHeight="1" x14ac:dyDescent="0.25">
      <c r="F384" s="38"/>
      <c r="G384" s="38"/>
      <c r="H384" s="38"/>
      <c r="I384" s="38"/>
    </row>
    <row r="385" spans="6:9" ht="15.75" customHeight="1" x14ac:dyDescent="0.25">
      <c r="F385" s="38"/>
      <c r="G385" s="38"/>
      <c r="H385" s="38"/>
      <c r="I385" s="38"/>
    </row>
    <row r="386" spans="6:9" ht="15.75" customHeight="1" x14ac:dyDescent="0.25">
      <c r="F386" s="38"/>
      <c r="G386" s="38"/>
      <c r="H386" s="38"/>
      <c r="I386" s="38"/>
    </row>
    <row r="387" spans="6:9" ht="15.75" customHeight="1" x14ac:dyDescent="0.25">
      <c r="F387" s="38"/>
      <c r="G387" s="38"/>
      <c r="H387" s="38"/>
      <c r="I387" s="38"/>
    </row>
    <row r="388" spans="6:9" ht="15.75" customHeight="1" x14ac:dyDescent="0.25">
      <c r="F388" s="38"/>
      <c r="G388" s="38"/>
      <c r="H388" s="38"/>
      <c r="I388" s="38"/>
    </row>
    <row r="389" spans="6:9" ht="15.75" customHeight="1" x14ac:dyDescent="0.25">
      <c r="F389" s="38"/>
      <c r="G389" s="38"/>
      <c r="H389" s="38"/>
      <c r="I389" s="38"/>
    </row>
    <row r="390" spans="6:9" ht="15.75" customHeight="1" x14ac:dyDescent="0.25">
      <c r="F390" s="38"/>
      <c r="G390" s="38"/>
      <c r="H390" s="38"/>
      <c r="I390" s="38"/>
    </row>
    <row r="391" spans="6:9" ht="15.75" customHeight="1" x14ac:dyDescent="0.25">
      <c r="F391" s="38"/>
      <c r="G391" s="38"/>
      <c r="H391" s="38"/>
      <c r="I391" s="38"/>
    </row>
    <row r="392" spans="6:9" ht="15.75" customHeight="1" x14ac:dyDescent="0.25">
      <c r="F392" s="38"/>
      <c r="G392" s="38"/>
      <c r="H392" s="38"/>
      <c r="I392" s="38"/>
    </row>
    <row r="393" spans="6:9" ht="15.75" customHeight="1" x14ac:dyDescent="0.25">
      <c r="F393" s="38"/>
      <c r="G393" s="38"/>
      <c r="H393" s="38"/>
      <c r="I393" s="38"/>
    </row>
    <row r="394" spans="6:9" ht="15.75" customHeight="1" x14ac:dyDescent="0.25">
      <c r="F394" s="38"/>
      <c r="G394" s="38"/>
      <c r="H394" s="38"/>
      <c r="I394" s="38"/>
    </row>
    <row r="395" spans="6:9" ht="15.75" customHeight="1" x14ac:dyDescent="0.25">
      <c r="F395" s="38"/>
      <c r="G395" s="38"/>
      <c r="H395" s="38"/>
      <c r="I395" s="38"/>
    </row>
    <row r="396" spans="6:9" ht="15.75" customHeight="1" x14ac:dyDescent="0.25">
      <c r="F396" s="38"/>
      <c r="G396" s="38"/>
      <c r="H396" s="38"/>
      <c r="I396" s="38"/>
    </row>
    <row r="397" spans="6:9" ht="15.75" customHeight="1" x14ac:dyDescent="0.25">
      <c r="F397" s="38"/>
      <c r="G397" s="38"/>
      <c r="H397" s="38"/>
      <c r="I397" s="38"/>
    </row>
    <row r="398" spans="6:9" ht="15.75" customHeight="1" x14ac:dyDescent="0.25">
      <c r="F398" s="38"/>
      <c r="G398" s="38"/>
      <c r="H398" s="38"/>
      <c r="I398" s="38"/>
    </row>
    <row r="399" spans="6:9" ht="15.75" customHeight="1" x14ac:dyDescent="0.25">
      <c r="F399" s="38"/>
      <c r="G399" s="38"/>
      <c r="H399" s="38"/>
      <c r="I399" s="38"/>
    </row>
    <row r="400" spans="6:9" ht="15.75" customHeight="1" x14ac:dyDescent="0.25">
      <c r="F400" s="38"/>
      <c r="G400" s="38"/>
      <c r="H400" s="38"/>
      <c r="I400" s="38"/>
    </row>
    <row r="401" spans="6:9" ht="15.75" customHeight="1" x14ac:dyDescent="0.25">
      <c r="F401" s="38"/>
      <c r="G401" s="38"/>
      <c r="H401" s="38"/>
      <c r="I401" s="38"/>
    </row>
    <row r="402" spans="6:9" ht="15.75" customHeight="1" x14ac:dyDescent="0.25">
      <c r="F402" s="38"/>
      <c r="G402" s="38"/>
      <c r="H402" s="38"/>
      <c r="I402" s="38"/>
    </row>
    <row r="403" spans="6:9" ht="15.75" customHeight="1" x14ac:dyDescent="0.25">
      <c r="F403" s="38"/>
      <c r="G403" s="38"/>
      <c r="H403" s="38"/>
      <c r="I403" s="38"/>
    </row>
    <row r="404" spans="6:9" ht="15.75" customHeight="1" x14ac:dyDescent="0.25">
      <c r="F404" s="38"/>
      <c r="G404" s="38"/>
      <c r="H404" s="38"/>
      <c r="I404" s="38"/>
    </row>
    <row r="405" spans="6:9" ht="15.75" customHeight="1" x14ac:dyDescent="0.25">
      <c r="F405" s="38"/>
      <c r="G405" s="38"/>
      <c r="H405" s="38"/>
      <c r="I405" s="38"/>
    </row>
    <row r="406" spans="6:9" ht="15.75" customHeight="1" x14ac:dyDescent="0.25">
      <c r="F406" s="38"/>
      <c r="G406" s="38"/>
      <c r="H406" s="38"/>
      <c r="I406" s="38"/>
    </row>
    <row r="407" spans="6:9" ht="15.75" customHeight="1" x14ac:dyDescent="0.25">
      <c r="F407" s="38"/>
      <c r="G407" s="38"/>
      <c r="H407" s="38"/>
      <c r="I407" s="38"/>
    </row>
    <row r="408" spans="6:9" ht="15.75" customHeight="1" x14ac:dyDescent="0.25">
      <c r="F408" s="38"/>
      <c r="G408" s="38"/>
      <c r="H408" s="38"/>
      <c r="I408" s="38"/>
    </row>
    <row r="409" spans="6:9" ht="15.75" customHeight="1" x14ac:dyDescent="0.25">
      <c r="F409" s="38"/>
      <c r="G409" s="38"/>
      <c r="H409" s="38"/>
      <c r="I409" s="38"/>
    </row>
    <row r="410" spans="6:9" ht="15.75" customHeight="1" x14ac:dyDescent="0.25">
      <c r="F410" s="38"/>
      <c r="G410" s="38"/>
      <c r="H410" s="38"/>
      <c r="I410" s="38"/>
    </row>
    <row r="411" spans="6:9" ht="15.75" customHeight="1" x14ac:dyDescent="0.25">
      <c r="F411" s="38"/>
      <c r="G411" s="38"/>
      <c r="H411" s="38"/>
      <c r="I411" s="38"/>
    </row>
    <row r="412" spans="6:9" ht="15.75" customHeight="1" x14ac:dyDescent="0.25">
      <c r="F412" s="38"/>
      <c r="G412" s="38"/>
      <c r="H412" s="38"/>
      <c r="I412" s="38"/>
    </row>
    <row r="413" spans="6:9" ht="15.75" customHeight="1" x14ac:dyDescent="0.25">
      <c r="F413" s="38"/>
      <c r="G413" s="38"/>
      <c r="H413" s="38"/>
      <c r="I413" s="38"/>
    </row>
    <row r="414" spans="6:9" ht="15.75" customHeight="1" x14ac:dyDescent="0.25">
      <c r="F414" s="38"/>
      <c r="G414" s="38"/>
      <c r="H414" s="38"/>
      <c r="I414" s="38"/>
    </row>
    <row r="415" spans="6:9" ht="15.75" customHeight="1" x14ac:dyDescent="0.25">
      <c r="F415" s="38"/>
      <c r="G415" s="38"/>
      <c r="H415" s="38"/>
      <c r="I415" s="38"/>
    </row>
    <row r="416" spans="6:9" ht="15.75" customHeight="1" x14ac:dyDescent="0.25">
      <c r="F416" s="38"/>
      <c r="G416" s="38"/>
      <c r="H416" s="38"/>
      <c r="I416" s="38"/>
    </row>
    <row r="417" spans="6:9" ht="15.75" customHeight="1" x14ac:dyDescent="0.25">
      <c r="F417" s="38"/>
      <c r="G417" s="38"/>
      <c r="H417" s="38"/>
      <c r="I417" s="38"/>
    </row>
    <row r="418" spans="6:9" ht="15.75" customHeight="1" x14ac:dyDescent="0.25">
      <c r="F418" s="38"/>
      <c r="G418" s="38"/>
      <c r="H418" s="38"/>
      <c r="I418" s="38"/>
    </row>
    <row r="419" spans="6:9" ht="15.75" customHeight="1" x14ac:dyDescent="0.25">
      <c r="F419" s="38"/>
      <c r="G419" s="38"/>
      <c r="H419" s="38"/>
      <c r="I419" s="38"/>
    </row>
    <row r="420" spans="6:9" ht="15.75" customHeight="1" x14ac:dyDescent="0.25">
      <c r="F420" s="38"/>
      <c r="G420" s="38"/>
      <c r="H420" s="38"/>
      <c r="I420" s="38"/>
    </row>
    <row r="421" spans="6:9" ht="15.75" customHeight="1" x14ac:dyDescent="0.25">
      <c r="F421" s="38"/>
      <c r="G421" s="38"/>
      <c r="H421" s="38"/>
      <c r="I421" s="38"/>
    </row>
    <row r="422" spans="6:9" ht="15.75" customHeight="1" x14ac:dyDescent="0.25">
      <c r="F422" s="38"/>
      <c r="G422" s="38"/>
      <c r="H422" s="38"/>
      <c r="I422" s="38"/>
    </row>
    <row r="423" spans="6:9" ht="15.75" customHeight="1" x14ac:dyDescent="0.25">
      <c r="F423" s="38"/>
      <c r="G423" s="38"/>
      <c r="H423" s="38"/>
      <c r="I423" s="38"/>
    </row>
    <row r="424" spans="6:9" ht="15.75" customHeight="1" x14ac:dyDescent="0.25">
      <c r="F424" s="38"/>
      <c r="G424" s="38"/>
      <c r="H424" s="38"/>
      <c r="I424" s="38"/>
    </row>
    <row r="425" spans="6:9" ht="15.75" customHeight="1" x14ac:dyDescent="0.25">
      <c r="F425" s="38"/>
      <c r="G425" s="38"/>
      <c r="H425" s="38"/>
      <c r="I425" s="38"/>
    </row>
    <row r="426" spans="6:9" ht="15.75" customHeight="1" x14ac:dyDescent="0.25">
      <c r="F426" s="38"/>
      <c r="G426" s="38"/>
      <c r="H426" s="38"/>
      <c r="I426" s="38"/>
    </row>
    <row r="427" spans="6:9" ht="15.75" customHeight="1" x14ac:dyDescent="0.25">
      <c r="F427" s="38"/>
      <c r="G427" s="38"/>
      <c r="H427" s="38"/>
      <c r="I427" s="38"/>
    </row>
    <row r="428" spans="6:9" ht="15.75" customHeight="1" x14ac:dyDescent="0.25">
      <c r="F428" s="38"/>
      <c r="G428" s="38"/>
      <c r="H428" s="38"/>
      <c r="I428" s="38"/>
    </row>
    <row r="429" spans="6:9" ht="15.75" customHeight="1" x14ac:dyDescent="0.25">
      <c r="F429" s="38"/>
      <c r="G429" s="38"/>
      <c r="H429" s="38"/>
      <c r="I429" s="38"/>
    </row>
    <row r="430" spans="6:9" ht="15.75" customHeight="1" x14ac:dyDescent="0.25">
      <c r="F430" s="38"/>
      <c r="G430" s="38"/>
      <c r="H430" s="38"/>
      <c r="I430" s="38"/>
    </row>
    <row r="431" spans="6:9" ht="15.75" customHeight="1" x14ac:dyDescent="0.25">
      <c r="F431" s="38"/>
      <c r="G431" s="38"/>
      <c r="H431" s="38"/>
      <c r="I431" s="38"/>
    </row>
    <row r="432" spans="6:9" ht="15.75" customHeight="1" x14ac:dyDescent="0.25">
      <c r="F432" s="38"/>
      <c r="G432" s="38"/>
      <c r="H432" s="38"/>
      <c r="I432" s="38"/>
    </row>
    <row r="433" spans="6:9" ht="15.75" customHeight="1" x14ac:dyDescent="0.25">
      <c r="F433" s="38"/>
      <c r="G433" s="38"/>
      <c r="H433" s="38"/>
      <c r="I433" s="38"/>
    </row>
    <row r="434" spans="6:9" ht="15.75" customHeight="1" x14ac:dyDescent="0.25">
      <c r="F434" s="38"/>
      <c r="G434" s="38"/>
      <c r="H434" s="38"/>
      <c r="I434" s="38"/>
    </row>
    <row r="435" spans="6:9" ht="15.75" customHeight="1" x14ac:dyDescent="0.25">
      <c r="F435" s="38"/>
      <c r="G435" s="38"/>
      <c r="H435" s="38"/>
      <c r="I435" s="38"/>
    </row>
    <row r="436" spans="6:9" ht="15.75" customHeight="1" x14ac:dyDescent="0.25">
      <c r="F436" s="38"/>
      <c r="G436" s="38"/>
      <c r="H436" s="38"/>
      <c r="I436" s="38"/>
    </row>
    <row r="437" spans="6:9" ht="15.75" customHeight="1" x14ac:dyDescent="0.25">
      <c r="F437" s="38"/>
      <c r="G437" s="38"/>
      <c r="H437" s="38"/>
      <c r="I437" s="38"/>
    </row>
    <row r="438" spans="6:9" ht="15.75" customHeight="1" x14ac:dyDescent="0.25">
      <c r="F438" s="38"/>
      <c r="G438" s="38"/>
      <c r="H438" s="38"/>
      <c r="I438" s="38"/>
    </row>
    <row r="439" spans="6:9" ht="15.75" customHeight="1" x14ac:dyDescent="0.25">
      <c r="F439" s="38"/>
      <c r="G439" s="38"/>
      <c r="H439" s="38"/>
      <c r="I439" s="38"/>
    </row>
    <row r="440" spans="6:9" ht="15.75" customHeight="1" x14ac:dyDescent="0.25">
      <c r="F440" s="38"/>
      <c r="G440" s="38"/>
      <c r="H440" s="38"/>
      <c r="I440" s="38"/>
    </row>
    <row r="441" spans="6:9" ht="15.75" customHeight="1" x14ac:dyDescent="0.25">
      <c r="F441" s="38"/>
      <c r="G441" s="38"/>
      <c r="H441" s="38"/>
      <c r="I441" s="38"/>
    </row>
    <row r="442" spans="6:9" ht="15.75" customHeight="1" x14ac:dyDescent="0.25">
      <c r="F442" s="38"/>
      <c r="G442" s="38"/>
      <c r="H442" s="38"/>
      <c r="I442" s="38"/>
    </row>
    <row r="443" spans="6:9" ht="15.75" customHeight="1" x14ac:dyDescent="0.25">
      <c r="F443" s="38"/>
      <c r="G443" s="38"/>
      <c r="H443" s="38"/>
      <c r="I443" s="38"/>
    </row>
    <row r="444" spans="6:9" ht="15.75" customHeight="1" x14ac:dyDescent="0.25">
      <c r="F444" s="38"/>
      <c r="G444" s="38"/>
      <c r="H444" s="38"/>
      <c r="I444" s="38"/>
    </row>
    <row r="445" spans="6:9" ht="15.75" customHeight="1" x14ac:dyDescent="0.25">
      <c r="F445" s="38"/>
      <c r="G445" s="38"/>
      <c r="H445" s="38"/>
      <c r="I445" s="38"/>
    </row>
    <row r="446" spans="6:9" ht="15.75" customHeight="1" x14ac:dyDescent="0.25">
      <c r="F446" s="38"/>
      <c r="G446" s="38"/>
      <c r="H446" s="38"/>
      <c r="I446" s="38"/>
    </row>
    <row r="447" spans="6:9" ht="15.75" customHeight="1" x14ac:dyDescent="0.25">
      <c r="F447" s="38"/>
      <c r="G447" s="38"/>
      <c r="H447" s="38"/>
      <c r="I447" s="38"/>
    </row>
    <row r="448" spans="6:9" ht="15.75" customHeight="1" x14ac:dyDescent="0.25">
      <c r="F448" s="38"/>
      <c r="G448" s="38"/>
      <c r="H448" s="38"/>
      <c r="I448" s="38"/>
    </row>
    <row r="449" spans="6:9" ht="15.75" customHeight="1" x14ac:dyDescent="0.25">
      <c r="F449" s="38"/>
      <c r="G449" s="38"/>
      <c r="H449" s="38"/>
      <c r="I449" s="38"/>
    </row>
    <row r="450" spans="6:9" ht="15.75" customHeight="1" x14ac:dyDescent="0.25">
      <c r="F450" s="38"/>
      <c r="G450" s="38"/>
      <c r="H450" s="38"/>
      <c r="I450" s="38"/>
    </row>
    <row r="451" spans="6:9" ht="15.75" customHeight="1" x14ac:dyDescent="0.25">
      <c r="F451" s="38"/>
      <c r="G451" s="38"/>
      <c r="H451" s="38"/>
      <c r="I451" s="38"/>
    </row>
    <row r="452" spans="6:9" ht="15.75" customHeight="1" x14ac:dyDescent="0.25">
      <c r="F452" s="38"/>
      <c r="G452" s="38"/>
      <c r="H452" s="38"/>
      <c r="I452" s="38"/>
    </row>
    <row r="453" spans="6:9" ht="15.75" customHeight="1" x14ac:dyDescent="0.25">
      <c r="F453" s="38"/>
      <c r="G453" s="38"/>
      <c r="H453" s="38"/>
      <c r="I453" s="38"/>
    </row>
    <row r="454" spans="6:9" ht="15.75" customHeight="1" x14ac:dyDescent="0.25">
      <c r="F454" s="38"/>
      <c r="G454" s="38"/>
      <c r="H454" s="38"/>
      <c r="I454" s="38"/>
    </row>
    <row r="455" spans="6:9" ht="15.75" customHeight="1" x14ac:dyDescent="0.25">
      <c r="F455" s="38"/>
      <c r="G455" s="38"/>
      <c r="H455" s="38"/>
      <c r="I455" s="38"/>
    </row>
    <row r="456" spans="6:9" ht="15.75" customHeight="1" x14ac:dyDescent="0.25">
      <c r="F456" s="38"/>
      <c r="G456" s="38"/>
      <c r="H456" s="38"/>
      <c r="I456" s="38"/>
    </row>
    <row r="457" spans="6:9" ht="15.75" customHeight="1" x14ac:dyDescent="0.25">
      <c r="F457" s="38"/>
      <c r="G457" s="38"/>
      <c r="H457" s="38"/>
      <c r="I457" s="38"/>
    </row>
    <row r="458" spans="6:9" ht="15.75" customHeight="1" x14ac:dyDescent="0.25">
      <c r="F458" s="38"/>
      <c r="G458" s="38"/>
      <c r="H458" s="38"/>
      <c r="I458" s="38"/>
    </row>
    <row r="459" spans="6:9" ht="15.75" customHeight="1" x14ac:dyDescent="0.25">
      <c r="F459" s="38"/>
      <c r="G459" s="38"/>
      <c r="H459" s="38"/>
      <c r="I459" s="38"/>
    </row>
    <row r="460" spans="6:9" ht="15.75" customHeight="1" x14ac:dyDescent="0.25">
      <c r="F460" s="38"/>
      <c r="G460" s="38"/>
      <c r="H460" s="38"/>
      <c r="I460" s="38"/>
    </row>
    <row r="461" spans="6:9" ht="15.75" customHeight="1" x14ac:dyDescent="0.25">
      <c r="F461" s="38"/>
      <c r="G461" s="38"/>
      <c r="H461" s="38"/>
      <c r="I461" s="38"/>
    </row>
    <row r="462" spans="6:9" ht="15.75" customHeight="1" x14ac:dyDescent="0.25">
      <c r="F462" s="38"/>
      <c r="G462" s="38"/>
      <c r="H462" s="38"/>
      <c r="I462" s="38"/>
    </row>
    <row r="463" spans="6:9" ht="15.75" customHeight="1" x14ac:dyDescent="0.25">
      <c r="F463" s="38"/>
      <c r="G463" s="38"/>
      <c r="H463" s="38"/>
      <c r="I463" s="38"/>
    </row>
    <row r="464" spans="6:9" ht="15.75" customHeight="1" x14ac:dyDescent="0.25">
      <c r="F464" s="38"/>
      <c r="G464" s="38"/>
      <c r="H464" s="38"/>
      <c r="I464" s="38"/>
    </row>
    <row r="465" spans="6:9" ht="15.75" customHeight="1" x14ac:dyDescent="0.25">
      <c r="F465" s="38"/>
      <c r="G465" s="38"/>
      <c r="H465" s="38"/>
      <c r="I465" s="38"/>
    </row>
    <row r="466" spans="6:9" ht="15.75" customHeight="1" x14ac:dyDescent="0.25">
      <c r="F466" s="38"/>
      <c r="G466" s="38"/>
      <c r="H466" s="38"/>
      <c r="I466" s="38"/>
    </row>
    <row r="467" spans="6:9" ht="15.75" customHeight="1" x14ac:dyDescent="0.25">
      <c r="F467" s="38"/>
      <c r="G467" s="38"/>
      <c r="H467" s="38"/>
      <c r="I467" s="38"/>
    </row>
    <row r="468" spans="6:9" ht="15.75" customHeight="1" x14ac:dyDescent="0.25">
      <c r="F468" s="38"/>
      <c r="G468" s="38"/>
      <c r="H468" s="38"/>
      <c r="I468" s="38"/>
    </row>
    <row r="469" spans="6:9" ht="15.75" customHeight="1" x14ac:dyDescent="0.25">
      <c r="F469" s="38"/>
      <c r="G469" s="38"/>
      <c r="H469" s="38"/>
      <c r="I469" s="38"/>
    </row>
    <row r="470" spans="6:9" ht="15.75" customHeight="1" x14ac:dyDescent="0.25">
      <c r="F470" s="38"/>
      <c r="G470" s="38"/>
      <c r="H470" s="38"/>
      <c r="I470" s="38"/>
    </row>
    <row r="471" spans="6:9" ht="15.75" customHeight="1" x14ac:dyDescent="0.25">
      <c r="F471" s="38"/>
      <c r="G471" s="38"/>
      <c r="H471" s="38"/>
      <c r="I471" s="38"/>
    </row>
    <row r="472" spans="6:9" ht="15.75" customHeight="1" x14ac:dyDescent="0.25">
      <c r="F472" s="38"/>
      <c r="G472" s="38"/>
      <c r="H472" s="38"/>
      <c r="I472" s="38"/>
    </row>
    <row r="473" spans="6:9" ht="15.75" customHeight="1" x14ac:dyDescent="0.25">
      <c r="F473" s="38"/>
      <c r="G473" s="38"/>
      <c r="H473" s="38"/>
      <c r="I473" s="38"/>
    </row>
    <row r="474" spans="6:9" ht="15.75" customHeight="1" x14ac:dyDescent="0.25">
      <c r="F474" s="38"/>
      <c r="G474" s="38"/>
      <c r="H474" s="38"/>
      <c r="I474" s="38"/>
    </row>
    <row r="475" spans="6:9" ht="15.75" customHeight="1" x14ac:dyDescent="0.25">
      <c r="F475" s="38"/>
      <c r="G475" s="38"/>
      <c r="H475" s="38"/>
      <c r="I475" s="38"/>
    </row>
    <row r="476" spans="6:9" ht="15.75" customHeight="1" x14ac:dyDescent="0.25">
      <c r="F476" s="38"/>
      <c r="G476" s="38"/>
      <c r="H476" s="38"/>
      <c r="I476" s="38"/>
    </row>
    <row r="477" spans="6:9" ht="15.75" customHeight="1" x14ac:dyDescent="0.25">
      <c r="F477" s="38"/>
      <c r="G477" s="38"/>
      <c r="H477" s="38"/>
      <c r="I477" s="38"/>
    </row>
    <row r="478" spans="6:9" ht="15.75" customHeight="1" x14ac:dyDescent="0.25">
      <c r="F478" s="38"/>
      <c r="G478" s="38"/>
      <c r="H478" s="38"/>
      <c r="I478" s="38"/>
    </row>
    <row r="479" spans="6:9" ht="15.75" customHeight="1" x14ac:dyDescent="0.25">
      <c r="F479" s="38"/>
      <c r="G479" s="38"/>
      <c r="H479" s="38"/>
      <c r="I479" s="38"/>
    </row>
    <row r="480" spans="6:9" ht="15.75" customHeight="1" x14ac:dyDescent="0.25">
      <c r="F480" s="38"/>
      <c r="G480" s="38"/>
      <c r="H480" s="38"/>
      <c r="I480" s="38"/>
    </row>
    <row r="481" spans="6:9" ht="15.75" customHeight="1" x14ac:dyDescent="0.25">
      <c r="F481" s="38"/>
      <c r="G481" s="38"/>
      <c r="H481" s="38"/>
      <c r="I481" s="38"/>
    </row>
    <row r="482" spans="6:9" ht="15.75" customHeight="1" x14ac:dyDescent="0.25">
      <c r="F482" s="38"/>
      <c r="G482" s="38"/>
      <c r="H482" s="38"/>
      <c r="I482" s="38"/>
    </row>
    <row r="483" spans="6:9" ht="15.75" customHeight="1" x14ac:dyDescent="0.25">
      <c r="F483" s="38"/>
      <c r="G483" s="38"/>
      <c r="H483" s="38"/>
      <c r="I483" s="38"/>
    </row>
    <row r="484" spans="6:9" ht="15.75" customHeight="1" x14ac:dyDescent="0.25">
      <c r="F484" s="38"/>
      <c r="G484" s="38"/>
      <c r="H484" s="38"/>
      <c r="I484" s="38"/>
    </row>
    <row r="485" spans="6:9" ht="15.75" customHeight="1" x14ac:dyDescent="0.25">
      <c r="F485" s="38"/>
      <c r="G485" s="38"/>
      <c r="H485" s="38"/>
      <c r="I485" s="38"/>
    </row>
    <row r="486" spans="6:9" ht="15.75" customHeight="1" x14ac:dyDescent="0.25">
      <c r="F486" s="38"/>
      <c r="G486" s="38"/>
      <c r="H486" s="38"/>
      <c r="I486" s="38"/>
    </row>
    <row r="487" spans="6:9" ht="15.75" customHeight="1" x14ac:dyDescent="0.25">
      <c r="F487" s="38"/>
      <c r="G487" s="38"/>
      <c r="H487" s="38"/>
      <c r="I487" s="38"/>
    </row>
    <row r="488" spans="6:9" ht="15.75" customHeight="1" x14ac:dyDescent="0.25">
      <c r="F488" s="38"/>
      <c r="G488" s="38"/>
      <c r="H488" s="38"/>
      <c r="I488" s="38"/>
    </row>
    <row r="489" spans="6:9" ht="15.75" customHeight="1" x14ac:dyDescent="0.25">
      <c r="F489" s="38"/>
      <c r="G489" s="38"/>
      <c r="H489" s="38"/>
      <c r="I489" s="38"/>
    </row>
    <row r="490" spans="6:9" ht="15.75" customHeight="1" x14ac:dyDescent="0.25">
      <c r="F490" s="38"/>
      <c r="G490" s="38"/>
      <c r="H490" s="38"/>
      <c r="I490" s="38"/>
    </row>
    <row r="491" spans="6:9" ht="15.75" customHeight="1" x14ac:dyDescent="0.25">
      <c r="F491" s="38"/>
      <c r="G491" s="38"/>
      <c r="H491" s="38"/>
      <c r="I491" s="38"/>
    </row>
    <row r="492" spans="6:9" ht="15.75" customHeight="1" x14ac:dyDescent="0.25">
      <c r="F492" s="38"/>
      <c r="G492" s="38"/>
      <c r="H492" s="38"/>
      <c r="I492" s="38"/>
    </row>
    <row r="493" spans="6:9" ht="15.75" customHeight="1" x14ac:dyDescent="0.25">
      <c r="F493" s="38"/>
      <c r="G493" s="38"/>
      <c r="H493" s="38"/>
      <c r="I493" s="38"/>
    </row>
    <row r="494" spans="6:9" ht="15.75" customHeight="1" x14ac:dyDescent="0.25">
      <c r="F494" s="38"/>
      <c r="G494" s="38"/>
      <c r="H494" s="38"/>
      <c r="I494" s="38"/>
    </row>
    <row r="495" spans="6:9" ht="15.75" customHeight="1" x14ac:dyDescent="0.25">
      <c r="F495" s="38"/>
      <c r="G495" s="38"/>
      <c r="H495" s="38"/>
      <c r="I495" s="38"/>
    </row>
    <row r="496" spans="6:9" ht="15.75" customHeight="1" x14ac:dyDescent="0.25">
      <c r="F496" s="38"/>
      <c r="G496" s="38"/>
      <c r="H496" s="38"/>
      <c r="I496" s="38"/>
    </row>
    <row r="497" spans="6:9" ht="15.75" customHeight="1" x14ac:dyDescent="0.25">
      <c r="F497" s="38"/>
      <c r="G497" s="38"/>
      <c r="H497" s="38"/>
      <c r="I497" s="38"/>
    </row>
    <row r="498" spans="6:9" ht="15.75" customHeight="1" x14ac:dyDescent="0.25">
      <c r="F498" s="38"/>
      <c r="G498" s="38"/>
      <c r="H498" s="38"/>
      <c r="I498" s="38"/>
    </row>
    <row r="499" spans="6:9" ht="15.75" customHeight="1" x14ac:dyDescent="0.25">
      <c r="F499" s="38"/>
      <c r="G499" s="38"/>
      <c r="H499" s="38"/>
      <c r="I499" s="38"/>
    </row>
    <row r="500" spans="6:9" ht="15.75" customHeight="1" x14ac:dyDescent="0.25">
      <c r="F500" s="38"/>
      <c r="G500" s="38"/>
      <c r="H500" s="38"/>
      <c r="I500" s="38"/>
    </row>
    <row r="501" spans="6:9" ht="15.75" customHeight="1" x14ac:dyDescent="0.25">
      <c r="F501" s="38"/>
      <c r="G501" s="38"/>
      <c r="H501" s="38"/>
      <c r="I501" s="38"/>
    </row>
    <row r="502" spans="6:9" ht="15.75" customHeight="1" x14ac:dyDescent="0.25">
      <c r="F502" s="38"/>
      <c r="G502" s="38"/>
      <c r="H502" s="38"/>
      <c r="I502" s="38"/>
    </row>
    <row r="503" spans="6:9" ht="15.75" customHeight="1" x14ac:dyDescent="0.25">
      <c r="F503" s="38"/>
      <c r="G503" s="38"/>
      <c r="H503" s="38"/>
      <c r="I503" s="38"/>
    </row>
    <row r="504" spans="6:9" ht="15.75" customHeight="1" x14ac:dyDescent="0.25">
      <c r="F504" s="38"/>
      <c r="G504" s="38"/>
      <c r="H504" s="38"/>
      <c r="I504" s="38"/>
    </row>
    <row r="505" spans="6:9" ht="15.75" customHeight="1" x14ac:dyDescent="0.25">
      <c r="F505" s="38"/>
      <c r="G505" s="38"/>
      <c r="H505" s="38"/>
      <c r="I505" s="38"/>
    </row>
    <row r="506" spans="6:9" ht="15.75" customHeight="1" x14ac:dyDescent="0.25">
      <c r="F506" s="38"/>
      <c r="G506" s="38"/>
      <c r="H506" s="38"/>
      <c r="I506" s="38"/>
    </row>
    <row r="507" spans="6:9" ht="15.75" customHeight="1" x14ac:dyDescent="0.25">
      <c r="F507" s="38"/>
      <c r="G507" s="38"/>
      <c r="H507" s="38"/>
      <c r="I507" s="38"/>
    </row>
    <row r="508" spans="6:9" ht="15.75" customHeight="1" x14ac:dyDescent="0.25">
      <c r="F508" s="38"/>
      <c r="G508" s="38"/>
      <c r="H508" s="38"/>
      <c r="I508" s="38"/>
    </row>
    <row r="509" spans="6:9" ht="15.75" customHeight="1" x14ac:dyDescent="0.25">
      <c r="F509" s="38"/>
      <c r="G509" s="38"/>
      <c r="H509" s="38"/>
      <c r="I509" s="38"/>
    </row>
    <row r="510" spans="6:9" ht="15.75" customHeight="1" x14ac:dyDescent="0.25">
      <c r="F510" s="38"/>
      <c r="G510" s="38"/>
      <c r="H510" s="38"/>
      <c r="I510" s="38"/>
    </row>
    <row r="511" spans="6:9" ht="15.75" customHeight="1" x14ac:dyDescent="0.25">
      <c r="F511" s="38"/>
      <c r="G511" s="38"/>
      <c r="H511" s="38"/>
      <c r="I511" s="38"/>
    </row>
    <row r="512" spans="6:9" ht="15.75" customHeight="1" x14ac:dyDescent="0.25">
      <c r="F512" s="38"/>
      <c r="G512" s="38"/>
      <c r="H512" s="38"/>
      <c r="I512" s="38"/>
    </row>
    <row r="513" spans="6:9" ht="15.75" customHeight="1" x14ac:dyDescent="0.25">
      <c r="F513" s="38"/>
      <c r="G513" s="38"/>
      <c r="H513" s="38"/>
      <c r="I513" s="38"/>
    </row>
    <row r="514" spans="6:9" ht="15.75" customHeight="1" x14ac:dyDescent="0.25">
      <c r="F514" s="38"/>
      <c r="G514" s="38"/>
      <c r="H514" s="38"/>
      <c r="I514" s="38"/>
    </row>
    <row r="515" spans="6:9" ht="15.75" customHeight="1" x14ac:dyDescent="0.25">
      <c r="F515" s="38"/>
      <c r="G515" s="38"/>
      <c r="H515" s="38"/>
      <c r="I515" s="38"/>
    </row>
    <row r="516" spans="6:9" ht="15.75" customHeight="1" x14ac:dyDescent="0.25">
      <c r="F516" s="38"/>
      <c r="G516" s="38"/>
      <c r="H516" s="38"/>
      <c r="I516" s="38"/>
    </row>
    <row r="517" spans="6:9" ht="15.75" customHeight="1" x14ac:dyDescent="0.25">
      <c r="F517" s="38"/>
      <c r="G517" s="38"/>
      <c r="H517" s="38"/>
      <c r="I517" s="38"/>
    </row>
    <row r="518" spans="6:9" ht="15.75" customHeight="1" x14ac:dyDescent="0.25">
      <c r="F518" s="38"/>
      <c r="G518" s="38"/>
      <c r="H518" s="38"/>
      <c r="I518" s="38"/>
    </row>
    <row r="519" spans="6:9" ht="15.75" customHeight="1" x14ac:dyDescent="0.25">
      <c r="F519" s="38"/>
      <c r="G519" s="38"/>
      <c r="H519" s="38"/>
      <c r="I519" s="38"/>
    </row>
    <row r="520" spans="6:9" ht="15.75" customHeight="1" x14ac:dyDescent="0.25">
      <c r="F520" s="38"/>
      <c r="G520" s="38"/>
      <c r="H520" s="38"/>
      <c r="I520" s="38"/>
    </row>
    <row r="521" spans="6:9" ht="15.75" customHeight="1" x14ac:dyDescent="0.25">
      <c r="F521" s="38"/>
      <c r="G521" s="38"/>
      <c r="H521" s="38"/>
      <c r="I521" s="38"/>
    </row>
    <row r="522" spans="6:9" ht="15.75" customHeight="1" x14ac:dyDescent="0.25">
      <c r="F522" s="38"/>
      <c r="G522" s="38"/>
      <c r="H522" s="38"/>
      <c r="I522" s="38"/>
    </row>
    <row r="523" spans="6:9" ht="15.75" customHeight="1" x14ac:dyDescent="0.25">
      <c r="F523" s="38"/>
      <c r="G523" s="38"/>
      <c r="H523" s="38"/>
      <c r="I523" s="38"/>
    </row>
    <row r="524" spans="6:9" ht="15.75" customHeight="1" x14ac:dyDescent="0.25">
      <c r="F524" s="38"/>
      <c r="G524" s="38"/>
      <c r="H524" s="38"/>
      <c r="I524" s="38"/>
    </row>
    <row r="525" spans="6:9" ht="15.75" customHeight="1" x14ac:dyDescent="0.25">
      <c r="F525" s="38"/>
      <c r="G525" s="38"/>
      <c r="H525" s="38"/>
      <c r="I525" s="38"/>
    </row>
    <row r="526" spans="6:9" ht="15.75" customHeight="1" x14ac:dyDescent="0.25">
      <c r="F526" s="38"/>
      <c r="G526" s="38"/>
      <c r="H526" s="38"/>
      <c r="I526" s="38"/>
    </row>
    <row r="527" spans="6:9" ht="15.75" customHeight="1" x14ac:dyDescent="0.25">
      <c r="F527" s="38"/>
      <c r="G527" s="38"/>
      <c r="H527" s="38"/>
      <c r="I527" s="38"/>
    </row>
    <row r="528" spans="6:9" ht="15.75" customHeight="1" x14ac:dyDescent="0.25">
      <c r="F528" s="38"/>
      <c r="G528" s="38"/>
      <c r="H528" s="38"/>
      <c r="I528" s="38"/>
    </row>
    <row r="529" spans="6:9" ht="15.75" customHeight="1" x14ac:dyDescent="0.25">
      <c r="F529" s="38"/>
      <c r="G529" s="38"/>
      <c r="H529" s="38"/>
      <c r="I529" s="38"/>
    </row>
    <row r="530" spans="6:9" ht="15.75" customHeight="1" x14ac:dyDescent="0.25">
      <c r="F530" s="38"/>
      <c r="G530" s="38"/>
      <c r="H530" s="38"/>
      <c r="I530" s="38"/>
    </row>
    <row r="531" spans="6:9" ht="15.75" customHeight="1" x14ac:dyDescent="0.25">
      <c r="F531" s="38"/>
      <c r="G531" s="38"/>
      <c r="H531" s="38"/>
      <c r="I531" s="38"/>
    </row>
    <row r="532" spans="6:9" ht="15.75" customHeight="1" x14ac:dyDescent="0.25">
      <c r="F532" s="38"/>
      <c r="G532" s="38"/>
      <c r="H532" s="38"/>
      <c r="I532" s="38"/>
    </row>
    <row r="533" spans="6:9" ht="15.75" customHeight="1" x14ac:dyDescent="0.25">
      <c r="F533" s="38"/>
      <c r="G533" s="38"/>
      <c r="H533" s="38"/>
      <c r="I533" s="38"/>
    </row>
    <row r="534" spans="6:9" ht="15.75" customHeight="1" x14ac:dyDescent="0.25">
      <c r="F534" s="38"/>
      <c r="G534" s="38"/>
      <c r="H534" s="38"/>
      <c r="I534" s="38"/>
    </row>
    <row r="535" spans="6:9" ht="15.75" customHeight="1" x14ac:dyDescent="0.25">
      <c r="F535" s="38"/>
      <c r="G535" s="38"/>
      <c r="H535" s="38"/>
      <c r="I535" s="38"/>
    </row>
    <row r="536" spans="6:9" ht="15.75" customHeight="1" x14ac:dyDescent="0.25">
      <c r="F536" s="38"/>
      <c r="G536" s="38"/>
      <c r="H536" s="38"/>
      <c r="I536" s="38"/>
    </row>
    <row r="537" spans="6:9" ht="15.75" customHeight="1" x14ac:dyDescent="0.25">
      <c r="F537" s="38"/>
      <c r="G537" s="38"/>
      <c r="H537" s="38"/>
      <c r="I537" s="38"/>
    </row>
    <row r="538" spans="6:9" ht="15.75" customHeight="1" x14ac:dyDescent="0.25">
      <c r="F538" s="38"/>
      <c r="G538" s="38"/>
      <c r="H538" s="38"/>
      <c r="I538" s="38"/>
    </row>
    <row r="539" spans="6:9" ht="15.75" customHeight="1" x14ac:dyDescent="0.25">
      <c r="F539" s="38"/>
      <c r="G539" s="38"/>
      <c r="H539" s="38"/>
      <c r="I539" s="38"/>
    </row>
    <row r="540" spans="6:9" ht="15.75" customHeight="1" x14ac:dyDescent="0.25">
      <c r="F540" s="38"/>
      <c r="G540" s="38"/>
      <c r="H540" s="38"/>
      <c r="I540" s="38"/>
    </row>
    <row r="541" spans="6:9" ht="15.75" customHeight="1" x14ac:dyDescent="0.25">
      <c r="F541" s="38"/>
      <c r="G541" s="38"/>
      <c r="H541" s="38"/>
      <c r="I541" s="38"/>
    </row>
    <row r="542" spans="6:9" ht="15.75" customHeight="1" x14ac:dyDescent="0.25">
      <c r="F542" s="38"/>
      <c r="G542" s="38"/>
      <c r="H542" s="38"/>
      <c r="I542" s="38"/>
    </row>
    <row r="543" spans="6:9" ht="15.75" customHeight="1" x14ac:dyDescent="0.25">
      <c r="F543" s="38"/>
      <c r="G543" s="38"/>
      <c r="H543" s="38"/>
      <c r="I543" s="38"/>
    </row>
    <row r="544" spans="6:9" ht="15.75" customHeight="1" x14ac:dyDescent="0.25">
      <c r="F544" s="38"/>
      <c r="G544" s="38"/>
      <c r="H544" s="38"/>
      <c r="I544" s="38"/>
    </row>
    <row r="545" spans="6:9" ht="15.75" customHeight="1" x14ac:dyDescent="0.25">
      <c r="F545" s="38"/>
      <c r="G545" s="38"/>
      <c r="H545" s="38"/>
      <c r="I545" s="38"/>
    </row>
    <row r="546" spans="6:9" ht="15.75" customHeight="1" x14ac:dyDescent="0.25">
      <c r="F546" s="38"/>
      <c r="G546" s="38"/>
      <c r="H546" s="38"/>
      <c r="I546" s="38"/>
    </row>
    <row r="547" spans="6:9" ht="15.75" customHeight="1" x14ac:dyDescent="0.25">
      <c r="F547" s="38"/>
      <c r="G547" s="38"/>
      <c r="H547" s="38"/>
      <c r="I547" s="38"/>
    </row>
    <row r="548" spans="6:9" ht="15.75" customHeight="1" x14ac:dyDescent="0.25">
      <c r="F548" s="38"/>
      <c r="G548" s="38"/>
      <c r="H548" s="38"/>
      <c r="I548" s="38"/>
    </row>
    <row r="549" spans="6:9" ht="15.75" customHeight="1" x14ac:dyDescent="0.25">
      <c r="F549" s="38"/>
      <c r="G549" s="38"/>
      <c r="H549" s="38"/>
      <c r="I549" s="38"/>
    </row>
    <row r="550" spans="6:9" ht="15.75" customHeight="1" x14ac:dyDescent="0.25">
      <c r="F550" s="38"/>
      <c r="G550" s="38"/>
      <c r="H550" s="38"/>
      <c r="I550" s="38"/>
    </row>
    <row r="551" spans="6:9" ht="15.75" customHeight="1" x14ac:dyDescent="0.25">
      <c r="F551" s="38"/>
      <c r="G551" s="38"/>
      <c r="H551" s="38"/>
      <c r="I551" s="38"/>
    </row>
    <row r="552" spans="6:9" ht="15.75" customHeight="1" x14ac:dyDescent="0.25">
      <c r="F552" s="38"/>
      <c r="G552" s="38"/>
      <c r="H552" s="38"/>
      <c r="I552" s="38"/>
    </row>
    <row r="553" spans="6:9" ht="15.75" customHeight="1" x14ac:dyDescent="0.25">
      <c r="F553" s="38"/>
      <c r="G553" s="38"/>
      <c r="H553" s="38"/>
      <c r="I553" s="38"/>
    </row>
    <row r="554" spans="6:9" ht="15.75" customHeight="1" x14ac:dyDescent="0.25">
      <c r="F554" s="38"/>
      <c r="G554" s="38"/>
      <c r="H554" s="38"/>
      <c r="I554" s="38"/>
    </row>
    <row r="555" spans="6:9" ht="15.75" customHeight="1" x14ac:dyDescent="0.25">
      <c r="F555" s="38"/>
      <c r="G555" s="38"/>
      <c r="H555" s="38"/>
      <c r="I555" s="38"/>
    </row>
    <row r="556" spans="6:9" ht="15.75" customHeight="1" x14ac:dyDescent="0.25">
      <c r="F556" s="38"/>
      <c r="G556" s="38"/>
      <c r="H556" s="38"/>
      <c r="I556" s="38"/>
    </row>
    <row r="557" spans="6:9" ht="15.75" customHeight="1" x14ac:dyDescent="0.25">
      <c r="F557" s="38"/>
      <c r="G557" s="38"/>
      <c r="H557" s="38"/>
      <c r="I557" s="38"/>
    </row>
    <row r="558" spans="6:9" ht="15.75" customHeight="1" x14ac:dyDescent="0.25">
      <c r="F558" s="38"/>
      <c r="G558" s="38"/>
      <c r="H558" s="38"/>
      <c r="I558" s="38"/>
    </row>
    <row r="559" spans="6:9" ht="15.75" customHeight="1" x14ac:dyDescent="0.25">
      <c r="F559" s="38"/>
      <c r="G559" s="38"/>
      <c r="H559" s="38"/>
      <c r="I559" s="38"/>
    </row>
    <row r="560" spans="6:9" ht="15.75" customHeight="1" x14ac:dyDescent="0.25">
      <c r="F560" s="38"/>
      <c r="G560" s="38"/>
      <c r="H560" s="38"/>
      <c r="I560" s="38"/>
    </row>
    <row r="561" spans="6:9" ht="15.75" customHeight="1" x14ac:dyDescent="0.25">
      <c r="F561" s="38"/>
      <c r="G561" s="38"/>
      <c r="H561" s="38"/>
      <c r="I561" s="38"/>
    </row>
    <row r="562" spans="6:9" ht="15.75" customHeight="1" x14ac:dyDescent="0.25">
      <c r="F562" s="38"/>
      <c r="G562" s="38"/>
      <c r="H562" s="38"/>
      <c r="I562" s="38"/>
    </row>
    <row r="563" spans="6:9" ht="15.75" customHeight="1" x14ac:dyDescent="0.25">
      <c r="F563" s="38"/>
      <c r="G563" s="38"/>
      <c r="H563" s="38"/>
      <c r="I563" s="38"/>
    </row>
    <row r="564" spans="6:9" ht="15.75" customHeight="1" x14ac:dyDescent="0.25">
      <c r="F564" s="38"/>
      <c r="G564" s="38"/>
      <c r="H564" s="38"/>
      <c r="I564" s="38"/>
    </row>
    <row r="565" spans="6:9" ht="15.75" customHeight="1" x14ac:dyDescent="0.25">
      <c r="F565" s="38"/>
      <c r="G565" s="38"/>
      <c r="H565" s="38"/>
      <c r="I565" s="38"/>
    </row>
    <row r="566" spans="6:9" ht="15.75" customHeight="1" x14ac:dyDescent="0.25">
      <c r="F566" s="38"/>
      <c r="G566" s="38"/>
      <c r="H566" s="38"/>
      <c r="I566" s="38"/>
    </row>
    <row r="567" spans="6:9" ht="15.75" customHeight="1" x14ac:dyDescent="0.25">
      <c r="F567" s="38"/>
      <c r="G567" s="38"/>
      <c r="H567" s="38"/>
      <c r="I567" s="38"/>
    </row>
    <row r="568" spans="6:9" ht="15.75" customHeight="1" x14ac:dyDescent="0.25">
      <c r="F568" s="38"/>
      <c r="G568" s="38"/>
      <c r="H568" s="38"/>
      <c r="I568" s="38"/>
    </row>
    <row r="569" spans="6:9" ht="15.75" customHeight="1" x14ac:dyDescent="0.25">
      <c r="F569" s="38"/>
      <c r="G569" s="38"/>
      <c r="H569" s="38"/>
      <c r="I569" s="38"/>
    </row>
    <row r="570" spans="6:9" ht="15.75" customHeight="1" x14ac:dyDescent="0.25">
      <c r="F570" s="38"/>
      <c r="G570" s="38"/>
      <c r="H570" s="38"/>
      <c r="I570" s="38"/>
    </row>
    <row r="571" spans="6:9" ht="15.75" customHeight="1" x14ac:dyDescent="0.25">
      <c r="F571" s="38"/>
      <c r="G571" s="38"/>
      <c r="H571" s="38"/>
      <c r="I571" s="38"/>
    </row>
    <row r="572" spans="6:9" ht="15.75" customHeight="1" x14ac:dyDescent="0.25">
      <c r="F572" s="38"/>
      <c r="G572" s="38"/>
      <c r="H572" s="38"/>
      <c r="I572" s="38"/>
    </row>
    <row r="573" spans="6:9" ht="15.75" customHeight="1" x14ac:dyDescent="0.25">
      <c r="F573" s="38"/>
      <c r="G573" s="38"/>
      <c r="H573" s="38"/>
      <c r="I573" s="38"/>
    </row>
    <row r="574" spans="6:9" ht="15.75" customHeight="1" x14ac:dyDescent="0.25">
      <c r="F574" s="38"/>
      <c r="G574" s="38"/>
      <c r="H574" s="38"/>
      <c r="I574" s="38"/>
    </row>
    <row r="575" spans="6:9" ht="15.75" customHeight="1" x14ac:dyDescent="0.25">
      <c r="F575" s="38"/>
      <c r="G575" s="38"/>
      <c r="H575" s="38"/>
      <c r="I575" s="38"/>
    </row>
    <row r="576" spans="6:9" ht="15.75" customHeight="1" x14ac:dyDescent="0.25">
      <c r="F576" s="38"/>
      <c r="G576" s="38"/>
      <c r="H576" s="38"/>
      <c r="I576" s="38"/>
    </row>
    <row r="577" spans="6:9" ht="15.75" customHeight="1" x14ac:dyDescent="0.25">
      <c r="F577" s="38"/>
      <c r="G577" s="38"/>
      <c r="H577" s="38"/>
      <c r="I577" s="38"/>
    </row>
    <row r="578" spans="6:9" ht="15.75" customHeight="1" x14ac:dyDescent="0.25">
      <c r="F578" s="38"/>
      <c r="G578" s="38"/>
      <c r="H578" s="38"/>
      <c r="I578" s="38"/>
    </row>
    <row r="579" spans="6:9" ht="15.75" customHeight="1" x14ac:dyDescent="0.25">
      <c r="F579" s="38"/>
      <c r="G579" s="38"/>
      <c r="H579" s="38"/>
      <c r="I579" s="38"/>
    </row>
    <row r="580" spans="6:9" ht="15.75" customHeight="1" x14ac:dyDescent="0.25">
      <c r="F580" s="38"/>
      <c r="G580" s="38"/>
      <c r="H580" s="38"/>
      <c r="I580" s="38"/>
    </row>
    <row r="581" spans="6:9" ht="15.75" customHeight="1" x14ac:dyDescent="0.25">
      <c r="F581" s="38"/>
      <c r="G581" s="38"/>
      <c r="H581" s="38"/>
      <c r="I581" s="38"/>
    </row>
    <row r="582" spans="6:9" ht="15.75" customHeight="1" x14ac:dyDescent="0.25">
      <c r="F582" s="38"/>
      <c r="G582" s="38"/>
      <c r="H582" s="38"/>
      <c r="I582" s="38"/>
    </row>
    <row r="583" spans="6:9" ht="15.75" customHeight="1" x14ac:dyDescent="0.25">
      <c r="F583" s="38"/>
      <c r="G583" s="38"/>
      <c r="H583" s="38"/>
      <c r="I583" s="38"/>
    </row>
    <row r="584" spans="6:9" ht="15.75" customHeight="1" x14ac:dyDescent="0.25">
      <c r="F584" s="38"/>
      <c r="G584" s="38"/>
      <c r="H584" s="38"/>
      <c r="I584" s="38"/>
    </row>
    <row r="585" spans="6:9" ht="15.75" customHeight="1" x14ac:dyDescent="0.25">
      <c r="F585" s="38"/>
      <c r="G585" s="38"/>
      <c r="H585" s="38"/>
      <c r="I585" s="38"/>
    </row>
    <row r="586" spans="6:9" ht="15.75" customHeight="1" x14ac:dyDescent="0.25">
      <c r="F586" s="38"/>
      <c r="G586" s="38"/>
      <c r="H586" s="38"/>
      <c r="I586" s="38"/>
    </row>
    <row r="587" spans="6:9" ht="15.75" customHeight="1" x14ac:dyDescent="0.25">
      <c r="F587" s="38"/>
      <c r="G587" s="38"/>
      <c r="H587" s="38"/>
      <c r="I587" s="38"/>
    </row>
    <row r="588" spans="6:9" ht="15.75" customHeight="1" x14ac:dyDescent="0.25">
      <c r="F588" s="38"/>
      <c r="G588" s="38"/>
      <c r="H588" s="38"/>
      <c r="I588" s="38"/>
    </row>
    <row r="589" spans="6:9" ht="15.75" customHeight="1" x14ac:dyDescent="0.25">
      <c r="F589" s="38"/>
      <c r="G589" s="38"/>
      <c r="H589" s="38"/>
      <c r="I589" s="38"/>
    </row>
    <row r="590" spans="6:9" ht="15.75" customHeight="1" x14ac:dyDescent="0.25">
      <c r="F590" s="38"/>
      <c r="G590" s="38"/>
      <c r="H590" s="38"/>
      <c r="I590" s="38"/>
    </row>
    <row r="591" spans="6:9" ht="15.75" customHeight="1" x14ac:dyDescent="0.25">
      <c r="F591" s="38"/>
      <c r="G591" s="38"/>
      <c r="H591" s="38"/>
      <c r="I591" s="38"/>
    </row>
    <row r="592" spans="6:9" ht="15.75" customHeight="1" x14ac:dyDescent="0.25">
      <c r="F592" s="38"/>
      <c r="G592" s="38"/>
      <c r="H592" s="38"/>
      <c r="I592" s="38"/>
    </row>
    <row r="593" spans="6:9" ht="15.75" customHeight="1" x14ac:dyDescent="0.25">
      <c r="F593" s="38"/>
      <c r="G593" s="38"/>
      <c r="H593" s="38"/>
      <c r="I593" s="38"/>
    </row>
    <row r="594" spans="6:9" ht="15.75" customHeight="1" x14ac:dyDescent="0.25">
      <c r="F594" s="38"/>
      <c r="G594" s="38"/>
      <c r="H594" s="38"/>
      <c r="I594" s="38"/>
    </row>
    <row r="595" spans="6:9" ht="15.75" customHeight="1" x14ac:dyDescent="0.25">
      <c r="F595" s="38"/>
      <c r="G595" s="38"/>
      <c r="H595" s="38"/>
      <c r="I595" s="38"/>
    </row>
    <row r="596" spans="6:9" ht="15.75" customHeight="1" x14ac:dyDescent="0.25">
      <c r="F596" s="38"/>
      <c r="G596" s="38"/>
      <c r="H596" s="38"/>
      <c r="I596" s="38"/>
    </row>
    <row r="597" spans="6:9" ht="15.75" customHeight="1" x14ac:dyDescent="0.25">
      <c r="F597" s="38"/>
      <c r="G597" s="38"/>
      <c r="H597" s="38"/>
      <c r="I597" s="38"/>
    </row>
    <row r="598" spans="6:9" ht="15.75" customHeight="1" x14ac:dyDescent="0.25">
      <c r="F598" s="38"/>
      <c r="G598" s="38"/>
      <c r="H598" s="38"/>
      <c r="I598" s="38"/>
    </row>
    <row r="599" spans="6:9" ht="15.75" customHeight="1" x14ac:dyDescent="0.25">
      <c r="F599" s="38"/>
      <c r="G599" s="38"/>
      <c r="H599" s="38"/>
      <c r="I599" s="38"/>
    </row>
    <row r="600" spans="6:9" ht="15.75" customHeight="1" x14ac:dyDescent="0.25">
      <c r="F600" s="38"/>
      <c r="G600" s="38"/>
      <c r="H600" s="38"/>
      <c r="I600" s="38"/>
    </row>
    <row r="601" spans="6:9" ht="15.75" customHeight="1" x14ac:dyDescent="0.25">
      <c r="F601" s="38"/>
      <c r="G601" s="38"/>
      <c r="H601" s="38"/>
      <c r="I601" s="38"/>
    </row>
    <row r="602" spans="6:9" ht="15.75" customHeight="1" x14ac:dyDescent="0.25">
      <c r="F602" s="38"/>
      <c r="G602" s="38"/>
      <c r="H602" s="38"/>
      <c r="I602" s="38"/>
    </row>
    <row r="603" spans="6:9" ht="15.75" customHeight="1" x14ac:dyDescent="0.25">
      <c r="F603" s="38"/>
      <c r="G603" s="38"/>
      <c r="H603" s="38"/>
      <c r="I603" s="38"/>
    </row>
    <row r="604" spans="6:9" ht="15.75" customHeight="1" x14ac:dyDescent="0.25">
      <c r="F604" s="38"/>
      <c r="G604" s="38"/>
      <c r="H604" s="38"/>
      <c r="I604" s="38"/>
    </row>
    <row r="605" spans="6:9" ht="15.75" customHeight="1" x14ac:dyDescent="0.25">
      <c r="F605" s="38"/>
      <c r="G605" s="38"/>
      <c r="H605" s="38"/>
      <c r="I605" s="38"/>
    </row>
    <row r="606" spans="6:9" ht="15.75" customHeight="1" x14ac:dyDescent="0.25">
      <c r="F606" s="38"/>
      <c r="G606" s="38"/>
      <c r="H606" s="38"/>
      <c r="I606" s="38"/>
    </row>
    <row r="607" spans="6:9" ht="15.75" customHeight="1" x14ac:dyDescent="0.25">
      <c r="F607" s="38"/>
      <c r="G607" s="38"/>
      <c r="H607" s="38"/>
      <c r="I607" s="38"/>
    </row>
    <row r="608" spans="6:9" ht="15.75" customHeight="1" x14ac:dyDescent="0.25">
      <c r="F608" s="38"/>
      <c r="G608" s="38"/>
      <c r="H608" s="38"/>
      <c r="I608" s="38"/>
    </row>
    <row r="609" spans="6:9" ht="15.75" customHeight="1" x14ac:dyDescent="0.25">
      <c r="F609" s="38"/>
      <c r="G609" s="38"/>
      <c r="H609" s="38"/>
      <c r="I609" s="38"/>
    </row>
    <row r="610" spans="6:9" ht="15.75" customHeight="1" x14ac:dyDescent="0.25">
      <c r="F610" s="38"/>
      <c r="G610" s="38"/>
      <c r="H610" s="38"/>
      <c r="I610" s="38"/>
    </row>
    <row r="611" spans="6:9" ht="15.75" customHeight="1" x14ac:dyDescent="0.25">
      <c r="F611" s="38"/>
      <c r="G611" s="38"/>
      <c r="H611" s="38"/>
      <c r="I611" s="38"/>
    </row>
    <row r="612" spans="6:9" ht="15.75" customHeight="1" x14ac:dyDescent="0.25">
      <c r="F612" s="38"/>
      <c r="G612" s="38"/>
      <c r="H612" s="38"/>
      <c r="I612" s="38"/>
    </row>
    <row r="613" spans="6:9" ht="15.75" customHeight="1" x14ac:dyDescent="0.25">
      <c r="F613" s="38"/>
      <c r="G613" s="38"/>
      <c r="H613" s="38"/>
      <c r="I613" s="38"/>
    </row>
    <row r="614" spans="6:9" ht="15.75" customHeight="1" x14ac:dyDescent="0.25">
      <c r="F614" s="38"/>
      <c r="G614" s="38"/>
      <c r="H614" s="38"/>
      <c r="I614" s="38"/>
    </row>
    <row r="615" spans="6:9" ht="15.75" customHeight="1" x14ac:dyDescent="0.25">
      <c r="F615" s="38"/>
      <c r="G615" s="38"/>
      <c r="H615" s="38"/>
      <c r="I615" s="38"/>
    </row>
    <row r="616" spans="6:9" ht="15.75" customHeight="1" x14ac:dyDescent="0.25">
      <c r="F616" s="38"/>
      <c r="G616" s="38"/>
      <c r="H616" s="38"/>
      <c r="I616" s="38"/>
    </row>
    <row r="617" spans="6:9" ht="15.75" customHeight="1" x14ac:dyDescent="0.25">
      <c r="F617" s="38"/>
      <c r="G617" s="38"/>
      <c r="H617" s="38"/>
      <c r="I617" s="38"/>
    </row>
    <row r="618" spans="6:9" ht="15.75" customHeight="1" x14ac:dyDescent="0.25">
      <c r="F618" s="38"/>
      <c r="G618" s="38"/>
      <c r="H618" s="38"/>
      <c r="I618" s="38"/>
    </row>
    <row r="619" spans="6:9" ht="15.75" customHeight="1" x14ac:dyDescent="0.25">
      <c r="F619" s="38"/>
      <c r="G619" s="38"/>
      <c r="H619" s="38"/>
      <c r="I619" s="38"/>
    </row>
    <row r="620" spans="6:9" ht="15.75" customHeight="1" x14ac:dyDescent="0.25">
      <c r="F620" s="38"/>
      <c r="G620" s="38"/>
      <c r="H620" s="38"/>
      <c r="I620" s="38"/>
    </row>
    <row r="621" spans="6:9" ht="15.75" customHeight="1" x14ac:dyDescent="0.25">
      <c r="F621" s="38"/>
      <c r="G621" s="38"/>
      <c r="H621" s="38"/>
      <c r="I621" s="38"/>
    </row>
    <row r="622" spans="6:9" ht="15.75" customHeight="1" x14ac:dyDescent="0.25">
      <c r="F622" s="38"/>
      <c r="G622" s="38"/>
      <c r="H622" s="38"/>
      <c r="I622" s="38"/>
    </row>
    <row r="623" spans="6:9" ht="15.75" customHeight="1" x14ac:dyDescent="0.25">
      <c r="F623" s="38"/>
      <c r="G623" s="38"/>
      <c r="H623" s="38"/>
      <c r="I623" s="38"/>
    </row>
    <row r="624" spans="6:9" ht="15.75" customHeight="1" x14ac:dyDescent="0.25">
      <c r="F624" s="38"/>
      <c r="G624" s="38"/>
      <c r="H624" s="38"/>
      <c r="I624" s="38"/>
    </row>
    <row r="625" spans="6:9" ht="15.75" customHeight="1" x14ac:dyDescent="0.25">
      <c r="F625" s="38"/>
      <c r="G625" s="38"/>
      <c r="H625" s="38"/>
      <c r="I625" s="38"/>
    </row>
    <row r="626" spans="6:9" ht="15.75" customHeight="1" x14ac:dyDescent="0.25">
      <c r="F626" s="38"/>
      <c r="G626" s="38"/>
      <c r="H626" s="38"/>
      <c r="I626" s="38"/>
    </row>
    <row r="627" spans="6:9" ht="15.75" customHeight="1" x14ac:dyDescent="0.25">
      <c r="F627" s="38"/>
      <c r="G627" s="38"/>
      <c r="H627" s="38"/>
      <c r="I627" s="38"/>
    </row>
    <row r="628" spans="6:9" ht="15.75" customHeight="1" x14ac:dyDescent="0.25">
      <c r="F628" s="38"/>
      <c r="G628" s="38"/>
      <c r="H628" s="38"/>
      <c r="I628" s="38"/>
    </row>
    <row r="629" spans="6:9" ht="15.75" customHeight="1" x14ac:dyDescent="0.25">
      <c r="F629" s="38"/>
      <c r="G629" s="38"/>
      <c r="H629" s="38"/>
      <c r="I629" s="38"/>
    </row>
    <row r="630" spans="6:9" ht="15.75" customHeight="1" x14ac:dyDescent="0.25">
      <c r="F630" s="38"/>
      <c r="G630" s="38"/>
      <c r="H630" s="38"/>
      <c r="I630" s="38"/>
    </row>
    <row r="631" spans="6:9" ht="15.75" customHeight="1" x14ac:dyDescent="0.25">
      <c r="F631" s="38"/>
      <c r="G631" s="38"/>
      <c r="H631" s="38"/>
      <c r="I631" s="38"/>
    </row>
    <row r="632" spans="6:9" ht="15.75" customHeight="1" x14ac:dyDescent="0.25">
      <c r="F632" s="38"/>
      <c r="G632" s="38"/>
      <c r="H632" s="38"/>
      <c r="I632" s="38"/>
    </row>
    <row r="633" spans="6:9" ht="15.75" customHeight="1" x14ac:dyDescent="0.25">
      <c r="F633" s="38"/>
      <c r="G633" s="38"/>
      <c r="H633" s="38"/>
      <c r="I633" s="38"/>
    </row>
    <row r="634" spans="6:9" ht="15.75" customHeight="1" x14ac:dyDescent="0.25">
      <c r="F634" s="38"/>
      <c r="G634" s="38"/>
      <c r="H634" s="38"/>
      <c r="I634" s="38"/>
    </row>
    <row r="635" spans="6:9" ht="15.75" customHeight="1" x14ac:dyDescent="0.25">
      <c r="F635" s="38"/>
      <c r="G635" s="38"/>
      <c r="H635" s="38"/>
      <c r="I635" s="38"/>
    </row>
    <row r="636" spans="6:9" ht="15.75" customHeight="1" x14ac:dyDescent="0.25">
      <c r="F636" s="38"/>
      <c r="G636" s="38"/>
      <c r="H636" s="38"/>
      <c r="I636" s="38"/>
    </row>
    <row r="637" spans="6:9" ht="15.75" customHeight="1" x14ac:dyDescent="0.25">
      <c r="F637" s="38"/>
      <c r="G637" s="38"/>
      <c r="H637" s="38"/>
      <c r="I637" s="38"/>
    </row>
    <row r="638" spans="6:9" ht="15.75" customHeight="1" x14ac:dyDescent="0.25">
      <c r="F638" s="38"/>
      <c r="G638" s="38"/>
      <c r="H638" s="38"/>
      <c r="I638" s="38"/>
    </row>
    <row r="639" spans="6:9" ht="15.75" customHeight="1" x14ac:dyDescent="0.25">
      <c r="F639" s="38"/>
      <c r="G639" s="38"/>
      <c r="H639" s="38"/>
      <c r="I639" s="38"/>
    </row>
    <row r="640" spans="6:9" ht="15.75" customHeight="1" x14ac:dyDescent="0.25">
      <c r="F640" s="38"/>
      <c r="G640" s="38"/>
      <c r="H640" s="38"/>
      <c r="I640" s="38"/>
    </row>
    <row r="641" spans="6:9" ht="15.75" customHeight="1" x14ac:dyDescent="0.25">
      <c r="F641" s="38"/>
      <c r="G641" s="38"/>
      <c r="H641" s="38"/>
      <c r="I641" s="38"/>
    </row>
    <row r="642" spans="6:9" ht="15.75" customHeight="1" x14ac:dyDescent="0.25">
      <c r="F642" s="38"/>
      <c r="G642" s="38"/>
      <c r="H642" s="38"/>
      <c r="I642" s="38"/>
    </row>
    <row r="643" spans="6:9" ht="15.75" customHeight="1" x14ac:dyDescent="0.25">
      <c r="F643" s="38"/>
      <c r="G643" s="38"/>
      <c r="H643" s="38"/>
      <c r="I643" s="38"/>
    </row>
    <row r="644" spans="6:9" ht="15.75" customHeight="1" x14ac:dyDescent="0.25">
      <c r="F644" s="38"/>
      <c r="G644" s="38"/>
      <c r="H644" s="38"/>
      <c r="I644" s="38"/>
    </row>
    <row r="645" spans="6:9" ht="15.75" customHeight="1" x14ac:dyDescent="0.25">
      <c r="F645" s="38"/>
      <c r="G645" s="38"/>
      <c r="H645" s="38"/>
      <c r="I645" s="38"/>
    </row>
    <row r="646" spans="6:9" ht="15.75" customHeight="1" x14ac:dyDescent="0.25">
      <c r="F646" s="38"/>
      <c r="G646" s="38"/>
      <c r="H646" s="38"/>
      <c r="I646" s="38"/>
    </row>
    <row r="647" spans="6:9" ht="15.75" customHeight="1" x14ac:dyDescent="0.25">
      <c r="F647" s="38"/>
      <c r="G647" s="38"/>
      <c r="H647" s="38"/>
      <c r="I647" s="38"/>
    </row>
    <row r="648" spans="6:9" ht="15.75" customHeight="1" x14ac:dyDescent="0.25">
      <c r="F648" s="38"/>
      <c r="G648" s="38"/>
      <c r="H648" s="38"/>
      <c r="I648" s="38"/>
    </row>
    <row r="649" spans="6:9" ht="15.75" customHeight="1" x14ac:dyDescent="0.25">
      <c r="F649" s="38"/>
      <c r="G649" s="38"/>
      <c r="H649" s="38"/>
      <c r="I649" s="38"/>
    </row>
    <row r="650" spans="6:9" ht="15.75" customHeight="1" x14ac:dyDescent="0.25">
      <c r="F650" s="38"/>
      <c r="G650" s="38"/>
      <c r="H650" s="38"/>
      <c r="I650" s="38"/>
    </row>
    <row r="651" spans="6:9" ht="15.75" customHeight="1" x14ac:dyDescent="0.25">
      <c r="F651" s="38"/>
      <c r="G651" s="38"/>
      <c r="H651" s="38"/>
      <c r="I651" s="38"/>
    </row>
    <row r="652" spans="6:9" ht="15.75" customHeight="1" x14ac:dyDescent="0.25">
      <c r="F652" s="38"/>
      <c r="G652" s="38"/>
      <c r="H652" s="38"/>
      <c r="I652" s="38"/>
    </row>
    <row r="653" spans="6:9" ht="15.75" customHeight="1" x14ac:dyDescent="0.25">
      <c r="F653" s="38"/>
      <c r="G653" s="38"/>
      <c r="H653" s="38"/>
      <c r="I653" s="38"/>
    </row>
    <row r="654" spans="6:9" ht="15.75" customHeight="1" x14ac:dyDescent="0.25">
      <c r="F654" s="38"/>
      <c r="G654" s="38"/>
      <c r="H654" s="38"/>
      <c r="I654" s="38"/>
    </row>
    <row r="655" spans="6:9" ht="15.75" customHeight="1" x14ac:dyDescent="0.25">
      <c r="F655" s="38"/>
      <c r="G655" s="38"/>
      <c r="H655" s="38"/>
      <c r="I655" s="38"/>
    </row>
    <row r="656" spans="6:9" ht="15.75" customHeight="1" x14ac:dyDescent="0.25">
      <c r="F656" s="38"/>
      <c r="G656" s="38"/>
      <c r="H656" s="38"/>
      <c r="I656" s="38"/>
    </row>
    <row r="657" spans="6:9" ht="15.75" customHeight="1" x14ac:dyDescent="0.25">
      <c r="F657" s="38"/>
      <c r="G657" s="38"/>
      <c r="H657" s="38"/>
      <c r="I657" s="38"/>
    </row>
    <row r="658" spans="6:9" ht="15.75" customHeight="1" x14ac:dyDescent="0.25">
      <c r="F658" s="38"/>
      <c r="G658" s="38"/>
      <c r="H658" s="38"/>
      <c r="I658" s="38"/>
    </row>
    <row r="659" spans="6:9" ht="15.75" customHeight="1" x14ac:dyDescent="0.25">
      <c r="F659" s="38"/>
      <c r="G659" s="38"/>
      <c r="H659" s="38"/>
      <c r="I659" s="38"/>
    </row>
    <row r="660" spans="6:9" ht="15.75" customHeight="1" x14ac:dyDescent="0.25">
      <c r="F660" s="38"/>
      <c r="G660" s="38"/>
      <c r="H660" s="38"/>
      <c r="I660" s="38"/>
    </row>
    <row r="661" spans="6:9" ht="15.75" customHeight="1" x14ac:dyDescent="0.25">
      <c r="F661" s="38"/>
      <c r="G661" s="38"/>
      <c r="H661" s="38"/>
      <c r="I661" s="38"/>
    </row>
    <row r="662" spans="6:9" ht="15.75" customHeight="1" x14ac:dyDescent="0.25">
      <c r="F662" s="38"/>
      <c r="G662" s="38"/>
      <c r="H662" s="38"/>
      <c r="I662" s="38"/>
    </row>
    <row r="663" spans="6:9" ht="15.75" customHeight="1" x14ac:dyDescent="0.25">
      <c r="F663" s="38"/>
      <c r="G663" s="38"/>
      <c r="H663" s="38"/>
      <c r="I663" s="38"/>
    </row>
    <row r="664" spans="6:9" ht="15.75" customHeight="1" x14ac:dyDescent="0.25">
      <c r="F664" s="38"/>
      <c r="G664" s="38"/>
      <c r="H664" s="38"/>
      <c r="I664" s="38"/>
    </row>
    <row r="665" spans="6:9" ht="15.75" customHeight="1" x14ac:dyDescent="0.25">
      <c r="F665" s="38"/>
      <c r="G665" s="38"/>
      <c r="H665" s="38"/>
      <c r="I665" s="38"/>
    </row>
    <row r="666" spans="6:9" ht="15.75" customHeight="1" x14ac:dyDescent="0.25">
      <c r="F666" s="38"/>
      <c r="G666" s="38"/>
      <c r="H666" s="38"/>
      <c r="I666" s="38"/>
    </row>
    <row r="667" spans="6:9" ht="15.75" customHeight="1" x14ac:dyDescent="0.25">
      <c r="F667" s="38"/>
      <c r="G667" s="38"/>
      <c r="H667" s="38"/>
      <c r="I667" s="38"/>
    </row>
    <row r="668" spans="6:9" ht="15.75" customHeight="1" x14ac:dyDescent="0.25">
      <c r="F668" s="38"/>
      <c r="G668" s="38"/>
      <c r="H668" s="38"/>
      <c r="I668" s="38"/>
    </row>
    <row r="669" spans="6:9" ht="15.75" customHeight="1" x14ac:dyDescent="0.25">
      <c r="F669" s="38"/>
      <c r="G669" s="38"/>
      <c r="H669" s="38"/>
      <c r="I669" s="38"/>
    </row>
    <row r="670" spans="6:9" ht="15.75" customHeight="1" x14ac:dyDescent="0.25">
      <c r="F670" s="38"/>
      <c r="G670" s="38"/>
      <c r="H670" s="38"/>
      <c r="I670" s="38"/>
    </row>
    <row r="671" spans="6:9" ht="15.75" customHeight="1" x14ac:dyDescent="0.25">
      <c r="F671" s="38"/>
      <c r="G671" s="38"/>
      <c r="H671" s="38"/>
      <c r="I671" s="38"/>
    </row>
    <row r="672" spans="6:9" ht="15.75" customHeight="1" x14ac:dyDescent="0.25">
      <c r="F672" s="38"/>
      <c r="G672" s="38"/>
      <c r="H672" s="38"/>
      <c r="I672" s="38"/>
    </row>
    <row r="673" spans="6:9" ht="15.75" customHeight="1" x14ac:dyDescent="0.25">
      <c r="F673" s="38"/>
      <c r="G673" s="38"/>
      <c r="H673" s="38"/>
      <c r="I673" s="38"/>
    </row>
    <row r="674" spans="6:9" ht="15.75" customHeight="1" x14ac:dyDescent="0.25">
      <c r="F674" s="38"/>
      <c r="G674" s="38"/>
      <c r="H674" s="38"/>
      <c r="I674" s="38"/>
    </row>
    <row r="675" spans="6:9" ht="15.75" customHeight="1" x14ac:dyDescent="0.25">
      <c r="F675" s="38"/>
      <c r="G675" s="38"/>
      <c r="H675" s="38"/>
      <c r="I675" s="38"/>
    </row>
    <row r="676" spans="6:9" ht="15.75" customHeight="1" x14ac:dyDescent="0.25">
      <c r="F676" s="38"/>
      <c r="G676" s="38"/>
      <c r="H676" s="38"/>
      <c r="I676" s="38"/>
    </row>
    <row r="677" spans="6:9" ht="15.75" customHeight="1" x14ac:dyDescent="0.25">
      <c r="F677" s="38"/>
      <c r="G677" s="38"/>
      <c r="H677" s="38"/>
      <c r="I677" s="38"/>
    </row>
    <row r="678" spans="6:9" ht="15.75" customHeight="1" x14ac:dyDescent="0.25">
      <c r="F678" s="38"/>
      <c r="G678" s="38"/>
      <c r="H678" s="38"/>
      <c r="I678" s="38"/>
    </row>
    <row r="679" spans="6:9" ht="15.75" customHeight="1" x14ac:dyDescent="0.25">
      <c r="F679" s="38"/>
      <c r="G679" s="38"/>
      <c r="H679" s="38"/>
      <c r="I679" s="38"/>
    </row>
    <row r="680" spans="6:9" ht="15.75" customHeight="1" x14ac:dyDescent="0.25">
      <c r="F680" s="38"/>
      <c r="G680" s="38"/>
      <c r="H680" s="38"/>
      <c r="I680" s="38"/>
    </row>
    <row r="681" spans="6:9" ht="15.75" customHeight="1" x14ac:dyDescent="0.25">
      <c r="F681" s="38"/>
      <c r="G681" s="38"/>
      <c r="H681" s="38"/>
      <c r="I681" s="38"/>
    </row>
    <row r="682" spans="6:9" ht="15.75" customHeight="1" x14ac:dyDescent="0.25">
      <c r="F682" s="38"/>
      <c r="G682" s="38"/>
      <c r="H682" s="38"/>
      <c r="I682" s="38"/>
    </row>
    <row r="683" spans="6:9" ht="15.75" customHeight="1" x14ac:dyDescent="0.25">
      <c r="F683" s="38"/>
      <c r="G683" s="38"/>
      <c r="H683" s="38"/>
      <c r="I683" s="38"/>
    </row>
    <row r="684" spans="6:9" ht="15.75" customHeight="1" x14ac:dyDescent="0.25">
      <c r="F684" s="38"/>
      <c r="G684" s="38"/>
      <c r="H684" s="38"/>
      <c r="I684" s="38"/>
    </row>
    <row r="685" spans="6:9" ht="15.75" customHeight="1" x14ac:dyDescent="0.25">
      <c r="F685" s="38"/>
      <c r="G685" s="38"/>
      <c r="H685" s="38"/>
      <c r="I685" s="38"/>
    </row>
    <row r="686" spans="6:9" ht="15.75" customHeight="1" x14ac:dyDescent="0.25">
      <c r="F686" s="38"/>
      <c r="G686" s="38"/>
      <c r="H686" s="38"/>
      <c r="I686" s="38"/>
    </row>
    <row r="687" spans="6:9" ht="15.75" customHeight="1" x14ac:dyDescent="0.25">
      <c r="F687" s="38"/>
      <c r="G687" s="38"/>
      <c r="H687" s="38"/>
      <c r="I687" s="38"/>
    </row>
    <row r="688" spans="6:9" ht="15.75" customHeight="1" x14ac:dyDescent="0.25">
      <c r="F688" s="38"/>
      <c r="G688" s="38"/>
      <c r="H688" s="38"/>
      <c r="I688" s="38"/>
    </row>
    <row r="689" spans="6:9" ht="15.75" customHeight="1" x14ac:dyDescent="0.25">
      <c r="F689" s="38"/>
      <c r="G689" s="38"/>
      <c r="H689" s="38"/>
      <c r="I689" s="38"/>
    </row>
    <row r="690" spans="6:9" ht="15.75" customHeight="1" x14ac:dyDescent="0.25">
      <c r="F690" s="38"/>
      <c r="G690" s="38"/>
      <c r="H690" s="38"/>
      <c r="I690" s="38"/>
    </row>
    <row r="691" spans="6:9" ht="15.75" customHeight="1" x14ac:dyDescent="0.25">
      <c r="F691" s="38"/>
      <c r="G691" s="38"/>
      <c r="H691" s="38"/>
      <c r="I691" s="38"/>
    </row>
    <row r="692" spans="6:9" ht="15.75" customHeight="1" x14ac:dyDescent="0.25">
      <c r="F692" s="38"/>
      <c r="G692" s="38"/>
      <c r="H692" s="38"/>
      <c r="I692" s="38"/>
    </row>
    <row r="693" spans="6:9" ht="15.75" customHeight="1" x14ac:dyDescent="0.25">
      <c r="F693" s="38"/>
      <c r="G693" s="38"/>
      <c r="H693" s="38"/>
      <c r="I693" s="38"/>
    </row>
    <row r="694" spans="6:9" ht="15.75" customHeight="1" x14ac:dyDescent="0.25">
      <c r="F694" s="38"/>
      <c r="G694" s="38"/>
      <c r="H694" s="38"/>
      <c r="I694" s="38"/>
    </row>
    <row r="695" spans="6:9" ht="15.75" customHeight="1" x14ac:dyDescent="0.25">
      <c r="F695" s="38"/>
      <c r="G695" s="38"/>
      <c r="H695" s="38"/>
      <c r="I695" s="38"/>
    </row>
    <row r="696" spans="6:9" ht="15.75" customHeight="1" x14ac:dyDescent="0.25">
      <c r="F696" s="38"/>
      <c r="G696" s="38"/>
      <c r="H696" s="38"/>
      <c r="I696" s="38"/>
    </row>
    <row r="697" spans="6:9" ht="15.75" customHeight="1" x14ac:dyDescent="0.25">
      <c r="F697" s="38"/>
      <c r="G697" s="38"/>
      <c r="H697" s="38"/>
      <c r="I697" s="38"/>
    </row>
    <row r="698" spans="6:9" ht="15.75" customHeight="1" x14ac:dyDescent="0.25">
      <c r="F698" s="38"/>
      <c r="G698" s="38"/>
      <c r="H698" s="38"/>
      <c r="I698" s="38"/>
    </row>
    <row r="699" spans="6:9" ht="15.75" customHeight="1" x14ac:dyDescent="0.25">
      <c r="F699" s="38"/>
      <c r="G699" s="38"/>
      <c r="H699" s="38"/>
      <c r="I699" s="38"/>
    </row>
    <row r="700" spans="6:9" ht="15.75" customHeight="1" x14ac:dyDescent="0.25">
      <c r="F700" s="38"/>
      <c r="G700" s="38"/>
      <c r="H700" s="38"/>
      <c r="I700" s="38"/>
    </row>
    <row r="701" spans="6:9" ht="15.75" customHeight="1" x14ac:dyDescent="0.25">
      <c r="F701" s="38"/>
      <c r="G701" s="38"/>
      <c r="H701" s="38"/>
      <c r="I701" s="38"/>
    </row>
    <row r="702" spans="6:9" ht="15.75" customHeight="1" x14ac:dyDescent="0.25">
      <c r="F702" s="38"/>
      <c r="G702" s="38"/>
      <c r="H702" s="38"/>
      <c r="I702" s="38"/>
    </row>
    <row r="703" spans="6:9" ht="15.75" customHeight="1" x14ac:dyDescent="0.25">
      <c r="F703" s="38"/>
      <c r="G703" s="38"/>
      <c r="H703" s="38"/>
      <c r="I703" s="38"/>
    </row>
    <row r="704" spans="6:9" ht="15.75" customHeight="1" x14ac:dyDescent="0.25">
      <c r="F704" s="38"/>
      <c r="G704" s="38"/>
      <c r="H704" s="38"/>
      <c r="I704" s="38"/>
    </row>
    <row r="705" spans="6:9" ht="15.75" customHeight="1" x14ac:dyDescent="0.25">
      <c r="F705" s="38"/>
      <c r="G705" s="38"/>
      <c r="H705" s="38"/>
      <c r="I705" s="38"/>
    </row>
    <row r="706" spans="6:9" ht="15.75" customHeight="1" x14ac:dyDescent="0.25">
      <c r="F706" s="38"/>
      <c r="G706" s="38"/>
      <c r="H706" s="38"/>
      <c r="I706" s="38"/>
    </row>
    <row r="707" spans="6:9" ht="15.75" customHeight="1" x14ac:dyDescent="0.25">
      <c r="F707" s="38"/>
      <c r="G707" s="38"/>
      <c r="H707" s="38"/>
      <c r="I707" s="38"/>
    </row>
    <row r="708" spans="6:9" ht="15.75" customHeight="1" x14ac:dyDescent="0.25">
      <c r="F708" s="38"/>
      <c r="G708" s="38"/>
      <c r="H708" s="38"/>
      <c r="I708" s="38"/>
    </row>
    <row r="709" spans="6:9" ht="15.75" customHeight="1" x14ac:dyDescent="0.25">
      <c r="F709" s="38"/>
      <c r="G709" s="38"/>
      <c r="H709" s="38"/>
      <c r="I709" s="38"/>
    </row>
    <row r="710" spans="6:9" ht="15.75" customHeight="1" x14ac:dyDescent="0.25">
      <c r="F710" s="38"/>
      <c r="G710" s="38"/>
      <c r="H710" s="38"/>
      <c r="I710" s="38"/>
    </row>
    <row r="711" spans="6:9" ht="15.75" customHeight="1" x14ac:dyDescent="0.25">
      <c r="F711" s="38"/>
      <c r="G711" s="38"/>
      <c r="H711" s="38"/>
      <c r="I711" s="38"/>
    </row>
    <row r="712" spans="6:9" ht="15.75" customHeight="1" x14ac:dyDescent="0.25">
      <c r="F712" s="38"/>
      <c r="G712" s="38"/>
      <c r="H712" s="38"/>
      <c r="I712" s="38"/>
    </row>
    <row r="713" spans="6:9" ht="15.75" customHeight="1" x14ac:dyDescent="0.25">
      <c r="F713" s="38"/>
      <c r="G713" s="38"/>
      <c r="H713" s="38"/>
      <c r="I713" s="38"/>
    </row>
    <row r="714" spans="6:9" ht="15.75" customHeight="1" x14ac:dyDescent="0.25">
      <c r="F714" s="38"/>
      <c r="G714" s="38"/>
      <c r="H714" s="38"/>
      <c r="I714" s="38"/>
    </row>
    <row r="715" spans="6:9" ht="15.75" customHeight="1" x14ac:dyDescent="0.25">
      <c r="F715" s="38"/>
      <c r="G715" s="38"/>
      <c r="H715" s="38"/>
      <c r="I715" s="38"/>
    </row>
    <row r="716" spans="6:9" ht="15.75" customHeight="1" x14ac:dyDescent="0.25">
      <c r="F716" s="38"/>
      <c r="G716" s="38"/>
      <c r="H716" s="38"/>
      <c r="I716" s="38"/>
    </row>
    <row r="717" spans="6:9" ht="15.75" customHeight="1" x14ac:dyDescent="0.25">
      <c r="F717" s="38"/>
      <c r="G717" s="38"/>
      <c r="H717" s="38"/>
      <c r="I717" s="38"/>
    </row>
    <row r="718" spans="6:9" ht="15.75" customHeight="1" x14ac:dyDescent="0.25">
      <c r="F718" s="38"/>
      <c r="G718" s="38"/>
      <c r="H718" s="38"/>
      <c r="I718" s="38"/>
    </row>
    <row r="719" spans="6:9" ht="15.75" customHeight="1" x14ac:dyDescent="0.25">
      <c r="F719" s="38"/>
      <c r="G719" s="38"/>
      <c r="H719" s="38"/>
      <c r="I719" s="38"/>
    </row>
    <row r="720" spans="6:9" ht="15.75" customHeight="1" x14ac:dyDescent="0.25">
      <c r="F720" s="38"/>
      <c r="G720" s="38"/>
      <c r="H720" s="38"/>
      <c r="I720" s="38"/>
    </row>
    <row r="721" spans="6:9" ht="15.75" customHeight="1" x14ac:dyDescent="0.25">
      <c r="F721" s="38"/>
      <c r="G721" s="38"/>
      <c r="H721" s="38"/>
      <c r="I721" s="38"/>
    </row>
    <row r="722" spans="6:9" ht="15.75" customHeight="1" x14ac:dyDescent="0.25">
      <c r="F722" s="38"/>
      <c r="G722" s="38"/>
      <c r="H722" s="38"/>
      <c r="I722" s="38"/>
    </row>
    <row r="723" spans="6:9" ht="15.75" customHeight="1" x14ac:dyDescent="0.25">
      <c r="F723" s="38"/>
      <c r="G723" s="38"/>
      <c r="H723" s="38"/>
      <c r="I723" s="38"/>
    </row>
    <row r="724" spans="6:9" ht="15.75" customHeight="1" x14ac:dyDescent="0.25">
      <c r="F724" s="38"/>
      <c r="G724" s="38"/>
      <c r="H724" s="38"/>
      <c r="I724" s="38"/>
    </row>
    <row r="725" spans="6:9" ht="15.75" customHeight="1" x14ac:dyDescent="0.25">
      <c r="F725" s="38"/>
      <c r="G725" s="38"/>
      <c r="H725" s="38"/>
      <c r="I725" s="38"/>
    </row>
    <row r="726" spans="6:9" ht="15.75" customHeight="1" x14ac:dyDescent="0.25">
      <c r="F726" s="38"/>
      <c r="G726" s="38"/>
      <c r="H726" s="38"/>
      <c r="I726" s="38"/>
    </row>
    <row r="727" spans="6:9" ht="15.75" customHeight="1" x14ac:dyDescent="0.25">
      <c r="F727" s="38"/>
      <c r="G727" s="38"/>
      <c r="H727" s="38"/>
      <c r="I727" s="38"/>
    </row>
    <row r="728" spans="6:9" ht="15.75" customHeight="1" x14ac:dyDescent="0.25">
      <c r="F728" s="38"/>
      <c r="G728" s="38"/>
      <c r="H728" s="38"/>
      <c r="I728" s="38"/>
    </row>
    <row r="729" spans="6:9" ht="15.75" customHeight="1" x14ac:dyDescent="0.25">
      <c r="F729" s="38"/>
      <c r="G729" s="38"/>
      <c r="H729" s="38"/>
      <c r="I729" s="38"/>
    </row>
    <row r="730" spans="6:9" ht="15.75" customHeight="1" x14ac:dyDescent="0.25">
      <c r="F730" s="38"/>
      <c r="G730" s="38"/>
      <c r="H730" s="38"/>
      <c r="I730" s="38"/>
    </row>
    <row r="731" spans="6:9" ht="15.75" customHeight="1" x14ac:dyDescent="0.25">
      <c r="F731" s="38"/>
      <c r="G731" s="38"/>
      <c r="H731" s="38"/>
      <c r="I731" s="38"/>
    </row>
    <row r="732" spans="6:9" ht="15.75" customHeight="1" x14ac:dyDescent="0.25">
      <c r="F732" s="38"/>
      <c r="G732" s="38"/>
      <c r="H732" s="38"/>
      <c r="I732" s="38"/>
    </row>
    <row r="733" spans="6:9" ht="15.75" customHeight="1" x14ac:dyDescent="0.25">
      <c r="F733" s="38"/>
      <c r="G733" s="38"/>
      <c r="H733" s="38"/>
      <c r="I733" s="38"/>
    </row>
    <row r="734" spans="6:9" ht="15.75" customHeight="1" x14ac:dyDescent="0.25">
      <c r="F734" s="38"/>
      <c r="G734" s="38"/>
      <c r="H734" s="38"/>
      <c r="I734" s="38"/>
    </row>
    <row r="735" spans="6:9" ht="15.75" customHeight="1" x14ac:dyDescent="0.25">
      <c r="F735" s="38"/>
      <c r="G735" s="38"/>
      <c r="H735" s="38"/>
      <c r="I735" s="38"/>
    </row>
    <row r="736" spans="6:9" ht="15.75" customHeight="1" x14ac:dyDescent="0.25">
      <c r="F736" s="38"/>
      <c r="G736" s="38"/>
      <c r="H736" s="38"/>
      <c r="I736" s="38"/>
    </row>
    <row r="737" spans="6:9" ht="15.75" customHeight="1" x14ac:dyDescent="0.25">
      <c r="F737" s="38"/>
      <c r="G737" s="38"/>
      <c r="H737" s="38"/>
      <c r="I737" s="38"/>
    </row>
    <row r="738" spans="6:9" ht="15.75" customHeight="1" x14ac:dyDescent="0.25">
      <c r="F738" s="38"/>
      <c r="G738" s="38"/>
      <c r="H738" s="38"/>
      <c r="I738" s="38"/>
    </row>
    <row r="739" spans="6:9" ht="15.75" customHeight="1" x14ac:dyDescent="0.25">
      <c r="F739" s="38"/>
      <c r="G739" s="38"/>
      <c r="H739" s="38"/>
      <c r="I739" s="38"/>
    </row>
    <row r="740" spans="6:9" ht="15.75" customHeight="1" x14ac:dyDescent="0.25">
      <c r="F740" s="38"/>
      <c r="G740" s="38"/>
      <c r="H740" s="38"/>
      <c r="I740" s="38"/>
    </row>
    <row r="741" spans="6:9" ht="15.75" customHeight="1" x14ac:dyDescent="0.25">
      <c r="F741" s="38"/>
      <c r="G741" s="38"/>
      <c r="H741" s="38"/>
      <c r="I741" s="38"/>
    </row>
    <row r="742" spans="6:9" ht="15.75" customHeight="1" x14ac:dyDescent="0.25">
      <c r="F742" s="38"/>
      <c r="G742" s="38"/>
      <c r="H742" s="38"/>
      <c r="I742" s="38"/>
    </row>
    <row r="743" spans="6:9" ht="15.75" customHeight="1" x14ac:dyDescent="0.25">
      <c r="F743" s="38"/>
      <c r="G743" s="38"/>
      <c r="H743" s="38"/>
      <c r="I743" s="38"/>
    </row>
    <row r="744" spans="6:9" ht="15.75" customHeight="1" x14ac:dyDescent="0.25">
      <c r="F744" s="38"/>
      <c r="G744" s="38"/>
      <c r="H744" s="38"/>
      <c r="I744" s="38"/>
    </row>
    <row r="745" spans="6:9" ht="15.75" customHeight="1" x14ac:dyDescent="0.25">
      <c r="F745" s="38"/>
      <c r="G745" s="38"/>
      <c r="H745" s="38"/>
      <c r="I745" s="38"/>
    </row>
    <row r="746" spans="6:9" ht="15.75" customHeight="1" x14ac:dyDescent="0.25">
      <c r="F746" s="38"/>
      <c r="G746" s="38"/>
      <c r="H746" s="38"/>
      <c r="I746" s="38"/>
    </row>
    <row r="747" spans="6:9" ht="15.75" customHeight="1" x14ac:dyDescent="0.25">
      <c r="F747" s="38"/>
      <c r="G747" s="38"/>
      <c r="H747" s="38"/>
      <c r="I747" s="38"/>
    </row>
    <row r="748" spans="6:9" ht="15.75" customHeight="1" x14ac:dyDescent="0.25">
      <c r="F748" s="38"/>
      <c r="G748" s="38"/>
      <c r="H748" s="38"/>
      <c r="I748" s="38"/>
    </row>
    <row r="749" spans="6:9" ht="15.75" customHeight="1" x14ac:dyDescent="0.25">
      <c r="F749" s="38"/>
      <c r="G749" s="38"/>
      <c r="H749" s="38"/>
      <c r="I749" s="38"/>
    </row>
    <row r="750" spans="6:9" ht="15.75" customHeight="1" x14ac:dyDescent="0.25">
      <c r="F750" s="38"/>
      <c r="G750" s="38"/>
      <c r="H750" s="38"/>
      <c r="I750" s="38"/>
    </row>
    <row r="751" spans="6:9" ht="15.75" customHeight="1" x14ac:dyDescent="0.25">
      <c r="F751" s="38"/>
      <c r="G751" s="38"/>
      <c r="H751" s="38"/>
      <c r="I751" s="38"/>
    </row>
    <row r="752" spans="6:9" ht="15.75" customHeight="1" x14ac:dyDescent="0.25">
      <c r="F752" s="38"/>
      <c r="G752" s="38"/>
      <c r="H752" s="38"/>
      <c r="I752" s="38"/>
    </row>
    <row r="753" spans="6:9" ht="15.75" customHeight="1" x14ac:dyDescent="0.25">
      <c r="F753" s="38"/>
      <c r="G753" s="38"/>
      <c r="H753" s="38"/>
      <c r="I753" s="38"/>
    </row>
    <row r="754" spans="6:9" ht="15.75" customHeight="1" x14ac:dyDescent="0.25">
      <c r="F754" s="38"/>
      <c r="G754" s="38"/>
      <c r="H754" s="38"/>
      <c r="I754" s="38"/>
    </row>
    <row r="755" spans="6:9" ht="15.75" customHeight="1" x14ac:dyDescent="0.25">
      <c r="F755" s="38"/>
      <c r="G755" s="38"/>
      <c r="H755" s="38"/>
      <c r="I755" s="38"/>
    </row>
    <row r="756" spans="6:9" ht="15.75" customHeight="1" x14ac:dyDescent="0.25">
      <c r="F756" s="38"/>
      <c r="G756" s="38"/>
      <c r="H756" s="38"/>
      <c r="I756" s="38"/>
    </row>
    <row r="757" spans="6:9" ht="15.75" customHeight="1" x14ac:dyDescent="0.25">
      <c r="F757" s="38"/>
      <c r="G757" s="38"/>
      <c r="H757" s="38"/>
      <c r="I757" s="38"/>
    </row>
    <row r="758" spans="6:9" ht="15.75" customHeight="1" x14ac:dyDescent="0.25">
      <c r="F758" s="38"/>
      <c r="G758" s="38"/>
      <c r="H758" s="38"/>
      <c r="I758" s="38"/>
    </row>
    <row r="759" spans="6:9" ht="15.75" customHeight="1" x14ac:dyDescent="0.25">
      <c r="F759" s="38"/>
      <c r="G759" s="38"/>
      <c r="H759" s="38"/>
      <c r="I759" s="38"/>
    </row>
    <row r="760" spans="6:9" ht="15.75" customHeight="1" x14ac:dyDescent="0.25">
      <c r="F760" s="38"/>
      <c r="G760" s="38"/>
      <c r="H760" s="38"/>
      <c r="I760" s="38"/>
    </row>
    <row r="761" spans="6:9" ht="15.75" customHeight="1" x14ac:dyDescent="0.25">
      <c r="F761" s="38"/>
      <c r="G761" s="38"/>
      <c r="H761" s="38"/>
      <c r="I761" s="38"/>
    </row>
    <row r="762" spans="6:9" ht="15.75" customHeight="1" x14ac:dyDescent="0.25">
      <c r="F762" s="38"/>
      <c r="G762" s="38"/>
      <c r="H762" s="38"/>
      <c r="I762" s="38"/>
    </row>
    <row r="763" spans="6:9" ht="15.75" customHeight="1" x14ac:dyDescent="0.25">
      <c r="F763" s="38"/>
      <c r="G763" s="38"/>
      <c r="H763" s="38"/>
      <c r="I763" s="38"/>
    </row>
    <row r="764" spans="6:9" ht="15.75" customHeight="1" x14ac:dyDescent="0.25">
      <c r="F764" s="38"/>
      <c r="G764" s="38"/>
      <c r="H764" s="38"/>
      <c r="I764" s="38"/>
    </row>
    <row r="765" spans="6:9" ht="15.75" customHeight="1" x14ac:dyDescent="0.25">
      <c r="F765" s="38"/>
      <c r="G765" s="38"/>
      <c r="H765" s="38"/>
      <c r="I765" s="38"/>
    </row>
    <row r="766" spans="6:9" ht="15.75" customHeight="1" x14ac:dyDescent="0.25">
      <c r="F766" s="38"/>
      <c r="G766" s="38"/>
      <c r="H766" s="38"/>
      <c r="I766" s="38"/>
    </row>
    <row r="767" spans="6:9" ht="15.75" customHeight="1" x14ac:dyDescent="0.25">
      <c r="F767" s="38"/>
      <c r="G767" s="38"/>
      <c r="H767" s="38"/>
      <c r="I767" s="38"/>
    </row>
    <row r="768" spans="6:9" ht="15.75" customHeight="1" x14ac:dyDescent="0.25">
      <c r="F768" s="38"/>
      <c r="G768" s="38"/>
      <c r="H768" s="38"/>
      <c r="I768" s="38"/>
    </row>
    <row r="769" spans="6:9" ht="15.75" customHeight="1" x14ac:dyDescent="0.25">
      <c r="F769" s="38"/>
      <c r="G769" s="38"/>
      <c r="H769" s="38"/>
      <c r="I769" s="38"/>
    </row>
    <row r="770" spans="6:9" ht="15.75" customHeight="1" x14ac:dyDescent="0.25">
      <c r="F770" s="38"/>
      <c r="G770" s="38"/>
      <c r="H770" s="38"/>
      <c r="I770" s="38"/>
    </row>
    <row r="771" spans="6:9" ht="15.75" customHeight="1" x14ac:dyDescent="0.25">
      <c r="F771" s="38"/>
      <c r="G771" s="38"/>
      <c r="H771" s="38"/>
      <c r="I771" s="38"/>
    </row>
    <row r="772" spans="6:9" ht="15.75" customHeight="1" x14ac:dyDescent="0.25">
      <c r="F772" s="38"/>
      <c r="G772" s="38"/>
      <c r="H772" s="38"/>
      <c r="I772" s="38"/>
    </row>
    <row r="773" spans="6:9" ht="15.75" customHeight="1" x14ac:dyDescent="0.25">
      <c r="F773" s="38"/>
      <c r="G773" s="38"/>
      <c r="H773" s="38"/>
      <c r="I773" s="38"/>
    </row>
    <row r="774" spans="6:9" ht="15.75" customHeight="1" x14ac:dyDescent="0.25">
      <c r="F774" s="38"/>
      <c r="G774" s="38"/>
      <c r="H774" s="38"/>
      <c r="I774" s="38"/>
    </row>
    <row r="775" spans="6:9" ht="15.75" customHeight="1" x14ac:dyDescent="0.25">
      <c r="F775" s="38"/>
      <c r="G775" s="38"/>
      <c r="H775" s="38"/>
      <c r="I775" s="38"/>
    </row>
    <row r="776" spans="6:9" ht="15.75" customHeight="1" x14ac:dyDescent="0.25">
      <c r="F776" s="38"/>
      <c r="G776" s="38"/>
      <c r="H776" s="38"/>
      <c r="I776" s="38"/>
    </row>
    <row r="777" spans="6:9" ht="15.75" customHeight="1" x14ac:dyDescent="0.25">
      <c r="F777" s="38"/>
      <c r="G777" s="38"/>
      <c r="H777" s="38"/>
      <c r="I777" s="38"/>
    </row>
    <row r="778" spans="6:9" ht="15.75" customHeight="1" x14ac:dyDescent="0.25">
      <c r="F778" s="38"/>
      <c r="G778" s="38"/>
      <c r="H778" s="38"/>
      <c r="I778" s="38"/>
    </row>
    <row r="779" spans="6:9" ht="15.75" customHeight="1" x14ac:dyDescent="0.25">
      <c r="F779" s="38"/>
      <c r="G779" s="38"/>
      <c r="H779" s="38"/>
      <c r="I779" s="38"/>
    </row>
    <row r="780" spans="6:9" ht="15.75" customHeight="1" x14ac:dyDescent="0.25">
      <c r="F780" s="38"/>
      <c r="G780" s="38"/>
      <c r="H780" s="38"/>
      <c r="I780" s="38"/>
    </row>
    <row r="781" spans="6:9" ht="15.75" customHeight="1" x14ac:dyDescent="0.25">
      <c r="F781" s="38"/>
      <c r="G781" s="38"/>
      <c r="H781" s="38"/>
      <c r="I781" s="38"/>
    </row>
    <row r="782" spans="6:9" ht="15.75" customHeight="1" x14ac:dyDescent="0.25">
      <c r="F782" s="38"/>
      <c r="G782" s="38"/>
      <c r="H782" s="38"/>
      <c r="I782" s="38"/>
    </row>
    <row r="783" spans="6:9" ht="15.75" customHeight="1" x14ac:dyDescent="0.25">
      <c r="F783" s="38"/>
      <c r="G783" s="38"/>
      <c r="H783" s="38"/>
      <c r="I783" s="38"/>
    </row>
    <row r="784" spans="6:9" ht="15.75" customHeight="1" x14ac:dyDescent="0.25">
      <c r="F784" s="38"/>
      <c r="G784" s="38"/>
      <c r="H784" s="38"/>
      <c r="I784" s="38"/>
    </row>
    <row r="785" spans="6:9" ht="15.75" customHeight="1" x14ac:dyDescent="0.25">
      <c r="F785" s="38"/>
      <c r="G785" s="38"/>
      <c r="H785" s="38"/>
      <c r="I785" s="38"/>
    </row>
    <row r="786" spans="6:9" ht="15.75" customHeight="1" x14ac:dyDescent="0.25">
      <c r="F786" s="38"/>
      <c r="G786" s="38"/>
      <c r="H786" s="38"/>
      <c r="I786" s="38"/>
    </row>
    <row r="787" spans="6:9" ht="15.75" customHeight="1" x14ac:dyDescent="0.25">
      <c r="F787" s="38"/>
      <c r="G787" s="38"/>
      <c r="H787" s="38"/>
      <c r="I787" s="38"/>
    </row>
    <row r="788" spans="6:9" ht="15.75" customHeight="1" x14ac:dyDescent="0.25">
      <c r="F788" s="38"/>
      <c r="G788" s="38"/>
      <c r="H788" s="38"/>
      <c r="I788" s="38"/>
    </row>
    <row r="789" spans="6:9" ht="15.75" customHeight="1" x14ac:dyDescent="0.25">
      <c r="F789" s="38"/>
      <c r="G789" s="38"/>
      <c r="H789" s="38"/>
      <c r="I789" s="38"/>
    </row>
    <row r="790" spans="6:9" ht="15.75" customHeight="1" x14ac:dyDescent="0.25">
      <c r="F790" s="38"/>
      <c r="G790" s="38"/>
      <c r="H790" s="38"/>
      <c r="I790" s="38"/>
    </row>
    <row r="791" spans="6:9" ht="15.75" customHeight="1" x14ac:dyDescent="0.25">
      <c r="F791" s="38"/>
      <c r="G791" s="38"/>
      <c r="H791" s="38"/>
      <c r="I791" s="38"/>
    </row>
    <row r="792" spans="6:9" ht="15.75" customHeight="1" x14ac:dyDescent="0.25">
      <c r="F792" s="38"/>
      <c r="G792" s="38"/>
      <c r="H792" s="38"/>
      <c r="I792" s="38"/>
    </row>
    <row r="793" spans="6:9" ht="15.75" customHeight="1" x14ac:dyDescent="0.25">
      <c r="F793" s="38"/>
      <c r="G793" s="38"/>
      <c r="H793" s="38"/>
      <c r="I793" s="38"/>
    </row>
    <row r="794" spans="6:9" ht="15.75" customHeight="1" x14ac:dyDescent="0.25">
      <c r="F794" s="38"/>
      <c r="G794" s="38"/>
      <c r="H794" s="38"/>
      <c r="I794" s="38"/>
    </row>
    <row r="795" spans="6:9" ht="15.75" customHeight="1" x14ac:dyDescent="0.25">
      <c r="F795" s="38"/>
      <c r="G795" s="38"/>
      <c r="H795" s="38"/>
      <c r="I795" s="38"/>
    </row>
    <row r="796" spans="6:9" ht="15.75" customHeight="1" x14ac:dyDescent="0.25">
      <c r="F796" s="38"/>
      <c r="G796" s="38"/>
      <c r="H796" s="38"/>
      <c r="I796" s="38"/>
    </row>
    <row r="797" spans="6:9" ht="15.75" customHeight="1" x14ac:dyDescent="0.25">
      <c r="F797" s="38"/>
      <c r="G797" s="38"/>
      <c r="H797" s="38"/>
      <c r="I797" s="38"/>
    </row>
    <row r="798" spans="6:9" ht="15.75" customHeight="1" x14ac:dyDescent="0.25">
      <c r="F798" s="38"/>
      <c r="G798" s="38"/>
      <c r="H798" s="38"/>
      <c r="I798" s="38"/>
    </row>
    <row r="799" spans="6:9" ht="15.75" customHeight="1" x14ac:dyDescent="0.25">
      <c r="F799" s="38"/>
      <c r="G799" s="38"/>
      <c r="H799" s="38"/>
      <c r="I799" s="38"/>
    </row>
    <row r="800" spans="6:9" ht="15.75" customHeight="1" x14ac:dyDescent="0.25">
      <c r="F800" s="38"/>
      <c r="G800" s="38"/>
      <c r="H800" s="38"/>
      <c r="I800" s="38"/>
    </row>
    <row r="801" spans="6:9" ht="15.75" customHeight="1" x14ac:dyDescent="0.25">
      <c r="F801" s="38"/>
      <c r="G801" s="38"/>
      <c r="H801" s="38"/>
      <c r="I801" s="38"/>
    </row>
    <row r="802" spans="6:9" ht="15.75" customHeight="1" x14ac:dyDescent="0.25">
      <c r="F802" s="38"/>
      <c r="G802" s="38"/>
      <c r="H802" s="38"/>
      <c r="I802" s="38"/>
    </row>
    <row r="803" spans="6:9" ht="15.75" customHeight="1" x14ac:dyDescent="0.25">
      <c r="F803" s="38"/>
      <c r="G803" s="38"/>
      <c r="H803" s="38"/>
      <c r="I803" s="38"/>
    </row>
    <row r="804" spans="6:9" ht="15.75" customHeight="1" x14ac:dyDescent="0.25">
      <c r="F804" s="38"/>
      <c r="G804" s="38"/>
      <c r="H804" s="38"/>
      <c r="I804" s="38"/>
    </row>
    <row r="805" spans="6:9" ht="15.75" customHeight="1" x14ac:dyDescent="0.25">
      <c r="F805" s="38"/>
      <c r="G805" s="38"/>
      <c r="H805" s="38"/>
      <c r="I805" s="38"/>
    </row>
    <row r="806" spans="6:9" ht="15.75" customHeight="1" x14ac:dyDescent="0.25">
      <c r="F806" s="38"/>
      <c r="G806" s="38"/>
      <c r="H806" s="38"/>
      <c r="I806" s="38"/>
    </row>
    <row r="807" spans="6:9" ht="15.75" customHeight="1" x14ac:dyDescent="0.25">
      <c r="F807" s="38"/>
      <c r="G807" s="38"/>
      <c r="H807" s="38"/>
      <c r="I807" s="38"/>
    </row>
    <row r="808" spans="6:9" ht="15.75" customHeight="1" x14ac:dyDescent="0.25">
      <c r="F808" s="38"/>
      <c r="G808" s="38"/>
      <c r="H808" s="38"/>
      <c r="I808" s="38"/>
    </row>
    <row r="809" spans="6:9" ht="15.75" customHeight="1" x14ac:dyDescent="0.25">
      <c r="F809" s="38"/>
      <c r="G809" s="38"/>
      <c r="H809" s="38"/>
      <c r="I809" s="38"/>
    </row>
    <row r="810" spans="6:9" ht="15.75" customHeight="1" x14ac:dyDescent="0.25">
      <c r="F810" s="38"/>
      <c r="G810" s="38"/>
      <c r="H810" s="38"/>
      <c r="I810" s="38"/>
    </row>
    <row r="811" spans="6:9" ht="15.75" customHeight="1" x14ac:dyDescent="0.25">
      <c r="F811" s="38"/>
      <c r="G811" s="38"/>
      <c r="H811" s="38"/>
      <c r="I811" s="38"/>
    </row>
    <row r="812" spans="6:9" ht="15.75" customHeight="1" x14ac:dyDescent="0.25">
      <c r="F812" s="38"/>
      <c r="G812" s="38"/>
      <c r="H812" s="38"/>
      <c r="I812" s="38"/>
    </row>
    <row r="813" spans="6:9" ht="15.75" customHeight="1" x14ac:dyDescent="0.25">
      <c r="F813" s="38"/>
      <c r="G813" s="38"/>
      <c r="H813" s="38"/>
      <c r="I813" s="38"/>
    </row>
    <row r="814" spans="6:9" ht="15.75" customHeight="1" x14ac:dyDescent="0.25">
      <c r="F814" s="38"/>
      <c r="G814" s="38"/>
      <c r="H814" s="38"/>
      <c r="I814" s="38"/>
    </row>
    <row r="815" spans="6:9" ht="15.75" customHeight="1" x14ac:dyDescent="0.25">
      <c r="F815" s="38"/>
      <c r="G815" s="38"/>
      <c r="H815" s="38"/>
      <c r="I815" s="38"/>
    </row>
    <row r="816" spans="6:9" ht="15.75" customHeight="1" x14ac:dyDescent="0.25">
      <c r="F816" s="38"/>
      <c r="G816" s="38"/>
      <c r="H816" s="38"/>
      <c r="I816" s="38"/>
    </row>
    <row r="817" spans="6:9" ht="15.75" customHeight="1" x14ac:dyDescent="0.25">
      <c r="F817" s="38"/>
      <c r="G817" s="38"/>
      <c r="H817" s="38"/>
      <c r="I817" s="38"/>
    </row>
    <row r="818" spans="6:9" ht="15.75" customHeight="1" x14ac:dyDescent="0.25">
      <c r="F818" s="38"/>
      <c r="G818" s="38"/>
      <c r="H818" s="38"/>
      <c r="I818" s="38"/>
    </row>
    <row r="819" spans="6:9" ht="15.75" customHeight="1" x14ac:dyDescent="0.25">
      <c r="F819" s="38"/>
      <c r="G819" s="38"/>
      <c r="H819" s="38"/>
      <c r="I819" s="38"/>
    </row>
    <row r="820" spans="6:9" ht="15.75" customHeight="1" x14ac:dyDescent="0.25">
      <c r="F820" s="38"/>
      <c r="G820" s="38"/>
      <c r="H820" s="38"/>
      <c r="I820" s="38"/>
    </row>
    <row r="821" spans="6:9" ht="15.75" customHeight="1" x14ac:dyDescent="0.25">
      <c r="F821" s="38"/>
      <c r="G821" s="38"/>
      <c r="H821" s="38"/>
      <c r="I821" s="38"/>
    </row>
    <row r="822" spans="6:9" ht="15.75" customHeight="1" x14ac:dyDescent="0.25">
      <c r="F822" s="38"/>
      <c r="G822" s="38"/>
      <c r="H822" s="38"/>
      <c r="I822" s="38"/>
    </row>
    <row r="823" spans="6:9" ht="15.75" customHeight="1" x14ac:dyDescent="0.25">
      <c r="F823" s="38"/>
      <c r="G823" s="38"/>
      <c r="H823" s="38"/>
      <c r="I823" s="38"/>
    </row>
    <row r="824" spans="6:9" ht="15.75" customHeight="1" x14ac:dyDescent="0.25">
      <c r="F824" s="38"/>
      <c r="G824" s="38"/>
      <c r="H824" s="38"/>
      <c r="I824" s="38"/>
    </row>
    <row r="825" spans="6:9" ht="15.75" customHeight="1" x14ac:dyDescent="0.25">
      <c r="F825" s="38"/>
      <c r="G825" s="38"/>
      <c r="H825" s="38"/>
      <c r="I825" s="38"/>
    </row>
    <row r="826" spans="6:9" ht="15.75" customHeight="1" x14ac:dyDescent="0.25">
      <c r="F826" s="38"/>
      <c r="G826" s="38"/>
      <c r="H826" s="38"/>
      <c r="I826" s="38"/>
    </row>
    <row r="827" spans="6:9" ht="15.75" customHeight="1" x14ac:dyDescent="0.25">
      <c r="F827" s="38"/>
      <c r="G827" s="38"/>
      <c r="H827" s="38"/>
      <c r="I827" s="38"/>
    </row>
    <row r="828" spans="6:9" ht="15.75" customHeight="1" x14ac:dyDescent="0.25">
      <c r="F828" s="38"/>
      <c r="G828" s="38"/>
      <c r="H828" s="38"/>
      <c r="I828" s="38"/>
    </row>
    <row r="829" spans="6:9" ht="15.75" customHeight="1" x14ac:dyDescent="0.25">
      <c r="F829" s="38"/>
      <c r="G829" s="38"/>
      <c r="H829" s="38"/>
      <c r="I829" s="38"/>
    </row>
    <row r="830" spans="6:9" ht="15.75" customHeight="1" x14ac:dyDescent="0.25">
      <c r="F830" s="38"/>
      <c r="G830" s="38"/>
      <c r="H830" s="38"/>
      <c r="I830" s="38"/>
    </row>
    <row r="831" spans="6:9" ht="15.75" customHeight="1" x14ac:dyDescent="0.25">
      <c r="F831" s="38"/>
      <c r="G831" s="38"/>
      <c r="H831" s="38"/>
      <c r="I831" s="38"/>
    </row>
    <row r="832" spans="6:9" ht="15.75" customHeight="1" x14ac:dyDescent="0.25">
      <c r="F832" s="38"/>
      <c r="G832" s="38"/>
      <c r="H832" s="38"/>
      <c r="I832" s="38"/>
    </row>
    <row r="833" spans="6:9" ht="15.75" customHeight="1" x14ac:dyDescent="0.25">
      <c r="F833" s="38"/>
      <c r="G833" s="38"/>
      <c r="H833" s="38"/>
      <c r="I833" s="38"/>
    </row>
    <row r="834" spans="6:9" ht="15.75" customHeight="1" x14ac:dyDescent="0.25">
      <c r="F834" s="38"/>
      <c r="G834" s="38"/>
      <c r="H834" s="38"/>
      <c r="I834" s="38"/>
    </row>
    <row r="835" spans="6:9" ht="15.75" customHeight="1" x14ac:dyDescent="0.25">
      <c r="F835" s="38"/>
      <c r="G835" s="38"/>
      <c r="H835" s="38"/>
      <c r="I835" s="38"/>
    </row>
    <row r="836" spans="6:9" ht="15.75" customHeight="1" x14ac:dyDescent="0.25">
      <c r="F836" s="38"/>
      <c r="G836" s="38"/>
      <c r="H836" s="38"/>
      <c r="I836" s="38"/>
    </row>
    <row r="837" spans="6:9" ht="15.75" customHeight="1" x14ac:dyDescent="0.25">
      <c r="F837" s="38"/>
      <c r="G837" s="38"/>
      <c r="H837" s="38"/>
      <c r="I837" s="38"/>
    </row>
    <row r="838" spans="6:9" ht="15.75" customHeight="1" x14ac:dyDescent="0.25">
      <c r="F838" s="38"/>
      <c r="G838" s="38"/>
      <c r="H838" s="38"/>
      <c r="I838" s="38"/>
    </row>
    <row r="839" spans="6:9" ht="15.75" customHeight="1" x14ac:dyDescent="0.25">
      <c r="F839" s="38"/>
      <c r="G839" s="38"/>
      <c r="H839" s="38"/>
      <c r="I839" s="38"/>
    </row>
    <row r="840" spans="6:9" ht="15.75" customHeight="1" x14ac:dyDescent="0.25">
      <c r="F840" s="38"/>
      <c r="G840" s="38"/>
      <c r="H840" s="38"/>
      <c r="I840" s="38"/>
    </row>
    <row r="841" spans="6:9" ht="15.75" customHeight="1" x14ac:dyDescent="0.25">
      <c r="F841" s="38"/>
      <c r="G841" s="38"/>
      <c r="H841" s="38"/>
      <c r="I841" s="38"/>
    </row>
    <row r="842" spans="6:9" ht="15.75" customHeight="1" x14ac:dyDescent="0.25">
      <c r="F842" s="38"/>
      <c r="G842" s="38"/>
      <c r="H842" s="38"/>
      <c r="I842" s="38"/>
    </row>
    <row r="843" spans="6:9" ht="15.75" customHeight="1" x14ac:dyDescent="0.25">
      <c r="F843" s="38"/>
      <c r="G843" s="38"/>
      <c r="H843" s="38"/>
      <c r="I843" s="38"/>
    </row>
    <row r="844" spans="6:9" ht="15.75" customHeight="1" x14ac:dyDescent="0.25">
      <c r="F844" s="38"/>
      <c r="G844" s="38"/>
      <c r="H844" s="38"/>
      <c r="I844" s="38"/>
    </row>
    <row r="845" spans="6:9" ht="15.75" customHeight="1" x14ac:dyDescent="0.25">
      <c r="F845" s="38"/>
      <c r="G845" s="38"/>
      <c r="H845" s="38"/>
      <c r="I845" s="38"/>
    </row>
    <row r="846" spans="6:9" ht="15.75" customHeight="1" x14ac:dyDescent="0.25">
      <c r="F846" s="38"/>
      <c r="G846" s="38"/>
      <c r="H846" s="38"/>
      <c r="I846" s="38"/>
    </row>
    <row r="847" spans="6:9" ht="15.75" customHeight="1" x14ac:dyDescent="0.25">
      <c r="F847" s="38"/>
      <c r="G847" s="38"/>
      <c r="H847" s="38"/>
      <c r="I847" s="38"/>
    </row>
    <row r="848" spans="6:9" ht="15.75" customHeight="1" x14ac:dyDescent="0.25">
      <c r="F848" s="38"/>
      <c r="G848" s="38"/>
      <c r="H848" s="38"/>
      <c r="I848" s="38"/>
    </row>
    <row r="849" spans="6:9" ht="15.75" customHeight="1" x14ac:dyDescent="0.25">
      <c r="F849" s="38"/>
      <c r="G849" s="38"/>
      <c r="H849" s="38"/>
      <c r="I849" s="38"/>
    </row>
    <row r="850" spans="6:9" ht="15.75" customHeight="1" x14ac:dyDescent="0.25">
      <c r="F850" s="38"/>
      <c r="G850" s="38"/>
      <c r="H850" s="38"/>
      <c r="I850" s="38"/>
    </row>
    <row r="851" spans="6:9" ht="15.75" customHeight="1" x14ac:dyDescent="0.25">
      <c r="F851" s="38"/>
      <c r="G851" s="38"/>
      <c r="H851" s="38"/>
      <c r="I851" s="38"/>
    </row>
    <row r="852" spans="6:9" ht="15.75" customHeight="1" x14ac:dyDescent="0.25">
      <c r="F852" s="38"/>
      <c r="G852" s="38"/>
      <c r="H852" s="38"/>
      <c r="I852" s="38"/>
    </row>
    <row r="853" spans="6:9" ht="15.75" customHeight="1" x14ac:dyDescent="0.25">
      <c r="F853" s="38"/>
      <c r="G853" s="38"/>
      <c r="H853" s="38"/>
      <c r="I853" s="38"/>
    </row>
    <row r="854" spans="6:9" ht="15.75" customHeight="1" x14ac:dyDescent="0.25">
      <c r="F854" s="38"/>
      <c r="G854" s="38"/>
      <c r="H854" s="38"/>
      <c r="I854" s="38"/>
    </row>
    <row r="855" spans="6:9" ht="15.75" customHeight="1" x14ac:dyDescent="0.25">
      <c r="F855" s="38"/>
      <c r="G855" s="38"/>
      <c r="H855" s="38"/>
      <c r="I855" s="38"/>
    </row>
    <row r="856" spans="6:9" ht="15.75" customHeight="1" x14ac:dyDescent="0.25">
      <c r="F856" s="38"/>
      <c r="G856" s="38"/>
      <c r="H856" s="38"/>
      <c r="I856" s="38"/>
    </row>
    <row r="857" spans="6:9" ht="15.75" customHeight="1" x14ac:dyDescent="0.25">
      <c r="F857" s="38"/>
      <c r="G857" s="38"/>
      <c r="H857" s="38"/>
      <c r="I857" s="38"/>
    </row>
    <row r="858" spans="6:9" ht="15.75" customHeight="1" x14ac:dyDescent="0.25">
      <c r="F858" s="38"/>
      <c r="G858" s="38"/>
      <c r="H858" s="38"/>
      <c r="I858" s="38"/>
    </row>
    <row r="859" spans="6:9" ht="15.75" customHeight="1" x14ac:dyDescent="0.25">
      <c r="F859" s="38"/>
      <c r="G859" s="38"/>
      <c r="H859" s="38"/>
      <c r="I859" s="38"/>
    </row>
    <row r="860" spans="6:9" ht="15.75" customHeight="1" x14ac:dyDescent="0.25">
      <c r="F860" s="38"/>
      <c r="G860" s="38"/>
      <c r="H860" s="38"/>
      <c r="I860" s="38"/>
    </row>
    <row r="861" spans="6:9" ht="15.75" customHeight="1" x14ac:dyDescent="0.25">
      <c r="F861" s="38"/>
      <c r="G861" s="38"/>
      <c r="H861" s="38"/>
      <c r="I861" s="38"/>
    </row>
    <row r="862" spans="6:9" ht="15.75" customHeight="1" x14ac:dyDescent="0.25">
      <c r="F862" s="38"/>
      <c r="G862" s="38"/>
      <c r="H862" s="38"/>
      <c r="I862" s="38"/>
    </row>
    <row r="863" spans="6:9" ht="15.75" customHeight="1" x14ac:dyDescent="0.25">
      <c r="F863" s="38"/>
      <c r="G863" s="38"/>
      <c r="H863" s="38"/>
      <c r="I863" s="38"/>
    </row>
    <row r="864" spans="6:9" ht="15.75" customHeight="1" x14ac:dyDescent="0.25">
      <c r="F864" s="38"/>
      <c r="G864" s="38"/>
      <c r="H864" s="38"/>
      <c r="I864" s="38"/>
    </row>
    <row r="865" spans="6:9" ht="15.75" customHeight="1" x14ac:dyDescent="0.25">
      <c r="F865" s="38"/>
      <c r="G865" s="38"/>
      <c r="H865" s="38"/>
      <c r="I865" s="38"/>
    </row>
    <row r="866" spans="6:9" ht="15.75" customHeight="1" x14ac:dyDescent="0.25">
      <c r="F866" s="38"/>
      <c r="G866" s="38"/>
      <c r="H866" s="38"/>
      <c r="I866" s="38"/>
    </row>
    <row r="867" spans="6:9" ht="15.75" customHeight="1" x14ac:dyDescent="0.25">
      <c r="F867" s="38"/>
      <c r="G867" s="38"/>
      <c r="H867" s="38"/>
      <c r="I867" s="38"/>
    </row>
    <row r="868" spans="6:9" ht="15.75" customHeight="1" x14ac:dyDescent="0.25">
      <c r="F868" s="38"/>
      <c r="G868" s="38"/>
      <c r="H868" s="38"/>
      <c r="I868" s="38"/>
    </row>
    <row r="869" spans="6:9" ht="15.75" customHeight="1" x14ac:dyDescent="0.25">
      <c r="F869" s="38"/>
      <c r="G869" s="38"/>
      <c r="H869" s="38"/>
      <c r="I869" s="38"/>
    </row>
    <row r="870" spans="6:9" ht="15.75" customHeight="1" x14ac:dyDescent="0.25">
      <c r="F870" s="38"/>
      <c r="G870" s="38"/>
      <c r="H870" s="38"/>
      <c r="I870" s="38"/>
    </row>
    <row r="871" spans="6:9" ht="15.75" customHeight="1" x14ac:dyDescent="0.25">
      <c r="F871" s="38"/>
      <c r="G871" s="38"/>
      <c r="H871" s="38"/>
      <c r="I871" s="38"/>
    </row>
    <row r="872" spans="6:9" ht="15.75" customHeight="1" x14ac:dyDescent="0.25">
      <c r="F872" s="38"/>
      <c r="G872" s="38"/>
      <c r="H872" s="38"/>
      <c r="I872" s="38"/>
    </row>
    <row r="873" spans="6:9" ht="15.75" customHeight="1" x14ac:dyDescent="0.25">
      <c r="F873" s="38"/>
      <c r="G873" s="38"/>
      <c r="H873" s="38"/>
      <c r="I873" s="38"/>
    </row>
    <row r="874" spans="6:9" ht="15.75" customHeight="1" x14ac:dyDescent="0.25">
      <c r="F874" s="38"/>
      <c r="G874" s="38"/>
      <c r="H874" s="38"/>
      <c r="I874" s="38"/>
    </row>
    <row r="875" spans="6:9" ht="15.75" customHeight="1" x14ac:dyDescent="0.25">
      <c r="F875" s="38"/>
      <c r="G875" s="38"/>
      <c r="H875" s="38"/>
      <c r="I875" s="38"/>
    </row>
    <row r="876" spans="6:9" ht="15.75" customHeight="1" x14ac:dyDescent="0.25">
      <c r="F876" s="38"/>
      <c r="G876" s="38"/>
      <c r="H876" s="38"/>
      <c r="I876" s="38"/>
    </row>
    <row r="877" spans="6:9" ht="15.75" customHeight="1" x14ac:dyDescent="0.25">
      <c r="F877" s="38"/>
      <c r="G877" s="38"/>
      <c r="H877" s="38"/>
      <c r="I877" s="38"/>
    </row>
    <row r="878" spans="6:9" ht="15.75" customHeight="1" x14ac:dyDescent="0.25">
      <c r="F878" s="38"/>
      <c r="G878" s="38"/>
      <c r="H878" s="38"/>
      <c r="I878" s="38"/>
    </row>
    <row r="879" spans="6:9" ht="15.75" customHeight="1" x14ac:dyDescent="0.25">
      <c r="F879" s="38"/>
      <c r="G879" s="38"/>
      <c r="H879" s="38"/>
      <c r="I879" s="38"/>
    </row>
    <row r="880" spans="6:9" ht="15.75" customHeight="1" x14ac:dyDescent="0.25">
      <c r="F880" s="38"/>
      <c r="G880" s="38"/>
      <c r="H880" s="38"/>
      <c r="I880" s="38"/>
    </row>
    <row r="881" spans="6:9" ht="15.75" customHeight="1" x14ac:dyDescent="0.25">
      <c r="F881" s="38"/>
      <c r="G881" s="38"/>
      <c r="H881" s="38"/>
      <c r="I881" s="38"/>
    </row>
    <row r="882" spans="6:9" ht="15.75" customHeight="1" x14ac:dyDescent="0.25">
      <c r="F882" s="38"/>
      <c r="G882" s="38"/>
      <c r="H882" s="38"/>
      <c r="I882" s="38"/>
    </row>
    <row r="883" spans="6:9" ht="15.75" customHeight="1" x14ac:dyDescent="0.25">
      <c r="F883" s="38"/>
      <c r="G883" s="38"/>
      <c r="H883" s="38"/>
      <c r="I883" s="38"/>
    </row>
    <row r="884" spans="6:9" ht="15.75" customHeight="1" x14ac:dyDescent="0.25">
      <c r="F884" s="38"/>
      <c r="G884" s="38"/>
      <c r="H884" s="38"/>
      <c r="I884" s="38"/>
    </row>
    <row r="885" spans="6:9" ht="15.75" customHeight="1" x14ac:dyDescent="0.25">
      <c r="F885" s="38"/>
      <c r="G885" s="38"/>
      <c r="H885" s="38"/>
      <c r="I885" s="38"/>
    </row>
    <row r="886" spans="6:9" ht="15.75" customHeight="1" x14ac:dyDescent="0.25">
      <c r="F886" s="38"/>
      <c r="G886" s="38"/>
      <c r="H886" s="38"/>
      <c r="I886" s="38"/>
    </row>
    <row r="887" spans="6:9" ht="15.75" customHeight="1" x14ac:dyDescent="0.25">
      <c r="F887" s="38"/>
      <c r="G887" s="38"/>
      <c r="H887" s="38"/>
      <c r="I887" s="38"/>
    </row>
    <row r="888" spans="6:9" ht="15.75" customHeight="1" x14ac:dyDescent="0.25">
      <c r="F888" s="38"/>
      <c r="G888" s="38"/>
      <c r="H888" s="38"/>
      <c r="I888" s="38"/>
    </row>
    <row r="889" spans="6:9" ht="15.75" customHeight="1" x14ac:dyDescent="0.25">
      <c r="F889" s="38"/>
      <c r="G889" s="38"/>
      <c r="H889" s="38"/>
      <c r="I889" s="38"/>
    </row>
    <row r="890" spans="6:9" ht="15.75" customHeight="1" x14ac:dyDescent="0.25">
      <c r="F890" s="38"/>
      <c r="G890" s="38"/>
      <c r="H890" s="38"/>
      <c r="I890" s="38"/>
    </row>
    <row r="891" spans="6:9" ht="15.75" customHeight="1" x14ac:dyDescent="0.25">
      <c r="F891" s="38"/>
      <c r="G891" s="38"/>
      <c r="H891" s="38"/>
      <c r="I891" s="38"/>
    </row>
    <row r="892" spans="6:9" ht="15.75" customHeight="1" x14ac:dyDescent="0.25">
      <c r="F892" s="38"/>
      <c r="G892" s="38"/>
      <c r="H892" s="38"/>
      <c r="I892" s="38"/>
    </row>
    <row r="893" spans="6:9" ht="15.75" customHeight="1" x14ac:dyDescent="0.25">
      <c r="F893" s="38"/>
      <c r="G893" s="38"/>
      <c r="H893" s="38"/>
      <c r="I893" s="38"/>
    </row>
    <row r="894" spans="6:9" ht="15.75" customHeight="1" x14ac:dyDescent="0.25">
      <c r="F894" s="38"/>
      <c r="G894" s="38"/>
      <c r="H894" s="38"/>
      <c r="I894" s="38"/>
    </row>
    <row r="895" spans="6:9" ht="15.75" customHeight="1" x14ac:dyDescent="0.25">
      <c r="F895" s="38"/>
      <c r="G895" s="38"/>
      <c r="H895" s="38"/>
      <c r="I895" s="38"/>
    </row>
    <row r="896" spans="6:9" ht="15.75" customHeight="1" x14ac:dyDescent="0.25">
      <c r="F896" s="38"/>
      <c r="G896" s="38"/>
      <c r="H896" s="38"/>
      <c r="I896" s="38"/>
    </row>
    <row r="897" spans="6:9" ht="15.75" customHeight="1" x14ac:dyDescent="0.25">
      <c r="F897" s="38"/>
      <c r="G897" s="38"/>
      <c r="H897" s="38"/>
      <c r="I897" s="38"/>
    </row>
    <row r="898" spans="6:9" ht="15.75" customHeight="1" x14ac:dyDescent="0.25">
      <c r="F898" s="38"/>
      <c r="G898" s="38"/>
      <c r="H898" s="38"/>
      <c r="I898" s="38"/>
    </row>
    <row r="899" spans="6:9" ht="15.75" customHeight="1" x14ac:dyDescent="0.25">
      <c r="F899" s="38"/>
      <c r="G899" s="38"/>
      <c r="H899" s="38"/>
      <c r="I899" s="38"/>
    </row>
    <row r="900" spans="6:9" ht="15.75" customHeight="1" x14ac:dyDescent="0.25">
      <c r="F900" s="38"/>
      <c r="G900" s="38"/>
      <c r="H900" s="38"/>
      <c r="I900" s="38"/>
    </row>
    <row r="901" spans="6:9" ht="15.75" customHeight="1" x14ac:dyDescent="0.25">
      <c r="F901" s="38"/>
      <c r="G901" s="38"/>
      <c r="H901" s="38"/>
      <c r="I901" s="38"/>
    </row>
    <row r="902" spans="6:9" ht="15.75" customHeight="1" x14ac:dyDescent="0.25">
      <c r="F902" s="38"/>
      <c r="G902" s="38"/>
      <c r="H902" s="38"/>
      <c r="I902" s="38"/>
    </row>
    <row r="903" spans="6:9" ht="15.75" customHeight="1" x14ac:dyDescent="0.25">
      <c r="F903" s="38"/>
      <c r="G903" s="38"/>
      <c r="H903" s="38"/>
      <c r="I903" s="38"/>
    </row>
    <row r="904" spans="6:9" ht="15.75" customHeight="1" x14ac:dyDescent="0.25">
      <c r="F904" s="38"/>
      <c r="G904" s="38"/>
      <c r="H904" s="38"/>
      <c r="I904" s="38"/>
    </row>
    <row r="905" spans="6:9" ht="15.75" customHeight="1" x14ac:dyDescent="0.25">
      <c r="F905" s="38"/>
      <c r="G905" s="38"/>
      <c r="H905" s="38"/>
      <c r="I905" s="38"/>
    </row>
    <row r="906" spans="6:9" ht="15.75" customHeight="1" x14ac:dyDescent="0.25">
      <c r="F906" s="38"/>
      <c r="G906" s="38"/>
      <c r="H906" s="38"/>
      <c r="I906" s="38"/>
    </row>
    <row r="907" spans="6:9" ht="15.75" customHeight="1" x14ac:dyDescent="0.25">
      <c r="F907" s="38"/>
      <c r="G907" s="38"/>
      <c r="H907" s="38"/>
      <c r="I907" s="38"/>
    </row>
    <row r="908" spans="6:9" ht="15.75" customHeight="1" x14ac:dyDescent="0.25">
      <c r="F908" s="38"/>
      <c r="G908" s="38"/>
      <c r="H908" s="38"/>
      <c r="I908" s="38"/>
    </row>
    <row r="909" spans="6:9" ht="15.75" customHeight="1" x14ac:dyDescent="0.25">
      <c r="F909" s="38"/>
      <c r="G909" s="38"/>
      <c r="H909" s="38"/>
      <c r="I909" s="38"/>
    </row>
    <row r="910" spans="6:9" ht="15.75" customHeight="1" x14ac:dyDescent="0.25">
      <c r="F910" s="38"/>
      <c r="G910" s="38"/>
      <c r="H910" s="38"/>
      <c r="I910" s="38"/>
    </row>
    <row r="911" spans="6:9" ht="15.75" customHeight="1" x14ac:dyDescent="0.25">
      <c r="F911" s="38"/>
      <c r="G911" s="38"/>
      <c r="H911" s="38"/>
      <c r="I911" s="38"/>
    </row>
    <row r="912" spans="6:9" ht="15.75" customHeight="1" x14ac:dyDescent="0.25">
      <c r="F912" s="38"/>
      <c r="G912" s="38"/>
      <c r="H912" s="38"/>
      <c r="I912" s="38"/>
    </row>
    <row r="913" spans="6:9" ht="15.75" customHeight="1" x14ac:dyDescent="0.25">
      <c r="F913" s="38"/>
      <c r="G913" s="38"/>
      <c r="H913" s="38"/>
      <c r="I913" s="38"/>
    </row>
    <row r="914" spans="6:9" ht="15.75" customHeight="1" x14ac:dyDescent="0.25">
      <c r="F914" s="38"/>
      <c r="G914" s="38"/>
      <c r="H914" s="38"/>
      <c r="I914" s="38"/>
    </row>
    <row r="915" spans="6:9" ht="15.75" customHeight="1" x14ac:dyDescent="0.25">
      <c r="F915" s="38"/>
      <c r="G915" s="38"/>
      <c r="H915" s="38"/>
      <c r="I915" s="38"/>
    </row>
    <row r="916" spans="6:9" ht="15.75" customHeight="1" x14ac:dyDescent="0.25">
      <c r="F916" s="38"/>
      <c r="G916" s="38"/>
      <c r="H916" s="38"/>
      <c r="I916" s="38"/>
    </row>
    <row r="917" spans="6:9" ht="15.75" customHeight="1" x14ac:dyDescent="0.25">
      <c r="F917" s="38"/>
      <c r="G917" s="38"/>
      <c r="H917" s="38"/>
      <c r="I917" s="38"/>
    </row>
    <row r="918" spans="6:9" ht="15.75" customHeight="1" x14ac:dyDescent="0.25">
      <c r="F918" s="38"/>
      <c r="G918" s="38"/>
      <c r="H918" s="38"/>
      <c r="I918" s="38"/>
    </row>
    <row r="919" spans="6:9" ht="15.75" customHeight="1" x14ac:dyDescent="0.25">
      <c r="F919" s="38"/>
      <c r="G919" s="38"/>
      <c r="H919" s="38"/>
      <c r="I919" s="38"/>
    </row>
    <row r="920" spans="6:9" ht="15.75" customHeight="1" x14ac:dyDescent="0.25">
      <c r="F920" s="38"/>
      <c r="G920" s="38"/>
      <c r="H920" s="38"/>
      <c r="I920" s="38"/>
    </row>
    <row r="921" spans="6:9" ht="15.75" customHeight="1" x14ac:dyDescent="0.25">
      <c r="F921" s="38"/>
      <c r="G921" s="38"/>
      <c r="H921" s="38"/>
      <c r="I921" s="38"/>
    </row>
    <row r="922" spans="6:9" ht="15.75" customHeight="1" x14ac:dyDescent="0.25">
      <c r="F922" s="38"/>
      <c r="G922" s="38"/>
      <c r="H922" s="38"/>
      <c r="I922" s="38"/>
    </row>
    <row r="923" spans="6:9" ht="15.75" customHeight="1" x14ac:dyDescent="0.25">
      <c r="F923" s="38"/>
      <c r="G923" s="38"/>
      <c r="H923" s="38"/>
      <c r="I923" s="38"/>
    </row>
    <row r="924" spans="6:9" ht="15.75" customHeight="1" x14ac:dyDescent="0.25">
      <c r="F924" s="38"/>
      <c r="G924" s="38"/>
      <c r="H924" s="38"/>
      <c r="I924" s="38"/>
    </row>
    <row r="925" spans="6:9" ht="15.75" customHeight="1" x14ac:dyDescent="0.25">
      <c r="F925" s="38"/>
      <c r="G925" s="38"/>
      <c r="H925" s="38"/>
      <c r="I925" s="38"/>
    </row>
    <row r="926" spans="6:9" ht="15.75" customHeight="1" x14ac:dyDescent="0.25">
      <c r="F926" s="38"/>
      <c r="G926" s="38"/>
      <c r="H926" s="38"/>
      <c r="I926" s="38"/>
    </row>
    <row r="927" spans="6:9" ht="15.75" customHeight="1" x14ac:dyDescent="0.25">
      <c r="F927" s="38"/>
      <c r="G927" s="38"/>
      <c r="H927" s="38"/>
      <c r="I927" s="38"/>
    </row>
    <row r="928" spans="6:9" ht="15.75" customHeight="1" x14ac:dyDescent="0.25">
      <c r="F928" s="38"/>
      <c r="G928" s="38"/>
      <c r="H928" s="38"/>
      <c r="I928" s="38"/>
    </row>
    <row r="929" spans="6:9" ht="15.75" customHeight="1" x14ac:dyDescent="0.25">
      <c r="F929" s="38"/>
      <c r="G929" s="38"/>
      <c r="H929" s="38"/>
      <c r="I929" s="38"/>
    </row>
    <row r="930" spans="6:9" ht="15.75" customHeight="1" x14ac:dyDescent="0.25">
      <c r="F930" s="38"/>
      <c r="G930" s="38"/>
      <c r="H930" s="38"/>
      <c r="I930" s="38"/>
    </row>
    <row r="931" spans="6:9" ht="15.75" customHeight="1" x14ac:dyDescent="0.25">
      <c r="F931" s="38"/>
      <c r="G931" s="38"/>
      <c r="H931" s="38"/>
      <c r="I931" s="38"/>
    </row>
    <row r="932" spans="6:9" ht="15.75" customHeight="1" x14ac:dyDescent="0.25">
      <c r="F932" s="38"/>
      <c r="G932" s="38"/>
      <c r="H932" s="38"/>
      <c r="I932" s="38"/>
    </row>
    <row r="933" spans="6:9" ht="15.75" customHeight="1" x14ac:dyDescent="0.25">
      <c r="F933" s="38"/>
      <c r="G933" s="38"/>
      <c r="H933" s="38"/>
      <c r="I933" s="38"/>
    </row>
    <row r="934" spans="6:9" ht="15.75" customHeight="1" x14ac:dyDescent="0.25">
      <c r="F934" s="38"/>
      <c r="G934" s="38"/>
      <c r="H934" s="38"/>
      <c r="I934" s="38"/>
    </row>
    <row r="935" spans="6:9" ht="15.75" customHeight="1" x14ac:dyDescent="0.25">
      <c r="F935" s="38"/>
      <c r="G935" s="38"/>
      <c r="H935" s="38"/>
      <c r="I935" s="38"/>
    </row>
    <row r="936" spans="6:9" ht="15.75" customHeight="1" x14ac:dyDescent="0.25">
      <c r="F936" s="38"/>
      <c r="G936" s="38"/>
      <c r="H936" s="38"/>
      <c r="I936" s="38"/>
    </row>
    <row r="937" spans="6:9" ht="15.75" customHeight="1" x14ac:dyDescent="0.25">
      <c r="F937" s="38"/>
      <c r="G937" s="38"/>
      <c r="H937" s="38"/>
      <c r="I937" s="38"/>
    </row>
    <row r="938" spans="6:9" ht="15.75" customHeight="1" x14ac:dyDescent="0.25">
      <c r="F938" s="38"/>
      <c r="G938" s="38"/>
      <c r="H938" s="38"/>
      <c r="I938" s="38"/>
    </row>
    <row r="939" spans="6:9" ht="15.75" customHeight="1" x14ac:dyDescent="0.25">
      <c r="F939" s="38"/>
      <c r="G939" s="38"/>
      <c r="H939" s="38"/>
      <c r="I939" s="38"/>
    </row>
    <row r="940" spans="6:9" ht="15.75" customHeight="1" x14ac:dyDescent="0.25">
      <c r="F940" s="38"/>
      <c r="G940" s="38"/>
      <c r="H940" s="38"/>
      <c r="I940" s="38"/>
    </row>
    <row r="941" spans="6:9" ht="15.75" customHeight="1" x14ac:dyDescent="0.25">
      <c r="F941" s="38"/>
      <c r="G941" s="38"/>
      <c r="H941" s="38"/>
      <c r="I941" s="38"/>
    </row>
    <row r="942" spans="6:9" ht="15.75" customHeight="1" x14ac:dyDescent="0.25">
      <c r="F942" s="38"/>
      <c r="G942" s="38"/>
      <c r="H942" s="38"/>
      <c r="I942" s="38"/>
    </row>
    <row r="943" spans="6:9" ht="15.75" customHeight="1" x14ac:dyDescent="0.25">
      <c r="F943" s="38"/>
      <c r="G943" s="38"/>
      <c r="H943" s="38"/>
      <c r="I943" s="38"/>
    </row>
    <row r="944" spans="6:9" ht="15.75" customHeight="1" x14ac:dyDescent="0.25">
      <c r="F944" s="38"/>
      <c r="G944" s="38"/>
      <c r="H944" s="38"/>
      <c r="I944" s="38"/>
    </row>
    <row r="945" spans="6:9" ht="15.75" customHeight="1" x14ac:dyDescent="0.25">
      <c r="F945" s="38"/>
      <c r="G945" s="38"/>
      <c r="H945" s="38"/>
      <c r="I945" s="38"/>
    </row>
    <row r="946" spans="6:9" ht="15.75" customHeight="1" x14ac:dyDescent="0.25">
      <c r="F946" s="38"/>
      <c r="G946" s="38"/>
      <c r="H946" s="38"/>
      <c r="I946" s="38"/>
    </row>
    <row r="947" spans="6:9" ht="15.75" customHeight="1" x14ac:dyDescent="0.25">
      <c r="F947" s="38"/>
      <c r="G947" s="38"/>
      <c r="H947" s="38"/>
      <c r="I947" s="38"/>
    </row>
    <row r="948" spans="6:9" ht="15.75" customHeight="1" x14ac:dyDescent="0.25">
      <c r="F948" s="38"/>
      <c r="G948" s="38"/>
      <c r="H948" s="38"/>
      <c r="I948" s="38"/>
    </row>
    <row r="949" spans="6:9" ht="15.75" customHeight="1" x14ac:dyDescent="0.25">
      <c r="F949" s="38"/>
      <c r="G949" s="38"/>
      <c r="H949" s="38"/>
      <c r="I949" s="38"/>
    </row>
    <row r="950" spans="6:9" ht="15.75" customHeight="1" x14ac:dyDescent="0.25">
      <c r="F950" s="38"/>
      <c r="G950" s="38"/>
      <c r="H950" s="38"/>
      <c r="I950" s="38"/>
    </row>
    <row r="951" spans="6:9" ht="15.75" customHeight="1" x14ac:dyDescent="0.25">
      <c r="F951" s="38"/>
      <c r="G951" s="38"/>
      <c r="H951" s="38"/>
      <c r="I951" s="38"/>
    </row>
    <row r="952" spans="6:9" ht="15.75" customHeight="1" x14ac:dyDescent="0.25">
      <c r="F952" s="38"/>
      <c r="G952" s="38"/>
      <c r="H952" s="38"/>
      <c r="I952" s="38"/>
    </row>
    <row r="953" spans="6:9" ht="15.75" customHeight="1" x14ac:dyDescent="0.25">
      <c r="F953" s="38"/>
      <c r="G953" s="38"/>
      <c r="H953" s="38"/>
      <c r="I953" s="38"/>
    </row>
    <row r="954" spans="6:9" ht="15.75" customHeight="1" x14ac:dyDescent="0.25">
      <c r="F954" s="38"/>
      <c r="G954" s="38"/>
      <c r="H954" s="38"/>
      <c r="I954" s="38"/>
    </row>
    <row r="955" spans="6:9" ht="15.75" customHeight="1" x14ac:dyDescent="0.25">
      <c r="F955" s="38"/>
      <c r="G955" s="38"/>
      <c r="H955" s="38"/>
      <c r="I955" s="38"/>
    </row>
    <row r="956" spans="6:9" ht="15.75" customHeight="1" x14ac:dyDescent="0.25">
      <c r="F956" s="38"/>
      <c r="G956" s="38"/>
      <c r="H956" s="38"/>
      <c r="I956" s="38"/>
    </row>
    <row r="957" spans="6:9" ht="15.75" customHeight="1" x14ac:dyDescent="0.25">
      <c r="F957" s="38"/>
      <c r="G957" s="38"/>
      <c r="H957" s="38"/>
      <c r="I957" s="38"/>
    </row>
    <row r="958" spans="6:9" ht="15.75" customHeight="1" x14ac:dyDescent="0.25">
      <c r="F958" s="38"/>
      <c r="G958" s="38"/>
      <c r="H958" s="38"/>
      <c r="I958" s="38"/>
    </row>
    <row r="959" spans="6:9" ht="15.75" customHeight="1" x14ac:dyDescent="0.25">
      <c r="F959" s="38"/>
      <c r="G959" s="38"/>
      <c r="H959" s="38"/>
      <c r="I959" s="38"/>
    </row>
    <row r="960" spans="6:9" ht="15.75" customHeight="1" x14ac:dyDescent="0.25">
      <c r="F960" s="38"/>
      <c r="G960" s="38"/>
      <c r="H960" s="38"/>
      <c r="I960" s="38"/>
    </row>
    <row r="961" spans="6:9" ht="15.75" customHeight="1" x14ac:dyDescent="0.25">
      <c r="F961" s="38"/>
      <c r="G961" s="38"/>
      <c r="H961" s="38"/>
      <c r="I961" s="38"/>
    </row>
    <row r="962" spans="6:9" ht="15.75" customHeight="1" x14ac:dyDescent="0.25">
      <c r="F962" s="38"/>
      <c r="G962" s="38"/>
      <c r="H962" s="38"/>
      <c r="I962" s="38"/>
    </row>
    <row r="963" spans="6:9" ht="15.75" customHeight="1" x14ac:dyDescent="0.25">
      <c r="F963" s="38"/>
      <c r="G963" s="38"/>
      <c r="H963" s="38"/>
      <c r="I963" s="38"/>
    </row>
    <row r="964" spans="6:9" ht="15.75" customHeight="1" x14ac:dyDescent="0.25">
      <c r="F964" s="38"/>
      <c r="G964" s="38"/>
      <c r="H964" s="38"/>
      <c r="I964" s="38"/>
    </row>
    <row r="965" spans="6:9" ht="15.75" customHeight="1" x14ac:dyDescent="0.25">
      <c r="F965" s="38"/>
      <c r="G965" s="38"/>
      <c r="H965" s="38"/>
      <c r="I965" s="38"/>
    </row>
    <row r="966" spans="6:9" ht="15.75" customHeight="1" x14ac:dyDescent="0.25">
      <c r="F966" s="38"/>
      <c r="G966" s="38"/>
      <c r="H966" s="38"/>
      <c r="I966" s="38"/>
    </row>
    <row r="967" spans="6:9" ht="15.75" customHeight="1" x14ac:dyDescent="0.25">
      <c r="F967" s="38"/>
      <c r="G967" s="38"/>
      <c r="H967" s="38"/>
      <c r="I967" s="38"/>
    </row>
    <row r="968" spans="6:9" ht="15.75" customHeight="1" x14ac:dyDescent="0.25">
      <c r="F968" s="38"/>
      <c r="G968" s="38"/>
      <c r="H968" s="38"/>
      <c r="I968" s="38"/>
    </row>
    <row r="969" spans="6:9" ht="15.75" customHeight="1" x14ac:dyDescent="0.25">
      <c r="F969" s="38"/>
      <c r="G969" s="38"/>
      <c r="H969" s="38"/>
      <c r="I969" s="38"/>
    </row>
    <row r="970" spans="6:9" ht="15.75" customHeight="1" x14ac:dyDescent="0.25">
      <c r="F970" s="38"/>
      <c r="G970" s="38"/>
      <c r="H970" s="38"/>
      <c r="I970" s="38"/>
    </row>
    <row r="971" spans="6:9" ht="15.75" customHeight="1" x14ac:dyDescent="0.25">
      <c r="F971" s="38"/>
      <c r="G971" s="38"/>
      <c r="H971" s="38"/>
      <c r="I971" s="38"/>
    </row>
    <row r="972" spans="6:9" ht="15.75" customHeight="1" x14ac:dyDescent="0.25">
      <c r="F972" s="38"/>
      <c r="G972" s="38"/>
      <c r="H972" s="38"/>
      <c r="I972" s="38"/>
    </row>
    <row r="973" spans="6:9" ht="15.75" customHeight="1" x14ac:dyDescent="0.25">
      <c r="F973" s="38"/>
      <c r="G973" s="38"/>
      <c r="H973" s="38"/>
      <c r="I973" s="38"/>
    </row>
    <row r="974" spans="6:9" ht="15.75" customHeight="1" x14ac:dyDescent="0.25">
      <c r="F974" s="38"/>
      <c r="G974" s="38"/>
      <c r="H974" s="38"/>
      <c r="I974" s="38"/>
    </row>
    <row r="975" spans="6:9" ht="15.75" customHeight="1" x14ac:dyDescent="0.25">
      <c r="F975" s="38"/>
      <c r="G975" s="38"/>
      <c r="H975" s="38"/>
      <c r="I975" s="38"/>
    </row>
    <row r="976" spans="6:9" ht="15.75" customHeight="1" x14ac:dyDescent="0.25">
      <c r="F976" s="38"/>
      <c r="G976" s="38"/>
      <c r="H976" s="38"/>
      <c r="I976" s="38"/>
    </row>
    <row r="977" spans="6:9" ht="15.75" customHeight="1" x14ac:dyDescent="0.25">
      <c r="F977" s="38"/>
      <c r="G977" s="38"/>
      <c r="H977" s="38"/>
      <c r="I977" s="38"/>
    </row>
    <row r="978" spans="6:9" ht="15.75" customHeight="1" x14ac:dyDescent="0.25">
      <c r="F978" s="38"/>
      <c r="G978" s="38"/>
      <c r="H978" s="38"/>
      <c r="I978" s="38"/>
    </row>
    <row r="979" spans="6:9" ht="15.75" customHeight="1" x14ac:dyDescent="0.25">
      <c r="F979" s="38"/>
      <c r="G979" s="38"/>
      <c r="H979" s="38"/>
      <c r="I979" s="38"/>
    </row>
    <row r="980" spans="6:9" ht="15.75" customHeight="1" x14ac:dyDescent="0.25">
      <c r="F980" s="38"/>
      <c r="G980" s="38"/>
      <c r="H980" s="38"/>
      <c r="I980" s="38"/>
    </row>
    <row r="981" spans="6:9" ht="15.75" customHeight="1" x14ac:dyDescent="0.25">
      <c r="F981" s="38"/>
      <c r="G981" s="38"/>
      <c r="H981" s="38"/>
      <c r="I981" s="38"/>
    </row>
    <row r="982" spans="6:9" ht="15.75" customHeight="1" x14ac:dyDescent="0.25">
      <c r="F982" s="38"/>
      <c r="G982" s="38"/>
      <c r="H982" s="38"/>
      <c r="I982" s="38"/>
    </row>
    <row r="983" spans="6:9" ht="15.75" customHeight="1" x14ac:dyDescent="0.25">
      <c r="F983" s="38"/>
      <c r="G983" s="38"/>
      <c r="H983" s="38"/>
      <c r="I983" s="38"/>
    </row>
    <row r="984" spans="6:9" ht="15.75" customHeight="1" x14ac:dyDescent="0.25">
      <c r="F984" s="38"/>
      <c r="G984" s="38"/>
      <c r="H984" s="38"/>
      <c r="I984" s="38"/>
    </row>
    <row r="985" spans="6:9" ht="15.75" customHeight="1" x14ac:dyDescent="0.25">
      <c r="F985" s="38"/>
      <c r="G985" s="38"/>
      <c r="H985" s="38"/>
      <c r="I985" s="38"/>
    </row>
    <row r="986" spans="6:9" ht="15.75" customHeight="1" x14ac:dyDescent="0.25">
      <c r="F986" s="38"/>
      <c r="G986" s="38"/>
      <c r="H986" s="38"/>
      <c r="I986" s="38"/>
    </row>
    <row r="987" spans="6:9" ht="15.75" customHeight="1" x14ac:dyDescent="0.25">
      <c r="F987" s="38"/>
      <c r="G987" s="38"/>
      <c r="H987" s="38"/>
      <c r="I987" s="38"/>
    </row>
    <row r="988" spans="6:9" ht="15.75" customHeight="1" x14ac:dyDescent="0.25">
      <c r="F988" s="38"/>
      <c r="G988" s="38"/>
      <c r="H988" s="38"/>
      <c r="I988" s="38"/>
    </row>
    <row r="989" spans="6:9" ht="15.75" customHeight="1" x14ac:dyDescent="0.25">
      <c r="F989" s="38"/>
      <c r="G989" s="38"/>
      <c r="H989" s="38"/>
      <c r="I989" s="38"/>
    </row>
    <row r="990" spans="6:9" ht="15.75" customHeight="1" x14ac:dyDescent="0.25">
      <c r="F990" s="38"/>
      <c r="G990" s="38"/>
      <c r="H990" s="38"/>
      <c r="I990" s="38"/>
    </row>
    <row r="991" spans="6:9" ht="15.75" customHeight="1" x14ac:dyDescent="0.25">
      <c r="F991" s="38"/>
      <c r="G991" s="38"/>
      <c r="H991" s="38"/>
      <c r="I991" s="38"/>
    </row>
    <row r="992" spans="6:9" ht="15.75" customHeight="1" x14ac:dyDescent="0.25">
      <c r="F992" s="38"/>
      <c r="G992" s="38"/>
      <c r="H992" s="38"/>
      <c r="I992" s="38"/>
    </row>
    <row r="993" spans="6:9" ht="15.75" customHeight="1" x14ac:dyDescent="0.25">
      <c r="F993" s="38"/>
      <c r="G993" s="38"/>
      <c r="H993" s="38"/>
      <c r="I993" s="38"/>
    </row>
    <row r="994" spans="6:9" ht="15.75" customHeight="1" x14ac:dyDescent="0.25">
      <c r="F994" s="38"/>
      <c r="G994" s="38"/>
      <c r="H994" s="38"/>
      <c r="I994" s="38"/>
    </row>
    <row r="995" spans="6:9" ht="15.75" customHeight="1" x14ac:dyDescent="0.25">
      <c r="F995" s="38"/>
      <c r="G995" s="38"/>
      <c r="H995" s="38"/>
      <c r="I995" s="38"/>
    </row>
    <row r="996" spans="6:9" ht="15.75" customHeight="1" x14ac:dyDescent="0.25">
      <c r="F996" s="38"/>
      <c r="G996" s="38"/>
      <c r="H996" s="38"/>
      <c r="I996" s="38"/>
    </row>
    <row r="997" spans="6:9" ht="15.75" customHeight="1" x14ac:dyDescent="0.25">
      <c r="F997" s="38"/>
      <c r="G997" s="38"/>
      <c r="H997" s="38"/>
      <c r="I997" s="38"/>
    </row>
    <row r="998" spans="6:9" ht="15.75" customHeight="1" x14ac:dyDescent="0.25">
      <c r="F998" s="38"/>
      <c r="G998" s="38"/>
      <c r="H998" s="38"/>
      <c r="I998" s="38"/>
    </row>
    <row r="999" spans="6:9" ht="15.75" customHeight="1" x14ac:dyDescent="0.25">
      <c r="F999" s="38"/>
      <c r="G999" s="38"/>
      <c r="H999" s="38"/>
      <c r="I999" s="38"/>
    </row>
    <row r="1000" spans="6:9" ht="15.75" customHeight="1" x14ac:dyDescent="0.25">
      <c r="F1000" s="38"/>
      <c r="G1000" s="38"/>
      <c r="H1000" s="38"/>
      <c r="I1000" s="38"/>
    </row>
  </sheetData>
  <mergeCells count="344">
    <mergeCell ref="C252:C254"/>
    <mergeCell ref="D252:D254"/>
    <mergeCell ref="B246:B248"/>
    <mergeCell ref="C246:C248"/>
    <mergeCell ref="D246:D248"/>
    <mergeCell ref="B249:B251"/>
    <mergeCell ref="C249:C251"/>
    <mergeCell ref="D249:D251"/>
    <mergeCell ref="B252:B254"/>
    <mergeCell ref="C243:C245"/>
    <mergeCell ref="D243:D245"/>
    <mergeCell ref="B236:B239"/>
    <mergeCell ref="C236:C239"/>
    <mergeCell ref="D236:D239"/>
    <mergeCell ref="B240:B242"/>
    <mergeCell ref="C240:C242"/>
    <mergeCell ref="D240:D242"/>
    <mergeCell ref="B243:B245"/>
    <mergeCell ref="C233:C235"/>
    <mergeCell ref="D233:D235"/>
    <mergeCell ref="B225:B227"/>
    <mergeCell ref="C225:C227"/>
    <mergeCell ref="D225:D227"/>
    <mergeCell ref="B228:B230"/>
    <mergeCell ref="C228:C230"/>
    <mergeCell ref="D228:D230"/>
    <mergeCell ref="B233:B235"/>
    <mergeCell ref="C207:C209"/>
    <mergeCell ref="D207:D209"/>
    <mergeCell ref="B210:B212"/>
    <mergeCell ref="C210:C212"/>
    <mergeCell ref="D210:D212"/>
    <mergeCell ref="B213:B215"/>
    <mergeCell ref="C222:C224"/>
    <mergeCell ref="D222:D224"/>
    <mergeCell ref="B216:B218"/>
    <mergeCell ref="C216:C218"/>
    <mergeCell ref="D216:D218"/>
    <mergeCell ref="B219:B221"/>
    <mergeCell ref="C219:C221"/>
    <mergeCell ref="D219:D221"/>
    <mergeCell ref="B222:B224"/>
    <mergeCell ref="B265:B267"/>
    <mergeCell ref="C265:C267"/>
    <mergeCell ref="D265:D267"/>
    <mergeCell ref="C195:C197"/>
    <mergeCell ref="D195:D197"/>
    <mergeCell ref="B186:B188"/>
    <mergeCell ref="C186:C188"/>
    <mergeCell ref="D186:D188"/>
    <mergeCell ref="B191:B194"/>
    <mergeCell ref="C191:C194"/>
    <mergeCell ref="D191:D194"/>
    <mergeCell ref="B195:B197"/>
    <mergeCell ref="C204:C206"/>
    <mergeCell ref="D204:D206"/>
    <mergeCell ref="B198:B200"/>
    <mergeCell ref="C198:C200"/>
    <mergeCell ref="D198:D200"/>
    <mergeCell ref="B201:B203"/>
    <mergeCell ref="C201:C203"/>
    <mergeCell ref="D201:D203"/>
    <mergeCell ref="B204:B206"/>
    <mergeCell ref="C213:C215"/>
    <mergeCell ref="D213:D215"/>
    <mergeCell ref="B207:B209"/>
    <mergeCell ref="B33:B35"/>
    <mergeCell ref="C33:C35"/>
    <mergeCell ref="D33:D35"/>
    <mergeCell ref="B36:B38"/>
    <mergeCell ref="C36:C38"/>
    <mergeCell ref="D36:D38"/>
    <mergeCell ref="B39:B41"/>
    <mergeCell ref="C48:C50"/>
    <mergeCell ref="D48:D50"/>
    <mergeCell ref="B42:B44"/>
    <mergeCell ref="C42:C44"/>
    <mergeCell ref="D42:D44"/>
    <mergeCell ref="B45:B47"/>
    <mergeCell ref="C45:C47"/>
    <mergeCell ref="D45:D47"/>
    <mergeCell ref="B48:B50"/>
    <mergeCell ref="C262:C264"/>
    <mergeCell ref="D262:D264"/>
    <mergeCell ref="B255:B257"/>
    <mergeCell ref="C255:C257"/>
    <mergeCell ref="D255:D257"/>
    <mergeCell ref="B258:B261"/>
    <mergeCell ref="C258:C261"/>
    <mergeCell ref="D258:D261"/>
    <mergeCell ref="B262:B264"/>
    <mergeCell ref="C134:C135"/>
    <mergeCell ref="D134:D135"/>
    <mergeCell ref="B123:B125"/>
    <mergeCell ref="C123:C125"/>
    <mergeCell ref="D123:D125"/>
    <mergeCell ref="B131:B133"/>
    <mergeCell ref="C131:C133"/>
    <mergeCell ref="D131:D133"/>
    <mergeCell ref="B134:B135"/>
    <mergeCell ref="C183:C185"/>
    <mergeCell ref="D183:D185"/>
    <mergeCell ref="B175:B177"/>
    <mergeCell ref="C175:C177"/>
    <mergeCell ref="D175:D177"/>
    <mergeCell ref="B180:B182"/>
    <mergeCell ref="C180:C182"/>
    <mergeCell ref="D180:D182"/>
    <mergeCell ref="B183:B185"/>
    <mergeCell ref="C172:C174"/>
    <mergeCell ref="D172:D174"/>
    <mergeCell ref="B166:B168"/>
    <mergeCell ref="C166:C168"/>
    <mergeCell ref="D166:D168"/>
    <mergeCell ref="B169:B171"/>
    <mergeCell ref="C169:C171"/>
    <mergeCell ref="D169:D171"/>
    <mergeCell ref="B172:B174"/>
    <mergeCell ref="C163:C165"/>
    <mergeCell ref="D163:D165"/>
    <mergeCell ref="B157:B159"/>
    <mergeCell ref="C157:C159"/>
    <mergeCell ref="D157:D159"/>
    <mergeCell ref="B160:B162"/>
    <mergeCell ref="C160:C162"/>
    <mergeCell ref="D160:D162"/>
    <mergeCell ref="B163:B165"/>
    <mergeCell ref="C154:C156"/>
    <mergeCell ref="D154:D156"/>
    <mergeCell ref="B146:B147"/>
    <mergeCell ref="C146:C147"/>
    <mergeCell ref="D146:D147"/>
    <mergeCell ref="B148:B149"/>
    <mergeCell ref="C148:C149"/>
    <mergeCell ref="D148:D149"/>
    <mergeCell ref="B154:B156"/>
    <mergeCell ref="C143:C144"/>
    <mergeCell ref="D143:D144"/>
    <mergeCell ref="B136:B138"/>
    <mergeCell ref="C136:C138"/>
    <mergeCell ref="D136:D138"/>
    <mergeCell ref="B139:B140"/>
    <mergeCell ref="C139:C140"/>
    <mergeCell ref="D139:D140"/>
    <mergeCell ref="B143:B144"/>
    <mergeCell ref="C120:C122"/>
    <mergeCell ref="D120:D122"/>
    <mergeCell ref="B114:B116"/>
    <mergeCell ref="C114:C116"/>
    <mergeCell ref="D114:D116"/>
    <mergeCell ref="B117:B119"/>
    <mergeCell ref="C117:C119"/>
    <mergeCell ref="D117:D119"/>
    <mergeCell ref="B120:B122"/>
    <mergeCell ref="C111:C113"/>
    <mergeCell ref="D111:D113"/>
    <mergeCell ref="B105:B107"/>
    <mergeCell ref="C105:C107"/>
    <mergeCell ref="D105:D107"/>
    <mergeCell ref="B108:B110"/>
    <mergeCell ref="C108:C110"/>
    <mergeCell ref="D108:D110"/>
    <mergeCell ref="B111:B113"/>
    <mergeCell ref="J172:J174"/>
    <mergeCell ref="J175:J177"/>
    <mergeCell ref="J180:J182"/>
    <mergeCell ref="J183:J185"/>
    <mergeCell ref="J255:J257"/>
    <mergeCell ref="J258:J261"/>
    <mergeCell ref="J262:J264"/>
    <mergeCell ref="J265:J267"/>
    <mergeCell ref="J233:J235"/>
    <mergeCell ref="J236:J239"/>
    <mergeCell ref="J240:J242"/>
    <mergeCell ref="J243:J245"/>
    <mergeCell ref="J246:J248"/>
    <mergeCell ref="J249:J251"/>
    <mergeCell ref="J252:J254"/>
    <mergeCell ref="J143:J144"/>
    <mergeCell ref="J146:J147"/>
    <mergeCell ref="J148:J149"/>
    <mergeCell ref="J154:J156"/>
    <mergeCell ref="J157:J159"/>
    <mergeCell ref="J160:J162"/>
    <mergeCell ref="J163:J165"/>
    <mergeCell ref="J166:J168"/>
    <mergeCell ref="J169:J171"/>
    <mergeCell ref="J111:J113"/>
    <mergeCell ref="J114:J116"/>
    <mergeCell ref="J117:J119"/>
    <mergeCell ref="J120:J122"/>
    <mergeCell ref="J123:J125"/>
    <mergeCell ref="J131:J133"/>
    <mergeCell ref="J134:J135"/>
    <mergeCell ref="J136:J138"/>
    <mergeCell ref="J139:J140"/>
    <mergeCell ref="J219:J221"/>
    <mergeCell ref="J222:J224"/>
    <mergeCell ref="J225:J227"/>
    <mergeCell ref="J228:J230"/>
    <mergeCell ref="J51:J53"/>
    <mergeCell ref="J54:J56"/>
    <mergeCell ref="J57:J59"/>
    <mergeCell ref="J60:J62"/>
    <mergeCell ref="J63:J65"/>
    <mergeCell ref="J66:J68"/>
    <mergeCell ref="J69:J71"/>
    <mergeCell ref="J72:J74"/>
    <mergeCell ref="J75:J77"/>
    <mergeCell ref="J78:J80"/>
    <mergeCell ref="J81:J83"/>
    <mergeCell ref="J84:J86"/>
    <mergeCell ref="J87:J89"/>
    <mergeCell ref="J90:J92"/>
    <mergeCell ref="J93:J95"/>
    <mergeCell ref="J96:J98"/>
    <mergeCell ref="J99:J101"/>
    <mergeCell ref="J102:J104"/>
    <mergeCell ref="J105:J107"/>
    <mergeCell ref="J108:J110"/>
    <mergeCell ref="B128:J128"/>
    <mergeCell ref="B129:J129"/>
    <mergeCell ref="B141:J141"/>
    <mergeCell ref="B152:J152"/>
    <mergeCell ref="B178:J178"/>
    <mergeCell ref="B273:J273"/>
    <mergeCell ref="B274:J274"/>
    <mergeCell ref="B189:J189"/>
    <mergeCell ref="B231:J231"/>
    <mergeCell ref="B268:J268"/>
    <mergeCell ref="B269:J269"/>
    <mergeCell ref="B270:J270"/>
    <mergeCell ref="B271:J271"/>
    <mergeCell ref="B272:J272"/>
    <mergeCell ref="J186:J188"/>
    <mergeCell ref="J191:J194"/>
    <mergeCell ref="J195:J197"/>
    <mergeCell ref="J198:J200"/>
    <mergeCell ref="J201:J203"/>
    <mergeCell ref="J204:J206"/>
    <mergeCell ref="J207:J209"/>
    <mergeCell ref="J210:J212"/>
    <mergeCell ref="J213:J215"/>
    <mergeCell ref="J216:J218"/>
    <mergeCell ref="B96:B98"/>
    <mergeCell ref="C96:C98"/>
    <mergeCell ref="D96:D98"/>
    <mergeCell ref="B99:B101"/>
    <mergeCell ref="C99:C101"/>
    <mergeCell ref="D99:D101"/>
    <mergeCell ref="B102:B104"/>
    <mergeCell ref="C102:C104"/>
    <mergeCell ref="D102:D104"/>
    <mergeCell ref="C93:C95"/>
    <mergeCell ref="D93:D95"/>
    <mergeCell ref="B87:B89"/>
    <mergeCell ref="C87:C89"/>
    <mergeCell ref="D87:D89"/>
    <mergeCell ref="B90:B92"/>
    <mergeCell ref="C90:C92"/>
    <mergeCell ref="D90:D92"/>
    <mergeCell ref="B93:B95"/>
    <mergeCell ref="C84:C86"/>
    <mergeCell ref="D84:D86"/>
    <mergeCell ref="B78:B80"/>
    <mergeCell ref="C78:C80"/>
    <mergeCell ref="D78:D80"/>
    <mergeCell ref="B81:B83"/>
    <mergeCell ref="C81:C83"/>
    <mergeCell ref="D81:D83"/>
    <mergeCell ref="B84:B86"/>
    <mergeCell ref="J39:J41"/>
    <mergeCell ref="J42:J44"/>
    <mergeCell ref="J45:J47"/>
    <mergeCell ref="J48:J50"/>
    <mergeCell ref="C75:C77"/>
    <mergeCell ref="D75:D77"/>
    <mergeCell ref="B69:B71"/>
    <mergeCell ref="C69:C71"/>
    <mergeCell ref="D69:D71"/>
    <mergeCell ref="B72:B74"/>
    <mergeCell ref="C72:C74"/>
    <mergeCell ref="D72:D74"/>
    <mergeCell ref="B75:B77"/>
    <mergeCell ref="C39:C41"/>
    <mergeCell ref="D39:D41"/>
    <mergeCell ref="C57:C59"/>
    <mergeCell ref="D57:D59"/>
    <mergeCell ref="B51:B53"/>
    <mergeCell ref="C51:C53"/>
    <mergeCell ref="D51:D53"/>
    <mergeCell ref="B54:B56"/>
    <mergeCell ref="C54:C56"/>
    <mergeCell ref="D54:D56"/>
    <mergeCell ref="B57:B59"/>
    <mergeCell ref="J12:J14"/>
    <mergeCell ref="J15:J17"/>
    <mergeCell ref="J18:J20"/>
    <mergeCell ref="J21:J23"/>
    <mergeCell ref="J24:J26"/>
    <mergeCell ref="J27:J29"/>
    <mergeCell ref="J30:J32"/>
    <mergeCell ref="J33:J35"/>
    <mergeCell ref="J36:J38"/>
    <mergeCell ref="B21:B23"/>
    <mergeCell ref="C21:C23"/>
    <mergeCell ref="D21:D23"/>
    <mergeCell ref="C30:C32"/>
    <mergeCell ref="D30:D32"/>
    <mergeCell ref="B24:B26"/>
    <mergeCell ref="C24:C26"/>
    <mergeCell ref="D24:D26"/>
    <mergeCell ref="B27:B29"/>
    <mergeCell ref="C27:C29"/>
    <mergeCell ref="D27:D29"/>
    <mergeCell ref="B30:B32"/>
    <mergeCell ref="B12:B14"/>
    <mergeCell ref="C12:C14"/>
    <mergeCell ref="D12:D14"/>
    <mergeCell ref="C15:C17"/>
    <mergeCell ref="D15:D17"/>
    <mergeCell ref="B15:B17"/>
    <mergeCell ref="B18:B20"/>
    <mergeCell ref="C18:C20"/>
    <mergeCell ref="D18:D20"/>
    <mergeCell ref="B2:J2"/>
    <mergeCell ref="B4:J4"/>
    <mergeCell ref="B6:B8"/>
    <mergeCell ref="C6:C8"/>
    <mergeCell ref="D6:D8"/>
    <mergeCell ref="J6:J8"/>
    <mergeCell ref="B9:B11"/>
    <mergeCell ref="C9:C11"/>
    <mergeCell ref="D9:D11"/>
    <mergeCell ref="J9:J11"/>
    <mergeCell ref="C66:C68"/>
    <mergeCell ref="D66:D68"/>
    <mergeCell ref="B60:B62"/>
    <mergeCell ref="C60:C62"/>
    <mergeCell ref="D60:D62"/>
    <mergeCell ref="B63:B65"/>
    <mergeCell ref="C63:C65"/>
    <mergeCell ref="D63:D65"/>
    <mergeCell ref="B66:B68"/>
  </mergeCells>
  <hyperlinks>
    <hyperlink ref="G6" r:id="rId1" xr:uid="{00000000-0004-0000-0D00-000000000000}"/>
    <hyperlink ref="G7" r:id="rId2" xr:uid="{00000000-0004-0000-0D00-000001000000}"/>
    <hyperlink ref="G8" r:id="rId3" xr:uid="{00000000-0004-0000-0D00-000002000000}"/>
    <hyperlink ref="G9" r:id="rId4" xr:uid="{00000000-0004-0000-0D00-000003000000}"/>
    <hyperlink ref="G10" r:id="rId5" xr:uid="{00000000-0004-0000-0D00-000004000000}"/>
    <hyperlink ref="G11" r:id="rId6" xr:uid="{00000000-0004-0000-0D00-000005000000}"/>
    <hyperlink ref="G12" r:id="rId7" xr:uid="{00000000-0004-0000-0D00-000006000000}"/>
    <hyperlink ref="G13" r:id="rId8" xr:uid="{00000000-0004-0000-0D00-000007000000}"/>
    <hyperlink ref="G14" r:id="rId9" xr:uid="{00000000-0004-0000-0D00-000008000000}"/>
    <hyperlink ref="G15" r:id="rId10" xr:uid="{00000000-0004-0000-0D00-000009000000}"/>
    <hyperlink ref="G16" r:id="rId11" xr:uid="{00000000-0004-0000-0D00-00000A000000}"/>
    <hyperlink ref="G17" r:id="rId12" xr:uid="{00000000-0004-0000-0D00-00000B000000}"/>
    <hyperlink ref="G18" r:id="rId13" xr:uid="{00000000-0004-0000-0D00-00000C000000}"/>
    <hyperlink ref="G19" r:id="rId14" xr:uid="{00000000-0004-0000-0D00-00000D000000}"/>
    <hyperlink ref="G20" r:id="rId15" xr:uid="{00000000-0004-0000-0D00-00000E000000}"/>
    <hyperlink ref="G21" r:id="rId16" xr:uid="{00000000-0004-0000-0D00-00000F000000}"/>
    <hyperlink ref="G22" r:id="rId17" xr:uid="{00000000-0004-0000-0D00-000010000000}"/>
    <hyperlink ref="G23" r:id="rId18" xr:uid="{00000000-0004-0000-0D00-000011000000}"/>
    <hyperlink ref="G24" r:id="rId19" xr:uid="{00000000-0004-0000-0D00-000012000000}"/>
    <hyperlink ref="G25" r:id="rId20" xr:uid="{00000000-0004-0000-0D00-000013000000}"/>
    <hyperlink ref="G26" r:id="rId21" xr:uid="{00000000-0004-0000-0D00-000014000000}"/>
    <hyperlink ref="G27" r:id="rId22" xr:uid="{00000000-0004-0000-0D00-000015000000}"/>
    <hyperlink ref="G28" r:id="rId23" xr:uid="{00000000-0004-0000-0D00-000016000000}"/>
    <hyperlink ref="G29" r:id="rId24" xr:uid="{00000000-0004-0000-0D00-000017000000}"/>
    <hyperlink ref="G30" r:id="rId25" xr:uid="{00000000-0004-0000-0D00-000018000000}"/>
    <hyperlink ref="G31" r:id="rId26" xr:uid="{00000000-0004-0000-0D00-000019000000}"/>
    <hyperlink ref="G32" r:id="rId27" xr:uid="{00000000-0004-0000-0D00-00001A000000}"/>
    <hyperlink ref="G33" r:id="rId28" xr:uid="{00000000-0004-0000-0D00-00001B000000}"/>
    <hyperlink ref="G34" r:id="rId29" xr:uid="{00000000-0004-0000-0D00-00001C000000}"/>
    <hyperlink ref="G35" r:id="rId30" xr:uid="{00000000-0004-0000-0D00-00001D000000}"/>
    <hyperlink ref="G36" r:id="rId31" xr:uid="{00000000-0004-0000-0D00-00001E000000}"/>
    <hyperlink ref="G37" r:id="rId32" xr:uid="{00000000-0004-0000-0D00-00001F000000}"/>
    <hyperlink ref="G38" r:id="rId33" xr:uid="{00000000-0004-0000-0D00-000020000000}"/>
    <hyperlink ref="G39" r:id="rId34" xr:uid="{00000000-0004-0000-0D00-000021000000}"/>
    <hyperlink ref="G40" r:id="rId35" xr:uid="{00000000-0004-0000-0D00-000022000000}"/>
    <hyperlink ref="G41" r:id="rId36" xr:uid="{00000000-0004-0000-0D00-000023000000}"/>
    <hyperlink ref="G42" r:id="rId37" xr:uid="{00000000-0004-0000-0D00-000024000000}"/>
    <hyperlink ref="G43" r:id="rId38" xr:uid="{00000000-0004-0000-0D00-000025000000}"/>
    <hyperlink ref="G44" r:id="rId39" xr:uid="{00000000-0004-0000-0D00-000026000000}"/>
    <hyperlink ref="G45" r:id="rId40" xr:uid="{00000000-0004-0000-0D00-000027000000}"/>
    <hyperlink ref="G46" r:id="rId41" xr:uid="{00000000-0004-0000-0D00-000028000000}"/>
    <hyperlink ref="G47" r:id="rId42" xr:uid="{00000000-0004-0000-0D00-000029000000}"/>
    <hyperlink ref="G48" r:id="rId43" xr:uid="{00000000-0004-0000-0D00-00002A000000}"/>
    <hyperlink ref="G49" r:id="rId44" xr:uid="{00000000-0004-0000-0D00-00002B000000}"/>
    <hyperlink ref="G50" r:id="rId45" xr:uid="{00000000-0004-0000-0D00-00002C000000}"/>
    <hyperlink ref="G51" r:id="rId46" xr:uid="{00000000-0004-0000-0D00-00002D000000}"/>
    <hyperlink ref="G52" r:id="rId47" xr:uid="{00000000-0004-0000-0D00-00002E000000}"/>
    <hyperlink ref="G53" r:id="rId48" xr:uid="{00000000-0004-0000-0D00-00002F000000}"/>
    <hyperlink ref="G54" r:id="rId49" xr:uid="{00000000-0004-0000-0D00-000030000000}"/>
    <hyperlink ref="G55" r:id="rId50" xr:uid="{00000000-0004-0000-0D00-000031000000}"/>
    <hyperlink ref="G56" r:id="rId51" xr:uid="{00000000-0004-0000-0D00-000032000000}"/>
    <hyperlink ref="G57" r:id="rId52" xr:uid="{00000000-0004-0000-0D00-000033000000}"/>
    <hyperlink ref="G58" r:id="rId53" xr:uid="{00000000-0004-0000-0D00-000034000000}"/>
    <hyperlink ref="G59" r:id="rId54" xr:uid="{00000000-0004-0000-0D00-000035000000}"/>
    <hyperlink ref="G60" r:id="rId55" xr:uid="{00000000-0004-0000-0D00-000036000000}"/>
    <hyperlink ref="G61" r:id="rId56" xr:uid="{00000000-0004-0000-0D00-000037000000}"/>
    <hyperlink ref="G62" r:id="rId57" xr:uid="{00000000-0004-0000-0D00-000038000000}"/>
    <hyperlink ref="G63" r:id="rId58" xr:uid="{00000000-0004-0000-0D00-000039000000}"/>
    <hyperlink ref="G64" r:id="rId59" xr:uid="{00000000-0004-0000-0D00-00003A000000}"/>
    <hyperlink ref="G65" r:id="rId60" xr:uid="{00000000-0004-0000-0D00-00003B000000}"/>
    <hyperlink ref="G66" r:id="rId61" xr:uid="{00000000-0004-0000-0D00-00003C000000}"/>
    <hyperlink ref="G67" r:id="rId62" xr:uid="{00000000-0004-0000-0D00-00003D000000}"/>
    <hyperlink ref="G68" r:id="rId63" xr:uid="{00000000-0004-0000-0D00-00003E000000}"/>
    <hyperlink ref="G69" r:id="rId64" xr:uid="{00000000-0004-0000-0D00-00003F000000}"/>
    <hyperlink ref="G70" r:id="rId65" xr:uid="{00000000-0004-0000-0D00-000040000000}"/>
    <hyperlink ref="G71" r:id="rId66" xr:uid="{00000000-0004-0000-0D00-000041000000}"/>
    <hyperlink ref="G72" r:id="rId67" xr:uid="{00000000-0004-0000-0D00-000042000000}"/>
    <hyperlink ref="G73" r:id="rId68" xr:uid="{00000000-0004-0000-0D00-000043000000}"/>
    <hyperlink ref="G74" r:id="rId69" xr:uid="{00000000-0004-0000-0D00-000044000000}"/>
    <hyperlink ref="G75" r:id="rId70" xr:uid="{00000000-0004-0000-0D00-000045000000}"/>
    <hyperlink ref="G76" r:id="rId71" xr:uid="{00000000-0004-0000-0D00-000046000000}"/>
    <hyperlink ref="G77" r:id="rId72" xr:uid="{00000000-0004-0000-0D00-000047000000}"/>
    <hyperlink ref="G78" r:id="rId73" xr:uid="{00000000-0004-0000-0D00-000048000000}"/>
    <hyperlink ref="G79" r:id="rId74" xr:uid="{00000000-0004-0000-0D00-000049000000}"/>
    <hyperlink ref="G80" r:id="rId75" xr:uid="{00000000-0004-0000-0D00-00004A000000}"/>
    <hyperlink ref="G81" r:id="rId76" xr:uid="{00000000-0004-0000-0D00-00004B000000}"/>
    <hyperlink ref="G82" r:id="rId77" xr:uid="{00000000-0004-0000-0D00-00004C000000}"/>
    <hyperlink ref="G83" r:id="rId78" xr:uid="{00000000-0004-0000-0D00-00004D000000}"/>
    <hyperlink ref="G84" r:id="rId79" xr:uid="{00000000-0004-0000-0D00-00004E000000}"/>
    <hyperlink ref="G85" r:id="rId80" xr:uid="{00000000-0004-0000-0D00-00004F000000}"/>
    <hyperlink ref="G86" r:id="rId81" xr:uid="{00000000-0004-0000-0D00-000050000000}"/>
    <hyperlink ref="G87" r:id="rId82" xr:uid="{00000000-0004-0000-0D00-000051000000}"/>
    <hyperlink ref="G88" r:id="rId83" xr:uid="{00000000-0004-0000-0D00-000052000000}"/>
    <hyperlink ref="G89" r:id="rId84" xr:uid="{00000000-0004-0000-0D00-000053000000}"/>
    <hyperlink ref="G90" r:id="rId85" xr:uid="{00000000-0004-0000-0D00-000054000000}"/>
    <hyperlink ref="G91" r:id="rId86" xr:uid="{00000000-0004-0000-0D00-000055000000}"/>
    <hyperlink ref="G92" r:id="rId87" xr:uid="{00000000-0004-0000-0D00-000056000000}"/>
    <hyperlink ref="G93" r:id="rId88" xr:uid="{00000000-0004-0000-0D00-000057000000}"/>
    <hyperlink ref="G94" r:id="rId89" xr:uid="{00000000-0004-0000-0D00-000058000000}"/>
    <hyperlink ref="G95" r:id="rId90" xr:uid="{00000000-0004-0000-0D00-000059000000}"/>
    <hyperlink ref="G96" r:id="rId91" xr:uid="{00000000-0004-0000-0D00-00005A000000}"/>
    <hyperlink ref="G97" r:id="rId92" xr:uid="{00000000-0004-0000-0D00-00005B000000}"/>
    <hyperlink ref="G98" r:id="rId93" xr:uid="{00000000-0004-0000-0D00-00005C000000}"/>
    <hyperlink ref="G99" r:id="rId94" xr:uid="{00000000-0004-0000-0D00-00005D000000}"/>
    <hyperlink ref="G100" r:id="rId95" xr:uid="{00000000-0004-0000-0D00-00005E000000}"/>
    <hyperlink ref="G101" r:id="rId96" xr:uid="{00000000-0004-0000-0D00-00005F000000}"/>
    <hyperlink ref="G105" r:id="rId97" xr:uid="{00000000-0004-0000-0D00-000060000000}"/>
    <hyperlink ref="G106" r:id="rId98" xr:uid="{00000000-0004-0000-0D00-000061000000}"/>
    <hyperlink ref="G107" r:id="rId99" xr:uid="{00000000-0004-0000-0D00-000062000000}"/>
    <hyperlink ref="G108" r:id="rId100" xr:uid="{00000000-0004-0000-0D00-000063000000}"/>
    <hyperlink ref="G109" r:id="rId101" xr:uid="{00000000-0004-0000-0D00-000064000000}"/>
    <hyperlink ref="G110" r:id="rId102" xr:uid="{00000000-0004-0000-0D00-000065000000}"/>
    <hyperlink ref="G111" r:id="rId103" xr:uid="{00000000-0004-0000-0D00-000066000000}"/>
    <hyperlink ref="G112" r:id="rId104" xr:uid="{00000000-0004-0000-0D00-000067000000}"/>
    <hyperlink ref="G113" r:id="rId105" xr:uid="{00000000-0004-0000-0D00-000068000000}"/>
    <hyperlink ref="G114" r:id="rId106" xr:uid="{00000000-0004-0000-0D00-000069000000}"/>
    <hyperlink ref="G115" r:id="rId107" xr:uid="{00000000-0004-0000-0D00-00006A000000}"/>
    <hyperlink ref="G116" r:id="rId108" xr:uid="{00000000-0004-0000-0D00-00006B000000}"/>
    <hyperlink ref="G117" r:id="rId109" xr:uid="{00000000-0004-0000-0D00-00006C000000}"/>
    <hyperlink ref="G118" r:id="rId110" xr:uid="{00000000-0004-0000-0D00-00006D000000}"/>
    <hyperlink ref="G119" r:id="rId111" xr:uid="{00000000-0004-0000-0D00-00006E000000}"/>
    <hyperlink ref="G120" r:id="rId112" xr:uid="{00000000-0004-0000-0D00-00006F000000}"/>
    <hyperlink ref="G121" r:id="rId113" xr:uid="{00000000-0004-0000-0D00-000070000000}"/>
    <hyperlink ref="G122" r:id="rId114" xr:uid="{00000000-0004-0000-0D00-000071000000}"/>
    <hyperlink ref="G123" r:id="rId115" xr:uid="{00000000-0004-0000-0D00-000072000000}"/>
    <hyperlink ref="G124" r:id="rId116" xr:uid="{00000000-0004-0000-0D00-000073000000}"/>
    <hyperlink ref="G125" r:id="rId117" xr:uid="{00000000-0004-0000-0D00-000074000000}"/>
    <hyperlink ref="G180" r:id="rId118" xr:uid="{00000000-0004-0000-0D00-000075000000}"/>
    <hyperlink ref="G181" r:id="rId119" xr:uid="{00000000-0004-0000-0D00-000076000000}"/>
    <hyperlink ref="G182" r:id="rId120" xr:uid="{00000000-0004-0000-0D00-000077000000}"/>
    <hyperlink ref="G184" r:id="rId121" xr:uid="{00000000-0004-0000-0D00-000078000000}"/>
    <hyperlink ref="G185" r:id="rId122" xr:uid="{00000000-0004-0000-0D00-000079000000}"/>
    <hyperlink ref="G186" r:id="rId123" xr:uid="{00000000-0004-0000-0D00-00007A000000}"/>
    <hyperlink ref="G191" r:id="rId124" xr:uid="{00000000-0004-0000-0D00-00007B000000}"/>
    <hyperlink ref="G192" r:id="rId125" xr:uid="{00000000-0004-0000-0D00-00007C000000}"/>
    <hyperlink ref="G194" r:id="rId126" xr:uid="{00000000-0004-0000-0D00-00007D000000}"/>
    <hyperlink ref="G195" r:id="rId127" xr:uid="{00000000-0004-0000-0D00-00007E000000}"/>
    <hyperlink ref="G196" r:id="rId128" xr:uid="{00000000-0004-0000-0D00-00007F000000}"/>
    <hyperlink ref="G197" r:id="rId129" xr:uid="{00000000-0004-0000-0D00-000080000000}"/>
    <hyperlink ref="G198" r:id="rId130" xr:uid="{00000000-0004-0000-0D00-000081000000}"/>
    <hyperlink ref="G199" r:id="rId131" xr:uid="{00000000-0004-0000-0D00-000082000000}"/>
    <hyperlink ref="G200" r:id="rId132" xr:uid="{00000000-0004-0000-0D00-000083000000}"/>
    <hyperlink ref="G202" r:id="rId133" xr:uid="{00000000-0004-0000-0D00-000084000000}"/>
    <hyperlink ref="G203" r:id="rId134" xr:uid="{00000000-0004-0000-0D00-000085000000}"/>
    <hyperlink ref="G204" r:id="rId135" xr:uid="{00000000-0004-0000-0D00-000086000000}"/>
    <hyperlink ref="G205" r:id="rId136" location="derivacao=8" xr:uid="{00000000-0004-0000-0D00-000087000000}"/>
    <hyperlink ref="G206" r:id="rId137" xr:uid="{00000000-0004-0000-0D00-000088000000}"/>
    <hyperlink ref="G207" r:id="rId138" xr:uid="{00000000-0004-0000-0D00-000089000000}"/>
    <hyperlink ref="G208" r:id="rId139" xr:uid="{00000000-0004-0000-0D00-00008A000000}"/>
    <hyperlink ref="G209" r:id="rId140" xr:uid="{00000000-0004-0000-0D00-00008B000000}"/>
    <hyperlink ref="G210" r:id="rId141" xr:uid="{00000000-0004-0000-0D00-00008C000000}"/>
    <hyperlink ref="G211" r:id="rId142" xr:uid="{00000000-0004-0000-0D00-00008D000000}"/>
    <hyperlink ref="G212" r:id="rId143" location="derivacao=8" xr:uid="{00000000-0004-0000-0D00-00008E000000}"/>
    <hyperlink ref="G213" r:id="rId144" xr:uid="{00000000-0004-0000-0D00-00008F000000}"/>
    <hyperlink ref="G214" r:id="rId145" xr:uid="{00000000-0004-0000-0D00-000090000000}"/>
    <hyperlink ref="G215" r:id="rId146" xr:uid="{00000000-0004-0000-0D00-000091000000}"/>
    <hyperlink ref="G216" r:id="rId147" xr:uid="{00000000-0004-0000-0D00-000092000000}"/>
    <hyperlink ref="G217" r:id="rId148" xr:uid="{00000000-0004-0000-0D00-000093000000}"/>
    <hyperlink ref="G218" r:id="rId149" xr:uid="{00000000-0004-0000-0D00-000094000000}"/>
    <hyperlink ref="G219" r:id="rId150" xr:uid="{00000000-0004-0000-0D00-000095000000}"/>
    <hyperlink ref="G220" r:id="rId151" xr:uid="{00000000-0004-0000-0D00-000096000000}"/>
    <hyperlink ref="G221" r:id="rId152" xr:uid="{00000000-0004-0000-0D00-000097000000}"/>
    <hyperlink ref="G222" r:id="rId153" xr:uid="{00000000-0004-0000-0D00-000098000000}"/>
    <hyperlink ref="G223" r:id="rId154" xr:uid="{00000000-0004-0000-0D00-000099000000}"/>
    <hyperlink ref="G224" r:id="rId155" xr:uid="{00000000-0004-0000-0D00-00009A000000}"/>
    <hyperlink ref="G225" r:id="rId156" xr:uid="{00000000-0004-0000-0D00-00009B000000}"/>
    <hyperlink ref="G226" r:id="rId157" xr:uid="{00000000-0004-0000-0D00-00009C000000}"/>
    <hyperlink ref="G227" r:id="rId158" xr:uid="{00000000-0004-0000-0D00-00009D000000}"/>
    <hyperlink ref="G228" r:id="rId159" xr:uid="{00000000-0004-0000-0D00-00009E000000}"/>
    <hyperlink ref="G229" r:id="rId160" xr:uid="{00000000-0004-0000-0D00-00009F000000}"/>
    <hyperlink ref="G230" r:id="rId161" xr:uid="{00000000-0004-0000-0D00-0000A0000000}"/>
    <hyperlink ref="G233" r:id="rId162" xr:uid="{00000000-0004-0000-0D00-0000A1000000}"/>
    <hyperlink ref="G234" r:id="rId163" xr:uid="{00000000-0004-0000-0D00-0000A2000000}"/>
    <hyperlink ref="G235" r:id="rId164" xr:uid="{00000000-0004-0000-0D00-0000A3000000}"/>
    <hyperlink ref="G252" r:id="rId165" xr:uid="{00000000-0004-0000-0D00-0000A4000000}"/>
    <hyperlink ref="G253" r:id="rId166" xr:uid="{00000000-0004-0000-0D00-0000A5000000}"/>
    <hyperlink ref="G255" r:id="rId167" xr:uid="{00000000-0004-0000-0D00-0000A6000000}"/>
    <hyperlink ref="G256" r:id="rId168" xr:uid="{00000000-0004-0000-0D00-0000A7000000}"/>
    <hyperlink ref="G257" r:id="rId169" xr:uid="{00000000-0004-0000-0D00-0000A8000000}"/>
    <hyperlink ref="G258" r:id="rId170" xr:uid="{00000000-0004-0000-0D00-0000A9000000}"/>
    <hyperlink ref="G259" r:id="rId171" xr:uid="{00000000-0004-0000-0D00-0000AA000000}"/>
    <hyperlink ref="G260" r:id="rId172" xr:uid="{00000000-0004-0000-0D00-0000AB000000}"/>
    <hyperlink ref="G261" r:id="rId173" xr:uid="{00000000-0004-0000-0D00-0000AC000000}"/>
    <hyperlink ref="G262" r:id="rId174" xr:uid="{00000000-0004-0000-0D00-0000AD000000}"/>
    <hyperlink ref="G263" r:id="rId175" xr:uid="{00000000-0004-0000-0D00-0000AE000000}"/>
    <hyperlink ref="G264" r:id="rId176" xr:uid="{00000000-0004-0000-0D00-0000AF000000}"/>
    <hyperlink ref="G265" r:id="rId177" xr:uid="{00000000-0004-0000-0D00-0000B0000000}"/>
    <hyperlink ref="G266" r:id="rId178" xr:uid="{00000000-0004-0000-0D00-0000B1000000}"/>
    <hyperlink ref="G267" r:id="rId179" xr:uid="{00000000-0004-0000-0D00-0000B2000000}"/>
  </hyperlinks>
  <pageMargins left="0.51180555555555596" right="0.51180555555555596" top="0.78749999999999998" bottom="0.78749999999999998" header="0" footer="0"/>
  <pageSetup paperSize="9" fitToHeight="0" orientation="portrait"/>
  <headerFooter>
    <oddFooter>&amp;R&amp;P de 45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000"/>
  <sheetViews>
    <sheetView workbookViewId="0"/>
  </sheetViews>
  <sheetFormatPr defaultColWidth="14.42578125" defaultRowHeight="15" customHeight="1" x14ac:dyDescent="0.25"/>
  <cols>
    <col min="1" max="2" width="17.85546875" customWidth="1"/>
    <col min="3" max="3" width="23.42578125" customWidth="1"/>
    <col min="4" max="4" width="22" customWidth="1"/>
    <col min="5" max="12" width="17.85546875" customWidth="1"/>
    <col min="13" max="13" width="14" customWidth="1"/>
    <col min="14" max="14" width="17" customWidth="1"/>
    <col min="15" max="26" width="17.85546875" customWidth="1"/>
  </cols>
  <sheetData>
    <row r="1" spans="1:26" ht="26.25" customHeight="1" x14ac:dyDescent="0.25">
      <c r="A1" s="417" t="s">
        <v>1038</v>
      </c>
      <c r="B1" s="417" t="s">
        <v>1039</v>
      </c>
      <c r="C1" s="417" t="s">
        <v>1040</v>
      </c>
      <c r="D1" s="417" t="s">
        <v>1041</v>
      </c>
      <c r="E1" s="818"/>
      <c r="F1" s="808"/>
      <c r="G1" s="808"/>
      <c r="H1" s="808"/>
      <c r="I1" s="808"/>
      <c r="J1" s="808"/>
      <c r="K1" s="808"/>
      <c r="L1" s="808"/>
      <c r="M1" s="808"/>
      <c r="N1" s="809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26.25" customHeight="1" x14ac:dyDescent="0.25">
      <c r="A2" s="420" t="s">
        <v>1051</v>
      </c>
      <c r="B2" s="421">
        <v>6801.72</v>
      </c>
      <c r="C2" s="14"/>
      <c r="D2" s="71">
        <f t="shared" ref="D2:D30" si="0">C2/B2*$B$30</f>
        <v>0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ht="26.25" customHeight="1" x14ac:dyDescent="0.25">
      <c r="A3" s="3" t="s">
        <v>1056</v>
      </c>
      <c r="B3" s="421">
        <v>6858.17</v>
      </c>
      <c r="C3" s="14"/>
      <c r="D3" s="71">
        <f t="shared" si="0"/>
        <v>0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</row>
    <row r="4" spans="1:26" ht="26.25" customHeight="1" x14ac:dyDescent="0.25">
      <c r="A4" s="3" t="s">
        <v>1057</v>
      </c>
      <c r="B4" s="421">
        <v>6869.14</v>
      </c>
      <c r="C4" s="14"/>
      <c r="D4" s="71">
        <f t="shared" si="0"/>
        <v>0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</row>
    <row r="5" spans="1:26" ht="26.25" customHeight="1" x14ac:dyDescent="0.25">
      <c r="A5" s="3" t="s">
        <v>1058</v>
      </c>
      <c r="B5" s="421">
        <v>6895.24</v>
      </c>
      <c r="C5" s="14"/>
      <c r="D5" s="71">
        <f t="shared" si="0"/>
        <v>0</v>
      </c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</row>
    <row r="6" spans="1:26" ht="26.25" customHeight="1" x14ac:dyDescent="0.25">
      <c r="A6" s="3" t="s">
        <v>1059</v>
      </c>
      <c r="B6" s="421">
        <v>6926.96</v>
      </c>
      <c r="C6" s="14"/>
      <c r="D6" s="71">
        <f t="shared" si="0"/>
        <v>0</v>
      </c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ht="26.25" customHeight="1" x14ac:dyDescent="0.25">
      <c r="A7" s="3" t="s">
        <v>1060</v>
      </c>
      <c r="B7" s="421">
        <v>6941.51</v>
      </c>
      <c r="C7" s="3">
        <v>44.5</v>
      </c>
      <c r="D7" s="71">
        <f t="shared" si="0"/>
        <v>48.978777672293198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3" t="s">
        <v>1061</v>
      </c>
      <c r="B8" s="421">
        <v>6967.89</v>
      </c>
      <c r="C8" s="3">
        <v>36.57</v>
      </c>
      <c r="D8" s="71">
        <f t="shared" si="0"/>
        <v>40.098262960523193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3" t="s">
        <v>1062</v>
      </c>
      <c r="B9" s="421">
        <v>6966.5</v>
      </c>
      <c r="C9" s="3"/>
      <c r="D9" s="71">
        <f t="shared" si="0"/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6.25" customHeight="1" x14ac:dyDescent="0.25">
      <c r="A10" s="3" t="s">
        <v>1063</v>
      </c>
      <c r="B10" s="421">
        <v>6997.15</v>
      </c>
      <c r="C10" s="3"/>
      <c r="D10" s="71">
        <f t="shared" si="0"/>
        <v>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6.25" customHeight="1" x14ac:dyDescent="0.25">
      <c r="A11" s="3" t="s">
        <v>1064</v>
      </c>
      <c r="B11" s="421">
        <v>7036.33</v>
      </c>
      <c r="C11" s="3">
        <v>8.6</v>
      </c>
      <c r="D11" s="71">
        <f t="shared" si="0"/>
        <v>9.338005750156686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6.25" customHeight="1" x14ac:dyDescent="0.25">
      <c r="A12" s="3" t="s">
        <v>1065</v>
      </c>
      <c r="B12" s="421">
        <v>7063.77</v>
      </c>
      <c r="C12" s="3">
        <v>8.36</v>
      </c>
      <c r="D12" s="71">
        <f t="shared" si="0"/>
        <v>9.0421480314336389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6.25" customHeight="1" x14ac:dyDescent="0.25">
      <c r="A13" s="3" t="s">
        <v>1069</v>
      </c>
      <c r="B13" s="421">
        <v>7100.5</v>
      </c>
      <c r="C13" s="3">
        <v>8</v>
      </c>
      <c r="D13" s="71">
        <f t="shared" si="0"/>
        <v>8.6080135201746355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6.25" customHeight="1" x14ac:dyDescent="0.25">
      <c r="A14" s="430" t="s">
        <v>1070</v>
      </c>
      <c r="B14" s="421">
        <v>7111.86</v>
      </c>
      <c r="C14" s="3"/>
      <c r="D14" s="71">
        <f t="shared" si="0"/>
        <v>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6.25" customHeight="1" x14ac:dyDescent="0.25">
      <c r="A15" s="3" t="s">
        <v>1071</v>
      </c>
      <c r="B15" s="421">
        <v>7205.03</v>
      </c>
      <c r="C15" s="3"/>
      <c r="D15" s="71">
        <f t="shared" si="0"/>
        <v>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3" t="s">
        <v>1072</v>
      </c>
      <c r="B16" s="421">
        <v>7245.38</v>
      </c>
      <c r="C16" s="3"/>
      <c r="D16" s="71">
        <f t="shared" si="0"/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25" customHeight="1" x14ac:dyDescent="0.25">
      <c r="A17" s="3" t="s">
        <v>1073</v>
      </c>
      <c r="B17" s="421">
        <v>7276.54</v>
      </c>
      <c r="C17" s="71">
        <v>85</v>
      </c>
      <c r="D17" s="71">
        <f t="shared" si="0"/>
        <v>89.247465141399616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25" customHeight="1" x14ac:dyDescent="0.25">
      <c r="A18" s="3" t="s">
        <v>1074</v>
      </c>
      <c r="B18" s="421">
        <v>7295.46</v>
      </c>
      <c r="C18" s="3"/>
      <c r="D18" s="71">
        <f t="shared" si="0"/>
        <v>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25" customHeight="1" x14ac:dyDescent="0.25">
      <c r="A19" s="3" t="s">
        <v>1075</v>
      </c>
      <c r="B19" s="421">
        <v>7312.97</v>
      </c>
      <c r="C19" s="3">
        <v>7.85</v>
      </c>
      <c r="D19" s="71">
        <f t="shared" si="0"/>
        <v>8.2012065549291169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25" customHeight="1" x14ac:dyDescent="0.25">
      <c r="A20" s="3" t="s">
        <v>1077</v>
      </c>
      <c r="B20" s="421">
        <v>7331.98</v>
      </c>
      <c r="C20" s="3"/>
      <c r="D20" s="71">
        <f t="shared" si="0"/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x14ac:dyDescent="0.25">
      <c r="A21" s="3" t="s">
        <v>1080</v>
      </c>
      <c r="B21" s="421">
        <v>7323.91</v>
      </c>
      <c r="C21" s="3"/>
      <c r="D21" s="71">
        <f t="shared" si="0"/>
        <v>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6.25" customHeight="1" x14ac:dyDescent="0.25">
      <c r="A22" s="3" t="s">
        <v>1081</v>
      </c>
      <c r="B22" s="421">
        <v>7359.06</v>
      </c>
      <c r="C22" s="3"/>
      <c r="D22" s="71">
        <f t="shared" si="0"/>
        <v>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6.25" customHeight="1" x14ac:dyDescent="0.25">
      <c r="A23" s="3" t="s">
        <v>1082</v>
      </c>
      <c r="B23" s="421">
        <v>7365.68</v>
      </c>
      <c r="C23" s="3"/>
      <c r="D23" s="71">
        <f t="shared" si="0"/>
        <v>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6.25" customHeight="1" x14ac:dyDescent="0.25">
      <c r="A24" s="3" t="s">
        <v>1083</v>
      </c>
      <c r="B24" s="421">
        <v>7378.94</v>
      </c>
      <c r="C24" s="3">
        <v>37.020000000000003</v>
      </c>
      <c r="D24" s="71">
        <f t="shared" si="0"/>
        <v>38.330485543994129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6.25" customHeight="1" x14ac:dyDescent="0.25">
      <c r="A25" s="3" t="s">
        <v>1084</v>
      </c>
      <c r="B25" s="421">
        <v>7403.29</v>
      </c>
      <c r="C25" s="3"/>
      <c r="D25" s="71">
        <f t="shared" si="0"/>
        <v>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6.25" customHeight="1" x14ac:dyDescent="0.25">
      <c r="A26" s="437" t="s">
        <v>1087</v>
      </c>
      <c r="B26" s="421">
        <v>7427.72</v>
      </c>
      <c r="C26" s="3"/>
      <c r="D26" s="71">
        <f t="shared" si="0"/>
        <v>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6.25" customHeight="1" x14ac:dyDescent="0.25">
      <c r="A27" s="3" t="s">
        <v>1091</v>
      </c>
      <c r="B27" s="421">
        <v>7479.71</v>
      </c>
      <c r="C27" s="3"/>
      <c r="D27" s="71">
        <f t="shared" si="0"/>
        <v>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6.25" customHeight="1" x14ac:dyDescent="0.25">
      <c r="A28" s="3" t="s">
        <v>1092</v>
      </c>
      <c r="B28" s="421">
        <v>7545.53</v>
      </c>
      <c r="C28" s="3"/>
      <c r="D28" s="71">
        <f t="shared" si="0"/>
        <v>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6.25" customHeight="1" x14ac:dyDescent="0.25">
      <c r="A29" s="3" t="s">
        <v>1093</v>
      </c>
      <c r="B29" s="421">
        <v>7596.09</v>
      </c>
      <c r="C29" s="3"/>
      <c r="D29" s="71">
        <f t="shared" si="0"/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6.25" customHeight="1" x14ac:dyDescent="0.25">
      <c r="A30" s="3" t="s">
        <v>1094</v>
      </c>
      <c r="B30" s="421">
        <v>7640.15</v>
      </c>
      <c r="C30" s="3"/>
      <c r="D30" s="71">
        <f t="shared" si="0"/>
        <v>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6.25" customHeight="1" x14ac:dyDescent="0.25">
      <c r="A31" s="3"/>
      <c r="B31" s="3"/>
      <c r="C31" s="3"/>
      <c r="D31" s="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6.25" customHeight="1" x14ac:dyDescent="0.25">
      <c r="A32" s="3"/>
      <c r="B32" s="3"/>
      <c r="C32" s="3"/>
      <c r="D32" s="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6.25" customHeight="1" x14ac:dyDescent="0.25">
      <c r="A33" s="3"/>
      <c r="B33" s="3"/>
      <c r="C33" s="3"/>
      <c r="D33" s="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6.25" customHeight="1" x14ac:dyDescent="0.25">
      <c r="A34" s="3"/>
      <c r="B34" s="3"/>
      <c r="C34" s="3"/>
      <c r="D34" s="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6.25" customHeight="1" x14ac:dyDescent="0.25">
      <c r="A35" s="3"/>
      <c r="B35" s="3"/>
      <c r="C35" s="3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6.25" customHeight="1" x14ac:dyDescent="0.25">
      <c r="A36" s="3"/>
      <c r="B36" s="3"/>
      <c r="C36" s="3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6.25" customHeight="1" x14ac:dyDescent="0.25">
      <c r="A37" s="3"/>
      <c r="B37" s="3"/>
      <c r="C37" s="3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6.25" customHeight="1" x14ac:dyDescent="0.25">
      <c r="A38" s="3"/>
      <c r="B38" s="3"/>
      <c r="C38" s="3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6.25" customHeight="1" x14ac:dyDescent="0.25">
      <c r="A39" s="3"/>
      <c r="B39" s="3"/>
      <c r="C39" s="3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6.25" customHeight="1" x14ac:dyDescent="0.25">
      <c r="A40" s="3"/>
      <c r="B40" s="3"/>
      <c r="C40" s="3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6.25" customHeight="1" x14ac:dyDescent="0.25">
      <c r="A41" s="3"/>
      <c r="B41" s="3"/>
      <c r="C41" s="3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6.25" customHeight="1" x14ac:dyDescent="0.25">
      <c r="A42" s="3"/>
      <c r="B42" s="3"/>
      <c r="C42" s="3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6.25" customHeight="1" x14ac:dyDescent="0.25">
      <c r="A43" s="3"/>
      <c r="B43" s="3"/>
      <c r="C43" s="3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6.25" customHeight="1" x14ac:dyDescent="0.25">
      <c r="A44" s="3"/>
      <c r="B44" s="3"/>
      <c r="C44" s="3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6.25" customHeight="1" x14ac:dyDescent="0.25">
      <c r="A45" s="3"/>
      <c r="B45" s="3"/>
      <c r="C45" s="3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6.25" customHeight="1" x14ac:dyDescent="0.25">
      <c r="A46" s="3"/>
      <c r="B46" s="3"/>
      <c r="C46" s="3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6.25" customHeight="1" x14ac:dyDescent="0.25">
      <c r="A47" s="3"/>
      <c r="B47" s="3"/>
      <c r="C47" s="3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6.25" customHeight="1" x14ac:dyDescent="0.25">
      <c r="A48" s="3"/>
      <c r="B48" s="3"/>
      <c r="C48" s="3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6.25" customHeight="1" x14ac:dyDescent="0.25">
      <c r="A49" s="3"/>
      <c r="B49" s="3"/>
      <c r="C49" s="3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6.25" customHeight="1" x14ac:dyDescent="0.25">
      <c r="A50" s="3"/>
      <c r="B50" s="3"/>
      <c r="C50" s="3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6.25" customHeight="1" x14ac:dyDescent="0.25">
      <c r="A51" s="3"/>
      <c r="B51" s="3"/>
      <c r="C51" s="3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6.25" customHeight="1" x14ac:dyDescent="0.25">
      <c r="A52" s="3"/>
      <c r="B52" s="3"/>
      <c r="C52" s="3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6.25" customHeight="1" x14ac:dyDescent="0.25">
      <c r="A53" s="3"/>
      <c r="B53" s="3"/>
      <c r="C53" s="3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6.25" customHeight="1" x14ac:dyDescent="0.25">
      <c r="A54" s="3"/>
      <c r="B54" s="3"/>
      <c r="C54" s="3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6.25" customHeight="1" x14ac:dyDescent="0.25">
      <c r="A55" s="3"/>
      <c r="B55" s="3"/>
      <c r="C55" s="3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6.25" customHeight="1" x14ac:dyDescent="0.25">
      <c r="A56" s="3"/>
      <c r="B56" s="3"/>
      <c r="C56" s="3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6.25" customHeight="1" x14ac:dyDescent="0.25">
      <c r="A57" s="3"/>
      <c r="B57" s="3"/>
      <c r="C57" s="3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6.25" customHeight="1" x14ac:dyDescent="0.25">
      <c r="A58" s="3"/>
      <c r="B58" s="3"/>
      <c r="C58" s="3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6.25" customHeight="1" x14ac:dyDescent="0.25">
      <c r="A59" s="3"/>
      <c r="B59" s="3"/>
      <c r="C59" s="3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6.25" customHeight="1" x14ac:dyDescent="0.25">
      <c r="A60" s="3"/>
      <c r="B60" s="3"/>
      <c r="C60" s="3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6.25" customHeight="1" x14ac:dyDescent="0.25">
      <c r="A61" s="3"/>
      <c r="B61" s="3"/>
      <c r="C61" s="3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6.25" customHeight="1" x14ac:dyDescent="0.25">
      <c r="A62" s="3"/>
      <c r="B62" s="3"/>
      <c r="C62" s="3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6.25" customHeight="1" x14ac:dyDescent="0.25">
      <c r="A63" s="3"/>
      <c r="B63" s="3"/>
      <c r="C63" s="3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6.25" customHeight="1" x14ac:dyDescent="0.25">
      <c r="A64" s="3"/>
      <c r="B64" s="3"/>
      <c r="C64" s="3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6.25" customHeight="1" x14ac:dyDescent="0.25">
      <c r="A65" s="3"/>
      <c r="B65" s="3"/>
      <c r="C65" s="3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6.25" customHeight="1" x14ac:dyDescent="0.25">
      <c r="A66" s="3"/>
      <c r="B66" s="3"/>
      <c r="C66" s="3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6.25" customHeight="1" x14ac:dyDescent="0.25">
      <c r="A67" s="3"/>
      <c r="B67" s="3"/>
      <c r="C67" s="3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6.25" customHeight="1" x14ac:dyDescent="0.25">
      <c r="A68" s="3"/>
      <c r="B68" s="3"/>
      <c r="C68" s="3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6.25" customHeight="1" x14ac:dyDescent="0.25">
      <c r="A69" s="3"/>
      <c r="B69" s="3"/>
      <c r="C69" s="3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6.25" customHeight="1" x14ac:dyDescent="0.25">
      <c r="A70" s="3"/>
      <c r="B70" s="3"/>
      <c r="C70" s="3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6.25" customHeight="1" x14ac:dyDescent="0.25">
      <c r="A71" s="3"/>
      <c r="B71" s="3"/>
      <c r="C71" s="3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6.25" customHeight="1" x14ac:dyDescent="0.25">
      <c r="A72" s="3"/>
      <c r="B72" s="3"/>
      <c r="C72" s="3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6.25" customHeight="1" x14ac:dyDescent="0.25">
      <c r="A73" s="3"/>
      <c r="B73" s="3"/>
      <c r="C73" s="3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6.25" customHeight="1" x14ac:dyDescent="0.25">
      <c r="A74" s="3"/>
      <c r="B74" s="3"/>
      <c r="C74" s="3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6.25" customHeight="1" x14ac:dyDescent="0.25">
      <c r="A75" s="3"/>
      <c r="B75" s="3"/>
      <c r="C75" s="3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6.25" customHeight="1" x14ac:dyDescent="0.25">
      <c r="A76" s="3"/>
      <c r="B76" s="3"/>
      <c r="C76" s="3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6.25" customHeight="1" x14ac:dyDescent="0.25">
      <c r="A77" s="3"/>
      <c r="B77" s="3"/>
      <c r="C77" s="3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6.25" customHeight="1" x14ac:dyDescent="0.25">
      <c r="A78" s="3"/>
      <c r="B78" s="3"/>
      <c r="C78" s="3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6.25" customHeight="1" x14ac:dyDescent="0.25">
      <c r="A79" s="3"/>
      <c r="B79" s="3"/>
      <c r="C79" s="3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6.25" customHeight="1" x14ac:dyDescent="0.25">
      <c r="A80" s="3"/>
      <c r="B80" s="3"/>
      <c r="C80" s="3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6.25" customHeight="1" x14ac:dyDescent="0.25">
      <c r="A81" s="3"/>
      <c r="B81" s="3"/>
      <c r="C81" s="3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6.25" customHeight="1" x14ac:dyDescent="0.25">
      <c r="A82" s="3"/>
      <c r="B82" s="3"/>
      <c r="C82" s="3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6.25" customHeight="1" x14ac:dyDescent="0.25">
      <c r="A83" s="3"/>
      <c r="B83" s="3"/>
      <c r="C83" s="3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6.25" customHeight="1" x14ac:dyDescent="0.25">
      <c r="A84" s="3"/>
      <c r="B84" s="3"/>
      <c r="C84" s="3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6.25" customHeight="1" x14ac:dyDescent="0.25">
      <c r="A85" s="3"/>
      <c r="B85" s="3"/>
      <c r="C85" s="3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6.25" customHeight="1" x14ac:dyDescent="0.25">
      <c r="A86" s="3"/>
      <c r="B86" s="3"/>
      <c r="C86" s="3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6.25" customHeight="1" x14ac:dyDescent="0.25">
      <c r="A87" s="3"/>
      <c r="B87" s="3"/>
      <c r="C87" s="3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6.25" customHeight="1" x14ac:dyDescent="0.25">
      <c r="A88" s="3"/>
      <c r="B88" s="3"/>
      <c r="C88" s="3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6.25" customHeight="1" x14ac:dyDescent="0.25">
      <c r="A89" s="3"/>
      <c r="B89" s="3"/>
      <c r="C89" s="3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6.25" customHeight="1" x14ac:dyDescent="0.25">
      <c r="A90" s="3"/>
      <c r="B90" s="3"/>
      <c r="C90" s="3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6.25" customHeight="1" x14ac:dyDescent="0.25">
      <c r="A91" s="3"/>
      <c r="B91" s="3"/>
      <c r="C91" s="3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6.25" customHeight="1" x14ac:dyDescent="0.25">
      <c r="A92" s="3"/>
      <c r="B92" s="3"/>
      <c r="C92" s="3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6.25" customHeight="1" x14ac:dyDescent="0.25">
      <c r="A93" s="3"/>
      <c r="B93" s="3"/>
      <c r="C93" s="3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6.25" customHeight="1" x14ac:dyDescent="0.25">
      <c r="A94" s="3"/>
      <c r="B94" s="3"/>
      <c r="C94" s="3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6.25" customHeight="1" x14ac:dyDescent="0.25">
      <c r="A95" s="3"/>
      <c r="B95" s="3"/>
      <c r="C95" s="3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6.25" customHeight="1" x14ac:dyDescent="0.25">
      <c r="A96" s="3"/>
      <c r="B96" s="3"/>
      <c r="C96" s="3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6.25" customHeight="1" x14ac:dyDescent="0.25">
      <c r="A97" s="3"/>
      <c r="B97" s="3"/>
      <c r="C97" s="3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6.25" customHeight="1" x14ac:dyDescent="0.25">
      <c r="A98" s="3"/>
      <c r="B98" s="3"/>
      <c r="C98" s="3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6.25" customHeight="1" x14ac:dyDescent="0.25">
      <c r="A99" s="3"/>
      <c r="B99" s="3"/>
      <c r="C99" s="3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6.25" customHeight="1" x14ac:dyDescent="0.25">
      <c r="A100" s="3"/>
      <c r="B100" s="3"/>
      <c r="C100" s="3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6.25" customHeight="1" x14ac:dyDescent="0.25">
      <c r="A101" s="3"/>
      <c r="B101" s="3"/>
      <c r="C101" s="3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6.25" customHeight="1" x14ac:dyDescent="0.25">
      <c r="A102" s="3"/>
      <c r="B102" s="3"/>
      <c r="C102" s="3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6.25" customHeight="1" x14ac:dyDescent="0.25">
      <c r="A103" s="3"/>
      <c r="B103" s="3"/>
      <c r="C103" s="3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6.25" customHeight="1" x14ac:dyDescent="0.25">
      <c r="A104" s="3"/>
      <c r="B104" s="3"/>
      <c r="C104" s="3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6.25" customHeight="1" x14ac:dyDescent="0.25">
      <c r="A105" s="3"/>
      <c r="B105" s="3"/>
      <c r="C105" s="3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6.25" customHeight="1" x14ac:dyDescent="0.25">
      <c r="A106" s="3"/>
      <c r="B106" s="3"/>
      <c r="C106" s="3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6.25" customHeight="1" x14ac:dyDescent="0.25">
      <c r="A107" s="3"/>
      <c r="B107" s="3"/>
      <c r="C107" s="3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6.25" customHeight="1" x14ac:dyDescent="0.25">
      <c r="A108" s="3"/>
      <c r="B108" s="3"/>
      <c r="C108" s="3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6.25" customHeight="1" x14ac:dyDescent="0.25">
      <c r="A109" s="3"/>
      <c r="B109" s="3"/>
      <c r="C109" s="3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6.25" customHeight="1" x14ac:dyDescent="0.25">
      <c r="A110" s="3"/>
      <c r="B110" s="3"/>
      <c r="C110" s="3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6.25" customHeight="1" x14ac:dyDescent="0.25">
      <c r="A111" s="3"/>
      <c r="B111" s="3"/>
      <c r="C111" s="3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6.25" customHeight="1" x14ac:dyDescent="0.25">
      <c r="A112" s="3"/>
      <c r="B112" s="3"/>
      <c r="C112" s="3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6.25" customHeight="1" x14ac:dyDescent="0.25">
      <c r="A113" s="3"/>
      <c r="B113" s="3"/>
      <c r="C113" s="3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6.25" customHeight="1" x14ac:dyDescent="0.25">
      <c r="A114" s="3"/>
      <c r="B114" s="3"/>
      <c r="C114" s="3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6.25" customHeight="1" x14ac:dyDescent="0.25">
      <c r="A115" s="3"/>
      <c r="B115" s="3"/>
      <c r="C115" s="3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6.25" customHeight="1" x14ac:dyDescent="0.25">
      <c r="A116" s="3"/>
      <c r="B116" s="3"/>
      <c r="C116" s="3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6.25" customHeight="1" x14ac:dyDescent="0.25">
      <c r="A117" s="3"/>
      <c r="B117" s="3"/>
      <c r="C117" s="3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6.25" customHeight="1" x14ac:dyDescent="0.25">
      <c r="A118" s="3"/>
      <c r="B118" s="3"/>
      <c r="C118" s="3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6.25" customHeight="1" x14ac:dyDescent="0.25">
      <c r="A119" s="3"/>
      <c r="B119" s="3"/>
      <c r="C119" s="3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6.25" customHeight="1" x14ac:dyDescent="0.25">
      <c r="A120" s="3"/>
      <c r="B120" s="3"/>
      <c r="C120" s="3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6.25" customHeight="1" x14ac:dyDescent="0.25">
      <c r="A121" s="3"/>
      <c r="B121" s="3"/>
      <c r="C121" s="3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6.25" customHeight="1" x14ac:dyDescent="0.25">
      <c r="A122" s="3"/>
      <c r="B122" s="3"/>
      <c r="C122" s="3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6.25" customHeight="1" x14ac:dyDescent="0.25">
      <c r="A123" s="3"/>
      <c r="B123" s="3"/>
      <c r="C123" s="3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6.25" customHeight="1" x14ac:dyDescent="0.25">
      <c r="A124" s="3"/>
      <c r="B124" s="3"/>
      <c r="C124" s="3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6.25" customHeight="1" x14ac:dyDescent="0.25">
      <c r="A125" s="3"/>
      <c r="B125" s="3"/>
      <c r="C125" s="3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6.25" customHeight="1" x14ac:dyDescent="0.25">
      <c r="A126" s="3"/>
      <c r="B126" s="3"/>
      <c r="C126" s="3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6.25" customHeight="1" x14ac:dyDescent="0.25">
      <c r="A127" s="3"/>
      <c r="B127" s="3"/>
      <c r="C127" s="3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6.25" customHeight="1" x14ac:dyDescent="0.25">
      <c r="A128" s="3"/>
      <c r="B128" s="3"/>
      <c r="C128" s="3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6.25" customHeight="1" x14ac:dyDescent="0.25">
      <c r="A129" s="3"/>
      <c r="B129" s="3"/>
      <c r="C129" s="3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6.25" customHeight="1" x14ac:dyDescent="0.25">
      <c r="A130" s="3"/>
      <c r="B130" s="3"/>
      <c r="C130" s="3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6.25" customHeight="1" x14ac:dyDescent="0.25">
      <c r="A131" s="3"/>
      <c r="B131" s="3"/>
      <c r="C131" s="3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6.25" customHeight="1" x14ac:dyDescent="0.25">
      <c r="A132" s="3"/>
      <c r="B132" s="3"/>
      <c r="C132" s="3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6.25" customHeight="1" x14ac:dyDescent="0.25">
      <c r="A133" s="3"/>
      <c r="B133" s="3"/>
      <c r="C133" s="3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6.25" customHeight="1" x14ac:dyDescent="0.25">
      <c r="A134" s="3"/>
      <c r="B134" s="3"/>
      <c r="C134" s="3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6.25" customHeight="1" x14ac:dyDescent="0.25">
      <c r="A135" s="3"/>
      <c r="B135" s="3"/>
      <c r="C135" s="3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6.25" customHeight="1" x14ac:dyDescent="0.25">
      <c r="A136" s="3"/>
      <c r="B136" s="3"/>
      <c r="C136" s="3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6.25" customHeight="1" x14ac:dyDescent="0.25">
      <c r="A137" s="3"/>
      <c r="B137" s="3"/>
      <c r="C137" s="3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6.25" customHeight="1" x14ac:dyDescent="0.25">
      <c r="A138" s="3"/>
      <c r="B138" s="3"/>
      <c r="C138" s="3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6.25" customHeight="1" x14ac:dyDescent="0.25">
      <c r="A139" s="3"/>
      <c r="B139" s="3"/>
      <c r="C139" s="3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6.25" customHeight="1" x14ac:dyDescent="0.25">
      <c r="A140" s="3"/>
      <c r="B140" s="3"/>
      <c r="C140" s="3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6.25" customHeight="1" x14ac:dyDescent="0.25">
      <c r="A141" s="3"/>
      <c r="B141" s="3"/>
      <c r="C141" s="3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6.25" customHeight="1" x14ac:dyDescent="0.25">
      <c r="A142" s="3"/>
      <c r="B142" s="3"/>
      <c r="C142" s="3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6.25" customHeight="1" x14ac:dyDescent="0.25">
      <c r="A143" s="3"/>
      <c r="B143" s="3"/>
      <c r="C143" s="3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6.25" customHeight="1" x14ac:dyDescent="0.25">
      <c r="A144" s="3"/>
      <c r="B144" s="3"/>
      <c r="C144" s="3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6.25" customHeight="1" x14ac:dyDescent="0.25">
      <c r="A145" s="3"/>
      <c r="B145" s="3"/>
      <c r="C145" s="3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6.25" customHeight="1" x14ac:dyDescent="0.25">
      <c r="A146" s="3"/>
      <c r="B146" s="3"/>
      <c r="C146" s="3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6.25" customHeight="1" x14ac:dyDescent="0.25">
      <c r="A147" s="3"/>
      <c r="B147" s="3"/>
      <c r="C147" s="3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6.25" customHeight="1" x14ac:dyDescent="0.25">
      <c r="A148" s="3"/>
      <c r="B148" s="3"/>
      <c r="C148" s="3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6.25" customHeight="1" x14ac:dyDescent="0.25">
      <c r="A149" s="3"/>
      <c r="B149" s="3"/>
      <c r="C149" s="3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6.25" customHeight="1" x14ac:dyDescent="0.25">
      <c r="A150" s="3"/>
      <c r="B150" s="3"/>
      <c r="C150" s="3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6.25" customHeight="1" x14ac:dyDescent="0.25">
      <c r="A151" s="3"/>
      <c r="B151" s="3"/>
      <c r="C151" s="3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6.25" customHeight="1" x14ac:dyDescent="0.25">
      <c r="A152" s="3"/>
      <c r="B152" s="3"/>
      <c r="C152" s="3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6.25" customHeight="1" x14ac:dyDescent="0.25">
      <c r="A153" s="3"/>
      <c r="B153" s="3"/>
      <c r="C153" s="3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6.25" customHeight="1" x14ac:dyDescent="0.25">
      <c r="A154" s="3"/>
      <c r="B154" s="3"/>
      <c r="C154" s="3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6.25" customHeight="1" x14ac:dyDescent="0.25">
      <c r="A155" s="3"/>
      <c r="B155" s="3"/>
      <c r="C155" s="3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6.25" customHeight="1" x14ac:dyDescent="0.25">
      <c r="A156" s="3"/>
      <c r="B156" s="3"/>
      <c r="C156" s="3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6.25" customHeight="1" x14ac:dyDescent="0.25">
      <c r="A157" s="3"/>
      <c r="B157" s="3"/>
      <c r="C157" s="3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6.25" customHeight="1" x14ac:dyDescent="0.25">
      <c r="A158" s="3"/>
      <c r="B158" s="3"/>
      <c r="C158" s="3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6.25" customHeight="1" x14ac:dyDescent="0.25">
      <c r="A159" s="3"/>
      <c r="B159" s="3"/>
      <c r="C159" s="3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6.25" customHeight="1" x14ac:dyDescent="0.25">
      <c r="A160" s="3"/>
      <c r="B160" s="3"/>
      <c r="C160" s="3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6.25" customHeight="1" x14ac:dyDescent="0.25">
      <c r="A161" s="3"/>
      <c r="B161" s="3"/>
      <c r="C161" s="3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6.25" customHeight="1" x14ac:dyDescent="0.25">
      <c r="A162" s="3"/>
      <c r="B162" s="3"/>
      <c r="C162" s="3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6.25" customHeight="1" x14ac:dyDescent="0.25">
      <c r="A163" s="3"/>
      <c r="B163" s="3"/>
      <c r="C163" s="3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6.25" customHeight="1" x14ac:dyDescent="0.25">
      <c r="A164" s="3"/>
      <c r="B164" s="3"/>
      <c r="C164" s="3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6.25" customHeight="1" x14ac:dyDescent="0.25">
      <c r="A165" s="3"/>
      <c r="B165" s="3"/>
      <c r="C165" s="3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6.25" customHeight="1" x14ac:dyDescent="0.25">
      <c r="A166" s="3"/>
      <c r="B166" s="3"/>
      <c r="C166" s="3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6.25" customHeight="1" x14ac:dyDescent="0.25">
      <c r="A167" s="3"/>
      <c r="B167" s="3"/>
      <c r="C167" s="3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6.25" customHeight="1" x14ac:dyDescent="0.25">
      <c r="A168" s="3"/>
      <c r="B168" s="3"/>
      <c r="C168" s="3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6.25" customHeight="1" x14ac:dyDescent="0.25">
      <c r="A169" s="3"/>
      <c r="B169" s="3"/>
      <c r="C169" s="3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6.25" customHeight="1" x14ac:dyDescent="0.25">
      <c r="A170" s="3"/>
      <c r="B170" s="3"/>
      <c r="C170" s="3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6.25" customHeight="1" x14ac:dyDescent="0.25">
      <c r="A171" s="3"/>
      <c r="B171" s="3"/>
      <c r="C171" s="3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6.25" customHeight="1" x14ac:dyDescent="0.25">
      <c r="A172" s="3"/>
      <c r="B172" s="3"/>
      <c r="C172" s="3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6.25" customHeight="1" x14ac:dyDescent="0.25">
      <c r="A173" s="3"/>
      <c r="B173" s="3"/>
      <c r="C173" s="3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6.25" customHeight="1" x14ac:dyDescent="0.25">
      <c r="A174" s="3"/>
      <c r="B174" s="3"/>
      <c r="C174" s="3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6.25" customHeight="1" x14ac:dyDescent="0.25">
      <c r="A175" s="3"/>
      <c r="B175" s="3"/>
      <c r="C175" s="3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6.25" customHeight="1" x14ac:dyDescent="0.25">
      <c r="A176" s="3"/>
      <c r="B176" s="3"/>
      <c r="C176" s="3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6.25" customHeight="1" x14ac:dyDescent="0.25">
      <c r="A177" s="3"/>
      <c r="B177" s="3"/>
      <c r="C177" s="3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6.25" customHeight="1" x14ac:dyDescent="0.25">
      <c r="A178" s="3"/>
      <c r="B178" s="3"/>
      <c r="C178" s="3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6.25" customHeight="1" x14ac:dyDescent="0.25">
      <c r="A179" s="3"/>
      <c r="B179" s="3"/>
      <c r="C179" s="3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6.25" customHeight="1" x14ac:dyDescent="0.25">
      <c r="A180" s="3"/>
      <c r="B180" s="3"/>
      <c r="C180" s="3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6.25" customHeight="1" x14ac:dyDescent="0.25">
      <c r="A181" s="3"/>
      <c r="B181" s="3"/>
      <c r="C181" s="3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6.25" customHeight="1" x14ac:dyDescent="0.25">
      <c r="A182" s="3"/>
      <c r="B182" s="3"/>
      <c r="C182" s="3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6.25" customHeight="1" x14ac:dyDescent="0.25">
      <c r="A183" s="3"/>
      <c r="B183" s="3"/>
      <c r="C183" s="3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6.25" customHeight="1" x14ac:dyDescent="0.25">
      <c r="A184" s="3"/>
      <c r="B184" s="3"/>
      <c r="C184" s="3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6.25" customHeight="1" x14ac:dyDescent="0.25">
      <c r="A185" s="3"/>
      <c r="B185" s="3"/>
      <c r="C185" s="3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6.25" customHeight="1" x14ac:dyDescent="0.25">
      <c r="A186" s="3"/>
      <c r="B186" s="3"/>
      <c r="C186" s="3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6.25" customHeight="1" x14ac:dyDescent="0.25">
      <c r="A187" s="3"/>
      <c r="B187" s="3"/>
      <c r="C187" s="3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6.25" customHeight="1" x14ac:dyDescent="0.25">
      <c r="A188" s="3"/>
      <c r="B188" s="3"/>
      <c r="C188" s="3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6.25" customHeight="1" x14ac:dyDescent="0.25">
      <c r="A189" s="3"/>
      <c r="B189" s="3"/>
      <c r="C189" s="3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6.25" customHeight="1" x14ac:dyDescent="0.25">
      <c r="A190" s="3"/>
      <c r="B190" s="3"/>
      <c r="C190" s="3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6.25" customHeight="1" x14ac:dyDescent="0.25">
      <c r="A191" s="3"/>
      <c r="B191" s="3"/>
      <c r="C191" s="3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6.25" customHeight="1" x14ac:dyDescent="0.25">
      <c r="A192" s="3"/>
      <c r="B192" s="3"/>
      <c r="C192" s="3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6.25" customHeight="1" x14ac:dyDescent="0.25">
      <c r="A193" s="3"/>
      <c r="B193" s="3"/>
      <c r="C193" s="3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6.25" customHeight="1" x14ac:dyDescent="0.25">
      <c r="A194" s="3"/>
      <c r="B194" s="3"/>
      <c r="C194" s="3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6.25" customHeight="1" x14ac:dyDescent="0.25">
      <c r="A195" s="3"/>
      <c r="B195" s="3"/>
      <c r="C195" s="3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6.25" customHeight="1" x14ac:dyDescent="0.25">
      <c r="A196" s="3"/>
      <c r="B196" s="3"/>
      <c r="C196" s="3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6.25" customHeight="1" x14ac:dyDescent="0.25">
      <c r="A197" s="3"/>
      <c r="B197" s="3"/>
      <c r="C197" s="3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6.25" customHeight="1" x14ac:dyDescent="0.25">
      <c r="A198" s="3"/>
      <c r="B198" s="3"/>
      <c r="C198" s="3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6.25" customHeight="1" x14ac:dyDescent="0.25">
      <c r="A199" s="3"/>
      <c r="B199" s="3"/>
      <c r="C199" s="3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6.25" customHeight="1" x14ac:dyDescent="0.25">
      <c r="A200" s="3"/>
      <c r="B200" s="3"/>
      <c r="C200" s="3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6.25" customHeight="1" x14ac:dyDescent="0.25">
      <c r="A201" s="3"/>
      <c r="B201" s="3"/>
      <c r="C201" s="3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6.25" customHeight="1" x14ac:dyDescent="0.25">
      <c r="A202" s="3"/>
      <c r="B202" s="3"/>
      <c r="C202" s="3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6.25" customHeight="1" x14ac:dyDescent="0.25">
      <c r="A203" s="3"/>
      <c r="B203" s="3"/>
      <c r="C203" s="3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6.25" customHeight="1" x14ac:dyDescent="0.25">
      <c r="A204" s="3"/>
      <c r="B204" s="3"/>
      <c r="C204" s="3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6.25" customHeight="1" x14ac:dyDescent="0.25">
      <c r="A205" s="3"/>
      <c r="B205" s="3"/>
      <c r="C205" s="3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6.25" customHeight="1" x14ac:dyDescent="0.25">
      <c r="A206" s="3"/>
      <c r="B206" s="3"/>
      <c r="C206" s="3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6.25" customHeight="1" x14ac:dyDescent="0.25">
      <c r="A207" s="3"/>
      <c r="B207" s="3"/>
      <c r="C207" s="3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6.25" customHeight="1" x14ac:dyDescent="0.25">
      <c r="A208" s="3"/>
      <c r="B208" s="3"/>
      <c r="C208" s="3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6.25" customHeight="1" x14ac:dyDescent="0.25">
      <c r="A209" s="3"/>
      <c r="B209" s="3"/>
      <c r="C209" s="3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6.25" customHeight="1" x14ac:dyDescent="0.25">
      <c r="A210" s="3"/>
      <c r="B210" s="3"/>
      <c r="C210" s="3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6.25" customHeight="1" x14ac:dyDescent="0.25">
      <c r="A211" s="3"/>
      <c r="B211" s="3"/>
      <c r="C211" s="3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6.25" customHeight="1" x14ac:dyDescent="0.25">
      <c r="A212" s="3"/>
      <c r="B212" s="3"/>
      <c r="C212" s="3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6.25" customHeight="1" x14ac:dyDescent="0.25">
      <c r="A213" s="3"/>
      <c r="B213" s="3"/>
      <c r="C213" s="3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6.25" customHeight="1" x14ac:dyDescent="0.25">
      <c r="A214" s="3"/>
      <c r="B214" s="3"/>
      <c r="C214" s="3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6.25" customHeight="1" x14ac:dyDescent="0.25">
      <c r="A215" s="3"/>
      <c r="B215" s="3"/>
      <c r="C215" s="3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6.25" customHeight="1" x14ac:dyDescent="0.25">
      <c r="A216" s="3"/>
      <c r="B216" s="3"/>
      <c r="C216" s="3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6.25" customHeight="1" x14ac:dyDescent="0.25">
      <c r="A217" s="3"/>
      <c r="B217" s="3"/>
      <c r="C217" s="3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6.25" customHeight="1" x14ac:dyDescent="0.25">
      <c r="A218" s="3"/>
      <c r="B218" s="3"/>
      <c r="C218" s="3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6.25" customHeight="1" x14ac:dyDescent="0.25">
      <c r="A219" s="3"/>
      <c r="B219" s="3"/>
      <c r="C219" s="3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6.25" customHeight="1" x14ac:dyDescent="0.25">
      <c r="A220" s="3"/>
      <c r="B220" s="3"/>
      <c r="C220" s="3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6.25" customHeight="1" x14ac:dyDescent="0.25">
      <c r="A221" s="3"/>
      <c r="B221" s="3"/>
      <c r="C221" s="3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6.25" customHeight="1" x14ac:dyDescent="0.25">
      <c r="A222" s="3"/>
      <c r="B222" s="3"/>
      <c r="C222" s="3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6.25" customHeight="1" x14ac:dyDescent="0.25">
      <c r="A223" s="3"/>
      <c r="B223" s="3"/>
      <c r="C223" s="3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6.25" customHeight="1" x14ac:dyDescent="0.25">
      <c r="A224" s="3"/>
      <c r="B224" s="3"/>
      <c r="C224" s="3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6.25" customHeight="1" x14ac:dyDescent="0.25">
      <c r="A225" s="3"/>
      <c r="B225" s="3"/>
      <c r="C225" s="3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6.25" customHeight="1" x14ac:dyDescent="0.25">
      <c r="A226" s="3"/>
      <c r="B226" s="3"/>
      <c r="C226" s="3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6.25" customHeight="1" x14ac:dyDescent="0.25">
      <c r="A227" s="3"/>
      <c r="B227" s="3"/>
      <c r="C227" s="3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6.25" customHeight="1" x14ac:dyDescent="0.25">
      <c r="A228" s="3"/>
      <c r="B228" s="3"/>
      <c r="C228" s="3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6.25" customHeight="1" x14ac:dyDescent="0.25">
      <c r="A229" s="3"/>
      <c r="B229" s="3"/>
      <c r="C229" s="3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6.25" customHeight="1" x14ac:dyDescent="0.25">
      <c r="A230" s="3"/>
      <c r="B230" s="3"/>
      <c r="C230" s="3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6.25" customHeight="1" x14ac:dyDescent="0.25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6.25" customHeight="1" x14ac:dyDescent="0.25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6.25" customHeight="1" x14ac:dyDescent="0.25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6.25" customHeight="1" x14ac:dyDescent="0.25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6.25" customHeight="1" x14ac:dyDescent="0.25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6.25" customHeight="1" x14ac:dyDescent="0.25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6.25" customHeight="1" x14ac:dyDescent="0.25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6.25" customHeight="1" x14ac:dyDescent="0.25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6.25" customHeight="1" x14ac:dyDescent="0.25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6.25" customHeight="1" x14ac:dyDescent="0.25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6.25" customHeight="1" x14ac:dyDescent="0.25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6.25" customHeight="1" x14ac:dyDescent="0.25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6.25" customHeight="1" x14ac:dyDescent="0.25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6.25" customHeight="1" x14ac:dyDescent="0.25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6.25" customHeight="1" x14ac:dyDescent="0.25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6.25" customHeight="1" x14ac:dyDescent="0.25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6.25" customHeight="1" x14ac:dyDescent="0.25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6.25" customHeight="1" x14ac:dyDescent="0.25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6.25" customHeight="1" x14ac:dyDescent="0.25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6.25" customHeight="1" x14ac:dyDescent="0.25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6.25" customHeight="1" x14ac:dyDescent="0.25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6.25" customHeight="1" x14ac:dyDescent="0.25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6.25" customHeight="1" x14ac:dyDescent="0.25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6.25" customHeight="1" x14ac:dyDescent="0.25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6.25" customHeight="1" x14ac:dyDescent="0.25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6.25" customHeight="1" x14ac:dyDescent="0.25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6.25" customHeight="1" x14ac:dyDescent="0.25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6.25" customHeight="1" x14ac:dyDescent="0.25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6.25" customHeight="1" x14ac:dyDescent="0.25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6.25" customHeight="1" x14ac:dyDescent="0.25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6.25" customHeight="1" x14ac:dyDescent="0.25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6.25" customHeight="1" x14ac:dyDescent="0.25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6.25" customHeight="1" x14ac:dyDescent="0.25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6.25" customHeight="1" x14ac:dyDescent="0.25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6.25" customHeight="1" x14ac:dyDescent="0.25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6.25" customHeight="1" x14ac:dyDescent="0.25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6.25" customHeight="1" x14ac:dyDescent="0.25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6.25" customHeight="1" x14ac:dyDescent="0.25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6.25" customHeight="1" x14ac:dyDescent="0.25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6.25" customHeight="1" x14ac:dyDescent="0.25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6.25" customHeight="1" x14ac:dyDescent="0.25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6.25" customHeight="1" x14ac:dyDescent="0.25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6.25" customHeight="1" x14ac:dyDescent="0.25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6.25" customHeight="1" x14ac:dyDescent="0.25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6.25" customHeight="1" x14ac:dyDescent="0.25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6.25" customHeight="1" x14ac:dyDescent="0.25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6.25" customHeight="1" x14ac:dyDescent="0.2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6.25" customHeight="1" x14ac:dyDescent="0.25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6.25" customHeight="1" x14ac:dyDescent="0.25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6.25" customHeight="1" x14ac:dyDescent="0.25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6.25" customHeight="1" x14ac:dyDescent="0.25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6.25" customHeight="1" x14ac:dyDescent="0.25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6.25" customHeight="1" x14ac:dyDescent="0.25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6.25" customHeight="1" x14ac:dyDescent="0.25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6.25" customHeight="1" x14ac:dyDescent="0.25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6.25" customHeight="1" x14ac:dyDescent="0.25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6.25" customHeight="1" x14ac:dyDescent="0.25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6.25" customHeight="1" x14ac:dyDescent="0.25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6.25" customHeight="1" x14ac:dyDescent="0.25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6.25" customHeight="1" x14ac:dyDescent="0.25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6.25" customHeight="1" x14ac:dyDescent="0.25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6.25" customHeight="1" x14ac:dyDescent="0.25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6.25" customHeight="1" x14ac:dyDescent="0.25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6.25" customHeight="1" x14ac:dyDescent="0.25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6.25" customHeight="1" x14ac:dyDescent="0.25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6.25" customHeight="1" x14ac:dyDescent="0.25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6.25" customHeight="1" x14ac:dyDescent="0.25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6.25" customHeight="1" x14ac:dyDescent="0.25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6.25" customHeight="1" x14ac:dyDescent="0.25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6.25" customHeight="1" x14ac:dyDescent="0.25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6.25" customHeight="1" x14ac:dyDescent="0.25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6.25" customHeight="1" x14ac:dyDescent="0.25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6.25" customHeight="1" x14ac:dyDescent="0.25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6.25" customHeight="1" x14ac:dyDescent="0.25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6.25" customHeight="1" x14ac:dyDescent="0.25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6.25" customHeight="1" x14ac:dyDescent="0.25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6.25" customHeight="1" x14ac:dyDescent="0.25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6.25" customHeight="1" x14ac:dyDescent="0.25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6.25" customHeight="1" x14ac:dyDescent="0.25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6.25" customHeight="1" x14ac:dyDescent="0.25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6.25" customHeight="1" x14ac:dyDescent="0.25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6.25" customHeight="1" x14ac:dyDescent="0.25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6.25" customHeight="1" x14ac:dyDescent="0.25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6.25" customHeight="1" x14ac:dyDescent="0.25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6.25" customHeight="1" x14ac:dyDescent="0.25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6.25" customHeight="1" x14ac:dyDescent="0.25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6.25" customHeight="1" x14ac:dyDescent="0.25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6.25" customHeight="1" x14ac:dyDescent="0.25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6.25" customHeight="1" x14ac:dyDescent="0.25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6.25" customHeight="1" x14ac:dyDescent="0.25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6.25" customHeight="1" x14ac:dyDescent="0.25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6.25" customHeight="1" x14ac:dyDescent="0.25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6.25" customHeight="1" x14ac:dyDescent="0.25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6.25" customHeight="1" x14ac:dyDescent="0.25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6.25" customHeight="1" x14ac:dyDescent="0.25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6.25" customHeight="1" x14ac:dyDescent="0.25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6.25" customHeight="1" x14ac:dyDescent="0.25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6.25" customHeight="1" x14ac:dyDescent="0.25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6.25" customHeight="1" x14ac:dyDescent="0.25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6.25" customHeight="1" x14ac:dyDescent="0.25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6.25" customHeight="1" x14ac:dyDescent="0.25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6.25" customHeight="1" x14ac:dyDescent="0.25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6.25" customHeight="1" x14ac:dyDescent="0.25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6.25" customHeight="1" x14ac:dyDescent="0.25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6.25" customHeight="1" x14ac:dyDescent="0.25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6.25" customHeight="1" x14ac:dyDescent="0.25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6.25" customHeight="1" x14ac:dyDescent="0.25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6.25" customHeight="1" x14ac:dyDescent="0.25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6.25" customHeight="1" x14ac:dyDescent="0.25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6.25" customHeight="1" x14ac:dyDescent="0.25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6.25" customHeight="1" x14ac:dyDescent="0.25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6.25" customHeight="1" x14ac:dyDescent="0.25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6.25" customHeight="1" x14ac:dyDescent="0.25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6.25" customHeight="1" x14ac:dyDescent="0.25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6.25" customHeight="1" x14ac:dyDescent="0.25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6.25" customHeight="1" x14ac:dyDescent="0.25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6.25" customHeight="1" x14ac:dyDescent="0.25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6.25" customHeight="1" x14ac:dyDescent="0.25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6.25" customHeight="1" x14ac:dyDescent="0.25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6.25" customHeight="1" x14ac:dyDescent="0.25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6.25" customHeight="1" x14ac:dyDescent="0.25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6.25" customHeight="1" x14ac:dyDescent="0.25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6.25" customHeight="1" x14ac:dyDescent="0.25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6.25" customHeight="1" x14ac:dyDescent="0.25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6.25" customHeight="1" x14ac:dyDescent="0.25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6.25" customHeight="1" x14ac:dyDescent="0.25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6.25" customHeight="1" x14ac:dyDescent="0.25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6.25" customHeight="1" x14ac:dyDescent="0.25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6.25" customHeight="1" x14ac:dyDescent="0.25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6.25" customHeight="1" x14ac:dyDescent="0.25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6.25" customHeight="1" x14ac:dyDescent="0.25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6.25" customHeight="1" x14ac:dyDescent="0.25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6.25" customHeight="1" x14ac:dyDescent="0.25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6.25" customHeight="1" x14ac:dyDescent="0.25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6.25" customHeight="1" x14ac:dyDescent="0.25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6.25" customHeight="1" x14ac:dyDescent="0.25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6.25" customHeight="1" x14ac:dyDescent="0.25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6.25" customHeight="1" x14ac:dyDescent="0.25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6.25" customHeight="1" x14ac:dyDescent="0.25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6.25" customHeight="1" x14ac:dyDescent="0.25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6.25" customHeight="1" x14ac:dyDescent="0.25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6.25" customHeight="1" x14ac:dyDescent="0.25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6.25" customHeight="1" x14ac:dyDescent="0.25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6.25" customHeight="1" x14ac:dyDescent="0.25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6.25" customHeight="1" x14ac:dyDescent="0.25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6.25" customHeight="1" x14ac:dyDescent="0.25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6.25" customHeight="1" x14ac:dyDescent="0.25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6.25" customHeight="1" x14ac:dyDescent="0.25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6.25" customHeight="1" x14ac:dyDescent="0.25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6.25" customHeight="1" x14ac:dyDescent="0.25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6.25" customHeight="1" x14ac:dyDescent="0.25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6.25" customHeight="1" x14ac:dyDescent="0.25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6.25" customHeight="1" x14ac:dyDescent="0.25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6.25" customHeight="1" x14ac:dyDescent="0.25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6.25" customHeight="1" x14ac:dyDescent="0.25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6.25" customHeight="1" x14ac:dyDescent="0.25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6.25" customHeight="1" x14ac:dyDescent="0.25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6.25" customHeight="1" x14ac:dyDescent="0.25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6.25" customHeight="1" x14ac:dyDescent="0.25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6.25" customHeight="1" x14ac:dyDescent="0.25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6.25" customHeight="1" x14ac:dyDescent="0.25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6.25" customHeight="1" x14ac:dyDescent="0.25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6.25" customHeight="1" x14ac:dyDescent="0.25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6.25" customHeight="1" x14ac:dyDescent="0.25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6.25" customHeight="1" x14ac:dyDescent="0.25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6.25" customHeight="1" x14ac:dyDescent="0.25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6.25" customHeight="1" x14ac:dyDescent="0.25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6.25" customHeight="1" x14ac:dyDescent="0.25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6.25" customHeight="1" x14ac:dyDescent="0.25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6.25" customHeight="1" x14ac:dyDescent="0.25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6.25" customHeight="1" x14ac:dyDescent="0.25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6.25" customHeight="1" x14ac:dyDescent="0.25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6.25" customHeight="1" x14ac:dyDescent="0.25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6.25" customHeight="1" x14ac:dyDescent="0.25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6.25" customHeight="1" x14ac:dyDescent="0.25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6.25" customHeight="1" x14ac:dyDescent="0.25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6.25" customHeight="1" x14ac:dyDescent="0.25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6.25" customHeight="1" x14ac:dyDescent="0.25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6.25" customHeight="1" x14ac:dyDescent="0.25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6.25" customHeight="1" x14ac:dyDescent="0.25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6.25" customHeight="1" x14ac:dyDescent="0.25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6.25" customHeight="1" x14ac:dyDescent="0.25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6.25" customHeight="1" x14ac:dyDescent="0.25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6.25" customHeight="1" x14ac:dyDescent="0.25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6.25" customHeight="1" x14ac:dyDescent="0.25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6.25" customHeight="1" x14ac:dyDescent="0.25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6.25" customHeight="1" x14ac:dyDescent="0.25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6.25" customHeight="1" x14ac:dyDescent="0.25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6.25" customHeight="1" x14ac:dyDescent="0.25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6.25" customHeight="1" x14ac:dyDescent="0.25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6.25" customHeight="1" x14ac:dyDescent="0.25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6.25" customHeight="1" x14ac:dyDescent="0.25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6.25" customHeight="1" x14ac:dyDescent="0.25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6.25" customHeight="1" x14ac:dyDescent="0.25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6.25" customHeight="1" x14ac:dyDescent="0.25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6.25" customHeight="1" x14ac:dyDescent="0.25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6.25" customHeight="1" x14ac:dyDescent="0.25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6.25" customHeight="1" x14ac:dyDescent="0.25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6.25" customHeight="1" x14ac:dyDescent="0.25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6.25" customHeight="1" x14ac:dyDescent="0.25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6.25" customHeight="1" x14ac:dyDescent="0.25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6.25" customHeight="1" x14ac:dyDescent="0.25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6.25" customHeight="1" x14ac:dyDescent="0.25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6.25" customHeight="1" x14ac:dyDescent="0.25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6.25" customHeight="1" x14ac:dyDescent="0.25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6.25" customHeight="1" x14ac:dyDescent="0.25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6.25" customHeight="1" x14ac:dyDescent="0.25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6.25" customHeight="1" x14ac:dyDescent="0.25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6.25" customHeight="1" x14ac:dyDescent="0.25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6.25" customHeight="1" x14ac:dyDescent="0.25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6.25" customHeight="1" x14ac:dyDescent="0.25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6.25" customHeight="1" x14ac:dyDescent="0.25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6.25" customHeight="1" x14ac:dyDescent="0.25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6.25" customHeight="1" x14ac:dyDescent="0.25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6.25" customHeight="1" x14ac:dyDescent="0.25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6.25" customHeight="1" x14ac:dyDescent="0.25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6.25" customHeight="1" x14ac:dyDescent="0.25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6.25" customHeight="1" x14ac:dyDescent="0.25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6.25" customHeight="1" x14ac:dyDescent="0.25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6.25" customHeight="1" x14ac:dyDescent="0.25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6.25" customHeight="1" x14ac:dyDescent="0.25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6.25" customHeight="1" x14ac:dyDescent="0.25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6.25" customHeight="1" x14ac:dyDescent="0.25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6.25" customHeight="1" x14ac:dyDescent="0.25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6.25" customHeight="1" x14ac:dyDescent="0.25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6.25" customHeight="1" x14ac:dyDescent="0.25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6.25" customHeight="1" x14ac:dyDescent="0.25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6.25" customHeight="1" x14ac:dyDescent="0.25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6.25" customHeight="1" x14ac:dyDescent="0.25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6.25" customHeight="1" x14ac:dyDescent="0.25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6.25" customHeight="1" x14ac:dyDescent="0.25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6.25" customHeight="1" x14ac:dyDescent="0.25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6.25" customHeight="1" x14ac:dyDescent="0.25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6.25" customHeight="1" x14ac:dyDescent="0.25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6.25" customHeight="1" x14ac:dyDescent="0.25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6.25" customHeight="1" x14ac:dyDescent="0.25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6.25" customHeight="1" x14ac:dyDescent="0.25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6.25" customHeight="1" x14ac:dyDescent="0.25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6.25" customHeight="1" x14ac:dyDescent="0.25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6.25" customHeight="1" x14ac:dyDescent="0.25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6.25" customHeight="1" x14ac:dyDescent="0.25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6.25" customHeight="1" x14ac:dyDescent="0.25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6.25" customHeight="1" x14ac:dyDescent="0.25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6.25" customHeight="1" x14ac:dyDescent="0.25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6.25" customHeight="1" x14ac:dyDescent="0.25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6.25" customHeight="1" x14ac:dyDescent="0.25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6.25" customHeight="1" x14ac:dyDescent="0.25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6.25" customHeight="1" x14ac:dyDescent="0.25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6.25" customHeight="1" x14ac:dyDescent="0.25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6.25" customHeight="1" x14ac:dyDescent="0.25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6.25" customHeight="1" x14ac:dyDescent="0.25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6.25" customHeight="1" x14ac:dyDescent="0.25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6.25" customHeight="1" x14ac:dyDescent="0.25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6.25" customHeight="1" x14ac:dyDescent="0.25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6.25" customHeight="1" x14ac:dyDescent="0.25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6.25" customHeight="1" x14ac:dyDescent="0.25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6.25" customHeight="1" x14ac:dyDescent="0.25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6.25" customHeight="1" x14ac:dyDescent="0.25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6.25" customHeight="1" x14ac:dyDescent="0.25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6.25" customHeight="1" x14ac:dyDescent="0.25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6.25" customHeight="1" x14ac:dyDescent="0.25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6.25" customHeight="1" x14ac:dyDescent="0.25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6.25" customHeight="1" x14ac:dyDescent="0.25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6.25" customHeight="1" x14ac:dyDescent="0.25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6.25" customHeight="1" x14ac:dyDescent="0.25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6.25" customHeight="1" x14ac:dyDescent="0.25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6.25" customHeight="1" x14ac:dyDescent="0.25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6.25" customHeight="1" x14ac:dyDescent="0.25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6.25" customHeight="1" x14ac:dyDescent="0.25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6.25" customHeight="1" x14ac:dyDescent="0.25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6.25" customHeight="1" x14ac:dyDescent="0.25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6.25" customHeight="1" x14ac:dyDescent="0.25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6.25" customHeight="1" x14ac:dyDescent="0.25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6.25" customHeight="1" x14ac:dyDescent="0.25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6.25" customHeight="1" x14ac:dyDescent="0.25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6.25" customHeight="1" x14ac:dyDescent="0.25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6.25" customHeight="1" x14ac:dyDescent="0.25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6.25" customHeight="1" x14ac:dyDescent="0.25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6.25" customHeight="1" x14ac:dyDescent="0.25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6.25" customHeight="1" x14ac:dyDescent="0.25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6.25" customHeight="1" x14ac:dyDescent="0.25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6.25" customHeight="1" x14ac:dyDescent="0.25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6.25" customHeight="1" x14ac:dyDescent="0.25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6.25" customHeight="1" x14ac:dyDescent="0.25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6.25" customHeight="1" x14ac:dyDescent="0.25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6.25" customHeight="1" x14ac:dyDescent="0.25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6.25" customHeight="1" x14ac:dyDescent="0.25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6.25" customHeight="1" x14ac:dyDescent="0.25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6.25" customHeight="1" x14ac:dyDescent="0.25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6.25" customHeight="1" x14ac:dyDescent="0.25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6.25" customHeight="1" x14ac:dyDescent="0.25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6.25" customHeight="1" x14ac:dyDescent="0.25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6.25" customHeight="1" x14ac:dyDescent="0.25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6.25" customHeight="1" x14ac:dyDescent="0.25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6.25" customHeight="1" x14ac:dyDescent="0.25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6.25" customHeight="1" x14ac:dyDescent="0.25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6.25" customHeight="1" x14ac:dyDescent="0.25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6.25" customHeight="1" x14ac:dyDescent="0.25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6.25" customHeight="1" x14ac:dyDescent="0.25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6.25" customHeight="1" x14ac:dyDescent="0.25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6.25" customHeight="1" x14ac:dyDescent="0.25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6.25" customHeight="1" x14ac:dyDescent="0.25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6.25" customHeight="1" x14ac:dyDescent="0.25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6.25" customHeight="1" x14ac:dyDescent="0.25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6.25" customHeight="1" x14ac:dyDescent="0.25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6.25" customHeight="1" x14ac:dyDescent="0.25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6.25" customHeight="1" x14ac:dyDescent="0.25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6.25" customHeight="1" x14ac:dyDescent="0.25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6.25" customHeight="1" x14ac:dyDescent="0.25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6.25" customHeight="1" x14ac:dyDescent="0.25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6.25" customHeight="1" x14ac:dyDescent="0.25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6.25" customHeight="1" x14ac:dyDescent="0.25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6.25" customHeight="1" x14ac:dyDescent="0.25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6.25" customHeight="1" x14ac:dyDescent="0.25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6.25" customHeight="1" x14ac:dyDescent="0.25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6.25" customHeight="1" x14ac:dyDescent="0.25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6.25" customHeight="1" x14ac:dyDescent="0.25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6.25" customHeight="1" x14ac:dyDescent="0.25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6.25" customHeight="1" x14ac:dyDescent="0.25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6.25" customHeight="1" x14ac:dyDescent="0.25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6.25" customHeight="1" x14ac:dyDescent="0.25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6.25" customHeight="1" x14ac:dyDescent="0.25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6.25" customHeight="1" x14ac:dyDescent="0.25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6.25" customHeight="1" x14ac:dyDescent="0.25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6.25" customHeight="1" x14ac:dyDescent="0.25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6.25" customHeight="1" x14ac:dyDescent="0.25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6.25" customHeight="1" x14ac:dyDescent="0.25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6.25" customHeight="1" x14ac:dyDescent="0.25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6.25" customHeight="1" x14ac:dyDescent="0.25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6.25" customHeight="1" x14ac:dyDescent="0.25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6.25" customHeight="1" x14ac:dyDescent="0.25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6.25" customHeight="1" x14ac:dyDescent="0.25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6.25" customHeight="1" x14ac:dyDescent="0.25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6.25" customHeight="1" x14ac:dyDescent="0.25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6.25" customHeight="1" x14ac:dyDescent="0.25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6.25" customHeight="1" x14ac:dyDescent="0.25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6.25" customHeight="1" x14ac:dyDescent="0.25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6.25" customHeight="1" x14ac:dyDescent="0.25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6.25" customHeight="1" x14ac:dyDescent="0.25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6.25" customHeight="1" x14ac:dyDescent="0.25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6.25" customHeight="1" x14ac:dyDescent="0.25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6.25" customHeight="1" x14ac:dyDescent="0.25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6.25" customHeight="1" x14ac:dyDescent="0.25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6.25" customHeight="1" x14ac:dyDescent="0.25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6.25" customHeight="1" x14ac:dyDescent="0.25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6.25" customHeight="1" x14ac:dyDescent="0.25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6.25" customHeight="1" x14ac:dyDescent="0.25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6.25" customHeight="1" x14ac:dyDescent="0.25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6.25" customHeight="1" x14ac:dyDescent="0.25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6.25" customHeight="1" x14ac:dyDescent="0.25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6.25" customHeight="1" x14ac:dyDescent="0.25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6.25" customHeight="1" x14ac:dyDescent="0.25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6.25" customHeight="1" x14ac:dyDescent="0.25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6.25" customHeight="1" x14ac:dyDescent="0.25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6.25" customHeight="1" x14ac:dyDescent="0.25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6.25" customHeight="1" x14ac:dyDescent="0.25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6.25" customHeight="1" x14ac:dyDescent="0.25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6.25" customHeight="1" x14ac:dyDescent="0.25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6.25" customHeight="1" x14ac:dyDescent="0.25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6.25" customHeight="1" x14ac:dyDescent="0.25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6.25" customHeight="1" x14ac:dyDescent="0.25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6.25" customHeight="1" x14ac:dyDescent="0.25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6.25" customHeight="1" x14ac:dyDescent="0.25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6.25" customHeight="1" x14ac:dyDescent="0.25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6.25" customHeight="1" x14ac:dyDescent="0.25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6.25" customHeight="1" x14ac:dyDescent="0.25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6.25" customHeight="1" x14ac:dyDescent="0.25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6.25" customHeight="1" x14ac:dyDescent="0.25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6.25" customHeight="1" x14ac:dyDescent="0.25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6.25" customHeight="1" x14ac:dyDescent="0.25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6.25" customHeight="1" x14ac:dyDescent="0.25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6.25" customHeight="1" x14ac:dyDescent="0.25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6.25" customHeight="1" x14ac:dyDescent="0.25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6.25" customHeight="1" x14ac:dyDescent="0.25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6.25" customHeight="1" x14ac:dyDescent="0.25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6.25" customHeight="1" x14ac:dyDescent="0.25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6.25" customHeight="1" x14ac:dyDescent="0.25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6.25" customHeight="1" x14ac:dyDescent="0.25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6.25" customHeight="1" x14ac:dyDescent="0.25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6.25" customHeight="1" x14ac:dyDescent="0.25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6.25" customHeight="1" x14ac:dyDescent="0.25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6.25" customHeight="1" x14ac:dyDescent="0.25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6.25" customHeight="1" x14ac:dyDescent="0.25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6.25" customHeight="1" x14ac:dyDescent="0.25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6.25" customHeight="1" x14ac:dyDescent="0.25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6.25" customHeight="1" x14ac:dyDescent="0.25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6.25" customHeight="1" x14ac:dyDescent="0.25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6.25" customHeight="1" x14ac:dyDescent="0.25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6.25" customHeight="1" x14ac:dyDescent="0.25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6.25" customHeight="1" x14ac:dyDescent="0.25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6.25" customHeight="1" x14ac:dyDescent="0.25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6.25" customHeight="1" x14ac:dyDescent="0.25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6.25" customHeight="1" x14ac:dyDescent="0.25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6.25" customHeight="1" x14ac:dyDescent="0.25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6.25" customHeight="1" x14ac:dyDescent="0.25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6.25" customHeight="1" x14ac:dyDescent="0.25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6.25" customHeight="1" x14ac:dyDescent="0.25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6.25" customHeight="1" x14ac:dyDescent="0.25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6.25" customHeight="1" x14ac:dyDescent="0.25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6.25" customHeight="1" x14ac:dyDescent="0.25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6.25" customHeight="1" x14ac:dyDescent="0.25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6.25" customHeight="1" x14ac:dyDescent="0.25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6.25" customHeight="1" x14ac:dyDescent="0.25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6.25" customHeight="1" x14ac:dyDescent="0.25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6.25" customHeight="1" x14ac:dyDescent="0.25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6.25" customHeight="1" x14ac:dyDescent="0.25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6.25" customHeight="1" x14ac:dyDescent="0.25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6.25" customHeight="1" x14ac:dyDescent="0.25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6.25" customHeight="1" x14ac:dyDescent="0.25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6.25" customHeight="1" x14ac:dyDescent="0.25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6.25" customHeight="1" x14ac:dyDescent="0.25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6.25" customHeight="1" x14ac:dyDescent="0.25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6.25" customHeight="1" x14ac:dyDescent="0.25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6.25" customHeight="1" x14ac:dyDescent="0.25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6.25" customHeight="1" x14ac:dyDescent="0.25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6.25" customHeight="1" x14ac:dyDescent="0.25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6.25" customHeight="1" x14ac:dyDescent="0.25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6.25" customHeight="1" x14ac:dyDescent="0.25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6.25" customHeight="1" x14ac:dyDescent="0.25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6.25" customHeight="1" x14ac:dyDescent="0.25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6.25" customHeight="1" x14ac:dyDescent="0.25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6.25" customHeight="1" x14ac:dyDescent="0.25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6.25" customHeight="1" x14ac:dyDescent="0.25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6.25" customHeight="1" x14ac:dyDescent="0.25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6.25" customHeight="1" x14ac:dyDescent="0.25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6.25" customHeight="1" x14ac:dyDescent="0.25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6.25" customHeight="1" x14ac:dyDescent="0.25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6.25" customHeight="1" x14ac:dyDescent="0.25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6.25" customHeight="1" x14ac:dyDescent="0.25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6.25" customHeight="1" x14ac:dyDescent="0.25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6.25" customHeight="1" x14ac:dyDescent="0.25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6.25" customHeight="1" x14ac:dyDescent="0.25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6.25" customHeight="1" x14ac:dyDescent="0.25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6.25" customHeight="1" x14ac:dyDescent="0.25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6.25" customHeight="1" x14ac:dyDescent="0.25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6.25" customHeight="1" x14ac:dyDescent="0.25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6.25" customHeight="1" x14ac:dyDescent="0.25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6.25" customHeight="1" x14ac:dyDescent="0.25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6.25" customHeight="1" x14ac:dyDescent="0.25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6.25" customHeight="1" x14ac:dyDescent="0.25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6.25" customHeight="1" x14ac:dyDescent="0.25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6.25" customHeight="1" x14ac:dyDescent="0.25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6.25" customHeight="1" x14ac:dyDescent="0.25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6.25" customHeight="1" x14ac:dyDescent="0.25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6.25" customHeight="1" x14ac:dyDescent="0.25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6.25" customHeight="1" x14ac:dyDescent="0.25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6.25" customHeight="1" x14ac:dyDescent="0.25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6.25" customHeight="1" x14ac:dyDescent="0.25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6.25" customHeight="1" x14ac:dyDescent="0.25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6.25" customHeight="1" x14ac:dyDescent="0.25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6.25" customHeight="1" x14ac:dyDescent="0.25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6.25" customHeight="1" x14ac:dyDescent="0.25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6.25" customHeight="1" x14ac:dyDescent="0.25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6.25" customHeight="1" x14ac:dyDescent="0.25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6.25" customHeight="1" x14ac:dyDescent="0.25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6.25" customHeight="1" x14ac:dyDescent="0.25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6.25" customHeight="1" x14ac:dyDescent="0.25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6.25" customHeight="1" x14ac:dyDescent="0.25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6.25" customHeight="1" x14ac:dyDescent="0.25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6.25" customHeight="1" x14ac:dyDescent="0.25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6.25" customHeight="1" x14ac:dyDescent="0.25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6.25" customHeight="1" x14ac:dyDescent="0.25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6.25" customHeight="1" x14ac:dyDescent="0.25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6.25" customHeight="1" x14ac:dyDescent="0.25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6.25" customHeight="1" x14ac:dyDescent="0.25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6.25" customHeight="1" x14ac:dyDescent="0.25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6.25" customHeight="1" x14ac:dyDescent="0.25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6.25" customHeight="1" x14ac:dyDescent="0.25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6.25" customHeight="1" x14ac:dyDescent="0.25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6.25" customHeight="1" x14ac:dyDescent="0.25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6.25" customHeight="1" x14ac:dyDescent="0.25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6.25" customHeight="1" x14ac:dyDescent="0.25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6.25" customHeight="1" x14ac:dyDescent="0.25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6.25" customHeight="1" x14ac:dyDescent="0.25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6.25" customHeight="1" x14ac:dyDescent="0.25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6.25" customHeight="1" x14ac:dyDescent="0.25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6.25" customHeight="1" x14ac:dyDescent="0.25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6.25" customHeight="1" x14ac:dyDescent="0.25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6.25" customHeight="1" x14ac:dyDescent="0.25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6.25" customHeight="1" x14ac:dyDescent="0.25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6.25" customHeight="1" x14ac:dyDescent="0.25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6.25" customHeight="1" x14ac:dyDescent="0.25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6.25" customHeight="1" x14ac:dyDescent="0.25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6.25" customHeight="1" x14ac:dyDescent="0.25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6.25" customHeight="1" x14ac:dyDescent="0.25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6.25" customHeight="1" x14ac:dyDescent="0.25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6.25" customHeight="1" x14ac:dyDescent="0.25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6.25" customHeight="1" x14ac:dyDescent="0.25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6.25" customHeight="1" x14ac:dyDescent="0.25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6.25" customHeight="1" x14ac:dyDescent="0.25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6.25" customHeight="1" x14ac:dyDescent="0.25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6.25" customHeight="1" x14ac:dyDescent="0.25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6.25" customHeight="1" x14ac:dyDescent="0.25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6.25" customHeight="1" x14ac:dyDescent="0.25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6.25" customHeight="1" x14ac:dyDescent="0.25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6.25" customHeight="1" x14ac:dyDescent="0.25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6.25" customHeight="1" x14ac:dyDescent="0.25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6.25" customHeight="1" x14ac:dyDescent="0.25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6.25" customHeight="1" x14ac:dyDescent="0.25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6.25" customHeight="1" x14ac:dyDescent="0.25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6.25" customHeight="1" x14ac:dyDescent="0.25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6.25" customHeight="1" x14ac:dyDescent="0.25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6.25" customHeight="1" x14ac:dyDescent="0.25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6.25" customHeight="1" x14ac:dyDescent="0.25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6.25" customHeight="1" x14ac:dyDescent="0.25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6.25" customHeight="1" x14ac:dyDescent="0.25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6.25" customHeight="1" x14ac:dyDescent="0.25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6.25" customHeight="1" x14ac:dyDescent="0.25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6.25" customHeight="1" x14ac:dyDescent="0.25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6.25" customHeight="1" x14ac:dyDescent="0.25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6.25" customHeight="1" x14ac:dyDescent="0.25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6.25" customHeight="1" x14ac:dyDescent="0.25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6.25" customHeight="1" x14ac:dyDescent="0.25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6.25" customHeight="1" x14ac:dyDescent="0.25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6.25" customHeight="1" x14ac:dyDescent="0.25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6.25" customHeight="1" x14ac:dyDescent="0.25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6.25" customHeight="1" x14ac:dyDescent="0.25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6.25" customHeight="1" x14ac:dyDescent="0.25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6.25" customHeight="1" x14ac:dyDescent="0.25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6.25" customHeight="1" x14ac:dyDescent="0.25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6.25" customHeight="1" x14ac:dyDescent="0.25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6.25" customHeight="1" x14ac:dyDescent="0.25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6.25" customHeight="1" x14ac:dyDescent="0.25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6.25" customHeight="1" x14ac:dyDescent="0.25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6.25" customHeight="1" x14ac:dyDescent="0.25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6.25" customHeight="1" x14ac:dyDescent="0.25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6.25" customHeight="1" x14ac:dyDescent="0.25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6.25" customHeight="1" x14ac:dyDescent="0.25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6.25" customHeight="1" x14ac:dyDescent="0.25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6.25" customHeight="1" x14ac:dyDescent="0.25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6.25" customHeight="1" x14ac:dyDescent="0.25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6.25" customHeight="1" x14ac:dyDescent="0.25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6.25" customHeight="1" x14ac:dyDescent="0.25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6.25" customHeight="1" x14ac:dyDescent="0.25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6.25" customHeight="1" x14ac:dyDescent="0.25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6.25" customHeight="1" x14ac:dyDescent="0.25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6.25" customHeight="1" x14ac:dyDescent="0.25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6.25" customHeight="1" x14ac:dyDescent="0.25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6.25" customHeight="1" x14ac:dyDescent="0.25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6.25" customHeight="1" x14ac:dyDescent="0.25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6.25" customHeight="1" x14ac:dyDescent="0.25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6.25" customHeight="1" x14ac:dyDescent="0.25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6.25" customHeight="1" x14ac:dyDescent="0.25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6.25" customHeight="1" x14ac:dyDescent="0.25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6.25" customHeight="1" x14ac:dyDescent="0.25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6.25" customHeight="1" x14ac:dyDescent="0.25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6.25" customHeight="1" x14ac:dyDescent="0.25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6.25" customHeight="1" x14ac:dyDescent="0.25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6.25" customHeight="1" x14ac:dyDescent="0.25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6.25" customHeight="1" x14ac:dyDescent="0.25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6.25" customHeight="1" x14ac:dyDescent="0.25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6.25" customHeight="1" x14ac:dyDescent="0.25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6.25" customHeight="1" x14ac:dyDescent="0.25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6.25" customHeight="1" x14ac:dyDescent="0.25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6.25" customHeight="1" x14ac:dyDescent="0.25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6.25" customHeight="1" x14ac:dyDescent="0.25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6.25" customHeight="1" x14ac:dyDescent="0.25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6.25" customHeight="1" x14ac:dyDescent="0.25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6.25" customHeight="1" x14ac:dyDescent="0.25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6.25" customHeight="1" x14ac:dyDescent="0.25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6.25" customHeight="1" x14ac:dyDescent="0.25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6.25" customHeight="1" x14ac:dyDescent="0.25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6.25" customHeight="1" x14ac:dyDescent="0.25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6.25" customHeight="1" x14ac:dyDescent="0.25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6.25" customHeight="1" x14ac:dyDescent="0.25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6.25" customHeight="1" x14ac:dyDescent="0.25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6.25" customHeight="1" x14ac:dyDescent="0.25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6.25" customHeight="1" x14ac:dyDescent="0.25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6.25" customHeight="1" x14ac:dyDescent="0.25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6.25" customHeight="1" x14ac:dyDescent="0.25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6.25" customHeight="1" x14ac:dyDescent="0.25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6.25" customHeight="1" x14ac:dyDescent="0.25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6.25" customHeight="1" x14ac:dyDescent="0.25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6.25" customHeight="1" x14ac:dyDescent="0.25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6.25" customHeight="1" x14ac:dyDescent="0.25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6.25" customHeight="1" x14ac:dyDescent="0.25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6.25" customHeight="1" x14ac:dyDescent="0.25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6.25" customHeight="1" x14ac:dyDescent="0.25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6.25" customHeight="1" x14ac:dyDescent="0.25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6.25" customHeight="1" x14ac:dyDescent="0.25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6.25" customHeight="1" x14ac:dyDescent="0.25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6.25" customHeight="1" x14ac:dyDescent="0.25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6.25" customHeight="1" x14ac:dyDescent="0.25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6.25" customHeight="1" x14ac:dyDescent="0.25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6.25" customHeight="1" x14ac:dyDescent="0.25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6.25" customHeight="1" x14ac:dyDescent="0.25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6.25" customHeight="1" x14ac:dyDescent="0.25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6.25" customHeight="1" x14ac:dyDescent="0.25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6.25" customHeight="1" x14ac:dyDescent="0.25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6.25" customHeight="1" x14ac:dyDescent="0.25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6.25" customHeight="1" x14ac:dyDescent="0.25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6.25" customHeight="1" x14ac:dyDescent="0.25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6.25" customHeight="1" x14ac:dyDescent="0.25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6.25" customHeight="1" x14ac:dyDescent="0.25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6.25" customHeight="1" x14ac:dyDescent="0.25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6.25" customHeight="1" x14ac:dyDescent="0.25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6.25" customHeight="1" x14ac:dyDescent="0.25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6.25" customHeight="1" x14ac:dyDescent="0.25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6.25" customHeight="1" x14ac:dyDescent="0.25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6.25" customHeight="1" x14ac:dyDescent="0.25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6.25" customHeight="1" x14ac:dyDescent="0.25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6.25" customHeight="1" x14ac:dyDescent="0.25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6.25" customHeight="1" x14ac:dyDescent="0.25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6.25" customHeight="1" x14ac:dyDescent="0.25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6.25" customHeight="1" x14ac:dyDescent="0.25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6.25" customHeight="1" x14ac:dyDescent="0.25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6.25" customHeight="1" x14ac:dyDescent="0.25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6.25" customHeight="1" x14ac:dyDescent="0.25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6.25" customHeight="1" x14ac:dyDescent="0.25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6.25" customHeight="1" x14ac:dyDescent="0.25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6.25" customHeight="1" x14ac:dyDescent="0.25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6.25" customHeight="1" x14ac:dyDescent="0.25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6.25" customHeight="1" x14ac:dyDescent="0.25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6.25" customHeight="1" x14ac:dyDescent="0.25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6.25" customHeight="1" x14ac:dyDescent="0.25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6.25" customHeight="1" x14ac:dyDescent="0.25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6.25" customHeight="1" x14ac:dyDescent="0.25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6.25" customHeight="1" x14ac:dyDescent="0.25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6.25" customHeight="1" x14ac:dyDescent="0.25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6.25" customHeight="1" x14ac:dyDescent="0.25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6.25" customHeight="1" x14ac:dyDescent="0.25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6.25" customHeight="1" x14ac:dyDescent="0.25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6.25" customHeight="1" x14ac:dyDescent="0.25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6.25" customHeight="1" x14ac:dyDescent="0.25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6.25" customHeight="1" x14ac:dyDescent="0.25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6.25" customHeight="1" x14ac:dyDescent="0.25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6.25" customHeight="1" x14ac:dyDescent="0.25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6.25" customHeight="1" x14ac:dyDescent="0.25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6.25" customHeight="1" x14ac:dyDescent="0.25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6.25" customHeight="1" x14ac:dyDescent="0.25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6.25" customHeight="1" x14ac:dyDescent="0.25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6.25" customHeight="1" x14ac:dyDescent="0.25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6.25" customHeight="1" x14ac:dyDescent="0.25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6.25" customHeight="1" x14ac:dyDescent="0.25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6.25" customHeight="1" x14ac:dyDescent="0.25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6.25" customHeight="1" x14ac:dyDescent="0.25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6.25" customHeight="1" x14ac:dyDescent="0.25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6.25" customHeight="1" x14ac:dyDescent="0.25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6.25" customHeight="1" x14ac:dyDescent="0.25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6.25" customHeight="1" x14ac:dyDescent="0.25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6.25" customHeight="1" x14ac:dyDescent="0.25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6.25" customHeight="1" x14ac:dyDescent="0.25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6.25" customHeight="1" x14ac:dyDescent="0.25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6.25" customHeight="1" x14ac:dyDescent="0.25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6.25" customHeight="1" x14ac:dyDescent="0.25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6.25" customHeight="1" x14ac:dyDescent="0.25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6.25" customHeight="1" x14ac:dyDescent="0.25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6.25" customHeight="1" x14ac:dyDescent="0.25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6.25" customHeight="1" x14ac:dyDescent="0.25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6.25" customHeight="1" x14ac:dyDescent="0.25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6.25" customHeight="1" x14ac:dyDescent="0.25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6.25" customHeight="1" x14ac:dyDescent="0.25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6.25" customHeight="1" x14ac:dyDescent="0.25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6.25" customHeight="1" x14ac:dyDescent="0.25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6.25" customHeight="1" x14ac:dyDescent="0.25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6.25" customHeight="1" x14ac:dyDescent="0.25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6.25" customHeight="1" x14ac:dyDescent="0.25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6.25" customHeight="1" x14ac:dyDescent="0.25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6.25" customHeight="1" x14ac:dyDescent="0.25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6.25" customHeight="1" x14ac:dyDescent="0.25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6.25" customHeight="1" x14ac:dyDescent="0.25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6.25" customHeight="1" x14ac:dyDescent="0.25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6.25" customHeight="1" x14ac:dyDescent="0.25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6.25" customHeight="1" x14ac:dyDescent="0.25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6.25" customHeight="1" x14ac:dyDescent="0.25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6.25" customHeight="1" x14ac:dyDescent="0.25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6.25" customHeight="1" x14ac:dyDescent="0.25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6.25" customHeight="1" x14ac:dyDescent="0.25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6.25" customHeight="1" x14ac:dyDescent="0.25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6.25" customHeight="1" x14ac:dyDescent="0.25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6.25" customHeight="1" x14ac:dyDescent="0.25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6.25" customHeight="1" x14ac:dyDescent="0.25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6.25" customHeight="1" x14ac:dyDescent="0.25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6.25" customHeight="1" x14ac:dyDescent="0.25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6.25" customHeight="1" x14ac:dyDescent="0.25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6.25" customHeight="1" x14ac:dyDescent="0.25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6.25" customHeight="1" x14ac:dyDescent="0.25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6.25" customHeight="1" x14ac:dyDescent="0.25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6.25" customHeight="1" x14ac:dyDescent="0.25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6.25" customHeight="1" x14ac:dyDescent="0.25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6.25" customHeight="1" x14ac:dyDescent="0.25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6.25" customHeight="1" x14ac:dyDescent="0.25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6.25" customHeight="1" x14ac:dyDescent="0.25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6.25" customHeight="1" x14ac:dyDescent="0.25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6.25" customHeight="1" x14ac:dyDescent="0.25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6.25" customHeight="1" x14ac:dyDescent="0.25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6.25" customHeight="1" x14ac:dyDescent="0.25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6.25" customHeight="1" x14ac:dyDescent="0.25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6.25" customHeight="1" x14ac:dyDescent="0.25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6.25" customHeight="1" x14ac:dyDescent="0.25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6.25" customHeight="1" x14ac:dyDescent="0.25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6.25" customHeight="1" x14ac:dyDescent="0.25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6.25" customHeight="1" x14ac:dyDescent="0.25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6.25" customHeight="1" x14ac:dyDescent="0.25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6.25" customHeight="1" x14ac:dyDescent="0.25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6.25" customHeight="1" x14ac:dyDescent="0.25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6.25" customHeight="1" x14ac:dyDescent="0.25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6.25" customHeight="1" x14ac:dyDescent="0.25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6.25" customHeight="1" x14ac:dyDescent="0.25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6.25" customHeight="1" x14ac:dyDescent="0.25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6.25" customHeight="1" x14ac:dyDescent="0.25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6.25" customHeight="1" x14ac:dyDescent="0.25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6.25" customHeight="1" x14ac:dyDescent="0.25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6.25" customHeight="1" x14ac:dyDescent="0.25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6.25" customHeight="1" x14ac:dyDescent="0.25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6.25" customHeight="1" x14ac:dyDescent="0.25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6.25" customHeight="1" x14ac:dyDescent="0.25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6.25" customHeight="1" x14ac:dyDescent="0.25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6.25" customHeight="1" x14ac:dyDescent="0.25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6.25" customHeight="1" x14ac:dyDescent="0.25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6.25" customHeight="1" x14ac:dyDescent="0.25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6.25" customHeight="1" x14ac:dyDescent="0.25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6.25" customHeight="1" x14ac:dyDescent="0.25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6.25" customHeight="1" x14ac:dyDescent="0.25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6.25" customHeight="1" x14ac:dyDescent="0.25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6.25" customHeight="1" x14ac:dyDescent="0.25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6.25" customHeight="1" x14ac:dyDescent="0.25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6.25" customHeight="1" x14ac:dyDescent="0.25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6.25" customHeight="1" x14ac:dyDescent="0.25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6.25" customHeight="1" x14ac:dyDescent="0.25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6.25" customHeight="1" x14ac:dyDescent="0.25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6.25" customHeight="1" x14ac:dyDescent="0.25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6.25" customHeight="1" x14ac:dyDescent="0.25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6.25" customHeight="1" x14ac:dyDescent="0.25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6.25" customHeight="1" x14ac:dyDescent="0.25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6.25" customHeight="1" x14ac:dyDescent="0.25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6.25" customHeight="1" x14ac:dyDescent="0.25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6.25" customHeight="1" x14ac:dyDescent="0.25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6.25" customHeight="1" x14ac:dyDescent="0.25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6.25" customHeight="1" x14ac:dyDescent="0.25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6.25" customHeight="1" x14ac:dyDescent="0.25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6.25" customHeight="1" x14ac:dyDescent="0.25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6.25" customHeight="1" x14ac:dyDescent="0.25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6.25" customHeight="1" x14ac:dyDescent="0.25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6.25" customHeight="1" x14ac:dyDescent="0.25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6.25" customHeight="1" x14ac:dyDescent="0.25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6.25" customHeight="1" x14ac:dyDescent="0.25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6.25" customHeight="1" x14ac:dyDescent="0.25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6.25" customHeight="1" x14ac:dyDescent="0.25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6.25" customHeight="1" x14ac:dyDescent="0.25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6.25" customHeight="1" x14ac:dyDescent="0.25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6.25" customHeight="1" x14ac:dyDescent="0.25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6.25" customHeight="1" x14ac:dyDescent="0.25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6.25" customHeight="1" x14ac:dyDescent="0.25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6.25" customHeight="1" x14ac:dyDescent="0.25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6.25" customHeight="1" x14ac:dyDescent="0.25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6.25" customHeight="1" x14ac:dyDescent="0.25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6.25" customHeight="1" x14ac:dyDescent="0.25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6.25" customHeight="1" x14ac:dyDescent="0.25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6.25" customHeight="1" x14ac:dyDescent="0.25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6.25" customHeight="1" x14ac:dyDescent="0.25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6.25" customHeight="1" x14ac:dyDescent="0.25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6.25" customHeight="1" x14ac:dyDescent="0.25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6.25" customHeight="1" x14ac:dyDescent="0.25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6.25" customHeight="1" x14ac:dyDescent="0.25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6.25" customHeight="1" x14ac:dyDescent="0.25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6.25" customHeight="1" x14ac:dyDescent="0.25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6.25" customHeight="1" x14ac:dyDescent="0.25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6.25" customHeight="1" x14ac:dyDescent="0.25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6.25" customHeight="1" x14ac:dyDescent="0.25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6.25" customHeight="1" x14ac:dyDescent="0.25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6.25" customHeight="1" x14ac:dyDescent="0.25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6.25" customHeight="1" x14ac:dyDescent="0.25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6.25" customHeight="1" x14ac:dyDescent="0.25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6.25" customHeight="1" x14ac:dyDescent="0.25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6.25" customHeight="1" x14ac:dyDescent="0.25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6.25" customHeight="1" x14ac:dyDescent="0.25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6.25" customHeight="1" x14ac:dyDescent="0.25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6.25" customHeight="1" x14ac:dyDescent="0.25">
      <c r="A999" s="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6.25" customHeight="1" x14ac:dyDescent="0.25">
      <c r="A1000" s="3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E1:N1"/>
  </mergeCells>
  <pageMargins left="0.78749999999999998" right="0.78749999999999998" top="1.05277777777778" bottom="1.05277777777778" header="0" footer="0"/>
  <pageSetup paperSize="9" orientation="portrait"/>
  <headerFooter>
    <oddHeader>&amp;Cffffff&amp;A</oddHeader>
    <oddFooter>&amp;CffffffPágina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1 - RESUMO</vt:lpstr>
      <vt:lpstr>OK 2 - ADM LOCAL - RSD</vt:lpstr>
      <vt:lpstr>OK 2.1 - COLETA RSD</vt:lpstr>
      <vt:lpstr>OK 3 - ADM LOCAL - CONTEIN.</vt:lpstr>
      <vt:lpstr>OK 3.1 - COLETA CONTEIN.</vt:lpstr>
      <vt:lpstr>OK 4 - ADM LOCAL - SELETIVA</vt:lpstr>
      <vt:lpstr>OK 4.1 - COLETA SELETIVA</vt:lpstr>
      <vt:lpstr>OK 5 - ADM LOCAL - ÓLEOS</vt:lpstr>
      <vt:lpstr>OK 5.1 - COLETA ÓLEOS</vt:lpstr>
      <vt:lpstr>6 - DADOS CC MO</vt:lpstr>
      <vt:lpstr>7 - ENCARGOS SOCIAIS</vt:lpstr>
      <vt:lpstr>8 - CAGED</vt:lpstr>
      <vt:lpstr>9 - BDI</vt:lpstr>
      <vt:lpstr>10 - CUSTOS UN</vt:lpstr>
      <vt:lpstr>IPCA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SANEP DRC</dc:creator>
  <cp:lastModifiedBy>Sanep Compras</cp:lastModifiedBy>
  <cp:lastPrinted>2026-11-04T13:26:31Z</cp:lastPrinted>
  <dcterms:created xsi:type="dcterms:W3CDTF">2025-03-11T13:53:46Z</dcterms:created>
  <dcterms:modified xsi:type="dcterms:W3CDTF">2026-11-04T13:27:03Z</dcterms:modified>
</cp:coreProperties>
</file>