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Orçamento Modelo" sheetId="1" r:id="rId1"/>
    <sheet name="Cronograma" sheetId="2" r:id="rId2"/>
    <sheet name="BDI - PREENCHIMENTO" sheetId="3" r:id="rId3"/>
    <sheet name="BDI - Declaração modelo - imp." sheetId="4" r:id="rId4"/>
  </sheets>
  <externalReferences>
    <externalReference r:id="rId5"/>
    <externalReference r:id="rId6"/>
  </externalReferences>
  <definedNames>
    <definedName name="_xlnm.Print_Area" localSheetId="0">'Orçamento Modelo'!$A$1:$M$221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Q113" i="2"/>
  <c r="Q114"/>
  <c r="Q115"/>
  <c r="Q116"/>
  <c r="Q117"/>
  <c r="Q118"/>
  <c r="Q119"/>
  <c r="Q120"/>
  <c r="Q121"/>
  <c r="O113"/>
  <c r="O114"/>
  <c r="O115"/>
  <c r="O116"/>
  <c r="O117"/>
  <c r="O118"/>
  <c r="O119"/>
  <c r="O120"/>
  <c r="O121"/>
  <c r="M113"/>
  <c r="M114"/>
  <c r="M115"/>
  <c r="M116"/>
  <c r="M117"/>
  <c r="M118"/>
  <c r="M119"/>
  <c r="M120"/>
  <c r="M121"/>
  <c r="K113"/>
  <c r="K114"/>
  <c r="K115"/>
  <c r="K116"/>
  <c r="K117"/>
  <c r="K118"/>
  <c r="K119"/>
  <c r="K120"/>
  <c r="K121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I77"/>
  <c r="Q77" s="1"/>
  <c r="I76"/>
  <c r="O76" s="1"/>
  <c r="I75"/>
  <c r="Q75" s="1"/>
  <c r="I74"/>
  <c r="O74" s="1"/>
  <c r="I73"/>
  <c r="K73" s="1"/>
  <c r="I72"/>
  <c r="I71"/>
  <c r="Q71" s="1"/>
  <c r="I70"/>
  <c r="I69"/>
  <c r="Q69" s="1"/>
  <c r="I68"/>
  <c r="I67"/>
  <c r="I66"/>
  <c r="I65"/>
  <c r="I64"/>
  <c r="I63"/>
  <c r="I62"/>
  <c r="I61"/>
  <c r="I60"/>
  <c r="I33"/>
  <c r="K33" s="1"/>
  <c r="I32"/>
  <c r="M32" s="1"/>
  <c r="I31"/>
  <c r="M31" s="1"/>
  <c r="I30"/>
  <c r="Q30" s="1"/>
  <c r="I29"/>
  <c r="Q29" s="1"/>
  <c r="I28"/>
  <c r="Q28" s="1"/>
  <c r="I27"/>
  <c r="Q27" s="1"/>
  <c r="I26"/>
  <c r="Q26" s="1"/>
  <c r="I25"/>
  <c r="O25" s="1"/>
  <c r="I24"/>
  <c r="I23"/>
  <c r="I22"/>
  <c r="I21"/>
  <c r="I20"/>
  <c r="I19"/>
  <c r="I18"/>
  <c r="I17"/>
  <c r="I16"/>
  <c r="Q70"/>
  <c r="Q72"/>
  <c r="Q73"/>
  <c r="O70"/>
  <c r="O71"/>
  <c r="O72"/>
  <c r="M70"/>
  <c r="M72"/>
  <c r="M73"/>
  <c r="M74"/>
  <c r="K70"/>
  <c r="K71"/>
  <c r="K72"/>
  <c r="K74"/>
  <c r="K75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K200" i="1"/>
  <c r="K201"/>
  <c r="K202"/>
  <c r="K203"/>
  <c r="K206"/>
  <c r="K212"/>
  <c r="K211"/>
  <c r="K209"/>
  <c r="K205"/>
  <c r="K199"/>
  <c r="K197"/>
  <c r="K194"/>
  <c r="K193"/>
  <c r="K191"/>
  <c r="K188"/>
  <c r="K183"/>
  <c r="K184"/>
  <c r="K185"/>
  <c r="K187"/>
  <c r="K182"/>
  <c r="K180"/>
  <c r="K177"/>
  <c r="K172"/>
  <c r="K173"/>
  <c r="K174"/>
  <c r="K176"/>
  <c r="K171"/>
  <c r="K169"/>
  <c r="K166"/>
  <c r="K161"/>
  <c r="K162"/>
  <c r="K163"/>
  <c r="K165"/>
  <c r="K160"/>
  <c r="K158"/>
  <c r="K155"/>
  <c r="K154"/>
  <c r="K152"/>
  <c r="I149"/>
  <c r="C149"/>
  <c r="B149"/>
  <c r="C148"/>
  <c r="B148"/>
  <c r="I148"/>
  <c r="H148"/>
  <c r="D148"/>
  <c r="I146"/>
  <c r="L146" s="1"/>
  <c r="C146"/>
  <c r="B146"/>
  <c r="K146"/>
  <c r="K149"/>
  <c r="K143"/>
  <c r="K144"/>
  <c r="K145"/>
  <c r="K148"/>
  <c r="K142"/>
  <c r="K140"/>
  <c r="K137"/>
  <c r="K136"/>
  <c r="K134"/>
  <c r="K131"/>
  <c r="K126"/>
  <c r="K127"/>
  <c r="K128"/>
  <c r="K130"/>
  <c r="K125"/>
  <c r="K123"/>
  <c r="K120"/>
  <c r="K119"/>
  <c r="K117"/>
  <c r="K116"/>
  <c r="K115"/>
  <c r="K114"/>
  <c r="K112"/>
  <c r="I109"/>
  <c r="I108"/>
  <c r="H108"/>
  <c r="K109"/>
  <c r="K103"/>
  <c r="K104"/>
  <c r="K105"/>
  <c r="K106"/>
  <c r="K108"/>
  <c r="K102"/>
  <c r="K100"/>
  <c r="K97"/>
  <c r="K89"/>
  <c r="K90"/>
  <c r="K91"/>
  <c r="K92"/>
  <c r="K93"/>
  <c r="K94"/>
  <c r="K96"/>
  <c r="K88"/>
  <c r="K86"/>
  <c r="K83"/>
  <c r="K77"/>
  <c r="K78"/>
  <c r="K79"/>
  <c r="K80"/>
  <c r="K82"/>
  <c r="K76"/>
  <c r="K74"/>
  <c r="K71"/>
  <c r="K66"/>
  <c r="K67"/>
  <c r="K68"/>
  <c r="K70"/>
  <c r="K65"/>
  <c r="K63"/>
  <c r="C57"/>
  <c r="I57"/>
  <c r="L57" s="1"/>
  <c r="B57"/>
  <c r="K57"/>
  <c r="K60"/>
  <c r="K54"/>
  <c r="K55"/>
  <c r="K56"/>
  <c r="K59"/>
  <c r="K53"/>
  <c r="K51"/>
  <c r="K48"/>
  <c r="K43"/>
  <c r="K44"/>
  <c r="K45"/>
  <c r="K47"/>
  <c r="K42"/>
  <c r="K40"/>
  <c r="K37"/>
  <c r="K32"/>
  <c r="K33"/>
  <c r="K34"/>
  <c r="K29"/>
  <c r="K36"/>
  <c r="K31"/>
  <c r="K26"/>
  <c r="K25"/>
  <c r="K20"/>
  <c r="K21"/>
  <c r="K22"/>
  <c r="K23"/>
  <c r="K19"/>
  <c r="K17"/>
  <c r="M75" i="2" l="1"/>
  <c r="O73"/>
  <c r="M71"/>
  <c r="M77"/>
  <c r="O77"/>
  <c r="M69"/>
  <c r="O69"/>
  <c r="O75"/>
  <c r="M76"/>
  <c r="K77"/>
  <c r="K69"/>
  <c r="Q74"/>
  <c r="Q76"/>
  <c r="K76"/>
  <c r="Q33"/>
  <c r="O33"/>
  <c r="M33"/>
  <c r="Q32"/>
  <c r="O32"/>
  <c r="K32"/>
  <c r="Q31"/>
  <c r="K31"/>
  <c r="O31"/>
  <c r="M30"/>
  <c r="K30"/>
  <c r="O30"/>
  <c r="O29"/>
  <c r="M29"/>
  <c r="K29"/>
  <c r="K28"/>
  <c r="M28"/>
  <c r="O28"/>
  <c r="K27"/>
  <c r="M27"/>
  <c r="O27"/>
  <c r="K26"/>
  <c r="M26"/>
  <c r="O26"/>
  <c r="Q25"/>
  <c r="M25"/>
  <c r="K25"/>
  <c r="M146" i="1"/>
  <c r="M57"/>
  <c r="I212" l="1"/>
  <c r="L212" s="1"/>
  <c r="C212"/>
  <c r="B212"/>
  <c r="I211"/>
  <c r="H211"/>
  <c r="D211"/>
  <c r="C211"/>
  <c r="B211"/>
  <c r="I209"/>
  <c r="L209" s="1"/>
  <c r="L208" s="1"/>
  <c r="D210"/>
  <c r="C209"/>
  <c r="B209"/>
  <c r="D208"/>
  <c r="D207"/>
  <c r="I206"/>
  <c r="L206" s="1"/>
  <c r="C206"/>
  <c r="B206"/>
  <c r="I205"/>
  <c r="L205" s="1"/>
  <c r="H205"/>
  <c r="D205"/>
  <c r="C205"/>
  <c r="B205"/>
  <c r="D204"/>
  <c r="I203"/>
  <c r="L203" s="1"/>
  <c r="I202"/>
  <c r="L202" s="1"/>
  <c r="I201"/>
  <c r="L201" s="1"/>
  <c r="I200"/>
  <c r="L200" s="1"/>
  <c r="I199"/>
  <c r="L199" s="1"/>
  <c r="H202"/>
  <c r="D202"/>
  <c r="C203"/>
  <c r="C202"/>
  <c r="C201"/>
  <c r="C200"/>
  <c r="B203"/>
  <c r="B202"/>
  <c r="B201"/>
  <c r="B200"/>
  <c r="C199"/>
  <c r="B199"/>
  <c r="D198"/>
  <c r="I197"/>
  <c r="L197" s="1"/>
  <c r="L196" s="1"/>
  <c r="C197"/>
  <c r="B197"/>
  <c r="D196"/>
  <c r="D195"/>
  <c r="D184"/>
  <c r="I194"/>
  <c r="L194" s="1"/>
  <c r="I193"/>
  <c r="L193" s="1"/>
  <c r="H193"/>
  <c r="D193"/>
  <c r="C194"/>
  <c r="B194"/>
  <c r="C193"/>
  <c r="B193"/>
  <c r="D192"/>
  <c r="I191"/>
  <c r="L191" s="1"/>
  <c r="L190" s="1"/>
  <c r="C191"/>
  <c r="B191"/>
  <c r="D190"/>
  <c r="D189"/>
  <c r="I188"/>
  <c r="L188" s="1"/>
  <c r="C188"/>
  <c r="B188"/>
  <c r="I187"/>
  <c r="H187"/>
  <c r="D187"/>
  <c r="C187"/>
  <c r="B187"/>
  <c r="D186"/>
  <c r="I185"/>
  <c r="L185" s="1"/>
  <c r="I184"/>
  <c r="L184" s="1"/>
  <c r="I183"/>
  <c r="L183" s="1"/>
  <c r="H184"/>
  <c r="C185"/>
  <c r="C184"/>
  <c r="C183"/>
  <c r="B185"/>
  <c r="B184"/>
  <c r="B183"/>
  <c r="I182"/>
  <c r="L182" s="1"/>
  <c r="C182"/>
  <c r="B182"/>
  <c r="D181"/>
  <c r="I180"/>
  <c r="L180" s="1"/>
  <c r="L179" s="1"/>
  <c r="C180"/>
  <c r="B180"/>
  <c r="D179"/>
  <c r="D178"/>
  <c r="I177"/>
  <c r="L177" s="1"/>
  <c r="I176"/>
  <c r="H176"/>
  <c r="D176"/>
  <c r="C177"/>
  <c r="C176"/>
  <c r="B177"/>
  <c r="B176"/>
  <c r="D175"/>
  <c r="I174"/>
  <c r="L174" s="1"/>
  <c r="I173"/>
  <c r="L173" s="1"/>
  <c r="I172"/>
  <c r="L172" s="1"/>
  <c r="I171"/>
  <c r="L171" s="1"/>
  <c r="H173"/>
  <c r="D173"/>
  <c r="C174"/>
  <c r="C173"/>
  <c r="C172"/>
  <c r="B174"/>
  <c r="B173"/>
  <c r="B172"/>
  <c r="C171"/>
  <c r="B171"/>
  <c r="D170"/>
  <c r="I169"/>
  <c r="L169" s="1"/>
  <c r="L168" s="1"/>
  <c r="C169"/>
  <c r="B169"/>
  <c r="D168"/>
  <c r="D167"/>
  <c r="I166"/>
  <c r="L166" s="1"/>
  <c r="I165"/>
  <c r="H165"/>
  <c r="D165"/>
  <c r="C166"/>
  <c r="C165"/>
  <c r="B166"/>
  <c r="B165"/>
  <c r="D164"/>
  <c r="I163"/>
  <c r="L163" s="1"/>
  <c r="I162"/>
  <c r="L162" s="1"/>
  <c r="I161"/>
  <c r="L161" s="1"/>
  <c r="I160"/>
  <c r="L160" s="1"/>
  <c r="H162"/>
  <c r="D162"/>
  <c r="C163"/>
  <c r="C162"/>
  <c r="C161"/>
  <c r="B163"/>
  <c r="B162"/>
  <c r="D159"/>
  <c r="B161"/>
  <c r="C160"/>
  <c r="B160"/>
  <c r="I158"/>
  <c r="L158" s="1"/>
  <c r="L157" s="1"/>
  <c r="C158"/>
  <c r="B158"/>
  <c r="D157"/>
  <c r="D156"/>
  <c r="I155"/>
  <c r="L155" s="1"/>
  <c r="I154"/>
  <c r="H154"/>
  <c r="C155"/>
  <c r="B155"/>
  <c r="C154"/>
  <c r="B154"/>
  <c r="D153"/>
  <c r="I152"/>
  <c r="L152" s="1"/>
  <c r="L151" s="1"/>
  <c r="C152"/>
  <c r="B152"/>
  <c r="D151"/>
  <c r="D150"/>
  <c r="D154"/>
  <c r="L149"/>
  <c r="D147"/>
  <c r="I145"/>
  <c r="L145" s="1"/>
  <c r="I144"/>
  <c r="L144" s="1"/>
  <c r="I143"/>
  <c r="L143" s="1"/>
  <c r="I142"/>
  <c r="L142" s="1"/>
  <c r="H145"/>
  <c r="C145"/>
  <c r="C144"/>
  <c r="C143"/>
  <c r="B145"/>
  <c r="B144"/>
  <c r="B143"/>
  <c r="C142"/>
  <c r="B142"/>
  <c r="D141"/>
  <c r="I140"/>
  <c r="L140" s="1"/>
  <c r="L139" s="1"/>
  <c r="C140"/>
  <c r="B140"/>
  <c r="D139"/>
  <c r="D138"/>
  <c r="I137"/>
  <c r="L137" s="1"/>
  <c r="C137"/>
  <c r="B137"/>
  <c r="I136"/>
  <c r="L136" s="1"/>
  <c r="H136"/>
  <c r="D136"/>
  <c r="C136"/>
  <c r="B136"/>
  <c r="I134"/>
  <c r="L134" s="1"/>
  <c r="L133" s="1"/>
  <c r="D135"/>
  <c r="C134"/>
  <c r="B134"/>
  <c r="D133"/>
  <c r="D132"/>
  <c r="I131"/>
  <c r="I130"/>
  <c r="H130"/>
  <c r="D130"/>
  <c r="C131"/>
  <c r="C130"/>
  <c r="B131"/>
  <c r="B130"/>
  <c r="D129"/>
  <c r="I128"/>
  <c r="I127"/>
  <c r="I126"/>
  <c r="I125"/>
  <c r="D127"/>
  <c r="H127"/>
  <c r="C128"/>
  <c r="C127"/>
  <c r="C126"/>
  <c r="C125"/>
  <c r="B128"/>
  <c r="B127"/>
  <c r="B126"/>
  <c r="B125"/>
  <c r="L141" l="1"/>
  <c r="L198"/>
  <c r="M148"/>
  <c r="M165"/>
  <c r="M211"/>
  <c r="M210" s="1"/>
  <c r="M187"/>
  <c r="M154"/>
  <c r="M176"/>
  <c r="M212"/>
  <c r="L211"/>
  <c r="L210" s="1"/>
  <c r="L207" s="1"/>
  <c r="M209"/>
  <c r="M208" s="1"/>
  <c r="M205"/>
  <c r="L204"/>
  <c r="M203"/>
  <c r="M200"/>
  <c r="M202"/>
  <c r="M201"/>
  <c r="M199"/>
  <c r="M206"/>
  <c r="M197"/>
  <c r="M196" s="1"/>
  <c r="L192"/>
  <c r="L189" s="1"/>
  <c r="M194"/>
  <c r="M193"/>
  <c r="M191"/>
  <c r="M190" s="1"/>
  <c r="M188"/>
  <c r="L187"/>
  <c r="L186" s="1"/>
  <c r="M183"/>
  <c r="L181"/>
  <c r="M185"/>
  <c r="M184"/>
  <c r="M182"/>
  <c r="M180"/>
  <c r="M179" s="1"/>
  <c r="M177"/>
  <c r="L176"/>
  <c r="L175" s="1"/>
  <c r="M172"/>
  <c r="M174"/>
  <c r="M173"/>
  <c r="L170"/>
  <c r="M171"/>
  <c r="M169"/>
  <c r="M168" s="1"/>
  <c r="M166"/>
  <c r="L165"/>
  <c r="L164" s="1"/>
  <c r="M163"/>
  <c r="M162"/>
  <c r="L159"/>
  <c r="M161"/>
  <c r="M160"/>
  <c r="M158"/>
  <c r="M157" s="1"/>
  <c r="M155"/>
  <c r="L154"/>
  <c r="L153" s="1"/>
  <c r="L150" s="1"/>
  <c r="M152"/>
  <c r="M151" s="1"/>
  <c r="M149"/>
  <c r="L148"/>
  <c r="L147" s="1"/>
  <c r="M144"/>
  <c r="M143"/>
  <c r="M145"/>
  <c r="M142"/>
  <c r="M140"/>
  <c r="M139" s="1"/>
  <c r="M137"/>
  <c r="L135"/>
  <c r="L132" s="1"/>
  <c r="M136"/>
  <c r="M134"/>
  <c r="M133" s="1"/>
  <c r="M141" l="1"/>
  <c r="M198"/>
  <c r="M204"/>
  <c r="M153"/>
  <c r="M150" s="1"/>
  <c r="M186"/>
  <c r="M175"/>
  <c r="M164"/>
  <c r="M147"/>
  <c r="M207"/>
  <c r="L195"/>
  <c r="M192"/>
  <c r="M189" s="1"/>
  <c r="L178"/>
  <c r="M181"/>
  <c r="L167"/>
  <c r="M170"/>
  <c r="L156"/>
  <c r="M159"/>
  <c r="L138"/>
  <c r="M135"/>
  <c r="M132" s="1"/>
  <c r="M195" l="1"/>
  <c r="M178"/>
  <c r="M167"/>
  <c r="M156"/>
  <c r="M138"/>
  <c r="D124" l="1"/>
  <c r="I123"/>
  <c r="L123" s="1"/>
  <c r="L122" s="1"/>
  <c r="C123"/>
  <c r="B123"/>
  <c r="D122"/>
  <c r="D121"/>
  <c r="L131"/>
  <c r="M131"/>
  <c r="M130"/>
  <c r="L130"/>
  <c r="L128"/>
  <c r="M128"/>
  <c r="L127"/>
  <c r="M127"/>
  <c r="L126"/>
  <c r="M126"/>
  <c r="L125"/>
  <c r="M125"/>
  <c r="I120"/>
  <c r="L120" s="1"/>
  <c r="I119"/>
  <c r="H119"/>
  <c r="D119"/>
  <c r="C120"/>
  <c r="B120"/>
  <c r="C119"/>
  <c r="B119"/>
  <c r="D118"/>
  <c r="I117"/>
  <c r="I116"/>
  <c r="M116" s="1"/>
  <c r="I115"/>
  <c r="L115" s="1"/>
  <c r="I114"/>
  <c r="L114" s="1"/>
  <c r="H116"/>
  <c r="C117"/>
  <c r="C116"/>
  <c r="C115"/>
  <c r="B117"/>
  <c r="B116"/>
  <c r="B115"/>
  <c r="B114"/>
  <c r="D116"/>
  <c r="C114"/>
  <c r="D113"/>
  <c r="D111"/>
  <c r="I112"/>
  <c r="L112" s="1"/>
  <c r="L111" s="1"/>
  <c r="C112"/>
  <c r="B112"/>
  <c r="D110"/>
  <c r="D108"/>
  <c r="C109"/>
  <c r="B109"/>
  <c r="C108"/>
  <c r="B108"/>
  <c r="D107"/>
  <c r="I106"/>
  <c r="L106" s="1"/>
  <c r="I105"/>
  <c r="I104"/>
  <c r="L104" s="1"/>
  <c r="I103"/>
  <c r="L103" s="1"/>
  <c r="H105"/>
  <c r="H104"/>
  <c r="D105"/>
  <c r="C106"/>
  <c r="C105"/>
  <c r="C104"/>
  <c r="C103"/>
  <c r="B106"/>
  <c r="B105"/>
  <c r="B104"/>
  <c r="B103"/>
  <c r="I102"/>
  <c r="L102" s="1"/>
  <c r="C102"/>
  <c r="B102"/>
  <c r="D101"/>
  <c r="D99"/>
  <c r="D98"/>
  <c r="L109"/>
  <c r="L108"/>
  <c r="I100"/>
  <c r="C100"/>
  <c r="B100"/>
  <c r="L129" l="1"/>
  <c r="M119"/>
  <c r="M108"/>
  <c r="M109"/>
  <c r="L107"/>
  <c r="M129"/>
  <c r="L124"/>
  <c r="M123"/>
  <c r="M122" s="1"/>
  <c r="M124"/>
  <c r="M120"/>
  <c r="L119"/>
  <c r="L118" s="1"/>
  <c r="M114"/>
  <c r="M105"/>
  <c r="M117"/>
  <c r="L117"/>
  <c r="L116"/>
  <c r="M115"/>
  <c r="M112"/>
  <c r="M111" s="1"/>
  <c r="L105"/>
  <c r="L101" s="1"/>
  <c r="M103"/>
  <c r="M104"/>
  <c r="M106"/>
  <c r="M102"/>
  <c r="I97"/>
  <c r="L97" s="1"/>
  <c r="I96"/>
  <c r="H96"/>
  <c r="D96"/>
  <c r="C97"/>
  <c r="B97"/>
  <c r="C96"/>
  <c r="B96"/>
  <c r="D95"/>
  <c r="I94"/>
  <c r="L94" s="1"/>
  <c r="I93"/>
  <c r="L93" s="1"/>
  <c r="I92"/>
  <c r="L92" s="1"/>
  <c r="I91"/>
  <c r="L91" s="1"/>
  <c r="I90"/>
  <c r="L90" s="1"/>
  <c r="I89"/>
  <c r="L89" s="1"/>
  <c r="I88"/>
  <c r="L88" s="1"/>
  <c r="H93"/>
  <c r="H92"/>
  <c r="D93"/>
  <c r="C94"/>
  <c r="C93"/>
  <c r="B94"/>
  <c r="B93"/>
  <c r="D92"/>
  <c r="C92"/>
  <c r="C91"/>
  <c r="C90"/>
  <c r="C89"/>
  <c r="B92"/>
  <c r="B91"/>
  <c r="B90"/>
  <c r="B89"/>
  <c r="C88"/>
  <c r="B88"/>
  <c r="D87"/>
  <c r="I86"/>
  <c r="L86" s="1"/>
  <c r="L85" s="1"/>
  <c r="C86"/>
  <c r="B86"/>
  <c r="L100"/>
  <c r="L99" s="1"/>
  <c r="D85"/>
  <c r="D84"/>
  <c r="I83"/>
  <c r="L83" s="1"/>
  <c r="I82"/>
  <c r="L82" s="1"/>
  <c r="H82"/>
  <c r="D82"/>
  <c r="C83"/>
  <c r="B83"/>
  <c r="C82"/>
  <c r="B82"/>
  <c r="D81"/>
  <c r="I80"/>
  <c r="L80" s="1"/>
  <c r="I79"/>
  <c r="L79" s="1"/>
  <c r="I78"/>
  <c r="L78" s="1"/>
  <c r="I77"/>
  <c r="L77" s="1"/>
  <c r="H79"/>
  <c r="C80"/>
  <c r="C79"/>
  <c r="C78"/>
  <c r="C77"/>
  <c r="B80"/>
  <c r="B79"/>
  <c r="B78"/>
  <c r="B77"/>
  <c r="I76"/>
  <c r="L76" s="1"/>
  <c r="C76"/>
  <c r="B76"/>
  <c r="D75"/>
  <c r="C74"/>
  <c r="B74"/>
  <c r="D73"/>
  <c r="D72"/>
  <c r="I74"/>
  <c r="I71"/>
  <c r="C71"/>
  <c r="B71"/>
  <c r="I70"/>
  <c r="H70"/>
  <c r="D70"/>
  <c r="C70"/>
  <c r="B70"/>
  <c r="D69"/>
  <c r="I68"/>
  <c r="I67"/>
  <c r="I66"/>
  <c r="H67"/>
  <c r="H66"/>
  <c r="C68"/>
  <c r="C67"/>
  <c r="C66"/>
  <c r="B68"/>
  <c r="B67"/>
  <c r="B66"/>
  <c r="I65"/>
  <c r="C65"/>
  <c r="B65"/>
  <c r="D64"/>
  <c r="I63"/>
  <c r="C63"/>
  <c r="B63"/>
  <c r="D61"/>
  <c r="D62"/>
  <c r="I60"/>
  <c r="I59"/>
  <c r="H59"/>
  <c r="D59"/>
  <c r="C60"/>
  <c r="B60"/>
  <c r="C59"/>
  <c r="B59"/>
  <c r="D58"/>
  <c r="D55"/>
  <c r="I56"/>
  <c r="I55"/>
  <c r="I54"/>
  <c r="H56"/>
  <c r="C56"/>
  <c r="C55"/>
  <c r="C54"/>
  <c r="B56"/>
  <c r="B55"/>
  <c r="B54"/>
  <c r="I53"/>
  <c r="C53"/>
  <c r="B53"/>
  <c r="I51"/>
  <c r="C51"/>
  <c r="B51"/>
  <c r="D52"/>
  <c r="D50"/>
  <c r="D49"/>
  <c r="D47"/>
  <c r="I48"/>
  <c r="I47"/>
  <c r="H47"/>
  <c r="C48"/>
  <c r="C47"/>
  <c r="B48"/>
  <c r="B47"/>
  <c r="D46"/>
  <c r="I45"/>
  <c r="I44"/>
  <c r="L44" s="1"/>
  <c r="I43"/>
  <c r="L43" s="1"/>
  <c r="I42"/>
  <c r="L42" s="1"/>
  <c r="H44"/>
  <c r="D44"/>
  <c r="C45"/>
  <c r="C44"/>
  <c r="C43"/>
  <c r="B45"/>
  <c r="B44"/>
  <c r="B43"/>
  <c r="C42"/>
  <c r="B42"/>
  <c r="D41"/>
  <c r="I40"/>
  <c r="L40" s="1"/>
  <c r="L39" s="1"/>
  <c r="C40"/>
  <c r="B40"/>
  <c r="D39"/>
  <c r="D38"/>
  <c r="I37"/>
  <c r="I36"/>
  <c r="H36"/>
  <c r="D36"/>
  <c r="C37"/>
  <c r="C36"/>
  <c r="B37"/>
  <c r="B36"/>
  <c r="D35"/>
  <c r="I34"/>
  <c r="I33"/>
  <c r="I32"/>
  <c r="I31"/>
  <c r="H33"/>
  <c r="D33"/>
  <c r="C34"/>
  <c r="C33"/>
  <c r="C32"/>
  <c r="C31"/>
  <c r="B34"/>
  <c r="B33"/>
  <c r="B32"/>
  <c r="B31"/>
  <c r="D30"/>
  <c r="I29"/>
  <c r="C29"/>
  <c r="B29"/>
  <c r="D28"/>
  <c r="D27"/>
  <c r="I26"/>
  <c r="I25"/>
  <c r="H25"/>
  <c r="D25"/>
  <c r="C26"/>
  <c r="C25"/>
  <c r="B26"/>
  <c r="B25"/>
  <c r="B23"/>
  <c r="B22"/>
  <c r="B21"/>
  <c r="B20"/>
  <c r="D24"/>
  <c r="I23"/>
  <c r="L23" s="1"/>
  <c r="I22"/>
  <c r="I21"/>
  <c r="I20"/>
  <c r="I19"/>
  <c r="H22"/>
  <c r="D22"/>
  <c r="C23"/>
  <c r="C22"/>
  <c r="C21"/>
  <c r="C20"/>
  <c r="C19"/>
  <c r="B19"/>
  <c r="C17"/>
  <c r="B17"/>
  <c r="L68" l="1"/>
  <c r="M68"/>
  <c r="L67"/>
  <c r="M67"/>
  <c r="M66"/>
  <c r="L66"/>
  <c r="M65"/>
  <c r="L65"/>
  <c r="L121"/>
  <c r="M118"/>
  <c r="M107"/>
  <c r="L98"/>
  <c r="M121"/>
  <c r="L113"/>
  <c r="L110" s="1"/>
  <c r="M113"/>
  <c r="M101"/>
  <c r="L87"/>
  <c r="M96"/>
  <c r="L81"/>
  <c r="M34"/>
  <c r="L75"/>
  <c r="M97"/>
  <c r="M94"/>
  <c r="M93"/>
  <c r="M90"/>
  <c r="L96"/>
  <c r="L95" s="1"/>
  <c r="M100"/>
  <c r="M99" s="1"/>
  <c r="M89"/>
  <c r="M92"/>
  <c r="M91"/>
  <c r="M88"/>
  <c r="M86"/>
  <c r="M85" s="1"/>
  <c r="M83"/>
  <c r="M82"/>
  <c r="M80"/>
  <c r="M79"/>
  <c r="M37"/>
  <c r="M33"/>
  <c r="M77"/>
  <c r="M78"/>
  <c r="M76"/>
  <c r="M43"/>
  <c r="M44"/>
  <c r="M42"/>
  <c r="M40"/>
  <c r="M39" s="1"/>
  <c r="L37"/>
  <c r="L34"/>
  <c r="L33"/>
  <c r="M23"/>
  <c r="M110" l="1"/>
  <c r="M98"/>
  <c r="L84"/>
  <c r="M95"/>
  <c r="M87"/>
  <c r="M75"/>
  <c r="M81"/>
  <c r="M84" l="1"/>
  <c r="D18" l="1"/>
  <c r="I17"/>
  <c r="L17" s="1"/>
  <c r="D16"/>
  <c r="D15"/>
  <c r="L21"/>
  <c r="L20"/>
  <c r="L19"/>
  <c r="L32"/>
  <c r="L25"/>
  <c r="L74"/>
  <c r="L73" s="1"/>
  <c r="L72" s="1"/>
  <c r="L56"/>
  <c r="L55"/>
  <c r="L54"/>
  <c r="B7" i="4"/>
  <c r="C6"/>
  <c r="C19"/>
  <c r="C18"/>
  <c r="C17"/>
  <c r="D15"/>
  <c r="D14"/>
  <c r="D13"/>
  <c r="D12"/>
  <c r="D11"/>
  <c r="B19"/>
  <c r="C30" i="3"/>
  <c r="G23" s="1"/>
  <c r="E26"/>
  <c r="AL25"/>
  <c r="AL27" s="1"/>
  <c r="D25" s="1"/>
  <c r="G25" s="1"/>
  <c r="G26" s="1"/>
  <c r="E25"/>
  <c r="Q112" i="2"/>
  <c r="O111"/>
  <c r="M110"/>
  <c r="K109"/>
  <c r="K108"/>
  <c r="K107"/>
  <c r="O106"/>
  <c r="Q105"/>
  <c r="Q104"/>
  <c r="Q68"/>
  <c r="O67"/>
  <c r="M66"/>
  <c r="K65"/>
  <c r="K64"/>
  <c r="O63"/>
  <c r="L71" i="1"/>
  <c r="L70"/>
  <c r="L63"/>
  <c r="L62" s="1"/>
  <c r="L60"/>
  <c r="L59"/>
  <c r="L53"/>
  <c r="L52" s="1"/>
  <c r="L51"/>
  <c r="L50" s="1"/>
  <c r="L48"/>
  <c r="L47"/>
  <c r="L45"/>
  <c r="L41" s="1"/>
  <c r="L36"/>
  <c r="L35" s="1"/>
  <c r="L69" l="1"/>
  <c r="L64"/>
  <c r="L58"/>
  <c r="L46"/>
  <c r="L38" s="1"/>
  <c r="M67" i="2"/>
  <c r="M22" i="1"/>
  <c r="K106" i="2"/>
  <c r="M105"/>
  <c r="M63"/>
  <c r="Q106"/>
  <c r="M56" i="1"/>
  <c r="M55"/>
  <c r="M54"/>
  <c r="Q107" i="2"/>
  <c r="M107"/>
  <c r="M104"/>
  <c r="M112"/>
  <c r="Q63"/>
  <c r="M68"/>
  <c r="K67"/>
  <c r="O107"/>
  <c r="K112"/>
  <c r="M111"/>
  <c r="O104"/>
  <c r="L22" i="1"/>
  <c r="L18" s="1"/>
  <c r="K104" i="2"/>
  <c r="Q64"/>
  <c r="Q108"/>
  <c r="O64"/>
  <c r="O108"/>
  <c r="M64"/>
  <c r="M108"/>
  <c r="K66"/>
  <c r="O68"/>
  <c r="K110"/>
  <c r="O112"/>
  <c r="D16" i="4"/>
  <c r="C20"/>
  <c r="E21" i="3"/>
  <c r="E23"/>
  <c r="N23" s="1"/>
  <c r="F23"/>
  <c r="G20"/>
  <c r="G22"/>
  <c r="G24"/>
  <c r="F20"/>
  <c r="F22"/>
  <c r="F24"/>
  <c r="D26"/>
  <c r="C33" s="1"/>
  <c r="D21" i="4" s="1"/>
  <c r="J32" i="3"/>
  <c r="F21"/>
  <c r="E20"/>
  <c r="E22"/>
  <c r="E24"/>
  <c r="N24" s="1"/>
  <c r="C32"/>
  <c r="J31"/>
  <c r="C31" s="1"/>
  <c r="G21"/>
  <c r="O105" i="2"/>
  <c r="K111"/>
  <c r="K105"/>
  <c r="M106"/>
  <c r="Q109"/>
  <c r="O109"/>
  <c r="Q110"/>
  <c r="M109"/>
  <c r="O110"/>
  <c r="Q111"/>
  <c r="K68"/>
  <c r="Q65"/>
  <c r="K63"/>
  <c r="O65"/>
  <c r="Q66"/>
  <c r="M65"/>
  <c r="O66"/>
  <c r="Q67"/>
  <c r="L16" i="1"/>
  <c r="K61" i="2"/>
  <c r="M74" i="1"/>
  <c r="M73" s="1"/>
  <c r="M72" s="1"/>
  <c r="M71"/>
  <c r="M70"/>
  <c r="M63"/>
  <c r="M62" s="1"/>
  <c r="M60"/>
  <c r="M59"/>
  <c r="M53"/>
  <c r="M52" s="1"/>
  <c r="M51"/>
  <c r="M50" s="1"/>
  <c r="M48"/>
  <c r="M36"/>
  <c r="M31"/>
  <c r="M32"/>
  <c r="M26"/>
  <c r="M29"/>
  <c r="M28" s="1"/>
  <c r="L31"/>
  <c r="L30" s="1"/>
  <c r="L29"/>
  <c r="L28" s="1"/>
  <c r="L26"/>
  <c r="L24" s="1"/>
  <c r="M25"/>
  <c r="M20"/>
  <c r="M21"/>
  <c r="M19"/>
  <c r="M17"/>
  <c r="L49" l="1"/>
  <c r="L61"/>
  <c r="M64"/>
  <c r="M69"/>
  <c r="M30"/>
  <c r="M58"/>
  <c r="L15"/>
  <c r="L27"/>
  <c r="M35"/>
  <c r="M24"/>
  <c r="M18"/>
  <c r="M61" i="2"/>
  <c r="O61"/>
  <c r="Q61"/>
  <c r="N34" i="3"/>
  <c r="N22"/>
  <c r="N20"/>
  <c r="N21"/>
  <c r="N33"/>
  <c r="C34" s="1"/>
  <c r="M16" i="1"/>
  <c r="M61" l="1"/>
  <c r="K24" i="2" s="1"/>
  <c r="L213" i="1"/>
  <c r="M49"/>
  <c r="M27"/>
  <c r="M15"/>
  <c r="N25" i="3"/>
  <c r="I15" i="2" l="1"/>
  <c r="I103"/>
  <c r="I59"/>
  <c r="M24"/>
  <c r="Q24"/>
  <c r="O24"/>
  <c r="M47" i="1"/>
  <c r="M45"/>
  <c r="M41" s="1"/>
  <c r="O103" i="2" l="1"/>
  <c r="O123" s="1"/>
  <c r="M103"/>
  <c r="M123" s="1"/>
  <c r="Q103"/>
  <c r="Q123" s="1"/>
  <c r="K103"/>
  <c r="K123" s="1"/>
  <c r="I123"/>
  <c r="I79"/>
  <c r="M59"/>
  <c r="K59"/>
  <c r="O59"/>
  <c r="Q59"/>
  <c r="M46" i="1"/>
  <c r="M38" s="1"/>
  <c r="M213" s="1"/>
  <c r="O22" i="2"/>
  <c r="M22"/>
  <c r="K22"/>
  <c r="Q22"/>
  <c r="M21" l="1"/>
  <c r="Q20"/>
  <c r="I35"/>
  <c r="Q18"/>
  <c r="M19"/>
  <c r="K19"/>
  <c r="Q19"/>
  <c r="O19"/>
  <c r="K16"/>
  <c r="M16"/>
  <c r="Q16"/>
  <c r="O16"/>
  <c r="H115" l="1"/>
  <c r="H119"/>
  <c r="H118"/>
  <c r="H117"/>
  <c r="H116"/>
  <c r="H121"/>
  <c r="H120"/>
  <c r="H114"/>
  <c r="H113"/>
  <c r="H72"/>
  <c r="H71"/>
  <c r="H62"/>
  <c r="H70"/>
  <c r="H67"/>
  <c r="H66"/>
  <c r="H65"/>
  <c r="H75"/>
  <c r="H73"/>
  <c r="H63"/>
  <c r="H74"/>
  <c r="H76"/>
  <c r="H60"/>
  <c r="H77"/>
  <c r="H61"/>
  <c r="H68"/>
  <c r="H69"/>
  <c r="H64"/>
  <c r="H31"/>
  <c r="H30"/>
  <c r="H32"/>
  <c r="H28"/>
  <c r="H26"/>
  <c r="H27"/>
  <c r="H29"/>
  <c r="H25"/>
  <c r="H108"/>
  <c r="H107"/>
  <c r="H111"/>
  <c r="H59"/>
  <c r="H109"/>
  <c r="H112"/>
  <c r="H105"/>
  <c r="H106"/>
  <c r="H110"/>
  <c r="H103"/>
  <c r="H104"/>
  <c r="K18"/>
  <c r="M18"/>
  <c r="O18"/>
  <c r="K17"/>
  <c r="M20"/>
  <c r="M17"/>
  <c r="O17"/>
  <c r="O20"/>
  <c r="Q17"/>
  <c r="K20"/>
  <c r="Q21"/>
  <c r="O21"/>
  <c r="K21"/>
  <c r="M15" l="1"/>
  <c r="Q15"/>
  <c r="K15"/>
  <c r="O15"/>
  <c r="Q35" l="1"/>
  <c r="M35"/>
  <c r="K23"/>
  <c r="K35" s="1"/>
  <c r="Q23"/>
  <c r="M23"/>
  <c r="O23"/>
  <c r="O35" s="1"/>
  <c r="H24" l="1"/>
  <c r="H22"/>
  <c r="H20"/>
  <c r="H19"/>
  <c r="H15"/>
  <c r="H21"/>
  <c r="H18"/>
  <c r="H16"/>
  <c r="H17"/>
  <c r="K36"/>
  <c r="H23"/>
  <c r="H123" l="1"/>
  <c r="M36"/>
  <c r="P123" l="1"/>
  <c r="N123"/>
  <c r="J123"/>
  <c r="L123"/>
  <c r="O36"/>
  <c r="Q36" l="1"/>
  <c r="H199" i="1" l="1"/>
  <c r="H86"/>
  <c r="H63"/>
  <c r="D104"/>
  <c r="D71"/>
  <c r="D200"/>
  <c r="D209"/>
  <c r="D199"/>
  <c r="D149"/>
  <c r="D57"/>
  <c r="H37"/>
  <c r="D31"/>
  <c r="H20"/>
  <c r="D19"/>
  <c r="D17"/>
  <c r="H149" l="1"/>
  <c r="H146"/>
  <c r="D146"/>
  <c r="H109"/>
  <c r="D66"/>
  <c r="H57"/>
  <c r="D106"/>
  <c r="D68"/>
  <c r="D94"/>
  <c r="D80"/>
  <c r="H212"/>
  <c r="D212"/>
  <c r="H209"/>
  <c r="D194"/>
  <c r="H206"/>
  <c r="D206"/>
  <c r="H203"/>
  <c r="H201"/>
  <c r="H200"/>
  <c r="D203"/>
  <c r="D201"/>
  <c r="H197"/>
  <c r="D197"/>
  <c r="D183"/>
  <c r="D180"/>
  <c r="D185"/>
  <c r="H194"/>
  <c r="H191"/>
  <c r="D191"/>
  <c r="H188"/>
  <c r="D188"/>
  <c r="H185"/>
  <c r="H183"/>
  <c r="D182"/>
  <c r="H182"/>
  <c r="H180"/>
  <c r="H171"/>
  <c r="D171"/>
  <c r="D172"/>
  <c r="H177"/>
  <c r="D177"/>
  <c r="H174"/>
  <c r="H172"/>
  <c r="D174"/>
  <c r="H169"/>
  <c r="D169"/>
  <c r="D160"/>
  <c r="H160"/>
  <c r="H166"/>
  <c r="D166"/>
  <c r="H163"/>
  <c r="H161"/>
  <c r="D163"/>
  <c r="D161"/>
  <c r="H158"/>
  <c r="D158"/>
  <c r="H155"/>
  <c r="D155"/>
  <c r="D140"/>
  <c r="D143"/>
  <c r="H140"/>
  <c r="H152"/>
  <c r="D152"/>
  <c r="D137"/>
  <c r="H144"/>
  <c r="H143"/>
  <c r="D145"/>
  <c r="D144"/>
  <c r="D142"/>
  <c r="H142"/>
  <c r="H137"/>
  <c r="H134"/>
  <c r="D134"/>
  <c r="D125"/>
  <c r="D128"/>
  <c r="D131"/>
  <c r="H131"/>
  <c r="D126"/>
  <c r="H128"/>
  <c r="H126"/>
  <c r="H125"/>
  <c r="H123"/>
  <c r="D123"/>
  <c r="D114"/>
  <c r="D120"/>
  <c r="D112"/>
  <c r="D117"/>
  <c r="D115"/>
  <c r="H120"/>
  <c r="H117"/>
  <c r="H115"/>
  <c r="H114"/>
  <c r="H112"/>
  <c r="D103"/>
  <c r="D109"/>
  <c r="H106"/>
  <c r="H103"/>
  <c r="H102"/>
  <c r="D102"/>
  <c r="H100"/>
  <c r="D100"/>
  <c r="H97"/>
  <c r="D97"/>
  <c r="H94"/>
  <c r="H91"/>
  <c r="H90"/>
  <c r="H89"/>
  <c r="D91"/>
  <c r="D90"/>
  <c r="D89"/>
  <c r="H88"/>
  <c r="D88"/>
  <c r="D86"/>
  <c r="H83"/>
  <c r="D77"/>
  <c r="D83"/>
  <c r="H80"/>
  <c r="H78"/>
  <c r="H77"/>
  <c r="D79"/>
  <c r="D78"/>
  <c r="H76"/>
  <c r="D76"/>
  <c r="H74"/>
  <c r="D74"/>
  <c r="H71"/>
  <c r="H68"/>
  <c r="D67"/>
  <c r="H65"/>
  <c r="D65"/>
  <c r="D63"/>
  <c r="D60"/>
  <c r="H60"/>
  <c r="D56"/>
  <c r="D54"/>
  <c r="D53"/>
  <c r="H55"/>
  <c r="H54"/>
  <c r="H53"/>
  <c r="D51"/>
  <c r="H51"/>
  <c r="H48"/>
  <c r="D48"/>
  <c r="H45"/>
  <c r="H43"/>
  <c r="D45"/>
  <c r="D43"/>
  <c r="H42"/>
  <c r="D42"/>
  <c r="H40"/>
  <c r="D40"/>
  <c r="D29"/>
  <c r="H29"/>
  <c r="D37"/>
  <c r="H34"/>
  <c r="H32"/>
  <c r="H31"/>
  <c r="D34"/>
  <c r="D32"/>
  <c r="H26"/>
  <c r="D26"/>
  <c r="H23"/>
  <c r="H21"/>
  <c r="H19"/>
  <c r="D23"/>
  <c r="D21"/>
  <c r="D20"/>
  <c r="H17"/>
  <c r="Q60" i="2" l="1"/>
  <c r="K60"/>
  <c r="M60"/>
  <c r="O60"/>
  <c r="H33"/>
  <c r="H35" s="1"/>
  <c r="K79" l="1"/>
  <c r="M79"/>
  <c r="Q79"/>
  <c r="H79"/>
  <c r="P35"/>
  <c r="N35"/>
  <c r="J35"/>
  <c r="L35"/>
  <c r="J36"/>
  <c r="L36"/>
  <c r="N36"/>
  <c r="P36"/>
  <c r="M62"/>
  <c r="K62"/>
  <c r="Q62"/>
  <c r="O62"/>
  <c r="O79" s="1"/>
  <c r="K80" l="1"/>
  <c r="J80" s="1"/>
  <c r="L79"/>
  <c r="P79"/>
  <c r="N79"/>
  <c r="J79"/>
  <c r="M80" l="1"/>
  <c r="O80" s="1"/>
  <c r="L80" l="1"/>
  <c r="Q80"/>
  <c r="N80"/>
  <c r="K124" l="1"/>
  <c r="P80"/>
  <c r="J124" l="1"/>
  <c r="M124"/>
  <c r="L124" l="1"/>
  <c r="O124"/>
  <c r="Q124" l="1"/>
  <c r="P124" s="1"/>
  <c r="N124"/>
</calcChain>
</file>

<file path=xl/comments1.xml><?xml version="1.0" encoding="utf-8"?>
<comments xmlns="http://schemas.openxmlformats.org/spreadsheetml/2006/main">
  <authors>
    <author>ENGENHEIRO01  - Alan Pasini</author>
  </authors>
  <commentList>
    <comment ref="N14" authorId="0">
      <text>
        <r>
          <rPr>
            <sz val="9"/>
            <color indexed="81"/>
            <rFont val="Tahoma"/>
            <family val="2"/>
          </rPr>
          <t>INSERIR BDI</t>
        </r>
      </text>
    </comment>
  </commentList>
</comments>
</file>

<file path=xl/comments2.xml><?xml version="1.0" encoding="utf-8"?>
<comments xmlns="http://schemas.openxmlformats.org/spreadsheetml/2006/main">
  <authors>
    <author>Marcelo Fank</author>
    <author>ENGENHEIRO01  - Alan Pasini</author>
    <author>Eduardo (r. 3449)</author>
  </authors>
  <commentList>
    <comment ref="I1" authorId="0">
      <text>
        <r>
          <rPr>
            <sz val="11"/>
            <color indexed="81"/>
            <rFont val="Tahoma"/>
            <family val="2"/>
          </rPr>
          <t>Preencher nome do municípo e obras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" authorId="0">
      <text>
        <r>
          <rPr>
            <sz val="11"/>
            <color indexed="81"/>
            <rFont val="Tahoma"/>
            <family val="2"/>
          </rPr>
          <t xml:space="preserve">Marcar um </t>
        </r>
        <r>
          <rPr>
            <b/>
            <sz val="11"/>
            <color indexed="81"/>
            <rFont val="Tahoma"/>
            <family val="2"/>
          </rPr>
          <t>"X"</t>
        </r>
        <r>
          <rPr>
            <sz val="11"/>
            <color indexed="81"/>
            <rFont val="Tahoma"/>
            <family val="2"/>
          </rPr>
          <t xml:space="preserve"> no tipo de tributação.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2" authorId="0">
      <text>
        <r>
          <rPr>
            <sz val="11"/>
            <color indexed="81"/>
            <rFont val="Tahoma"/>
            <family val="2"/>
          </rPr>
          <t>Marcar um "</t>
        </r>
        <r>
          <rPr>
            <b/>
            <sz val="12"/>
            <color indexed="81"/>
            <rFont val="Tahoma"/>
            <family val="2"/>
          </rPr>
          <t>X</t>
        </r>
        <r>
          <rPr>
            <sz val="11"/>
            <color indexed="81"/>
            <rFont val="Tahoma"/>
            <family val="2"/>
          </rPr>
          <t>" no tipo de obra desejada.
OBS: Selecionar apenas uma alternativa.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8" authorId="0">
      <text>
        <r>
          <rPr>
            <sz val="11"/>
            <color indexed="81"/>
            <rFont val="Tahoma"/>
            <family val="2"/>
          </rPr>
          <t>Na coluna em amarelo, inserir dados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1">
      <text>
        <r>
          <rPr>
            <b/>
            <sz val="9"/>
            <color indexed="81"/>
            <rFont val="Tahoma"/>
            <family val="2"/>
          </rPr>
          <t>ENTRAR COM %</t>
        </r>
      </text>
    </comment>
    <comment ref="D21" authorId="1">
      <text>
        <r>
          <rPr>
            <b/>
            <sz val="9"/>
            <color indexed="81"/>
            <rFont val="Tahoma"/>
            <family val="2"/>
          </rPr>
          <t>ENTRAR COM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1" authorId="2">
      <text>
        <r>
          <rPr>
            <sz val="7"/>
            <color indexed="81"/>
            <rFont val="Tahoma"/>
            <family val="2"/>
          </rPr>
          <t>Em geral os percentuais tributos aplicáveis são 0,65% para PIS e 3% para COFINS.
Para o ISS, deverão ser definidos pelo Tomador, através de declaração informativa, conforme legislação tributária municipal, a base de cálculo e, sobre esta, a respectiva alíquota do ISS, que será um percentual entre 2% e 5%.</t>
        </r>
      </text>
    </comment>
    <comment ref="D22" authorId="1">
      <text>
        <r>
          <rPr>
            <b/>
            <sz val="9"/>
            <color indexed="81"/>
            <rFont val="Tahoma"/>
            <family val="2"/>
          </rPr>
          <t>ENTRAR COM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1">
      <text>
        <r>
          <rPr>
            <b/>
            <sz val="9"/>
            <color indexed="81"/>
            <rFont val="Tahoma"/>
            <family val="2"/>
          </rPr>
          <t>ENTRAR COM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1">
      <text>
        <r>
          <rPr>
            <b/>
            <sz val="9"/>
            <color indexed="81"/>
            <rFont val="Tahoma"/>
            <family val="2"/>
          </rPr>
          <t>ENTRAR COM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4" authorId="2">
      <text>
        <r>
          <rPr>
            <sz val="9"/>
            <color indexed="81"/>
            <rFont val="Tahoma"/>
            <family val="2"/>
          </rPr>
          <t>É possível registrar entre parêntesis a Lei Municipal que dispõe sobre este tributo</t>
        </r>
      </text>
    </comment>
  </commentList>
</comments>
</file>

<file path=xl/comments3.xml><?xml version="1.0" encoding="utf-8"?>
<comments xmlns="http://schemas.openxmlformats.org/spreadsheetml/2006/main">
  <authors>
    <author>Marcelo Fank</author>
    <author>Eduardo (r. 3449)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 xml:space="preserve">ESPAÇO PARA CABEÇALHO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1">
      <text>
        <r>
          <rPr>
            <b/>
            <sz val="9"/>
            <color indexed="81"/>
            <rFont val="Tahoma"/>
            <family val="2"/>
          </rPr>
          <t>Em geral os percentuais tributos aplicáveis são 0,65% para PIS e 3% para COFINS.
Para o ISS, deverão ser definidos pelo Tomador, através de declaração informativa, conforme legislação tributária municipal, a base de cálculo e, sobre esta, a respectiva alíquota do ISS, que será um percentual entre 2% e 5%.</t>
        </r>
      </text>
    </comment>
  </commentList>
</comments>
</file>

<file path=xl/sharedStrings.xml><?xml version="1.0" encoding="utf-8"?>
<sst xmlns="http://schemas.openxmlformats.org/spreadsheetml/2006/main" count="408" uniqueCount="309">
  <si>
    <t>PREFEITURA MUNICIPAL DE NOVA ESPERANÇA DO SUL</t>
  </si>
  <si>
    <t>ITEM</t>
  </si>
  <si>
    <t>DESCRIÇÃO</t>
  </si>
  <si>
    <t>UNIDADE</t>
  </si>
  <si>
    <t>QUANT.</t>
  </si>
  <si>
    <t>VALOR UNIT.</t>
  </si>
  <si>
    <t>VALOR UNIT. +BDI</t>
  </si>
  <si>
    <t>TOTAL</t>
  </si>
  <si>
    <t>TOTAL + BDI</t>
  </si>
  <si>
    <t>2.1</t>
  </si>
  <si>
    <r>
      <rPr>
        <sz val="11"/>
        <color rgb="FF000000"/>
        <rFont val="Calibri"/>
        <family val="2"/>
        <charset val="1"/>
      </rPr>
      <t xml:space="preserve">      </t>
    </r>
    <r>
      <rPr>
        <b/>
        <sz val="14"/>
        <color rgb="FF000000"/>
        <rFont val="Calibri"/>
        <family val="2"/>
        <charset val="1"/>
      </rPr>
      <t>SECRETARIA DE OBRAS, HABITAÇÃO E SERVIÇOS URBANOS</t>
    </r>
  </si>
  <si>
    <t>CRONOGRAMA FÍSICO FINANCEIRO</t>
  </si>
  <si>
    <t>PREVISTO</t>
  </si>
  <si>
    <t>MÊS 1</t>
  </si>
  <si>
    <t>MÊS 2</t>
  </si>
  <si>
    <t>MÊS 3</t>
  </si>
  <si>
    <t>MÊS 4</t>
  </si>
  <si>
    <t>%</t>
  </si>
  <si>
    <t>VALOR</t>
  </si>
  <si>
    <t xml:space="preserve"> %</t>
  </si>
  <si>
    <t>ACUMULADO</t>
  </si>
  <si>
    <t>MÊS 5</t>
  </si>
  <si>
    <t>MÊS 6</t>
  </si>
  <si>
    <t>MÊS 7</t>
  </si>
  <si>
    <t>MÊS 8</t>
  </si>
  <si>
    <t>2.2</t>
  </si>
  <si>
    <t>3.2</t>
  </si>
  <si>
    <t>REF.</t>
  </si>
  <si>
    <t>1.0</t>
  </si>
  <si>
    <t>2.0</t>
  </si>
  <si>
    <t>3.0</t>
  </si>
  <si>
    <t>3.1</t>
  </si>
  <si>
    <t>3.3</t>
  </si>
  <si>
    <t>4.0</t>
  </si>
  <si>
    <t>4.1</t>
  </si>
  <si>
    <t>4.2</t>
  </si>
  <si>
    <t>4.3</t>
  </si>
  <si>
    <t>5.0</t>
  </si>
  <si>
    <t>5.1</t>
  </si>
  <si>
    <t>6.0</t>
  </si>
  <si>
    <t>6.1</t>
  </si>
  <si>
    <t>6.2</t>
  </si>
  <si>
    <t>7.0</t>
  </si>
  <si>
    <t>7.1</t>
  </si>
  <si>
    <t>7.2</t>
  </si>
  <si>
    <t>8.0</t>
  </si>
  <si>
    <t>8.1</t>
  </si>
  <si>
    <t>8.2</t>
  </si>
  <si>
    <t>8.3</t>
  </si>
  <si>
    <t>9.0</t>
  </si>
  <si>
    <t>9.1</t>
  </si>
  <si>
    <t>9.2</t>
  </si>
  <si>
    <t>MÊS 9</t>
  </si>
  <si>
    <t>MÊS 10</t>
  </si>
  <si>
    <t>MÊS 11</t>
  </si>
  <si>
    <t>MÊS 12</t>
  </si>
  <si>
    <t xml:space="preserve">INSERIR </t>
  </si>
  <si>
    <t>DADOS</t>
  </si>
  <si>
    <t xml:space="preserve">DATA: </t>
  </si>
  <si>
    <t>Resp. Téc.</t>
  </si>
  <si>
    <t>BDI :</t>
  </si>
  <si>
    <t>EDITAR APENAS CÉLULAS EM AZUL</t>
  </si>
  <si>
    <t>XXX/ XX</t>
  </si>
  <si>
    <t>Cargo - n° registro</t>
  </si>
  <si>
    <t>PLANILHA ORÇAMENTÁRIA - PROPOSTA</t>
  </si>
  <si>
    <r>
      <t>DATA:</t>
    </r>
    <r>
      <rPr>
        <sz val="11"/>
        <color rgb="FF000000"/>
        <rFont val="Calibri"/>
        <family val="2"/>
        <charset val="1"/>
      </rPr>
      <t xml:space="preserve"> </t>
    </r>
  </si>
  <si>
    <t>BDI DIF.:</t>
  </si>
  <si>
    <t>*  UTILIZAR VALORES COM 2 CASAS DECIMAIS APÓS A VÍRGULA</t>
  </si>
  <si>
    <t>10.0</t>
  </si>
  <si>
    <t>10.1</t>
  </si>
  <si>
    <t>10.2</t>
  </si>
  <si>
    <t>10.3</t>
  </si>
  <si>
    <t>11.0</t>
  </si>
  <si>
    <t>11.1</t>
  </si>
  <si>
    <t>11.2</t>
  </si>
  <si>
    <t>PAGINA 1</t>
  </si>
  <si>
    <t>PAGINA 2</t>
  </si>
  <si>
    <t>PAGINA 3</t>
  </si>
  <si>
    <t>*  SELECIONAR A PAGINA OU PAGINAS PARA IMPRESSÃO</t>
  </si>
  <si>
    <t>MODALIDADE N°:</t>
  </si>
  <si>
    <t>Município</t>
  </si>
  <si>
    <t>Nova Esperança do Sul</t>
  </si>
  <si>
    <t>Obra:</t>
  </si>
  <si>
    <t>CÁLCULO B.D.I. (NOVA REGRA)</t>
  </si>
  <si>
    <t>BDI</t>
  </si>
  <si>
    <t>ADM</t>
  </si>
  <si>
    <t>SEGURO E GARANTIA</t>
  </si>
  <si>
    <t>RISCO</t>
  </si>
  <si>
    <t>DESPESAS</t>
  </si>
  <si>
    <t>LUCRO</t>
  </si>
  <si>
    <t>1 Q</t>
  </si>
  <si>
    <t>MEDIO</t>
  </si>
  <si>
    <t>3 Q</t>
  </si>
  <si>
    <t>ONERADO</t>
  </si>
  <si>
    <t>Considerada tributação integral</t>
  </si>
  <si>
    <t>DESONERADO</t>
  </si>
  <si>
    <t>x</t>
  </si>
  <si>
    <t>Reduzido 2% da tributação para enquadrar</t>
  </si>
  <si>
    <t>CONSTRUÇÃO DE EDIFÍCIOS</t>
  </si>
  <si>
    <t>TIPO DE OBRA</t>
  </si>
  <si>
    <t>CONSTRUÇÃO DE RODOVIAS E FERROVIAS</t>
  </si>
  <si>
    <t>CONSTRUÇÃO DE REDES DE ABASTECIMENTO DE ÁGUA, COLETA DE ESGOTO E CONSTRUÇÕES CORRELATAS</t>
  </si>
  <si>
    <t>CONSTRUÇÃO E MANUTENÇÃO DE ESTAÇÕES E REDES DE DISTRIBUIÇÃO DE ENERGIA ELÉTRICA</t>
  </si>
  <si>
    <t>OBRAS PORTUÁRIAS, MARÍTIMAS E FLUVIAIS</t>
  </si>
  <si>
    <t>FORNECIMENTO DE MATERIAIS E EQUIPAMENTOS</t>
  </si>
  <si>
    <t>CÁLCULO DO BDI</t>
  </si>
  <si>
    <t>VALORES BASE</t>
  </si>
  <si>
    <t>1 QUARTIL</t>
  </si>
  <si>
    <t>MÉDIO</t>
  </si>
  <si>
    <t>3 QUARTIL</t>
  </si>
  <si>
    <t>Administração Central</t>
  </si>
  <si>
    <t>Seguro e Garantia</t>
  </si>
  <si>
    <t>TRIBUTOS</t>
  </si>
  <si>
    <t>Risco</t>
  </si>
  <si>
    <t xml:space="preserve">PIS </t>
  </si>
  <si>
    <t>Despesas Financeiras</t>
  </si>
  <si>
    <t>COFINS</t>
  </si>
  <si>
    <t xml:space="preserve">Lucro </t>
  </si>
  <si>
    <t>ISSQN Lei Municipal 811/2003 (Código Tributário Municipal)</t>
  </si>
  <si>
    <t>Tributos (Preencher quadro ao lado)</t>
  </si>
  <si>
    <t xml:space="preserve">Sobre receita bruta
(caso da desoneração) </t>
  </si>
  <si>
    <t>VERIFICAÇÃO</t>
  </si>
  <si>
    <t>LIMITE MÍNIMO BDI</t>
  </si>
  <si>
    <t>LIMITE MÁXIMO BDI</t>
  </si>
  <si>
    <t>BDI CALCULADO</t>
  </si>
  <si>
    <t>PLANILHA NÃO HOMOLOGADA PELA CAIXA ECONÔMICA FEDERAL</t>
  </si>
  <si>
    <t xml:space="preserve">Declaramos, para devidos fins, que a composição analítica do BDI utilizada na </t>
  </si>
  <si>
    <t>Planilha Orçamentária proposta para a obra</t>
  </si>
  <si>
    <t>na cidade de</t>
  </si>
  <si>
    <t>/ RS, foi:</t>
  </si>
  <si>
    <t>Composição Analítica BDI</t>
  </si>
  <si>
    <t>Administração Central (AC)</t>
  </si>
  <si>
    <t>Seguro e Garantia (S + G)</t>
  </si>
  <si>
    <t xml:space="preserve">Risco (R) </t>
  </si>
  <si>
    <t>Despesas Financeiras (DF)</t>
  </si>
  <si>
    <t>Lucro (L)</t>
  </si>
  <si>
    <t xml:space="preserve">Tributos ( I ) </t>
  </si>
  <si>
    <t>BDI total</t>
  </si>
  <si>
    <t>Fórmula Acórdão 2622/2013 – TCU:</t>
  </si>
  <si>
    <t>OBS:</t>
  </si>
  <si>
    <t>O detalhamento de encargos sociais atende ao estabelecido no SINAPI - RS para mão-de-obra horista e mensalista</t>
  </si>
  <si>
    <t>1.1</t>
  </si>
  <si>
    <t>1.1.1</t>
  </si>
  <si>
    <t>1.2</t>
  </si>
  <si>
    <t>1.2.1</t>
  </si>
  <si>
    <t>1.2.2</t>
  </si>
  <si>
    <t>1.2.3</t>
  </si>
  <si>
    <t>1.2.4</t>
  </si>
  <si>
    <t>1.2.5</t>
  </si>
  <si>
    <t>COD.</t>
  </si>
  <si>
    <t>1.3</t>
  </si>
  <si>
    <t>1.3.1</t>
  </si>
  <si>
    <t>1.3.2</t>
  </si>
  <si>
    <t>2.1.1</t>
  </si>
  <si>
    <t>2.2.1</t>
  </si>
  <si>
    <t>2.2.2</t>
  </si>
  <si>
    <t>2.2.3</t>
  </si>
  <si>
    <t>2.2.4</t>
  </si>
  <si>
    <t>2.3</t>
  </si>
  <si>
    <t>5.2</t>
  </si>
  <si>
    <t>2.3.1</t>
  </si>
  <si>
    <t>2.3.2</t>
  </si>
  <si>
    <t>3.1.1</t>
  </si>
  <si>
    <t>6.3</t>
  </si>
  <si>
    <t>3.2.1</t>
  </si>
  <si>
    <t>3.2.2</t>
  </si>
  <si>
    <t>3.2.3</t>
  </si>
  <si>
    <t>3.2.4</t>
  </si>
  <si>
    <t>3.3.1</t>
  </si>
  <si>
    <t>3.3.2</t>
  </si>
  <si>
    <t>4.1.1</t>
  </si>
  <si>
    <t>4.2.1</t>
  </si>
  <si>
    <t>4.2.2</t>
  </si>
  <si>
    <t>4.2.3</t>
  </si>
  <si>
    <t>4.2.4</t>
  </si>
  <si>
    <t>5.1.1</t>
  </si>
  <si>
    <t>5.2.1</t>
  </si>
  <si>
    <t>5.2.2</t>
  </si>
  <si>
    <t>5.2.3</t>
  </si>
  <si>
    <t>5.2.4</t>
  </si>
  <si>
    <t>5.3</t>
  </si>
  <si>
    <t>5.3.1</t>
  </si>
  <si>
    <t>5.3.2</t>
  </si>
  <si>
    <t>4.3.1</t>
  </si>
  <si>
    <t>4.3.2</t>
  </si>
  <si>
    <t>6.1.1</t>
  </si>
  <si>
    <t>6.2.1</t>
  </si>
  <si>
    <t>6.2.2</t>
  </si>
  <si>
    <t>6.2.3</t>
  </si>
  <si>
    <t>6.2.4</t>
  </si>
  <si>
    <t>6.2.5</t>
  </si>
  <si>
    <t>6.3.1</t>
  </si>
  <si>
    <t>6.3.2</t>
  </si>
  <si>
    <t>7.1.1</t>
  </si>
  <si>
    <t>7.3</t>
  </si>
  <si>
    <t>7.2.1</t>
  </si>
  <si>
    <t>7.2.2</t>
  </si>
  <si>
    <t>7.2.3</t>
  </si>
  <si>
    <t>7.2.4</t>
  </si>
  <si>
    <t>7.2.5</t>
  </si>
  <si>
    <t>7.2.6</t>
  </si>
  <si>
    <t>7.2.7</t>
  </si>
  <si>
    <t>7.3.1</t>
  </si>
  <si>
    <t>7.3.2</t>
  </si>
  <si>
    <t>8.1.1</t>
  </si>
  <si>
    <t>8.2.1</t>
  </si>
  <si>
    <t>8.2.2</t>
  </si>
  <si>
    <t>8.2.3</t>
  </si>
  <si>
    <t>8.2.4</t>
  </si>
  <si>
    <t>8.2.5</t>
  </si>
  <si>
    <t>8.3.1</t>
  </si>
  <si>
    <t>8.3.2</t>
  </si>
  <si>
    <t>9.1.1</t>
  </si>
  <si>
    <t>9.2.1</t>
  </si>
  <si>
    <t>9.2.2</t>
  </si>
  <si>
    <t>9.2.3</t>
  </si>
  <si>
    <t>9.2.4</t>
  </si>
  <si>
    <t>9.3</t>
  </si>
  <si>
    <t>9.3.1</t>
  </si>
  <si>
    <t>9.3.2</t>
  </si>
  <si>
    <t>10.1.1</t>
  </si>
  <si>
    <t>10.2.1</t>
  </si>
  <si>
    <t>10.3.1</t>
  </si>
  <si>
    <t>10.3.2</t>
  </si>
  <si>
    <t>10.2.2</t>
  </si>
  <si>
    <t>10.2.3</t>
  </si>
  <si>
    <t>10.2.4</t>
  </si>
  <si>
    <t>11.1.1</t>
  </si>
  <si>
    <t>11.2.1</t>
  </si>
  <si>
    <t>11.2.2</t>
  </si>
  <si>
    <t>12.0</t>
  </si>
  <si>
    <t>12.1</t>
  </si>
  <si>
    <t>12.1.1</t>
  </si>
  <si>
    <t>12.2</t>
  </si>
  <si>
    <t>12.2.1</t>
  </si>
  <si>
    <t>12.2.2</t>
  </si>
  <si>
    <t>12.2.3</t>
  </si>
  <si>
    <t>12.2.4</t>
  </si>
  <si>
    <t>12.3</t>
  </si>
  <si>
    <t>12.3.1</t>
  </si>
  <si>
    <t>12.3.2</t>
  </si>
  <si>
    <t>13.1</t>
  </si>
  <si>
    <t>13.1.1</t>
  </si>
  <si>
    <t>13.2</t>
  </si>
  <si>
    <t>13.2.1</t>
  </si>
  <si>
    <t>13.2.2</t>
  </si>
  <si>
    <t>14.0</t>
  </si>
  <si>
    <t>14.1</t>
  </si>
  <si>
    <t>14.1.1</t>
  </si>
  <si>
    <t>14.2</t>
  </si>
  <si>
    <t>14.2.1</t>
  </si>
  <si>
    <t>14.2.2</t>
  </si>
  <si>
    <t>14.2.3</t>
  </si>
  <si>
    <t>14.2.4</t>
  </si>
  <si>
    <t>14.3</t>
  </si>
  <si>
    <t>14.3.1</t>
  </si>
  <si>
    <t>14.3.2</t>
  </si>
  <si>
    <t>15.0</t>
  </si>
  <si>
    <t>15.1</t>
  </si>
  <si>
    <t>15.2</t>
  </si>
  <si>
    <t>15.2.1</t>
  </si>
  <si>
    <t>15.2.2</t>
  </si>
  <si>
    <t>15.2.3</t>
  </si>
  <si>
    <t>15.2.4</t>
  </si>
  <si>
    <t>15.3</t>
  </si>
  <si>
    <t>15.3.1</t>
  </si>
  <si>
    <t>15.3.2</t>
  </si>
  <si>
    <t>16.0</t>
  </si>
  <si>
    <t>16.1</t>
  </si>
  <si>
    <t>15.1.1</t>
  </si>
  <si>
    <t>16.1.1</t>
  </si>
  <si>
    <t>16.2</t>
  </si>
  <si>
    <t>16.3</t>
  </si>
  <si>
    <t>16.2.1</t>
  </si>
  <si>
    <t>16.2.2</t>
  </si>
  <si>
    <t>16.2.3</t>
  </si>
  <si>
    <t>16.2.4</t>
  </si>
  <si>
    <t>16.3.1</t>
  </si>
  <si>
    <t>16.3.2</t>
  </si>
  <si>
    <t>17.0</t>
  </si>
  <si>
    <t>17.1</t>
  </si>
  <si>
    <t>17.1.1</t>
  </si>
  <si>
    <t>17.2</t>
  </si>
  <si>
    <t>17.2.1</t>
  </si>
  <si>
    <t>17.2.2</t>
  </si>
  <si>
    <t>18.0</t>
  </si>
  <si>
    <t>18.1</t>
  </si>
  <si>
    <t>18.1.1</t>
  </si>
  <si>
    <t>18.2</t>
  </si>
  <si>
    <t>18.2.1</t>
  </si>
  <si>
    <t>18.2.2</t>
  </si>
  <si>
    <t>18.2.3</t>
  </si>
  <si>
    <t>18.2.4</t>
  </si>
  <si>
    <t>18.2.5</t>
  </si>
  <si>
    <t>18.3</t>
  </si>
  <si>
    <t>19.0</t>
  </si>
  <si>
    <t>19.1</t>
  </si>
  <si>
    <t>19.1.1</t>
  </si>
  <si>
    <t>19.2.1</t>
  </si>
  <si>
    <t>19.2.2</t>
  </si>
  <si>
    <t>19.2</t>
  </si>
  <si>
    <t>Resp. Legal Empresa</t>
  </si>
  <si>
    <t>OBRA: PAVIMENTAÇÃO COM BLOCOS INTERTRAVADOS DE CONCRETO</t>
  </si>
  <si>
    <t>END: ZONA URBANA, NOVA ESPERANÇA DO SUL/RS</t>
  </si>
  <si>
    <t>4.2.5</t>
  </si>
  <si>
    <t>12.2.5</t>
  </si>
  <si>
    <r>
      <t>OBRA:</t>
    </r>
    <r>
      <rPr>
        <sz val="11"/>
        <color rgb="FF000000"/>
        <rFont val="Calibri"/>
        <family val="2"/>
        <charset val="1"/>
      </rPr>
      <t xml:space="preserve"> PAVIMENTAÇÃO COM BLOCOS INTERTRAVADOS DE CONCRETO</t>
    </r>
  </si>
  <si>
    <r>
      <t>LOCAL:</t>
    </r>
    <r>
      <rPr>
        <sz val="11"/>
        <color rgb="FF000000"/>
        <rFont val="Calibri"/>
        <family val="2"/>
        <charset val="1"/>
      </rPr>
      <t xml:space="preserve"> ZONA URBANA, NOVA ESPERANÇA DO SUL/RS</t>
    </r>
  </si>
  <si>
    <t>Pavimentação com blocos intertravados de concreto</t>
  </si>
</sst>
</file>

<file path=xl/styles.xml><?xml version="1.0" encoding="utf-8"?>
<styleSheet xmlns="http://schemas.openxmlformats.org/spreadsheetml/2006/main">
  <numFmts count="5">
    <numFmt numFmtId="164" formatCode="_-[$R$-416]\ * #,##0.00_-;\-[$R$-416]\ * #,##0.00_-;_-[$R$-416]\ * \-??_-;_-@_-"/>
    <numFmt numFmtId="165" formatCode="_-* #,##0.00_-;\-* #,##0.00_-;_-* \-??_-;_-@_-"/>
    <numFmt numFmtId="166" formatCode="_-&quot;R$ &quot;* #,##0.00_-;&quot;-R$ &quot;* #,##0.00_-;_-&quot;R$ &quot;* \-??_-;_-@_-"/>
    <numFmt numFmtId="167" formatCode="_-[$R$-416]\ * #,##0.00_-;\-[$R$-416]\ * #,##0.00_-;_-[$R$-416]\ * &quot;-&quot;??_-;_-@_-"/>
    <numFmt numFmtId="168" formatCode="0.0000"/>
  </numFmts>
  <fonts count="36">
    <font>
      <sz val="11"/>
      <color rgb="FF000000"/>
      <name val="Calibri"/>
      <family val="2"/>
      <charset val="1"/>
    </font>
    <font>
      <sz val="10"/>
      <name val="Arial"/>
      <family val="2"/>
    </font>
    <font>
      <b/>
      <sz val="18"/>
      <color rgb="FF000000"/>
      <name val="Calibri"/>
      <family val="2"/>
      <charset val="1"/>
    </font>
    <font>
      <b/>
      <sz val="13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10"/>
      <name val="Arial"/>
      <family val="2"/>
    </font>
    <font>
      <b/>
      <sz val="14"/>
      <color indexed="8"/>
      <name val="Franklin Gothic Demi"/>
      <family val="2"/>
    </font>
    <font>
      <sz val="12"/>
      <color indexed="8"/>
      <name val="Franklin Gothic Demi"/>
      <family val="2"/>
    </font>
    <font>
      <i/>
      <sz val="10"/>
      <color indexed="8"/>
      <name val="Arial"/>
      <family val="2"/>
    </font>
    <font>
      <b/>
      <sz val="12"/>
      <name val="Arial"/>
      <family val="2"/>
    </font>
    <font>
      <sz val="10"/>
      <name val="Franklin Gothic Demi"/>
      <family val="2"/>
    </font>
    <font>
      <sz val="10"/>
      <color indexed="11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0"/>
      <color indexed="63"/>
      <name val="Franklin Gothic Demi"/>
      <family val="2"/>
    </font>
    <font>
      <sz val="11"/>
      <color indexed="63"/>
      <name val="Franklin Gothic Heavy"/>
      <family val="2"/>
    </font>
    <font>
      <b/>
      <sz val="10"/>
      <color indexed="54"/>
      <name val="Arial"/>
      <family val="2"/>
    </font>
    <font>
      <b/>
      <sz val="12"/>
      <name val="Franklin Gothic Demi"/>
      <family val="2"/>
    </font>
    <font>
      <sz val="9"/>
      <color indexed="63"/>
      <name val="Arial"/>
      <family val="2"/>
    </font>
    <font>
      <b/>
      <sz val="11"/>
      <color indexed="54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sz val="11"/>
      <color indexed="81"/>
      <name val="Tahoma"/>
      <family val="2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2"/>
      <color indexed="81"/>
      <name val="Tahoma"/>
      <family val="2"/>
    </font>
    <font>
      <sz val="7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b/>
      <sz val="10"/>
      <name val="Arial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00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auto="1"/>
      </left>
      <right/>
      <top/>
      <bottom/>
      <diagonal/>
    </border>
  </borders>
  <cellStyleXfs count="4">
    <xf numFmtId="0" fontId="0" fillId="0" borderId="0"/>
    <xf numFmtId="165" fontId="8" fillId="0" borderId="0" applyBorder="0" applyProtection="0"/>
    <xf numFmtId="9" fontId="1" fillId="0" borderId="0" applyBorder="0" applyAlignment="0" applyProtection="0"/>
    <xf numFmtId="0" fontId="8" fillId="0" borderId="0"/>
  </cellStyleXfs>
  <cellXfs count="27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Protection="1"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/>
      <protection locked="0"/>
    </xf>
    <xf numFmtId="2" fontId="0" fillId="0" borderId="9" xfId="1" applyNumberFormat="1" applyFont="1" applyBorder="1" applyAlignment="1" applyProtection="1">
      <alignment horizontal="center"/>
      <protection locked="0"/>
    </xf>
    <xf numFmtId="2" fontId="0" fillId="0" borderId="9" xfId="0" applyNumberFormat="1" applyBorder="1" applyAlignment="1" applyProtection="1">
      <alignment horizontal="center"/>
      <protection locked="0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0" fillId="0" borderId="10" xfId="0" applyBorder="1" applyProtection="1">
      <protection locked="0"/>
    </xf>
    <xf numFmtId="2" fontId="0" fillId="0" borderId="9" xfId="0" applyNumberFormat="1" applyBorder="1" applyAlignment="1" applyProtection="1">
      <alignment horizontal="center"/>
    </xf>
    <xf numFmtId="166" fontId="0" fillId="0" borderId="9" xfId="0" applyNumberFormat="1" applyBorder="1" applyAlignment="1" applyProtection="1">
      <alignment horizontal="center"/>
    </xf>
    <xf numFmtId="164" fontId="0" fillId="0" borderId="9" xfId="0" applyNumberFormat="1" applyBorder="1" applyProtection="1"/>
    <xf numFmtId="0" fontId="0" fillId="4" borderId="13" xfId="0" applyFill="1" applyBorder="1"/>
    <xf numFmtId="2" fontId="0" fillId="4" borderId="9" xfId="0" applyNumberFormat="1" applyFill="1" applyBorder="1" applyAlignment="1" applyProtection="1">
      <alignment horizontal="center"/>
      <protection locked="0"/>
    </xf>
    <xf numFmtId="0" fontId="0" fillId="4" borderId="2" xfId="0" applyFill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5" fillId="0" borderId="4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2" borderId="11" xfId="0" applyFont="1" applyFill="1" applyBorder="1" applyProtection="1">
      <protection locked="0"/>
    </xf>
    <xf numFmtId="0" fontId="5" fillId="2" borderId="12" xfId="0" applyFont="1" applyFill="1" applyBorder="1" applyProtection="1">
      <protection locked="0"/>
    </xf>
    <xf numFmtId="0" fontId="5" fillId="2" borderId="9" xfId="0" applyFont="1" applyFill="1" applyBorder="1" applyProtection="1">
      <protection locked="0"/>
    </xf>
    <xf numFmtId="0" fontId="5" fillId="2" borderId="9" xfId="0" applyFont="1" applyFill="1" applyBorder="1" applyAlignment="1" applyProtection="1">
      <alignment horizontal="center"/>
      <protection locked="0"/>
    </xf>
    <xf numFmtId="0" fontId="0" fillId="4" borderId="9" xfId="0" applyFill="1" applyBorder="1" applyProtection="1">
      <protection locked="0"/>
    </xf>
    <xf numFmtId="0" fontId="0" fillId="0" borderId="15" xfId="0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1" xfId="0" applyBorder="1" applyProtection="1">
      <protection locked="0"/>
    </xf>
    <xf numFmtId="0" fontId="0" fillId="0" borderId="12" xfId="0" applyBorder="1" applyAlignment="1" applyProtection="1">
      <alignment horizontal="center"/>
      <protection locked="0"/>
    </xf>
    <xf numFmtId="0" fontId="5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2" borderId="12" xfId="0" applyFill="1" applyBorder="1" applyProtection="1">
      <protection locked="0"/>
    </xf>
    <xf numFmtId="166" fontId="0" fillId="0" borderId="9" xfId="0" applyNumberFormat="1" applyFont="1" applyBorder="1" applyProtection="1"/>
    <xf numFmtId="166" fontId="0" fillId="0" borderId="9" xfId="0" applyNumberFormat="1" applyBorder="1" applyProtection="1"/>
    <xf numFmtId="166" fontId="7" fillId="2" borderId="9" xfId="0" applyNumberFormat="1" applyFont="1" applyFill="1" applyBorder="1" applyProtection="1"/>
    <xf numFmtId="2" fontId="0" fillId="2" borderId="9" xfId="0" applyNumberFormat="1" applyFill="1" applyBorder="1" applyProtection="1"/>
    <xf numFmtId="166" fontId="0" fillId="2" borderId="9" xfId="0" applyNumberFormat="1" applyFill="1" applyBorder="1" applyProtection="1"/>
    <xf numFmtId="2" fontId="0" fillId="2" borderId="9" xfId="0" applyNumberFormat="1" applyFill="1" applyBorder="1" applyAlignment="1" applyProtection="1">
      <alignment horizontal="center"/>
    </xf>
    <xf numFmtId="0" fontId="9" fillId="2" borderId="9" xfId="0" applyFont="1" applyFill="1" applyBorder="1" applyAlignment="1" applyProtection="1">
      <alignment horizontal="left" vertical="center"/>
      <protection locked="0"/>
    </xf>
    <xf numFmtId="0" fontId="9" fillId="2" borderId="9" xfId="0" applyFont="1" applyFill="1" applyBorder="1" applyAlignment="1" applyProtection="1">
      <alignment horizontal="left"/>
      <protection locked="0"/>
    </xf>
    <xf numFmtId="0" fontId="10" fillId="0" borderId="19" xfId="0" applyFont="1" applyBorder="1"/>
    <xf numFmtId="0" fontId="10" fillId="0" borderId="22" xfId="0" applyFont="1" applyBorder="1"/>
    <xf numFmtId="0" fontId="0" fillId="6" borderId="31" xfId="0" applyFill="1" applyBorder="1" applyAlignment="1">
      <alignment horizontal="center" vertical="center"/>
    </xf>
    <xf numFmtId="0" fontId="13" fillId="8" borderId="31" xfId="0" applyFont="1" applyFill="1" applyBorder="1" applyAlignment="1">
      <alignment vertical="center"/>
    </xf>
    <xf numFmtId="0" fontId="12" fillId="8" borderId="32" xfId="0" applyFont="1" applyFill="1" applyBorder="1" applyAlignment="1">
      <alignment vertical="center"/>
    </xf>
    <xf numFmtId="0" fontId="11" fillId="8" borderId="32" xfId="0" applyFont="1" applyFill="1" applyBorder="1" applyAlignment="1">
      <alignment horizontal="center" vertical="center"/>
    </xf>
    <xf numFmtId="0" fontId="11" fillId="8" borderId="33" xfId="0" applyFont="1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13" fillId="8" borderId="34" xfId="0" applyFont="1" applyFill="1" applyBorder="1" applyAlignment="1">
      <alignment vertical="center"/>
    </xf>
    <xf numFmtId="0" fontId="12" fillId="8" borderId="35" xfId="0" applyFont="1" applyFill="1" applyBorder="1" applyAlignment="1">
      <alignment vertical="center"/>
    </xf>
    <xf numFmtId="0" fontId="11" fillId="8" borderId="35" xfId="0" applyFont="1" applyFill="1" applyBorder="1" applyAlignment="1">
      <alignment horizontal="center" vertical="center"/>
    </xf>
    <xf numFmtId="0" fontId="11" fillId="8" borderId="36" xfId="0" applyFont="1" applyFill="1" applyBorder="1" applyAlignment="1">
      <alignment horizontal="center" vertical="center"/>
    </xf>
    <xf numFmtId="0" fontId="0" fillId="9" borderId="25" xfId="0" applyFill="1" applyBorder="1"/>
    <xf numFmtId="0" fontId="0" fillId="9" borderId="26" xfId="0" applyFill="1" applyBorder="1"/>
    <xf numFmtId="0" fontId="0" fillId="9" borderId="27" xfId="0" applyFill="1" applyBorder="1"/>
    <xf numFmtId="0" fontId="12" fillId="0" borderId="0" xfId="0" applyFont="1" applyFill="1" applyBorder="1" applyAlignment="1">
      <alignment vertical="center"/>
    </xf>
    <xf numFmtId="0" fontId="0" fillId="9" borderId="37" xfId="0" applyFill="1" applyBorder="1"/>
    <xf numFmtId="0" fontId="0" fillId="9" borderId="38" xfId="0" applyFill="1" applyBorder="1"/>
    <xf numFmtId="0" fontId="0" fillId="6" borderId="21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16" fillId="0" borderId="0" xfId="0" applyFont="1"/>
    <xf numFmtId="0" fontId="1" fillId="6" borderId="40" xfId="0" applyFont="1" applyFill="1" applyBorder="1" applyAlignment="1">
      <alignment horizontal="center" vertical="center"/>
    </xf>
    <xf numFmtId="0" fontId="17" fillId="0" borderId="0" xfId="0" applyFont="1"/>
    <xf numFmtId="0" fontId="0" fillId="6" borderId="24" xfId="0" applyFill="1" applyBorder="1" applyAlignment="1">
      <alignment horizontal="center" vertical="center"/>
    </xf>
    <xf numFmtId="0" fontId="0" fillId="9" borderId="28" xfId="0" applyFill="1" applyBorder="1"/>
    <xf numFmtId="0" fontId="0" fillId="9" borderId="29" xfId="0" applyFill="1" applyBorder="1" applyAlignment="1">
      <alignment horizontal="left" vertical="center"/>
    </xf>
    <xf numFmtId="0" fontId="0" fillId="9" borderId="29" xfId="0" applyFill="1" applyBorder="1" applyAlignment="1">
      <alignment horizontal="center"/>
    </xf>
    <xf numFmtId="0" fontId="0" fillId="9" borderId="30" xfId="0" applyFill="1" applyBorder="1"/>
    <xf numFmtId="0" fontId="18" fillId="10" borderId="22" xfId="0" applyFont="1" applyFill="1" applyBorder="1" applyAlignment="1">
      <alignment horizontal="center"/>
    </xf>
    <xf numFmtId="0" fontId="18" fillId="10" borderId="23" xfId="0" applyFont="1" applyFill="1" applyBorder="1" applyAlignment="1">
      <alignment horizontal="center"/>
    </xf>
    <xf numFmtId="0" fontId="18" fillId="10" borderId="24" xfId="0" applyFont="1" applyFill="1" applyBorder="1" applyAlignment="1">
      <alignment horizontal="center"/>
    </xf>
    <xf numFmtId="10" fontId="0" fillId="6" borderId="21" xfId="2" applyNumberFormat="1" applyFont="1" applyFill="1" applyBorder="1" applyAlignment="1">
      <alignment horizontal="right" indent="1"/>
    </xf>
    <xf numFmtId="10" fontId="18" fillId="12" borderId="41" xfId="2" applyNumberFormat="1" applyFont="1" applyFill="1" applyBorder="1" applyAlignment="1">
      <alignment horizontal="center"/>
    </xf>
    <xf numFmtId="10" fontId="18" fillId="12" borderId="20" xfId="2" applyNumberFormat="1" applyFont="1" applyFill="1" applyBorder="1" applyAlignment="1">
      <alignment horizontal="center"/>
    </xf>
    <xf numFmtId="10" fontId="18" fillId="12" borderId="21" xfId="2" applyNumberFormat="1" applyFont="1" applyFill="1" applyBorder="1" applyAlignment="1">
      <alignment horizontal="center"/>
    </xf>
    <xf numFmtId="168" fontId="0" fillId="0" borderId="0" xfId="0" applyNumberFormat="1"/>
    <xf numFmtId="10" fontId="0" fillId="6" borderId="40" xfId="2" applyNumberFormat="1" applyFont="1" applyFill="1" applyBorder="1" applyAlignment="1">
      <alignment horizontal="right" indent="1"/>
    </xf>
    <xf numFmtId="10" fontId="18" fillId="12" borderId="10" xfId="2" applyNumberFormat="1" applyFont="1" applyFill="1" applyBorder="1" applyAlignment="1">
      <alignment horizontal="center"/>
    </xf>
    <xf numFmtId="10" fontId="18" fillId="12" borderId="9" xfId="2" applyNumberFormat="1" applyFont="1" applyFill="1" applyBorder="1" applyAlignment="1">
      <alignment horizontal="center"/>
    </xf>
    <xf numFmtId="10" fontId="18" fillId="12" borderId="40" xfId="2" applyNumberFormat="1" applyFont="1" applyFill="1" applyBorder="1" applyAlignment="1">
      <alignment horizontal="center"/>
    </xf>
    <xf numFmtId="0" fontId="0" fillId="11" borderId="39" xfId="0" applyFill="1" applyBorder="1"/>
    <xf numFmtId="2" fontId="0" fillId="6" borderId="40" xfId="0" applyNumberFormat="1" applyFill="1" applyBorder="1" applyAlignment="1" applyProtection="1">
      <alignment horizontal="right"/>
      <protection locked="0"/>
    </xf>
    <xf numFmtId="10" fontId="18" fillId="12" borderId="43" xfId="2" applyNumberFormat="1" applyFont="1" applyFill="1" applyBorder="1" applyAlignment="1">
      <alignment horizontal="center"/>
    </xf>
    <xf numFmtId="10" fontId="18" fillId="12" borderId="23" xfId="2" applyNumberFormat="1" applyFont="1" applyFill="1" applyBorder="1" applyAlignment="1">
      <alignment horizontal="center"/>
    </xf>
    <xf numFmtId="10" fontId="18" fillId="12" borderId="24" xfId="2" applyNumberFormat="1" applyFont="1" applyFill="1" applyBorder="1" applyAlignment="1">
      <alignment horizontal="center"/>
    </xf>
    <xf numFmtId="0" fontId="0" fillId="11" borderId="39" xfId="0" applyFill="1" applyBorder="1" applyProtection="1">
      <protection locked="0"/>
    </xf>
    <xf numFmtId="10" fontId="0" fillId="11" borderId="40" xfId="2" applyNumberFormat="1" applyFont="1" applyFill="1" applyBorder="1" applyAlignment="1" applyProtection="1">
      <alignment horizontal="right" indent="1"/>
    </xf>
    <xf numFmtId="10" fontId="20" fillId="9" borderId="0" xfId="2" applyNumberFormat="1" applyFont="1" applyFill="1" applyBorder="1" applyAlignment="1">
      <alignment horizontal="left" indent="1"/>
    </xf>
    <xf numFmtId="10" fontId="21" fillId="9" borderId="0" xfId="2" applyNumberFormat="1" applyFont="1" applyFill="1" applyBorder="1" applyAlignment="1">
      <alignment horizontal="center"/>
    </xf>
    <xf numFmtId="10" fontId="22" fillId="9" borderId="0" xfId="2" applyNumberFormat="1" applyFont="1" applyFill="1" applyBorder="1" applyAlignment="1">
      <alignment horizontal="center"/>
    </xf>
    <xf numFmtId="10" fontId="14" fillId="11" borderId="24" xfId="2" applyNumberFormat="1" applyFont="1" applyFill="1" applyBorder="1" applyAlignment="1">
      <alignment horizontal="right" indent="1"/>
    </xf>
    <xf numFmtId="10" fontId="20" fillId="9" borderId="0" xfId="2" applyNumberFormat="1" applyFont="1" applyFill="1" applyBorder="1" applyAlignment="1">
      <alignment horizontal="left" vertical="center" indent="1"/>
    </xf>
    <xf numFmtId="10" fontId="24" fillId="9" borderId="0" xfId="2" applyNumberFormat="1" applyFont="1" applyFill="1" applyBorder="1" applyAlignment="1">
      <alignment horizontal="center"/>
    </xf>
    <xf numFmtId="10" fontId="25" fillId="9" borderId="0" xfId="2" applyNumberFormat="1" applyFont="1" applyFill="1" applyBorder="1" applyAlignment="1">
      <alignment horizontal="center"/>
    </xf>
    <xf numFmtId="0" fontId="0" fillId="9" borderId="29" xfId="0" applyFill="1" applyBorder="1"/>
    <xf numFmtId="0" fontId="15" fillId="11" borderId="19" xfId="0" applyFont="1" applyFill="1" applyBorder="1" applyAlignment="1">
      <alignment vertical="center"/>
    </xf>
    <xf numFmtId="0" fontId="15" fillId="11" borderId="39" xfId="0" applyFont="1" applyFill="1" applyBorder="1" applyAlignment="1">
      <alignment vertical="center"/>
    </xf>
    <xf numFmtId="0" fontId="15" fillId="11" borderId="22" xfId="0" applyFont="1" applyFill="1" applyBorder="1" applyAlignment="1">
      <alignment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center" indent="1"/>
    </xf>
    <xf numFmtId="0" fontId="0" fillId="0" borderId="7" xfId="0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0" fontId="0" fillId="0" borderId="40" xfId="0" applyNumberFormat="1" applyBorder="1" applyAlignment="1">
      <alignment horizontal="center" vertical="center"/>
    </xf>
    <xf numFmtId="0" fontId="0" fillId="0" borderId="39" xfId="0" applyBorder="1" applyAlignment="1">
      <alignment horizontal="right" vertical="center" wrapText="1"/>
    </xf>
    <xf numFmtId="2" fontId="0" fillId="0" borderId="12" xfId="0" applyNumberFormat="1" applyBorder="1" applyAlignment="1">
      <alignment vertical="center" wrapText="1"/>
    </xf>
    <xf numFmtId="10" fontId="10" fillId="14" borderId="24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5" fillId="2" borderId="9" xfId="0" applyFont="1" applyFill="1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0" xfId="0" applyFill="1" applyBorder="1" applyAlignment="1" applyProtection="1">
      <alignment horizontal="center"/>
      <protection locked="0"/>
    </xf>
    <xf numFmtId="0" fontId="9" fillId="3" borderId="11" xfId="0" applyFont="1" applyFill="1" applyBorder="1" applyAlignment="1" applyProtection="1">
      <alignment horizontal="left"/>
      <protection locked="0"/>
    </xf>
    <xf numFmtId="0" fontId="9" fillId="3" borderId="12" xfId="0" applyFont="1" applyFill="1" applyBorder="1" applyAlignment="1" applyProtection="1">
      <alignment horizontal="left"/>
      <protection locked="0"/>
    </xf>
    <xf numFmtId="0" fontId="9" fillId="3" borderId="10" xfId="0" applyFont="1" applyFill="1" applyBorder="1" applyAlignment="1" applyProtection="1">
      <alignment horizontal="left"/>
      <protection locked="0"/>
    </xf>
    <xf numFmtId="0" fontId="4" fillId="2" borderId="9" xfId="0" applyFont="1" applyFill="1" applyBorder="1" applyAlignment="1" applyProtection="1">
      <alignment horizontal="center"/>
      <protection locked="0"/>
    </xf>
    <xf numFmtId="0" fontId="5" fillId="2" borderId="9" xfId="0" applyFont="1" applyFill="1" applyBorder="1" applyAlignment="1" applyProtection="1">
      <alignment horizontal="left" vertical="center"/>
      <protection locked="0"/>
    </xf>
    <xf numFmtId="0" fontId="0" fillId="0" borderId="11" xfId="0" applyFont="1" applyBorder="1" applyAlignment="1" applyProtection="1">
      <alignment horizontal="left" wrapText="1"/>
      <protection locked="0"/>
    </xf>
    <xf numFmtId="0" fontId="0" fillId="0" borderId="12" xfId="0" applyFont="1" applyBorder="1" applyAlignment="1" applyProtection="1">
      <alignment horizontal="left" wrapText="1"/>
      <protection locked="0"/>
    </xf>
    <xf numFmtId="0" fontId="0" fillId="0" borderId="10" xfId="0" applyFont="1" applyBorder="1" applyAlignment="1" applyProtection="1">
      <alignment horizontal="left" wrapText="1"/>
      <protection locked="0"/>
    </xf>
    <xf numFmtId="0" fontId="0" fillId="0" borderId="9" xfId="0" applyNumberFormat="1" applyBorder="1" applyAlignment="1" applyProtection="1">
      <alignment horizontal="left" vertical="center" wrapText="1"/>
      <protection locked="0"/>
    </xf>
    <xf numFmtId="0" fontId="0" fillId="0" borderId="9" xfId="0" applyNumberFormat="1" applyFont="1" applyBorder="1" applyAlignment="1" applyProtection="1">
      <alignment horizontal="left" vertical="center" wrapText="1"/>
      <protection locked="0"/>
    </xf>
    <xf numFmtId="0" fontId="0" fillId="0" borderId="10" xfId="0" applyNumberFormat="1" applyBorder="1" applyAlignment="1" applyProtection="1">
      <alignment horizontal="left" wrapText="1"/>
      <protection locked="0"/>
    </xf>
    <xf numFmtId="0" fontId="0" fillId="0" borderId="10" xfId="0" applyNumberFormat="1" applyFont="1" applyBorder="1" applyAlignment="1" applyProtection="1">
      <alignment horizontal="left" wrapText="1"/>
      <protection locked="0"/>
    </xf>
    <xf numFmtId="0" fontId="0" fillId="0" borderId="11" xfId="0" applyBorder="1" applyAlignment="1" applyProtection="1">
      <alignment horizontal="left" wrapText="1"/>
      <protection locked="0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NumberFormat="1" applyBorder="1" applyAlignment="1" applyProtection="1">
      <alignment horizontal="left" wrapText="1"/>
      <protection locked="0"/>
    </xf>
    <xf numFmtId="0" fontId="0" fillId="0" borderId="12" xfId="0" applyNumberFormat="1" applyBorder="1" applyAlignment="1" applyProtection="1">
      <alignment horizontal="left" wrapText="1"/>
      <protection locked="0"/>
    </xf>
    <xf numFmtId="0" fontId="0" fillId="4" borderId="2" xfId="0" applyFill="1" applyBorder="1" applyAlignment="1" applyProtection="1">
      <alignment horizontal="center"/>
      <protection locked="0"/>
    </xf>
    <xf numFmtId="0" fontId="0" fillId="0" borderId="11" xfId="0" applyNumberFormat="1" applyFont="1" applyBorder="1" applyAlignment="1" applyProtection="1">
      <alignment horizontal="left" wrapText="1"/>
      <protection locked="0"/>
    </xf>
    <xf numFmtId="0" fontId="0" fillId="0" borderId="12" xfId="0" applyNumberFormat="1" applyFont="1" applyBorder="1" applyAlignment="1" applyProtection="1">
      <alignment horizontal="left" wrapText="1"/>
      <protection locked="0"/>
    </xf>
    <xf numFmtId="49" fontId="0" fillId="0" borderId="11" xfId="0" applyNumberFormat="1" applyFont="1" applyBorder="1" applyAlignment="1" applyProtection="1">
      <alignment horizontal="left" wrapText="1"/>
      <protection locked="0"/>
    </xf>
    <xf numFmtId="0" fontId="0" fillId="0" borderId="12" xfId="0" applyBorder="1" applyAlignment="1" applyProtection="1">
      <alignment horizontal="left" wrapText="1"/>
      <protection locked="0"/>
    </xf>
    <xf numFmtId="0" fontId="0" fillId="0" borderId="10" xfId="0" applyBorder="1" applyAlignment="1" applyProtection="1">
      <alignment horizontal="left" wrapText="1"/>
      <protection locked="0"/>
    </xf>
    <xf numFmtId="0" fontId="9" fillId="2" borderId="11" xfId="0" applyFont="1" applyFill="1" applyBorder="1" applyAlignment="1" applyProtection="1">
      <alignment horizontal="left"/>
      <protection locked="0"/>
    </xf>
    <xf numFmtId="0" fontId="9" fillId="2" borderId="12" xfId="0" applyFont="1" applyFill="1" applyBorder="1" applyAlignment="1" applyProtection="1">
      <alignment horizontal="left"/>
      <protection locked="0"/>
    </xf>
    <xf numFmtId="0" fontId="9" fillId="2" borderId="10" xfId="0" applyFont="1" applyFill="1" applyBorder="1" applyAlignment="1" applyProtection="1">
      <alignment horizontal="left"/>
      <protection locked="0"/>
    </xf>
    <xf numFmtId="0" fontId="2" fillId="4" borderId="0" xfId="0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left"/>
      <protection locked="0"/>
    </xf>
    <xf numFmtId="0" fontId="9" fillId="2" borderId="11" xfId="0" applyFont="1" applyFill="1" applyBorder="1" applyAlignment="1" applyProtection="1">
      <alignment horizontal="left" vertical="center"/>
      <protection locked="0"/>
    </xf>
    <xf numFmtId="0" fontId="9" fillId="2" borderId="12" xfId="0" applyFont="1" applyFill="1" applyBorder="1" applyAlignment="1" applyProtection="1">
      <alignment horizontal="left" vertical="center"/>
      <protection locked="0"/>
    </xf>
    <xf numFmtId="0" fontId="9" fillId="2" borderId="10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4" fillId="4" borderId="0" xfId="0" applyFont="1" applyFill="1" applyBorder="1" applyAlignment="1" applyProtection="1">
      <alignment horizontal="center"/>
      <protection locked="0"/>
    </xf>
    <xf numFmtId="0" fontId="0" fillId="4" borderId="0" xfId="0" applyFont="1" applyFill="1" applyBorder="1" applyAlignment="1" applyProtection="1">
      <alignment horizontal="center"/>
      <protection locked="0"/>
    </xf>
    <xf numFmtId="0" fontId="5" fillId="2" borderId="13" xfId="0" applyFont="1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left"/>
      <protection locked="0"/>
    </xf>
    <xf numFmtId="14" fontId="0" fillId="4" borderId="7" xfId="0" applyNumberFormat="1" applyFill="1" applyBorder="1" applyAlignment="1" applyProtection="1">
      <alignment horizontal="center"/>
      <protection locked="0"/>
    </xf>
    <xf numFmtId="0" fontId="5" fillId="2" borderId="14" xfId="0" applyFont="1" applyFill="1" applyBorder="1" applyAlignment="1" applyProtection="1">
      <alignment horizontal="center"/>
      <protection locked="0"/>
    </xf>
    <xf numFmtId="0" fontId="5" fillId="2" borderId="9" xfId="0" applyFont="1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left"/>
      <protection locked="0"/>
    </xf>
    <xf numFmtId="10" fontId="0" fillId="11" borderId="9" xfId="2" applyNumberFormat="1" applyFont="1" applyFill="1" applyBorder="1" applyAlignment="1">
      <alignment horizontal="left" indent="1"/>
    </xf>
    <xf numFmtId="10" fontId="0" fillId="11" borderId="40" xfId="2" applyNumberFormat="1" applyFont="1" applyFill="1" applyBorder="1" applyAlignment="1">
      <alignment horizontal="left" indent="1"/>
    </xf>
    <xf numFmtId="0" fontId="26" fillId="11" borderId="23" xfId="0" applyFont="1" applyFill="1" applyBorder="1" applyAlignment="1">
      <alignment horizontal="left" indent="1"/>
    </xf>
    <xf numFmtId="0" fontId="26" fillId="11" borderId="24" xfId="0" applyFont="1" applyFill="1" applyBorder="1" applyAlignment="1">
      <alignment horizontal="left" indent="1"/>
    </xf>
    <xf numFmtId="0" fontId="27" fillId="13" borderId="50" xfId="0" applyFont="1" applyFill="1" applyBorder="1" applyAlignment="1">
      <alignment horizontal="center" vertical="center"/>
    </xf>
    <xf numFmtId="0" fontId="27" fillId="13" borderId="51" xfId="0" applyFont="1" applyFill="1" applyBorder="1" applyAlignment="1">
      <alignment horizontal="center" vertical="center"/>
    </xf>
    <xf numFmtId="0" fontId="27" fillId="13" borderId="52" xfId="0" applyFont="1" applyFill="1" applyBorder="1" applyAlignment="1">
      <alignment horizontal="center" vertical="center"/>
    </xf>
    <xf numFmtId="0" fontId="27" fillId="13" borderId="53" xfId="0" applyFont="1" applyFill="1" applyBorder="1" applyAlignment="1">
      <alignment horizontal="center" vertical="center"/>
    </xf>
    <xf numFmtId="0" fontId="27" fillId="13" borderId="54" xfId="0" applyFont="1" applyFill="1" applyBorder="1" applyAlignment="1">
      <alignment horizontal="center" vertical="center"/>
    </xf>
    <xf numFmtId="0" fontId="27" fillId="13" borderId="55" xfId="0" applyFont="1" applyFill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10" fontId="10" fillId="0" borderId="44" xfId="2" applyNumberFormat="1" applyFont="1" applyBorder="1" applyAlignment="1">
      <alignment horizontal="center" vertical="center"/>
    </xf>
    <xf numFmtId="10" fontId="10" fillId="0" borderId="49" xfId="2" applyNumberFormat="1" applyFont="1" applyBorder="1" applyAlignment="1">
      <alignment horizontal="center" vertical="center"/>
    </xf>
    <xf numFmtId="0" fontId="14" fillId="10" borderId="16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horizontal="center" vertical="center"/>
    </xf>
    <xf numFmtId="0" fontId="14" fillId="10" borderId="18" xfId="0" applyFont="1" applyFill="1" applyBorder="1" applyAlignment="1">
      <alignment horizontal="center" vertical="center"/>
    </xf>
    <xf numFmtId="0" fontId="0" fillId="11" borderId="31" xfId="0" applyFill="1" applyBorder="1" applyAlignment="1">
      <alignment horizontal="left" vertical="center" wrapText="1" indent="1"/>
    </xf>
    <xf numFmtId="0" fontId="0" fillId="11" borderId="32" xfId="0" applyFill="1" applyBorder="1" applyAlignment="1">
      <alignment horizontal="left" vertical="center" wrapText="1" indent="1"/>
    </xf>
    <xf numFmtId="0" fontId="0" fillId="11" borderId="33" xfId="0" applyFill="1" applyBorder="1" applyAlignment="1">
      <alignment horizontal="left" vertical="center" wrapText="1" indent="1"/>
    </xf>
    <xf numFmtId="0" fontId="19" fillId="10" borderId="42" xfId="0" applyFont="1" applyFill="1" applyBorder="1" applyAlignment="1">
      <alignment horizontal="center" vertical="center"/>
    </xf>
    <xf numFmtId="0" fontId="19" fillId="10" borderId="33" xfId="0" applyFont="1" applyFill="1" applyBorder="1" applyAlignment="1">
      <alignment horizontal="center" vertical="center"/>
    </xf>
    <xf numFmtId="0" fontId="15" fillId="11" borderId="39" xfId="0" applyFont="1" applyFill="1" applyBorder="1" applyAlignment="1">
      <alignment horizontal="left" vertical="center"/>
    </xf>
    <xf numFmtId="0" fontId="15" fillId="11" borderId="9" xfId="0" applyFont="1" applyFill="1" applyBorder="1" applyAlignment="1">
      <alignment horizontal="left" vertical="center"/>
    </xf>
    <xf numFmtId="0" fontId="0" fillId="11" borderId="39" xfId="0" applyFill="1" applyBorder="1" applyAlignment="1">
      <alignment horizontal="left" wrapText="1"/>
    </xf>
    <xf numFmtId="2" fontId="0" fillId="6" borderId="44" xfId="0" applyNumberFormat="1" applyFill="1" applyBorder="1" applyAlignment="1" applyProtection="1">
      <alignment horizontal="right" vertical="center"/>
    </xf>
    <xf numFmtId="2" fontId="0" fillId="6" borderId="46" xfId="0" applyNumberFormat="1" applyFill="1" applyBorder="1" applyAlignment="1" applyProtection="1">
      <alignment horizontal="right" vertical="center"/>
    </xf>
    <xf numFmtId="0" fontId="23" fillId="11" borderId="45" xfId="0" applyFont="1" applyFill="1" applyBorder="1" applyAlignment="1">
      <alignment horizontal="left" vertical="center"/>
    </xf>
    <xf numFmtId="0" fontId="23" fillId="11" borderId="43" xfId="0" applyFont="1" applyFill="1" applyBorder="1" applyAlignment="1">
      <alignment horizontal="left" vertical="center"/>
    </xf>
    <xf numFmtId="0" fontId="15" fillId="11" borderId="19" xfId="0" applyFont="1" applyFill="1" applyBorder="1" applyAlignment="1">
      <alignment horizontal="left" vertical="center"/>
    </xf>
    <xf numFmtId="0" fontId="15" fillId="11" borderId="20" xfId="0" applyFont="1" applyFill="1" applyBorder="1" applyAlignment="1">
      <alignment horizontal="left" vertical="center"/>
    </xf>
    <xf numFmtId="0" fontId="15" fillId="11" borderId="39" xfId="0" applyFont="1" applyFill="1" applyBorder="1" applyAlignment="1">
      <alignment horizontal="left" vertical="center" wrapText="1"/>
    </xf>
    <xf numFmtId="0" fontId="15" fillId="11" borderId="9" xfId="0" applyFont="1" applyFill="1" applyBorder="1" applyAlignment="1">
      <alignment horizontal="left" vertical="center" wrapText="1"/>
    </xf>
    <xf numFmtId="0" fontId="15" fillId="11" borderId="22" xfId="0" applyFont="1" applyFill="1" applyBorder="1" applyAlignment="1">
      <alignment horizontal="left" vertical="center"/>
    </xf>
    <xf numFmtId="0" fontId="15" fillId="11" borderId="23" xfId="0" applyFont="1" applyFill="1" applyBorder="1" applyAlignment="1">
      <alignment horizontal="left" vertical="center"/>
    </xf>
    <xf numFmtId="0" fontId="14" fillId="10" borderId="25" xfId="0" applyFont="1" applyFill="1" applyBorder="1" applyAlignment="1">
      <alignment horizontal="center" vertical="center"/>
    </xf>
    <xf numFmtId="0" fontId="14" fillId="10" borderId="26" xfId="0" applyFont="1" applyFill="1" applyBorder="1" applyAlignment="1">
      <alignment horizontal="center" vertical="center"/>
    </xf>
    <xf numFmtId="0" fontId="14" fillId="10" borderId="27" xfId="0" applyFont="1" applyFill="1" applyBorder="1" applyAlignment="1">
      <alignment horizontal="center" vertical="center"/>
    </xf>
    <xf numFmtId="0" fontId="14" fillId="10" borderId="37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horizontal="center" vertical="center"/>
    </xf>
    <xf numFmtId="0" fontId="14" fillId="10" borderId="38" xfId="0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/>
    </xf>
    <xf numFmtId="0" fontId="10" fillId="10" borderId="20" xfId="0" applyFont="1" applyFill="1" applyBorder="1" applyAlignment="1">
      <alignment horizontal="center"/>
    </xf>
    <xf numFmtId="0" fontId="10" fillId="10" borderId="21" xfId="0" applyFont="1" applyFill="1" applyBorder="1" applyAlignment="1">
      <alignment horizontal="center"/>
    </xf>
    <xf numFmtId="0" fontId="12" fillId="8" borderId="19" xfId="0" applyFont="1" applyFill="1" applyBorder="1" applyAlignment="1">
      <alignment horizontal="left" vertical="center" indent="3"/>
    </xf>
    <xf numFmtId="0" fontId="12" fillId="8" borderId="20" xfId="0" applyFont="1" applyFill="1" applyBorder="1" applyAlignment="1">
      <alignment horizontal="left" vertical="center" indent="3"/>
    </xf>
    <xf numFmtId="0" fontId="12" fillId="8" borderId="22" xfId="0" applyFont="1" applyFill="1" applyBorder="1" applyAlignment="1">
      <alignment horizontal="left" vertical="center" indent="3"/>
    </xf>
    <xf numFmtId="0" fontId="12" fillId="8" borderId="23" xfId="0" applyFont="1" applyFill="1" applyBorder="1" applyAlignment="1">
      <alignment horizontal="left" vertical="center" indent="3"/>
    </xf>
    <xf numFmtId="0" fontId="0" fillId="6" borderId="20" xfId="0" applyFill="1" applyBorder="1" applyAlignment="1" applyProtection="1">
      <alignment horizontal="left"/>
      <protection locked="0"/>
    </xf>
    <xf numFmtId="0" fontId="0" fillId="6" borderId="21" xfId="0" applyFill="1" applyBorder="1" applyAlignment="1" applyProtection="1">
      <alignment horizontal="left"/>
      <protection locked="0"/>
    </xf>
    <xf numFmtId="0" fontId="0" fillId="6" borderId="23" xfId="0" applyFill="1" applyBorder="1" applyAlignment="1" applyProtection="1">
      <alignment horizontal="left"/>
      <protection locked="0"/>
    </xf>
    <xf numFmtId="0" fontId="0" fillId="6" borderId="24" xfId="0" applyFill="1" applyBorder="1" applyAlignment="1" applyProtection="1">
      <alignment horizontal="left"/>
      <protection locked="0"/>
    </xf>
    <xf numFmtId="0" fontId="11" fillId="7" borderId="25" xfId="0" applyFont="1" applyFill="1" applyBorder="1" applyAlignment="1">
      <alignment horizontal="center" vertical="center"/>
    </xf>
    <xf numFmtId="0" fontId="11" fillId="7" borderId="26" xfId="0" applyFont="1" applyFill="1" applyBorder="1" applyAlignment="1">
      <alignment horizontal="center" vertical="center"/>
    </xf>
    <xf numFmtId="0" fontId="11" fillId="7" borderId="27" xfId="0" applyFont="1" applyFill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  <xf numFmtId="0" fontId="11" fillId="7" borderId="3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0" fontId="0" fillId="0" borderId="56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10" fontId="0" fillId="0" borderId="44" xfId="0" applyNumberFormat="1" applyBorder="1" applyAlignment="1">
      <alignment horizontal="center" vertical="center"/>
    </xf>
    <xf numFmtId="10" fontId="0" fillId="0" borderId="57" xfId="0" applyNumberFormat="1" applyBorder="1" applyAlignment="1">
      <alignment horizontal="center" vertical="center"/>
    </xf>
    <xf numFmtId="10" fontId="0" fillId="0" borderId="46" xfId="0" applyNumberFormat="1" applyBorder="1" applyAlignment="1">
      <alignment horizontal="center" vertical="center"/>
    </xf>
    <xf numFmtId="0" fontId="10" fillId="14" borderId="45" xfId="0" applyFont="1" applyFill="1" applyBorder="1" applyAlignment="1">
      <alignment horizontal="center" vertical="center"/>
    </xf>
    <xf numFmtId="0" fontId="10" fillId="14" borderId="43" xfId="0" applyFont="1" applyFill="1" applyBorder="1" applyAlignment="1">
      <alignment horizontal="center" vertical="center"/>
    </xf>
    <xf numFmtId="0" fontId="10" fillId="14" borderId="19" xfId="0" applyFont="1" applyFill="1" applyBorder="1" applyAlignment="1">
      <alignment horizontal="center" vertical="center"/>
    </xf>
    <xf numFmtId="0" fontId="10" fillId="14" borderId="32" xfId="0" applyFont="1" applyFill="1" applyBorder="1" applyAlignment="1">
      <alignment horizontal="center" vertical="center"/>
    </xf>
    <xf numFmtId="0" fontId="10" fillId="14" borderId="21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49" fontId="7" fillId="0" borderId="10" xfId="0" applyNumberFormat="1" applyFont="1" applyBorder="1" applyAlignment="1" applyProtection="1">
      <alignment horizontal="center" vertical="center" wrapText="1"/>
      <protection locked="0"/>
    </xf>
    <xf numFmtId="2" fontId="0" fillId="0" borderId="9" xfId="0" applyNumberFormat="1" applyFont="1" applyBorder="1" applyAlignment="1" applyProtection="1">
      <alignment horizontal="center"/>
      <protection locked="0"/>
    </xf>
    <xf numFmtId="0" fontId="0" fillId="0" borderId="7" xfId="0" applyFill="1" applyBorder="1" applyAlignment="1" applyProtection="1">
      <protection locked="0"/>
    </xf>
    <xf numFmtId="10" fontId="1" fillId="0" borderId="0" xfId="2" applyNumberFormat="1" applyFill="1" applyBorder="1" applyAlignment="1" applyProtection="1">
      <alignment horizontal="left"/>
      <protection locked="0"/>
    </xf>
    <xf numFmtId="0" fontId="0" fillId="4" borderId="5" xfId="0" applyFill="1" applyBorder="1" applyAlignment="1" applyProtection="1">
      <alignment horizontal="center"/>
      <protection locked="0"/>
    </xf>
    <xf numFmtId="10" fontId="0" fillId="4" borderId="0" xfId="0" applyNumberFormat="1" applyFill="1" applyBorder="1" applyAlignment="1" applyProtection="1">
      <protection locked="0"/>
    </xf>
    <xf numFmtId="10" fontId="0" fillId="4" borderId="7" xfId="0" applyNumberFormat="1" applyFill="1" applyBorder="1" applyAlignment="1" applyProtection="1">
      <protection locked="0"/>
    </xf>
    <xf numFmtId="10" fontId="0" fillId="0" borderId="0" xfId="0" applyNumberFormat="1" applyFill="1" applyBorder="1" applyAlignment="1" applyProtection="1">
      <protection locked="0"/>
    </xf>
    <xf numFmtId="10" fontId="0" fillId="0" borderId="7" xfId="0" applyNumberFormat="1" applyFill="1" applyBorder="1" applyAlignment="1" applyProtection="1">
      <protection locked="0"/>
    </xf>
    <xf numFmtId="0" fontId="0" fillId="4" borderId="3" xfId="0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7" fillId="0" borderId="10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  <xf numFmtId="167" fontId="5" fillId="2" borderId="9" xfId="0" applyNumberFormat="1" applyFont="1" applyFill="1" applyBorder="1" applyAlignment="1" applyProtection="1">
      <alignment horizontal="center" vertical="center"/>
    </xf>
    <xf numFmtId="164" fontId="9" fillId="2" borderId="9" xfId="0" applyNumberFormat="1" applyFont="1" applyFill="1" applyBorder="1" applyAlignment="1" applyProtection="1">
      <alignment horizontal="center" vertical="center"/>
    </xf>
    <xf numFmtId="164" fontId="9" fillId="2" borderId="9" xfId="0" applyNumberFormat="1" applyFont="1" applyFill="1" applyBorder="1" applyProtection="1"/>
    <xf numFmtId="0" fontId="9" fillId="2" borderId="9" xfId="0" applyNumberFormat="1" applyFont="1" applyFill="1" applyBorder="1" applyAlignment="1" applyProtection="1">
      <alignment horizontal="center" vertical="center"/>
    </xf>
    <xf numFmtId="164" fontId="9" fillId="3" borderId="9" xfId="0" applyNumberFormat="1" applyFont="1" applyFill="1" applyBorder="1" applyProtection="1"/>
    <xf numFmtId="0" fontId="35" fillId="5" borderId="58" xfId="0" applyFont="1" applyFill="1" applyBorder="1" applyAlignment="1" applyProtection="1">
      <alignment horizontal="center"/>
      <protection locked="0"/>
    </xf>
    <xf numFmtId="2" fontId="0" fillId="4" borderId="0" xfId="0" applyNumberFormat="1" applyFill="1" applyProtection="1"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5" fontId="0" fillId="0" borderId="0" xfId="1" applyFont="1" applyBorder="1" applyAlignment="1" applyProtection="1">
      <alignment horizontal="center"/>
      <protection locked="0"/>
    </xf>
    <xf numFmtId="2" fontId="0" fillId="0" borderId="0" xfId="0" applyNumberFormat="1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Fill="1" applyProtection="1">
      <protection locked="0"/>
    </xf>
  </cellXfs>
  <cellStyles count="4">
    <cellStyle name="Normal" xfId="0" builtinId="0"/>
    <cellStyle name="Porcentagem" xfId="2" builtinId="5"/>
    <cellStyle name="Separador de milhares" xfId="1" builtinId="3"/>
    <cellStyle name="Texto Explicativo" xfId="3" builtinId="53" customBuiltin="1"/>
  </cellStyles>
  <dxfs count="12">
    <dxf>
      <fill>
        <patternFill patternType="lightGray">
          <bgColor indexed="26"/>
        </patternFill>
      </fill>
      <border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/>
        <condense val="0"/>
        <extend val="0"/>
      </font>
      <fill>
        <patternFill>
          <bgColor indexed="52"/>
        </patternFill>
      </fill>
    </dxf>
    <dxf>
      <font>
        <b/>
        <i/>
        <condense val="0"/>
        <extend val="0"/>
      </font>
      <fill>
        <patternFill patternType="solid">
          <bgColor indexed="29"/>
        </patternFill>
      </fill>
    </dxf>
    <dxf>
      <font>
        <b/>
        <i/>
        <condense val="0"/>
        <extend val="0"/>
      </font>
      <fill>
        <patternFill patternType="solid">
          <bgColor indexed="11"/>
        </patternFill>
      </fill>
    </dxf>
    <dxf>
      <fill>
        <patternFill patternType="lightGray">
          <bgColor indexed="26"/>
        </patternFill>
      </fill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Gray">
          <bgColor indexed="26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ill>
        <patternFill patternType="lightGray">
          <bgColor indexed="26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Gray">
          <bgColor indexed="43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Gray">
          <bgColor indexed="43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29"/>
        </patternFill>
      </fill>
    </dxf>
    <dxf>
      <fill>
        <patternFill>
          <bgColor indexed="11"/>
        </patternFill>
      </fill>
    </dxf>
    <dxf>
      <fill>
        <patternFill patternType="solid">
          <bgColor indexed="26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38101</xdr:rowOff>
    </xdr:from>
    <xdr:to>
      <xdr:col>4</xdr:col>
      <xdr:colOff>180975</xdr:colOff>
      <xdr:row>5</xdr:row>
      <xdr:rowOff>133351</xdr:rowOff>
    </xdr:to>
    <xdr:sp macro="" textlink="">
      <xdr:nvSpPr>
        <xdr:cNvPr id="4" name="CaixaDeTexto 3"/>
        <xdr:cNvSpPr txBox="1"/>
      </xdr:nvSpPr>
      <xdr:spPr>
        <a:xfrm>
          <a:off x="514350" y="38101"/>
          <a:ext cx="1409700" cy="11811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t-BR" sz="1100"/>
            <a:t>INSERIR</a:t>
          </a:r>
          <a:r>
            <a:rPr lang="pt-BR" sz="1100" baseline="0"/>
            <a:t> LOGO</a:t>
          </a:r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38100</xdr:rowOff>
    </xdr:from>
    <xdr:to>
      <xdr:col>2</xdr:col>
      <xdr:colOff>361950</xdr:colOff>
      <xdr:row>4</xdr:row>
      <xdr:rowOff>136151</xdr:rowOff>
    </xdr:to>
    <xdr:sp macro="" textlink="">
      <xdr:nvSpPr>
        <xdr:cNvPr id="7" name="CaixaDeTexto 6"/>
        <xdr:cNvSpPr txBox="1"/>
      </xdr:nvSpPr>
      <xdr:spPr>
        <a:xfrm>
          <a:off x="371475" y="38100"/>
          <a:ext cx="1152525" cy="9838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t-BR" sz="1100"/>
            <a:t>INSERIR</a:t>
          </a:r>
          <a:r>
            <a:rPr lang="pt-BR" sz="1100" baseline="0"/>
            <a:t> LOGO</a:t>
          </a:r>
          <a:endParaRPr lang="pt-BR" sz="1100"/>
        </a:p>
      </xdr:txBody>
    </xdr:sp>
    <xdr:clientData/>
  </xdr:twoCellAnchor>
  <xdr:twoCellAnchor>
    <xdr:from>
      <xdr:col>0</xdr:col>
      <xdr:colOff>371475</xdr:colOff>
      <xdr:row>44</xdr:row>
      <xdr:rowOff>38100</xdr:rowOff>
    </xdr:from>
    <xdr:to>
      <xdr:col>2</xdr:col>
      <xdr:colOff>361950</xdr:colOff>
      <xdr:row>48</xdr:row>
      <xdr:rowOff>136151</xdr:rowOff>
    </xdr:to>
    <xdr:sp macro="" textlink="">
      <xdr:nvSpPr>
        <xdr:cNvPr id="8" name="CaixaDeTexto 7"/>
        <xdr:cNvSpPr txBox="1"/>
      </xdr:nvSpPr>
      <xdr:spPr>
        <a:xfrm>
          <a:off x="371475" y="38100"/>
          <a:ext cx="1152525" cy="9838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t-BR" sz="1100"/>
            <a:t>INSERIR</a:t>
          </a:r>
          <a:r>
            <a:rPr lang="pt-BR" sz="1100" baseline="0"/>
            <a:t> LOGO</a:t>
          </a:r>
          <a:endParaRPr lang="pt-BR" sz="1100"/>
        </a:p>
      </xdr:txBody>
    </xdr:sp>
    <xdr:clientData/>
  </xdr:twoCellAnchor>
  <xdr:twoCellAnchor>
    <xdr:from>
      <xdr:col>0</xdr:col>
      <xdr:colOff>371475</xdr:colOff>
      <xdr:row>88</xdr:row>
      <xdr:rowOff>38100</xdr:rowOff>
    </xdr:from>
    <xdr:to>
      <xdr:col>2</xdr:col>
      <xdr:colOff>361950</xdr:colOff>
      <xdr:row>92</xdr:row>
      <xdr:rowOff>136151</xdr:rowOff>
    </xdr:to>
    <xdr:sp macro="" textlink="">
      <xdr:nvSpPr>
        <xdr:cNvPr id="9" name="CaixaDeTexto 8"/>
        <xdr:cNvSpPr txBox="1"/>
      </xdr:nvSpPr>
      <xdr:spPr>
        <a:xfrm>
          <a:off x="371475" y="38100"/>
          <a:ext cx="1152525" cy="9838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t-BR" sz="1100"/>
            <a:t>INSERIR</a:t>
          </a:r>
          <a:r>
            <a:rPr lang="pt-BR" sz="1100" baseline="0"/>
            <a:t> LOGO</a:t>
          </a:r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24</xdr:row>
      <xdr:rowOff>190499</xdr:rowOff>
    </xdr:from>
    <xdr:to>
      <xdr:col>2</xdr:col>
      <xdr:colOff>666750</xdr:colOff>
      <xdr:row>28</xdr:row>
      <xdr:rowOff>65932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3925" y="5105399"/>
          <a:ext cx="2419350" cy="637433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bras/ENG.%20ALAN/ANEXOS/BDI/BDI%20-%20DESONERADO%20-%20com%20declaracao_Edificaca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Or&#231;amento%20Etapa%20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erificação"/>
      <sheetName val="Declaração Modelo - IMPRIMIR"/>
    </sheetNames>
    <sheetDataSet>
      <sheetData sheetId="0">
        <row r="24">
          <cell r="AK24" t="str">
            <v>ISSQN Lei Municipal 811/2003 (Código Tributário Municipal)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Orçamento COM PVS"/>
      <sheetName val="Cronograma"/>
      <sheetName val="Cotações"/>
      <sheetName val="Composição"/>
      <sheetName val="SINAPI 12-23"/>
      <sheetName val="Quantitativos"/>
      <sheetName val="BM 01"/>
    </sheetNames>
    <sheetDataSet>
      <sheetData sheetId="0">
        <row r="15">
          <cell r="D15" t="str">
            <v>RUA DALTRO LUIZ TUZI</v>
          </cell>
        </row>
        <row r="16">
          <cell r="D16" t="str">
            <v>SERVIÇOS PRELIMINARES</v>
          </cell>
        </row>
        <row r="17">
          <cell r="B17" t="str">
            <v>SINAPI</v>
          </cell>
          <cell r="C17">
            <v>99064</v>
          </cell>
          <cell r="D17" t="str">
            <v>LOCAÇÃO DE PAVIMENTAÇÃO. AF_10/2018</v>
          </cell>
          <cell r="H17" t="str">
            <v>M</v>
          </cell>
          <cell r="I17">
            <v>177</v>
          </cell>
        </row>
        <row r="18">
          <cell r="D18" t="str">
            <v>DRENAGEM PLUVIAL</v>
          </cell>
        </row>
        <row r="19">
          <cell r="B19" t="str">
            <v>SINAPI</v>
          </cell>
          <cell r="C19">
            <v>90105</v>
          </cell>
          <cell r="D19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19" t="str">
            <v>M3</v>
          </cell>
          <cell r="I19">
            <v>473</v>
          </cell>
        </row>
        <row r="20">
          <cell r="B20" t="str">
            <v>SINAPI</v>
          </cell>
          <cell r="C20">
            <v>95568</v>
          </cell>
          <cell r="D20" t="str">
            <v>TUBO DE CONCRETO (SIMPLES) PARA REDES COLETORAS DE ÁGUAS PLUVIAIS, DIÂMETRO DE 400 MM, JUNTA RÍGIDA, INSTALADO EM LOCAL COM BAIXO NÍVEL DE INTERFERÊNCIAS - FORNECIMENTO E ASSENTAMENTO. AF_12/2015</v>
          </cell>
          <cell r="H20" t="str">
            <v>M</v>
          </cell>
          <cell r="I20">
            <v>30</v>
          </cell>
        </row>
        <row r="21">
          <cell r="B21" t="str">
            <v>SINAPI</v>
          </cell>
          <cell r="C21">
            <v>92212</v>
          </cell>
          <cell r="D21" t="str">
            <v>TUBO DE CONCRETO PARA REDES COLETORAS DE ÁGUAS PLUVIAIS, DIÂMETRO DE 600 MM, JUNTA RÍGIDA, INSTALADO EM LOCAL COM BAIXO NÍVEL DE INTERFERÊNCIAS - FORNECIMENTO E ASSENTAMENTO. AF_12/2015</v>
          </cell>
          <cell r="H21" t="str">
            <v>M</v>
          </cell>
          <cell r="I21">
            <v>273</v>
          </cell>
        </row>
        <row r="22">
          <cell r="B22" t="str">
            <v>COMP.</v>
          </cell>
          <cell r="C22">
            <v>1</v>
          </cell>
          <cell r="D22" t="str">
            <v>CX. PARA BOCA DE LOBO EM ALVENARIA DE BLOCOS DE CONCRETO 0,8X0,8X1,5m (DIM. INTERNA)</v>
          </cell>
          <cell r="H22" t="str">
            <v>UNID.</v>
          </cell>
          <cell r="I22">
            <v>9</v>
          </cell>
        </row>
        <row r="23">
          <cell r="B23" t="str">
            <v>SINAPI</v>
          </cell>
          <cell r="C23">
            <v>93382</v>
          </cell>
          <cell r="D23" t="str">
            <v>REATERRO MANUAL DE VALAS, COM COMPACTADOR DE SOLOS DE PERCUSSÃO. AF_08/2023</v>
          </cell>
          <cell r="H23" t="str">
            <v>M3</v>
          </cell>
          <cell r="I23">
            <v>216</v>
          </cell>
        </row>
        <row r="24">
          <cell r="D24" t="str">
            <v>PAVIMENTAÇÃO</v>
          </cell>
        </row>
        <row r="25">
          <cell r="B25" t="str">
            <v>COMP.</v>
          </cell>
          <cell r="C25">
            <v>3</v>
          </cell>
          <cell r="D25" t="str">
            <v>EXECUÇÃO DE VIA EM PISO INTERTRAVADO, COM BLOCO 16 FACES DE 22X11 CM, ESPESSURA DE 8 CM. AF_10/2022</v>
          </cell>
          <cell r="H25" t="str">
            <v>M2</v>
          </cell>
          <cell r="I25">
            <v>1770</v>
          </cell>
        </row>
        <row r="26">
          <cell r="B26" t="str">
            <v>SINAPI</v>
          </cell>
          <cell r="C26">
            <v>94273</v>
          </cell>
          <cell r="D26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26" t="str">
            <v>M</v>
          </cell>
          <cell r="I26">
            <v>327</v>
          </cell>
        </row>
        <row r="27">
          <cell r="D27" t="str">
            <v>RUA ANITA TOCHETTO FRIZZO</v>
          </cell>
        </row>
        <row r="28">
          <cell r="D28" t="str">
            <v>SERVIÇOS PRELIMINARES</v>
          </cell>
        </row>
        <row r="29">
          <cell r="B29" t="str">
            <v>SINAPI</v>
          </cell>
          <cell r="C29">
            <v>99064</v>
          </cell>
          <cell r="D29" t="str">
            <v>LOCAÇÃO DE PAVIMENTAÇÃO. AF_10/2018</v>
          </cell>
          <cell r="H29" t="str">
            <v>M</v>
          </cell>
          <cell r="I29">
            <v>96</v>
          </cell>
        </row>
        <row r="30">
          <cell r="D30" t="str">
            <v>DRENAGEM PLUVIAL</v>
          </cell>
        </row>
        <row r="31">
          <cell r="B31" t="str">
            <v>SINAPI</v>
          </cell>
          <cell r="C31">
            <v>90105</v>
          </cell>
          <cell r="D31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31" t="str">
            <v>M3</v>
          </cell>
          <cell r="I31">
            <v>103.744</v>
          </cell>
        </row>
        <row r="32">
          <cell r="B32" t="str">
            <v>SINAPI</v>
          </cell>
          <cell r="C32">
            <v>95568</v>
          </cell>
          <cell r="D32" t="str">
            <v>TUBO DE CONCRETO (SIMPLES) PARA REDES COLETORAS DE ÁGUAS PLUVIAIS, DIÂMETRO DE 400 MM, JUNTA RÍGIDA, INSTALADO EM LOCAL COM BAIXO NÍVEL DE INTERFERÊNCIAS - FORNECIMENTO E ASSENTAMENTO. AF_12/2015</v>
          </cell>
          <cell r="H32" t="str">
            <v>M</v>
          </cell>
          <cell r="I32">
            <v>64</v>
          </cell>
        </row>
        <row r="33">
          <cell r="B33" t="str">
            <v>COMP.</v>
          </cell>
          <cell r="C33" t="str">
            <v>1</v>
          </cell>
          <cell r="D33" t="str">
            <v>CX. PARA BOCA DE LOBO EM ALVENARIA DE BLOCOS DE CONCRETO 0,8X0,8X1,5m (DIM. INTERNA)</v>
          </cell>
          <cell r="H33" t="str">
            <v>UNID.</v>
          </cell>
          <cell r="I33">
            <v>4</v>
          </cell>
        </row>
        <row r="34">
          <cell r="B34" t="str">
            <v>SINAPI</v>
          </cell>
          <cell r="C34">
            <v>93382</v>
          </cell>
          <cell r="D34" t="str">
            <v>REATERRO MANUAL DE VALAS, COM COMPACTADOR DE SOLOS DE PERCUSSÃO. AF_08/2023</v>
          </cell>
          <cell r="H34" t="str">
            <v>M3</v>
          </cell>
          <cell r="I34">
            <v>46.4</v>
          </cell>
        </row>
        <row r="35">
          <cell r="D35" t="str">
            <v>PAVIMENTAÇÃO</v>
          </cell>
        </row>
        <row r="36">
          <cell r="B36" t="str">
            <v>COMP.</v>
          </cell>
          <cell r="C36">
            <v>3</v>
          </cell>
          <cell r="D36" t="str">
            <v>EXECUÇÃO DE VIA EM PISO INTERTRAVADO, COM BLOCO 16 FACES DE 22X11 CM, ESPESSURA DE 8 CM. AF_10/2022</v>
          </cell>
          <cell r="H36" t="str">
            <v>M2</v>
          </cell>
          <cell r="I36">
            <v>864</v>
          </cell>
        </row>
        <row r="37">
          <cell r="B37" t="str">
            <v>SINAPI</v>
          </cell>
          <cell r="C37">
            <v>94273</v>
          </cell>
          <cell r="D37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37" t="str">
            <v>M</v>
          </cell>
          <cell r="I37">
            <v>200</v>
          </cell>
        </row>
        <row r="38">
          <cell r="D38" t="str">
            <v>RUA ANTONIO GUASSO</v>
          </cell>
        </row>
        <row r="39">
          <cell r="D39" t="str">
            <v>SERVIÇOS PRELIMINARES</v>
          </cell>
        </row>
        <row r="40">
          <cell r="B40" t="str">
            <v>SINAPI</v>
          </cell>
          <cell r="C40">
            <v>99064</v>
          </cell>
          <cell r="D40" t="str">
            <v>LOCAÇÃO DE PAVIMENTAÇÃO. AF_10/2018</v>
          </cell>
          <cell r="H40" t="str">
            <v>M</v>
          </cell>
          <cell r="I40">
            <v>93.5</v>
          </cell>
        </row>
        <row r="41">
          <cell r="D41" t="str">
            <v>DRENAGEM PLUVIAL</v>
          </cell>
        </row>
        <row r="42">
          <cell r="B42" t="str">
            <v>SINAPI</v>
          </cell>
          <cell r="C42">
            <v>90105</v>
          </cell>
          <cell r="D42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42" t="str">
            <v>M3</v>
          </cell>
          <cell r="I42">
            <v>103.744</v>
          </cell>
        </row>
        <row r="43">
          <cell r="B43" t="str">
            <v>SINAPI</v>
          </cell>
          <cell r="C43">
            <v>95568</v>
          </cell>
          <cell r="D43" t="str">
            <v>TUBO DE CONCRETO (SIMPLES) PARA REDES COLETORAS DE ÁGUAS PLUVIAIS, DIÂMETRO DE 400 MM, JUNTA RÍGIDA, INSTALADO EM LOCAL COM BAIXO NÍVEL DE INTERFERÊNCIAS - FORNECIMENTO E ASSENTAMENTO. AF_12/2015</v>
          </cell>
          <cell r="H43" t="str">
            <v>M</v>
          </cell>
          <cell r="I43">
            <v>64</v>
          </cell>
        </row>
        <row r="44">
          <cell r="B44" t="str">
            <v>COMP.</v>
          </cell>
          <cell r="C44" t="str">
            <v>1</v>
          </cell>
          <cell r="D44" t="str">
            <v>CX. PARA BOCA DE LOBO EM ALVENARIA DE BLOCOS DE CONCRETO 0,8X0,8X1,5m (DIM. INTERNA)</v>
          </cell>
          <cell r="H44" t="str">
            <v>UNID.</v>
          </cell>
          <cell r="I44">
            <v>4</v>
          </cell>
        </row>
        <row r="45">
          <cell r="B45" t="str">
            <v>SINAPI</v>
          </cell>
          <cell r="C45">
            <v>93382</v>
          </cell>
          <cell r="D45" t="str">
            <v>REATERRO MANUAL DE VALAS, COM COMPACTADOR DE SOLOS DE PERCUSSÃO. AF_08/2023</v>
          </cell>
          <cell r="H45" t="str">
            <v>M3</v>
          </cell>
          <cell r="I45">
            <v>46.4</v>
          </cell>
        </row>
        <row r="46">
          <cell r="D46" t="str">
            <v>PAVIMENTAÇÃO</v>
          </cell>
        </row>
        <row r="47">
          <cell r="B47" t="str">
            <v>COMP.</v>
          </cell>
          <cell r="C47" t="str">
            <v>COMP. 003</v>
          </cell>
          <cell r="D47" t="str">
            <v>EXECUÇÃO DE VIA EM PISO INTERTRAVADO, COM BLOCO 16 FACES DE 22X11 CM, ESPESSURA DE 8 CM. AF_10/2022</v>
          </cell>
          <cell r="H47" t="str">
            <v>M2</v>
          </cell>
          <cell r="I47">
            <v>842</v>
          </cell>
        </row>
        <row r="48">
          <cell r="B48" t="str">
            <v>SINAPI</v>
          </cell>
          <cell r="C48">
            <v>94273</v>
          </cell>
          <cell r="D48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48" t="str">
            <v>M</v>
          </cell>
          <cell r="I48">
            <v>205</v>
          </cell>
        </row>
        <row r="49">
          <cell r="D49" t="str">
            <v>RUA ALEXANDRE MANENTI</v>
          </cell>
        </row>
        <row r="50">
          <cell r="D50" t="str">
            <v>SERVIÇOS PRELIMINARES</v>
          </cell>
        </row>
        <row r="51">
          <cell r="B51" t="str">
            <v>SINAPI</v>
          </cell>
          <cell r="C51">
            <v>99064</v>
          </cell>
          <cell r="D51" t="str">
            <v>LOCAÇÃO DE PAVIMENTAÇÃO. AF_10/2018</v>
          </cell>
          <cell r="H51" t="str">
            <v>M</v>
          </cell>
          <cell r="I51">
            <v>153</v>
          </cell>
        </row>
        <row r="53">
          <cell r="B53" t="str">
            <v>SINAPI</v>
          </cell>
          <cell r="C53">
            <v>90105</v>
          </cell>
          <cell r="D53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53" t="str">
            <v>M3</v>
          </cell>
          <cell r="I53">
            <v>275.61599999999999</v>
          </cell>
        </row>
        <row r="54">
          <cell r="B54" t="str">
            <v>SINAPI</v>
          </cell>
          <cell r="C54">
            <v>95568</v>
          </cell>
          <cell r="D54" t="str">
            <v>TUBO DE CONCRETO (SIMPLES) PARA REDES COLETORAS DE ÁGUAS PLUVIAIS, DIÂMETRO DE 400 MM, JUNTA RÍGIDA, INSTALADO EM LOCAL COM BAIXO NÍVEL DE INTERFERÊNCIAS - FORNECIMENTO E ASSENTAMENTO. AF_12/2015</v>
          </cell>
          <cell r="H54" t="str">
            <v>M</v>
          </cell>
          <cell r="I54">
            <v>93</v>
          </cell>
        </row>
        <row r="55">
          <cell r="B55" t="str">
            <v>SINAPI</v>
          </cell>
          <cell r="C55">
            <v>92212</v>
          </cell>
          <cell r="H55" t="str">
            <v>M</v>
          </cell>
          <cell r="I55">
            <v>83</v>
          </cell>
        </row>
        <row r="56">
          <cell r="B56" t="str">
            <v>COMP.</v>
          </cell>
          <cell r="C56" t="str">
            <v>1</v>
          </cell>
          <cell r="D56" t="str">
            <v>CX. PARA BOCA DE LOBO EM ALVENARIA DE BLOCOS DE CONCRETO 0,8X0,8X1,5m (DIM. INTERNA)</v>
          </cell>
          <cell r="H56" t="str">
            <v>UNID.</v>
          </cell>
          <cell r="I56">
            <v>6</v>
          </cell>
        </row>
        <row r="57">
          <cell r="B57" t="str">
            <v>SINAPI</v>
          </cell>
          <cell r="C57">
            <v>93382</v>
          </cell>
          <cell r="D57" t="str">
            <v>REATERRO MANUAL DE VALAS, COM COMPACTADOR DE SOLOS DE PERCUSSÃO. AF_08/2023</v>
          </cell>
          <cell r="H57" t="str">
            <v>M3</v>
          </cell>
          <cell r="I57">
            <v>125.6</v>
          </cell>
        </row>
        <row r="58">
          <cell r="D58" t="str">
            <v>PAVIMENTAÇÃO</v>
          </cell>
        </row>
        <row r="59">
          <cell r="B59" t="str">
            <v>COMP.</v>
          </cell>
          <cell r="C59">
            <v>3</v>
          </cell>
          <cell r="D59" t="str">
            <v>EXECUÇÃO DE VIA EM PISO INTERTRAVADO, COM BLOCO 16 FACES DE 22X11 CM, ESPESSURA DE 8 CM. AF_10/2022</v>
          </cell>
          <cell r="H59" t="str">
            <v>M2</v>
          </cell>
          <cell r="I59">
            <v>1377</v>
          </cell>
        </row>
        <row r="60">
          <cell r="B60" t="str">
            <v>SINAPI</v>
          </cell>
          <cell r="C60">
            <v>94273</v>
          </cell>
          <cell r="D60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60" t="str">
            <v>M</v>
          </cell>
          <cell r="I60">
            <v>306</v>
          </cell>
        </row>
        <row r="61">
          <cell r="D61" t="str">
            <v>RUA PIETRO ERCOLANI</v>
          </cell>
        </row>
        <row r="63">
          <cell r="B63" t="str">
            <v>SINAPI</v>
          </cell>
          <cell r="C63">
            <v>99064</v>
          </cell>
          <cell r="D63" t="str">
            <v>LOCAÇÃO DE PAVIMENTAÇÃO. AF_10/2018</v>
          </cell>
          <cell r="H63" t="str">
            <v>M</v>
          </cell>
          <cell r="I63">
            <v>168</v>
          </cell>
        </row>
        <row r="64">
          <cell r="D64" t="str">
            <v>DRENAGEM PLUVIAL</v>
          </cell>
        </row>
        <row r="65">
          <cell r="B65" t="str">
            <v>SINAPI</v>
          </cell>
          <cell r="C65">
            <v>90105</v>
          </cell>
          <cell r="D65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65" t="str">
            <v>M3</v>
          </cell>
          <cell r="I65">
            <v>175.744</v>
          </cell>
        </row>
        <row r="66">
          <cell r="B66" t="str">
            <v>SINAPI</v>
          </cell>
          <cell r="C66">
            <v>95568</v>
          </cell>
          <cell r="D66" t="str">
            <v>TUBO DE CONCRETO (SIMPLES) PARA REDES COLETORAS DE ÁGUAS PLUVIAIS, DIÂMETRO DE 400 MM, JUNTA RÍGIDA, INSTALADO EM LOCAL COM BAIXO NÍVEL DE INTERFERÊNCIAS - FORNECIMENTO E ASSENTAMENTO. AF_12/2015</v>
          </cell>
          <cell r="H66" t="str">
            <v>m</v>
          </cell>
          <cell r="I66">
            <v>112</v>
          </cell>
        </row>
        <row r="67">
          <cell r="B67" t="str">
            <v>COMP.</v>
          </cell>
          <cell r="C67">
            <v>1</v>
          </cell>
          <cell r="D67" t="str">
            <v>CX. PARA BOCA DE LOBO EM ALVENARIA DE BLOCOS DE CONCRETO 0,8X0,8X1,5m (DIM. INTERNA)</v>
          </cell>
          <cell r="H67" t="str">
            <v>UNID.</v>
          </cell>
          <cell r="I67">
            <v>4</v>
          </cell>
        </row>
        <row r="68">
          <cell r="B68" t="str">
            <v>SINAPI</v>
          </cell>
          <cell r="C68">
            <v>93382</v>
          </cell>
          <cell r="D68" t="str">
            <v>REATERRO MANUAL DE VALAS, COM COMPACTADOR DE SOLOS DE PERCUSSÃO. AF_08/2023</v>
          </cell>
          <cell r="H68" t="str">
            <v>M3</v>
          </cell>
          <cell r="I68">
            <v>79.999999999999986</v>
          </cell>
        </row>
        <row r="69">
          <cell r="D69" t="str">
            <v>PAVIMENTAÇÃO</v>
          </cell>
        </row>
        <row r="70">
          <cell r="B70" t="str">
            <v>COMP.</v>
          </cell>
          <cell r="C70">
            <v>3</v>
          </cell>
          <cell r="D70" t="str">
            <v>EXECUÇÃO DE VIA EM PISO INTERTRAVADO, COM BLOCO 16 FACES DE 22X11 CM, ESPESSURA DE 8 CM. AF_10/2022</v>
          </cell>
          <cell r="H70" t="str">
            <v>M2</v>
          </cell>
          <cell r="I70">
            <v>1512</v>
          </cell>
        </row>
        <row r="71">
          <cell r="C71">
            <v>94273</v>
          </cell>
          <cell r="D71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71" t="str">
            <v>M</v>
          </cell>
          <cell r="I71">
            <v>325</v>
          </cell>
        </row>
        <row r="72">
          <cell r="D72" t="str">
            <v>RUA VALDENIR VICENTE GAVIOLI</v>
          </cell>
        </row>
        <row r="73">
          <cell r="D73" t="str">
            <v>SERVIÇOS PRELIMINARES</v>
          </cell>
        </row>
        <row r="74">
          <cell r="B74" t="str">
            <v>SINAPI</v>
          </cell>
          <cell r="C74">
            <v>99064</v>
          </cell>
          <cell r="D74" t="str">
            <v>LOCAÇÃO DE PAVIMENTAÇÃO. AF_10/2018</v>
          </cell>
          <cell r="H74" t="str">
            <v>M</v>
          </cell>
          <cell r="I74">
            <v>170</v>
          </cell>
        </row>
        <row r="75">
          <cell r="D75" t="str">
            <v>DRENAGEM PLUVIAL</v>
          </cell>
        </row>
        <row r="76">
          <cell r="B76" t="str">
            <v>SINAPI</v>
          </cell>
          <cell r="C76">
            <v>90105</v>
          </cell>
          <cell r="D76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76" t="str">
            <v>M3</v>
          </cell>
          <cell r="I76">
            <v>284.80799999999999</v>
          </cell>
        </row>
        <row r="77">
          <cell r="B77" t="str">
            <v>SINAPI</v>
          </cell>
          <cell r="C77">
            <v>92212</v>
          </cell>
          <cell r="D77" t="str">
            <v>TUBO DE CONCRETO PARA REDES COLETORAS DE ÁGUAS PLUVIAIS, DIÂMETRO DE 600 MM, JUNTA RÍGIDA, INSTALADO EM LOCAL COM BAIXO NÍVEL DE INTERFERÊNCIAS - FORNECIMENTO E ASSENTAMENTO. AF_12/2015</v>
          </cell>
          <cell r="H77" t="str">
            <v>M</v>
          </cell>
          <cell r="I77">
            <v>177</v>
          </cell>
        </row>
        <row r="78">
          <cell r="B78" t="str">
            <v>SINAPI</v>
          </cell>
          <cell r="C78">
            <v>95568</v>
          </cell>
          <cell r="D78" t="str">
            <v>TUBO DE CONCRETO (SIMPLES) PARA REDES COLETORAS DE ÁGUAS PLUVIAIS, DIÂMETRO DE 400 MM, JUNTA RÍGIDA, INSTALADO EM LOCAL COM BAIXO NÍVEL DE INTERFERÊNCIAS - FORNECIMENTO E ASSENTAMENTO. AF_12/2015</v>
          </cell>
          <cell r="H78" t="str">
            <v>M</v>
          </cell>
          <cell r="I78">
            <v>9</v>
          </cell>
        </row>
        <row r="79">
          <cell r="B79" t="str">
            <v>COMP.</v>
          </cell>
          <cell r="C79">
            <v>1</v>
          </cell>
          <cell r="D79" t="str">
            <v>CX. PARA BOCA DE LOBO EM ALVENARIA DE BLOCOS DE CONCRETO 0,8X0,8X1,5m (DIM. INTERNA)</v>
          </cell>
          <cell r="H79" t="str">
            <v>UNID.</v>
          </cell>
          <cell r="I79">
            <v>3</v>
          </cell>
        </row>
        <row r="80">
          <cell r="B80" t="str">
            <v>SINAPI</v>
          </cell>
          <cell r="C80">
            <v>93382</v>
          </cell>
          <cell r="D80" t="str">
            <v>REATERRO MANUAL DE VALAS, COM COMPACTADOR DE SOLOS DE PERCUSSÃO. AF_08/2023</v>
          </cell>
          <cell r="H80" t="str">
            <v>M3</v>
          </cell>
          <cell r="I80">
            <v>131.39999999999998</v>
          </cell>
        </row>
        <row r="81">
          <cell r="D81" t="str">
            <v>PAVIMENTAÇÃO</v>
          </cell>
        </row>
        <row r="82">
          <cell r="B82" t="str">
            <v>COMP.</v>
          </cell>
          <cell r="C82">
            <v>3</v>
          </cell>
          <cell r="D82" t="str">
            <v>EXECUÇÃO DE VIA EM PISO INTERTRAVADO, COM BLOCO 16 FACES DE 22X11 CM, ESPESSURA DE 8 CM. AF_10/2022</v>
          </cell>
          <cell r="H82" t="str">
            <v>M2</v>
          </cell>
          <cell r="I82">
            <v>1530</v>
          </cell>
        </row>
        <row r="83">
          <cell r="B83" t="str">
            <v>SINAPI</v>
          </cell>
          <cell r="C83">
            <v>94273</v>
          </cell>
          <cell r="D83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83" t="str">
            <v>M</v>
          </cell>
          <cell r="I83">
            <v>331</v>
          </cell>
        </row>
        <row r="84">
          <cell r="D84" t="str">
            <v>RUA EMANCIPAÇÃO</v>
          </cell>
        </row>
        <row r="85">
          <cell r="D85" t="str">
            <v>SERVIÇOS PRELIMINARES</v>
          </cell>
        </row>
        <row r="86">
          <cell r="B86" t="str">
            <v>SINAPI</v>
          </cell>
          <cell r="C86">
            <v>99064</v>
          </cell>
          <cell r="D86" t="str">
            <v>LOCAÇÃO DE PAVIMENTAÇÃO. AF_10/2018</v>
          </cell>
          <cell r="H86" t="str">
            <v>M</v>
          </cell>
          <cell r="I86">
            <v>397</v>
          </cell>
        </row>
        <row r="87">
          <cell r="D87" t="str">
            <v>DRENAGEM PLUVIAL</v>
          </cell>
        </row>
        <row r="88">
          <cell r="B88" t="str">
            <v>SINAPI</v>
          </cell>
          <cell r="C88">
            <v>90105</v>
          </cell>
          <cell r="D88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88" t="str">
            <v>M3</v>
          </cell>
          <cell r="I88">
            <v>509.03999999999996</v>
          </cell>
        </row>
        <row r="89">
          <cell r="B89" t="str">
            <v>SINAPI</v>
          </cell>
          <cell r="C89">
            <v>95568</v>
          </cell>
          <cell r="D89" t="str">
            <v>TUBO DE CONCRETO (SIMPLES) PARA REDES COLETORAS DE ÁGUAS PLUVIAIS, DIÂMETRO DE 400 MM, JUNTA RÍGIDA, INSTALADO EM LOCAL COM BAIXO NÍVEL DE INTERFERÊNCIAS - FORNECIMENTO E ASSENTAMENTO. AF_12/2015</v>
          </cell>
          <cell r="H89" t="str">
            <v>M</v>
          </cell>
          <cell r="I89">
            <v>80</v>
          </cell>
        </row>
        <row r="90">
          <cell r="B90" t="str">
            <v>SINAPI</v>
          </cell>
          <cell r="C90">
            <v>92212</v>
          </cell>
          <cell r="D90" t="str">
            <v>TUBO DE CONCRETO PARA REDES COLETORAS DE ÁGUAS PLUVIAIS, DIÂMETRO DE 600 MM, JUNTA RÍGIDA, INSTALADO EM LOCAL COM BAIXO NÍVEL DE INTERFERÊNCIAS - FORNECIMENTO E ASSENTAMENTO. AF_12/2015</v>
          </cell>
          <cell r="H90" t="str">
            <v>M</v>
          </cell>
          <cell r="I90">
            <v>240</v>
          </cell>
        </row>
        <row r="91">
          <cell r="B91" t="str">
            <v>SINAPI</v>
          </cell>
          <cell r="C91">
            <v>92216</v>
          </cell>
          <cell r="D91" t="str">
            <v>TUBO DE CONCRETO PARA REDES COLETORAS DE ÁGUAS PLUVIAIS, DIÂMETRO DE 1000 MM, JUNTA RÍGIDA, INSTALADO EM LOCAL COM BAIXO NÍVEL DE INTERFERÊNCIAS - FORNECIMENTO E ASSENTAMENTO. AF_12/2015</v>
          </cell>
          <cell r="H91" t="str">
            <v>M</v>
          </cell>
          <cell r="I91">
            <v>10</v>
          </cell>
        </row>
        <row r="92">
          <cell r="B92" t="str">
            <v>COMP.</v>
          </cell>
          <cell r="C92">
            <v>1</v>
          </cell>
          <cell r="D92" t="str">
            <v>CX. PARA BOCA DE LOBO EM ALVENARIA DE BLOCOS DE CONCRETO 0,8X0,8X1,5m (DIM. INTERNA)</v>
          </cell>
          <cell r="H92" t="str">
            <v>UNID.</v>
          </cell>
          <cell r="I92">
            <v>14</v>
          </cell>
        </row>
        <row r="93">
          <cell r="B93" t="str">
            <v>COMP.</v>
          </cell>
          <cell r="C93">
            <v>4</v>
          </cell>
          <cell r="D93" t="str">
            <v>CX. PARA BOCA DE LOBO EM ALVENARIA DE BLOCOS DE CONCRETO 1,2X1,2X1,5m (DIM. INTERNA))</v>
          </cell>
          <cell r="H93" t="str">
            <v>UNID.</v>
          </cell>
          <cell r="I93">
            <v>1</v>
          </cell>
        </row>
        <row r="94">
          <cell r="B94" t="str">
            <v>SINAPI</v>
          </cell>
          <cell r="C94">
            <v>93382</v>
          </cell>
          <cell r="D94" t="str">
            <v>REATERRO MANUAL DE VALAS, COM COMPACTADOR DE SOLOS DE PERCUSSÃO. AF_08/2023</v>
          </cell>
          <cell r="H94" t="str">
            <v>M3</v>
          </cell>
          <cell r="I94">
            <v>350.62400000000002</v>
          </cell>
        </row>
        <row r="95">
          <cell r="D95" t="str">
            <v>PAVIMENTAÇÃO</v>
          </cell>
        </row>
        <row r="96">
          <cell r="B96" t="str">
            <v>COMP.</v>
          </cell>
          <cell r="C96">
            <v>3</v>
          </cell>
          <cell r="D96" t="str">
            <v>EXECUÇÃO DE VIA EM PISO INTERTRAVADO, COM BLOCO 16 FACES DE 22X11 CM, ESPESSURA DE 8 CM. AF_10/2022</v>
          </cell>
          <cell r="H96" t="str">
            <v>M2</v>
          </cell>
          <cell r="I96">
            <v>3970</v>
          </cell>
        </row>
        <row r="97">
          <cell r="B97" t="str">
            <v>SINAPI</v>
          </cell>
          <cell r="C97">
            <v>94273</v>
          </cell>
          <cell r="D97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97" t="str">
            <v>M</v>
          </cell>
          <cell r="I97">
            <v>795</v>
          </cell>
        </row>
        <row r="98">
          <cell r="D98" t="str">
            <v>RUA JOÃO GIODA</v>
          </cell>
        </row>
        <row r="99">
          <cell r="D99" t="str">
            <v>SERVIÇOS PRELIMINARES</v>
          </cell>
        </row>
        <row r="100">
          <cell r="B100" t="str">
            <v>SINAPI</v>
          </cell>
          <cell r="C100">
            <v>99064</v>
          </cell>
          <cell r="D100" t="str">
            <v>LOCAÇÃO DE PAVIMENTAÇÃO. AF_10/2018</v>
          </cell>
          <cell r="H100" t="str">
            <v>M</v>
          </cell>
          <cell r="I100">
            <v>158</v>
          </cell>
        </row>
        <row r="101">
          <cell r="D101" t="str">
            <v>DRENAGEM PLUVIAL</v>
          </cell>
        </row>
        <row r="102">
          <cell r="B102" t="str">
            <v>SINAPI</v>
          </cell>
          <cell r="C102">
            <v>90105</v>
          </cell>
          <cell r="D102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102" t="str">
            <v>M3</v>
          </cell>
          <cell r="I102">
            <v>35.808</v>
          </cell>
        </row>
        <row r="103">
          <cell r="B103" t="str">
            <v>SINAPI</v>
          </cell>
          <cell r="C103">
            <v>95568</v>
          </cell>
          <cell r="D103" t="str">
            <v>TUBO DE CONCRETO (SIMPLES) PARA REDES COLETORAS DE ÁGUAS PLUVIAIS, DIÂMETRO DE 400 MM, JUNTA RÍGIDA, INSTALADO EM LOCAL COM BAIXO NÍVEL DE INTERFERÊNCIAS - FORNECIMENTO E ASSENTAMENTO. AF_12/2015</v>
          </cell>
          <cell r="H103" t="str">
            <v>M</v>
          </cell>
          <cell r="I103">
            <v>20</v>
          </cell>
        </row>
        <row r="104">
          <cell r="B104" t="str">
            <v>COMP.</v>
          </cell>
          <cell r="C104">
            <v>1</v>
          </cell>
          <cell r="D104" t="str">
            <v>CX. PARA BOCA DE LOBO EM ALVENARIA DE BLOCOS DE CONCRETO 0,8X0,8X1,5m (DIM. INTERNA)</v>
          </cell>
          <cell r="H104" t="str">
            <v>UNID.</v>
          </cell>
          <cell r="I104">
            <v>2</v>
          </cell>
        </row>
        <row r="105">
          <cell r="B105" t="str">
            <v>COMP.</v>
          </cell>
          <cell r="C105">
            <v>2</v>
          </cell>
          <cell r="D105" t="str">
            <v>CX. PARA BOCA DE LOBO EM ALVENARIA DE BLOCOS DE CONCRETO 0,8X0,8X1,5m, COM GRELHA DE AÇO (DIM. INTERNA)</v>
          </cell>
          <cell r="H105" t="str">
            <v>UNID.</v>
          </cell>
          <cell r="I105">
            <v>1</v>
          </cell>
        </row>
        <row r="106">
          <cell r="B106" t="str">
            <v>SINAPI</v>
          </cell>
          <cell r="C106">
            <v>93382</v>
          </cell>
          <cell r="D106" t="str">
            <v>REATERRO MANUAL DE VALAS, COM COMPACTADOR DE SOLOS DE PERCUSSÃO. AF_08/2023</v>
          </cell>
          <cell r="H106" t="str">
            <v>M3</v>
          </cell>
          <cell r="I106">
            <v>15.200000000000001</v>
          </cell>
        </row>
        <row r="107">
          <cell r="D107" t="str">
            <v>PAVIMENTAÇÃO</v>
          </cell>
        </row>
        <row r="108">
          <cell r="B108" t="str">
            <v>COMP.</v>
          </cell>
          <cell r="C108">
            <v>3</v>
          </cell>
          <cell r="D108" t="str">
            <v>EXECUÇÃO DE VIA EM PISO INTERTRAVADO, COM BLOCO 16 FACES DE 22X11 CM, ESPESSURA DE 8 CM. AF_10/2022</v>
          </cell>
          <cell r="H108" t="str">
            <v>M2</v>
          </cell>
          <cell r="I108">
            <v>1580</v>
          </cell>
        </row>
        <row r="109">
          <cell r="B109" t="str">
            <v>SINAPI</v>
          </cell>
          <cell r="C109">
            <v>94273</v>
          </cell>
          <cell r="D109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109" t="str">
            <v>M</v>
          </cell>
          <cell r="I109">
            <v>298</v>
          </cell>
        </row>
        <row r="110">
          <cell r="D110" t="str">
            <v>RUA GIOVANA LOVATO VIELMO</v>
          </cell>
        </row>
        <row r="111">
          <cell r="D111" t="str">
            <v>SERVIÇOS PRELIMINARES</v>
          </cell>
        </row>
        <row r="112">
          <cell r="B112" t="str">
            <v>SINAPI</v>
          </cell>
          <cell r="C112">
            <v>99064</v>
          </cell>
          <cell r="D112" t="str">
            <v>LOCAÇÃO DE PAVIMENTAÇÃO. AF_10/2018</v>
          </cell>
          <cell r="H112" t="str">
            <v>M</v>
          </cell>
          <cell r="I112">
            <v>86</v>
          </cell>
        </row>
        <row r="113">
          <cell r="D113" t="str">
            <v>DRENAGEM PLUVIAL</v>
          </cell>
        </row>
        <row r="114">
          <cell r="B114" t="str">
            <v>SINAPI</v>
          </cell>
          <cell r="C114">
            <v>90105</v>
          </cell>
          <cell r="D114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114" t="str">
            <v>M3</v>
          </cell>
          <cell r="I114">
            <v>155.18</v>
          </cell>
        </row>
        <row r="115">
          <cell r="B115" t="str">
            <v>SINAPI</v>
          </cell>
          <cell r="C115">
            <v>95568</v>
          </cell>
          <cell r="D115" t="str">
            <v>TUBO DE CONCRETO (SIMPLES) PARA REDES COLETORAS DE ÁGUAS PLUVIAIS, DIÂMETRO DE 400 MM, JUNTA RÍGIDA, INSTALADO EM LOCAL COM BAIXO NÍVEL DE INTERFERÊNCIAS - FORNECIMENTO E ASSENTAMENTO. AF_12/2015</v>
          </cell>
          <cell r="H115" t="str">
            <v>M</v>
          </cell>
          <cell r="I115">
            <v>97</v>
          </cell>
        </row>
        <row r="116">
          <cell r="B116" t="str">
            <v>COMP.</v>
          </cell>
          <cell r="C116">
            <v>1</v>
          </cell>
          <cell r="D116" t="str">
            <v>CX. PARA BOCA DE LOBO EM ALVENARIA DE BLOCOS DE CONCRETO 0,8X0,8X1,5m (DIM. INTERNA)</v>
          </cell>
          <cell r="H116" t="str">
            <v>UNID.</v>
          </cell>
          <cell r="I116">
            <v>5</v>
          </cell>
        </row>
        <row r="117">
          <cell r="B117" t="str">
            <v>SINAPI</v>
          </cell>
          <cell r="C117">
            <v>93382</v>
          </cell>
          <cell r="D117" t="str">
            <v>REATERRO MANUAL DE VALAS, COM COMPACTADOR DE SOLOS DE PERCUSSÃO. AF_08/2023</v>
          </cell>
          <cell r="H117" t="str">
            <v>M3</v>
          </cell>
          <cell r="I117">
            <v>69.899999999999991</v>
          </cell>
        </row>
        <row r="118">
          <cell r="D118" t="str">
            <v>PAVIMENTAÇÃO</v>
          </cell>
        </row>
        <row r="119">
          <cell r="B119" t="str">
            <v>COMP.</v>
          </cell>
          <cell r="C119">
            <v>3</v>
          </cell>
          <cell r="D119" t="str">
            <v>EXECUÇÃO DE VIA EM PISO INTERTRAVADO, COM BLOCO 16 FACES DE 22X11 CM, ESPESSURA DE 8 CM. AF_10/2022</v>
          </cell>
          <cell r="H119" t="str">
            <v>M2</v>
          </cell>
          <cell r="I119">
            <v>774</v>
          </cell>
        </row>
        <row r="120">
          <cell r="B120" t="str">
            <v>SINAPI</v>
          </cell>
          <cell r="C120">
            <v>94273</v>
          </cell>
          <cell r="D120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120" t="str">
            <v>M</v>
          </cell>
          <cell r="I120">
            <v>179</v>
          </cell>
        </row>
        <row r="121">
          <cell r="D121" t="str">
            <v>RUA EUCLIDES DA CUNHA</v>
          </cell>
        </row>
        <row r="122">
          <cell r="D122" t="str">
            <v>SERVIÇOS PRELIMINARES</v>
          </cell>
        </row>
        <row r="123">
          <cell r="B123" t="str">
            <v>SINAPI</v>
          </cell>
          <cell r="C123">
            <v>99064</v>
          </cell>
          <cell r="D123" t="str">
            <v>LOCAÇÃO DE PAVIMENTAÇÃO. AF_10/2018</v>
          </cell>
          <cell r="H123" t="str">
            <v>M</v>
          </cell>
          <cell r="I123">
            <v>132</v>
          </cell>
        </row>
        <row r="124">
          <cell r="D124" t="str">
            <v>DRENAGEM PLUVIAL</v>
          </cell>
        </row>
        <row r="125">
          <cell r="B125" t="str">
            <v>SINAPI</v>
          </cell>
          <cell r="C125">
            <v>90105</v>
          </cell>
          <cell r="D125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125" t="str">
            <v>M3</v>
          </cell>
          <cell r="I125">
            <v>150.244</v>
          </cell>
        </row>
        <row r="126">
          <cell r="B126" t="str">
            <v>SINAPI</v>
          </cell>
          <cell r="C126">
            <v>95568</v>
          </cell>
          <cell r="D126" t="str">
            <v>TUBO DE CONCRETO (SIMPLES) PARA REDES COLETORAS DE ÁGUAS PLUVIAIS, DIÂMETRO DE 400 MM, JUNTA RÍGIDA, INSTALADO EM LOCAL COM BAIXO NÍVEL DE INTERFERÊNCIAS - FORNECIMENTO E ASSENTAMENTO. AF_12/2015</v>
          </cell>
          <cell r="H126" t="str">
            <v>M</v>
          </cell>
          <cell r="I126">
            <v>95</v>
          </cell>
        </row>
        <row r="127">
          <cell r="B127" t="str">
            <v>COMP.</v>
          </cell>
          <cell r="C127">
            <v>1</v>
          </cell>
          <cell r="D127" t="str">
            <v>CX. PARA BOCA DE LOBO EM ALVENARIA DE BLOCOS DE CONCRETO 0,8X0,8X1,5m (DIM. INTERNA)</v>
          </cell>
          <cell r="H127" t="str">
            <v>UNID.</v>
          </cell>
          <cell r="I127">
            <v>4</v>
          </cell>
        </row>
        <row r="128">
          <cell r="B128" t="str">
            <v>SINAPI</v>
          </cell>
          <cell r="C128">
            <v>93382</v>
          </cell>
          <cell r="D128" t="str">
            <v>REATERRO MANUAL DE VALAS, COM COMPACTADOR DE SOLOS DE PERCUSSÃO. AF_08/2023</v>
          </cell>
          <cell r="H128" t="str">
            <v>M3</v>
          </cell>
          <cell r="I128">
            <v>68.099999999999994</v>
          </cell>
        </row>
        <row r="129">
          <cell r="D129" t="str">
            <v>PAVIMENTAÇÃO</v>
          </cell>
        </row>
        <row r="130">
          <cell r="B130" t="str">
            <v>COMP.</v>
          </cell>
          <cell r="C130">
            <v>3</v>
          </cell>
          <cell r="D130" t="str">
            <v>EXECUÇÃO DE VIA EM PISO INTERTRAVADO, COM BLOCO 16 FACES DE 22X11 CM, ESPESSURA DE 8 CM. AF_10/2022</v>
          </cell>
          <cell r="H130" t="str">
            <v>M2</v>
          </cell>
          <cell r="I130">
            <v>1188</v>
          </cell>
        </row>
        <row r="131">
          <cell r="B131" t="str">
            <v>SINAPI</v>
          </cell>
          <cell r="C131">
            <v>94273</v>
          </cell>
          <cell r="D131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131" t="str">
            <v>M</v>
          </cell>
          <cell r="I131">
            <v>273</v>
          </cell>
        </row>
        <row r="132">
          <cell r="D132" t="str">
            <v>PEDRO DELEVATI SOBRINHO</v>
          </cell>
        </row>
        <row r="133">
          <cell r="D133" t="str">
            <v>SERVIÇOS PRELIMINARES</v>
          </cell>
        </row>
        <row r="134">
          <cell r="B134" t="str">
            <v>SINAPI</v>
          </cell>
          <cell r="C134">
            <v>99064</v>
          </cell>
          <cell r="D134" t="str">
            <v>LOCAÇÃO DE PAVIMENTAÇÃO. AF_10/2018</v>
          </cell>
          <cell r="H134" t="str">
            <v>M</v>
          </cell>
          <cell r="I134">
            <v>86</v>
          </cell>
        </row>
        <row r="135">
          <cell r="D135" t="str">
            <v>PAVIMENTAÇÃO</v>
          </cell>
        </row>
        <row r="136">
          <cell r="B136" t="str">
            <v>COMP.</v>
          </cell>
          <cell r="C136">
            <v>3</v>
          </cell>
          <cell r="D136" t="str">
            <v>EXECUÇÃO DE VIA EM PISO INTERTRAVADO, COM BLOCO 16 FACES DE 22X11 CM, ESPESSURA DE 8 CM. AF_10/2022</v>
          </cell>
          <cell r="H136" t="str">
            <v>M2</v>
          </cell>
          <cell r="I136">
            <v>774</v>
          </cell>
        </row>
        <row r="137">
          <cell r="B137" t="str">
            <v>SINAPI</v>
          </cell>
          <cell r="C137">
            <v>94273</v>
          </cell>
          <cell r="D137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137" t="str">
            <v>M</v>
          </cell>
          <cell r="I137">
            <v>172</v>
          </cell>
        </row>
        <row r="138">
          <cell r="D138" t="str">
            <v>ALADINO BUZATA</v>
          </cell>
        </row>
        <row r="139">
          <cell r="D139" t="str">
            <v>SERVIÇOS PRELIMINARES</v>
          </cell>
        </row>
        <row r="140">
          <cell r="B140" t="str">
            <v>SINAPI</v>
          </cell>
          <cell r="C140">
            <v>99064</v>
          </cell>
          <cell r="D140" t="str">
            <v>LOCAÇÃO DE PAVIMENTAÇÃO. AF_10/2018</v>
          </cell>
          <cell r="H140" t="str">
            <v>M</v>
          </cell>
          <cell r="I140">
            <v>116</v>
          </cell>
        </row>
        <row r="141">
          <cell r="D141" t="str">
            <v>DRENAGEM PLUVIAL</v>
          </cell>
        </row>
        <row r="142">
          <cell r="B142" t="str">
            <v>SINAPI</v>
          </cell>
          <cell r="C142">
            <v>90105</v>
          </cell>
          <cell r="D142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142" t="str">
            <v>M3</v>
          </cell>
          <cell r="I142">
            <v>183.68</v>
          </cell>
        </row>
        <row r="143">
          <cell r="B143" t="str">
            <v>SINAPI</v>
          </cell>
          <cell r="C143">
            <v>95568</v>
          </cell>
          <cell r="D143" t="str">
            <v>TUBO DE CONCRETO (SIMPLES) PARA REDES COLETORAS DE ÁGUAS PLUVIAIS, DIÂMETRO DE 400 MM, JUNTA RÍGIDA, INSTALADO EM LOCAL COM BAIXO NÍVEL DE INTERFERÊNCIAS - FORNECIMENTO E ASSENTAMENTO. AF_12/2015</v>
          </cell>
          <cell r="H143" t="str">
            <v>M</v>
          </cell>
          <cell r="I143">
            <v>76</v>
          </cell>
        </row>
        <row r="144">
          <cell r="B144" t="str">
            <v>SINAPI</v>
          </cell>
          <cell r="C144">
            <v>92212</v>
          </cell>
          <cell r="D144" t="str">
            <v>TUBO DE CONCRETO PARA REDES COLETORAS DE ÁGUAS PLUVIAIS, DIÂMETRO DE 600 MM, JUNTA RÍGIDA, INSTALADO EM LOCAL COM BAIXO NÍVEL DE INTERFERÊNCIAS - FORNECIMENTO E ASSENTAMENTO. AF_12/2015</v>
          </cell>
          <cell r="H144" t="str">
            <v>M</v>
          </cell>
          <cell r="I144">
            <v>40</v>
          </cell>
        </row>
        <row r="145">
          <cell r="B145" t="str">
            <v>COMP.</v>
          </cell>
          <cell r="C145">
            <v>1</v>
          </cell>
          <cell r="D145" t="str">
            <v>CX. PARA BOCA DE LOBO EM ALVENARIA DE BLOCOS DE CONCRETO 0,8X0,8X1,5m (DIM. INTERNA)</v>
          </cell>
          <cell r="H145" t="str">
            <v>UNID.</v>
          </cell>
          <cell r="I145">
            <v>5</v>
          </cell>
        </row>
        <row r="146">
          <cell r="B146" t="str">
            <v>SINAPI</v>
          </cell>
          <cell r="C146">
            <v>93382</v>
          </cell>
          <cell r="D146" t="str">
            <v>REATERRO MANUAL DE VALAS, COM COMPACTADOR DE SOLOS DE PERCUSSÃO. AF_08/2023</v>
          </cell>
          <cell r="H146" t="str">
            <v>M3</v>
          </cell>
          <cell r="I146">
            <v>235.77600000000001</v>
          </cell>
        </row>
        <row r="147">
          <cell r="D147" t="str">
            <v>PAVIMENTAÇÃO</v>
          </cell>
        </row>
        <row r="148">
          <cell r="B148" t="str">
            <v>COMP.</v>
          </cell>
          <cell r="C148">
            <v>3</v>
          </cell>
          <cell r="D148" t="str">
            <v>EXECUÇÃO DE VIA EM PISO INTERTRAVADO, COM BLOCO 16 FACES DE 22X11 CM, ESPESSURA DE 8 CM. AF_10/2022</v>
          </cell>
          <cell r="H148" t="str">
            <v>M2</v>
          </cell>
          <cell r="I148">
            <v>1044</v>
          </cell>
        </row>
        <row r="149">
          <cell r="B149" t="str">
            <v>SINAPI</v>
          </cell>
          <cell r="C149">
            <v>94273</v>
          </cell>
          <cell r="D149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149" t="str">
            <v>M</v>
          </cell>
          <cell r="I149">
            <v>245</v>
          </cell>
        </row>
        <row r="150">
          <cell r="D150" t="str">
            <v>PEDRO MINOSSO</v>
          </cell>
        </row>
        <row r="151">
          <cell r="D151" t="str">
            <v>SERVIÇOS PRELIMINARES</v>
          </cell>
        </row>
        <row r="152">
          <cell r="B152" t="str">
            <v>SINAPI</v>
          </cell>
          <cell r="C152">
            <v>99064</v>
          </cell>
          <cell r="D152" t="str">
            <v>LOCAÇÃO DE PAVIMENTAÇÃO. AF_10/2018</v>
          </cell>
          <cell r="H152" t="str">
            <v>M</v>
          </cell>
          <cell r="I152">
            <v>76</v>
          </cell>
        </row>
        <row r="153">
          <cell r="D153" t="str">
            <v>PAVIMENTAÇÃO</v>
          </cell>
        </row>
        <row r="154">
          <cell r="B154" t="str">
            <v>COMP.</v>
          </cell>
          <cell r="C154">
            <v>3</v>
          </cell>
          <cell r="D154" t="str">
            <v>EXECUÇÃO DE VIA EM PISO INTERTRAVADO, COM BLOCO 16 FACES DE 22X11 CM, ESPESSURA DE 8 CM. AF_10/2022</v>
          </cell>
          <cell r="H154" t="str">
            <v>M2</v>
          </cell>
          <cell r="I154">
            <v>684</v>
          </cell>
        </row>
        <row r="155">
          <cell r="B155" t="str">
            <v>SINAPI</v>
          </cell>
          <cell r="C155">
            <v>94273</v>
          </cell>
          <cell r="D155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155" t="str">
            <v>M</v>
          </cell>
          <cell r="I155">
            <v>158</v>
          </cell>
        </row>
        <row r="156">
          <cell r="D156" t="str">
            <v>JOÃO VIELMO</v>
          </cell>
        </row>
        <row r="157">
          <cell r="D157" t="str">
            <v>SERVIÇOS PRELIMINARES</v>
          </cell>
        </row>
        <row r="158">
          <cell r="B158" t="str">
            <v>SINAPI</v>
          </cell>
          <cell r="C158">
            <v>99064</v>
          </cell>
          <cell r="D158" t="str">
            <v>LOCAÇÃO DE PAVIMENTAÇÃO. AF_10/2018</v>
          </cell>
          <cell r="H158" t="str">
            <v>M</v>
          </cell>
          <cell r="I158">
            <v>99</v>
          </cell>
        </row>
        <row r="159">
          <cell r="D159" t="str">
            <v>DRENAGEM PLUVIAL</v>
          </cell>
        </row>
        <row r="160">
          <cell r="B160" t="str">
            <v>SINAPI</v>
          </cell>
          <cell r="C160">
            <v>90105</v>
          </cell>
          <cell r="D160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160" t="str">
            <v>M3</v>
          </cell>
          <cell r="I160">
            <v>167.80799999999999</v>
          </cell>
        </row>
        <row r="161">
          <cell r="B161" t="str">
            <v>SINAPI</v>
          </cell>
          <cell r="C161">
            <v>95568</v>
          </cell>
          <cell r="D161" t="str">
            <v>TUBO DE CONCRETO (SIMPLES) PARA REDES COLETORAS DE ÁGUAS PLUVIAIS, DIÂMETRO DE 400 MM, JUNTA RÍGIDA, INSTALADO EM LOCAL COM BAIXO NÍVEL DE INTERFERÊNCIAS - FORNECIMENTO E ASSENTAMENTO. AF_12/2015</v>
          </cell>
          <cell r="H161" t="str">
            <v>M</v>
          </cell>
          <cell r="I161">
            <v>108</v>
          </cell>
        </row>
        <row r="162">
          <cell r="B162" t="str">
            <v>COMP.</v>
          </cell>
          <cell r="C162">
            <v>1</v>
          </cell>
          <cell r="D162" t="str">
            <v>CX. PARA BOCA DE LOBO EM ALVENARIA DE BLOCOS DE CONCRETO 0,8X0,8X1,5m (DIM. INTERNA)</v>
          </cell>
          <cell r="H162" t="str">
            <v>UNID.</v>
          </cell>
          <cell r="I162">
            <v>3</v>
          </cell>
        </row>
        <row r="163">
          <cell r="B163" t="str">
            <v>SINAPI</v>
          </cell>
          <cell r="C163">
            <v>93382</v>
          </cell>
          <cell r="D163" t="str">
            <v>REATERRO MANUAL DE VALAS, COM COMPACTADOR DE SOLOS DE PERCUSSÃO. AF_08/2023</v>
          </cell>
          <cell r="H163" t="str">
            <v>M3</v>
          </cell>
          <cell r="I163">
            <v>76.8</v>
          </cell>
        </row>
        <row r="164">
          <cell r="D164" t="str">
            <v>PAVIMENTAÇÃO</v>
          </cell>
        </row>
        <row r="165">
          <cell r="B165" t="str">
            <v>COMP.</v>
          </cell>
          <cell r="C165">
            <v>3</v>
          </cell>
          <cell r="D165" t="str">
            <v>EXECUÇÃO DE VIA EM PISO INTERTRAVADO, COM BLOCO 16 FACES DE 22X11 CM, ESPESSURA DE 8 CM. AF_10/2022</v>
          </cell>
          <cell r="H165" t="str">
            <v>M2</v>
          </cell>
          <cell r="I165">
            <v>891</v>
          </cell>
        </row>
        <row r="166">
          <cell r="B166" t="str">
            <v>SINAPI</v>
          </cell>
          <cell r="C166">
            <v>94273</v>
          </cell>
          <cell r="D166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166" t="str">
            <v>M</v>
          </cell>
          <cell r="I166">
            <v>198</v>
          </cell>
        </row>
        <row r="167">
          <cell r="D167" t="str">
            <v>JOSÉ ANGONESE</v>
          </cell>
        </row>
        <row r="168">
          <cell r="D168" t="str">
            <v>SERVIÇOS PRELIMINARES</v>
          </cell>
        </row>
        <row r="169">
          <cell r="B169" t="str">
            <v>SINAPI</v>
          </cell>
          <cell r="C169">
            <v>99064</v>
          </cell>
          <cell r="D169" t="str">
            <v>LOCAÇÃO DE PAVIMENTAÇÃO. AF_10/2018</v>
          </cell>
          <cell r="H169" t="str">
            <v>M</v>
          </cell>
          <cell r="I169">
            <v>78</v>
          </cell>
        </row>
        <row r="170">
          <cell r="D170" t="str">
            <v>DRENAGEM PLUVIAL</v>
          </cell>
        </row>
        <row r="171">
          <cell r="B171" t="str">
            <v>SINAPI</v>
          </cell>
          <cell r="C171">
            <v>90105</v>
          </cell>
          <cell r="D171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171" t="str">
            <v>M3</v>
          </cell>
          <cell r="I171">
            <v>32.808</v>
          </cell>
        </row>
        <row r="172">
          <cell r="B172" t="str">
            <v>SINAPI</v>
          </cell>
          <cell r="C172">
            <v>95568</v>
          </cell>
          <cell r="D172" t="str">
            <v>TUBO DE CONCRETO (SIMPLES) PARA REDES COLETORAS DE ÁGUAS PLUVIAIS, DIÂMETRO DE 400 MM, JUNTA RÍGIDA, INSTALADO EM LOCAL COM BAIXO NÍVEL DE INTERFERÊNCIAS - FORNECIMENTO E ASSENTAMENTO. AF_12/2015</v>
          </cell>
          <cell r="H172" t="str">
            <v>M</v>
          </cell>
          <cell r="I172">
            <v>18</v>
          </cell>
        </row>
        <row r="173">
          <cell r="B173" t="str">
            <v>COMP.</v>
          </cell>
          <cell r="C173">
            <v>1</v>
          </cell>
          <cell r="D173" t="str">
            <v>CX. PARA BOCA DE LOBO EM ALVENARIA DE BLOCOS DE CONCRETO 0,8X0,8X1,5m (DIM. INTERNA)</v>
          </cell>
          <cell r="H173" t="str">
            <v>UNID.</v>
          </cell>
          <cell r="I173">
            <v>3</v>
          </cell>
        </row>
        <row r="174">
          <cell r="B174" t="str">
            <v>SINAPI</v>
          </cell>
          <cell r="C174">
            <v>93382</v>
          </cell>
          <cell r="D174" t="str">
            <v>REATERRO MANUAL DE VALAS, COM COMPACTADOR DE SOLOS DE PERCUSSÃO. AF_08/2023</v>
          </cell>
          <cell r="H174" t="str">
            <v>M3</v>
          </cell>
          <cell r="I174">
            <v>13.8</v>
          </cell>
        </row>
        <row r="175">
          <cell r="D175" t="str">
            <v>PAVIMENTAÇÃO</v>
          </cell>
        </row>
        <row r="176">
          <cell r="B176" t="str">
            <v>COMP.</v>
          </cell>
          <cell r="C176">
            <v>3</v>
          </cell>
          <cell r="D176" t="str">
            <v>EXECUÇÃO DE VIA EM PISO INTERTRAVADO, COM BLOCO 16 FACES DE 22X11 CM, ESPESSURA DE 8 CM. AF_10/2022</v>
          </cell>
          <cell r="H176" t="str">
            <v>M2</v>
          </cell>
          <cell r="I176">
            <v>702</v>
          </cell>
        </row>
        <row r="177">
          <cell r="B177" t="str">
            <v>SINAPI</v>
          </cell>
          <cell r="C177">
            <v>94273</v>
          </cell>
          <cell r="D177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177" t="str">
            <v>M</v>
          </cell>
          <cell r="I177">
            <v>165</v>
          </cell>
        </row>
        <row r="178">
          <cell r="D178" t="str">
            <v>ANTONIO DELEVATI</v>
          </cell>
        </row>
        <row r="179">
          <cell r="D179" t="str">
            <v>SERVIÇOS PRELIMINARES</v>
          </cell>
        </row>
        <row r="180">
          <cell r="B180" t="str">
            <v>SINAPI</v>
          </cell>
          <cell r="C180">
            <v>99064</v>
          </cell>
          <cell r="D180" t="str">
            <v>LOCAÇÃO DE PAVIMENTAÇÃO. AF_10/2018</v>
          </cell>
          <cell r="H180" t="str">
            <v>M</v>
          </cell>
          <cell r="I180">
            <v>68</v>
          </cell>
        </row>
        <row r="181">
          <cell r="D181" t="str">
            <v>DRENAGEM PLUVIAL</v>
          </cell>
        </row>
        <row r="182">
          <cell r="B182" t="str">
            <v>SINAPI</v>
          </cell>
          <cell r="C182">
            <v>90105</v>
          </cell>
          <cell r="D182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182" t="str">
            <v>M3</v>
          </cell>
          <cell r="I182">
            <v>91.308000000000007</v>
          </cell>
        </row>
        <row r="183">
          <cell r="B183" t="str">
            <v>SINAPI</v>
          </cell>
          <cell r="C183">
            <v>95568</v>
          </cell>
          <cell r="D183" t="str">
            <v>TUBO DE CONCRETO (SIMPLES) PARA REDES COLETORAS DE ÁGUAS PLUVIAIS, DIÂMETRO DE 400 MM, JUNTA RÍGIDA, INSTALADO EM LOCAL COM BAIXO NÍVEL DE INTERFERÊNCIAS - FORNECIMENTO E ASSENTAMENTO. AF_12/2015</v>
          </cell>
          <cell r="H183" t="str">
            <v>M</v>
          </cell>
          <cell r="I183">
            <v>57</v>
          </cell>
        </row>
        <row r="184">
          <cell r="B184" t="str">
            <v>COMP.</v>
          </cell>
          <cell r="C184">
            <v>1</v>
          </cell>
          <cell r="D184" t="str">
            <v>CX. PARA BOCA DE LOBO EM ALVENARIA DE BLOCOS DE CONCRETO 0,8X0,8X1,5m (DIM. INTERNA)</v>
          </cell>
          <cell r="H184" t="str">
            <v>UNID.</v>
          </cell>
          <cell r="I184">
            <v>3</v>
          </cell>
        </row>
        <row r="185">
          <cell r="B185" t="str">
            <v>SINAPI</v>
          </cell>
          <cell r="C185">
            <v>93382</v>
          </cell>
          <cell r="D185" t="str">
            <v>REATERRO MANUAL DE VALAS, COM COMPACTADOR DE SOLOS DE PERCUSSÃO. AF_08/2023</v>
          </cell>
          <cell r="H185" t="str">
            <v>M3</v>
          </cell>
          <cell r="I185">
            <v>41.1</v>
          </cell>
        </row>
        <row r="186">
          <cell r="D186" t="str">
            <v>PAVIMENTAÇÃO</v>
          </cell>
        </row>
        <row r="187">
          <cell r="B187" t="str">
            <v>COMP.</v>
          </cell>
          <cell r="C187">
            <v>3</v>
          </cell>
          <cell r="D187" t="str">
            <v>EXECUÇÃO DE VIA EM PISO INTERTRAVADO, COM BLOCO 16 FACES DE 22X11 CM, ESPESSURA DE 8 CM. AF_10/2022</v>
          </cell>
          <cell r="H187" t="str">
            <v>M2</v>
          </cell>
          <cell r="I187">
            <v>612</v>
          </cell>
        </row>
        <row r="188">
          <cell r="B188" t="str">
            <v>SINAPI</v>
          </cell>
          <cell r="C188">
            <v>94273</v>
          </cell>
          <cell r="D188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188" t="str">
            <v>M</v>
          </cell>
          <cell r="I188">
            <v>149</v>
          </cell>
        </row>
        <row r="189">
          <cell r="D189" t="str">
            <v>VALDECI CAETANO GUASSO</v>
          </cell>
        </row>
        <row r="190">
          <cell r="D190" t="str">
            <v>SERVIÇOS PRELIMINARES</v>
          </cell>
        </row>
        <row r="191">
          <cell r="B191" t="str">
            <v>SINAPI</v>
          </cell>
          <cell r="C191">
            <v>99064</v>
          </cell>
          <cell r="D191" t="str">
            <v>LOCAÇÃO DE PAVIMENTAÇÃO. AF_10/2018</v>
          </cell>
          <cell r="H191" t="str">
            <v>M</v>
          </cell>
          <cell r="I191">
            <v>62</v>
          </cell>
        </row>
        <row r="192">
          <cell r="D192" t="str">
            <v>PAVIMENTAÇÃO</v>
          </cell>
        </row>
        <row r="193">
          <cell r="B193" t="str">
            <v>COMP.</v>
          </cell>
          <cell r="C193">
            <v>3</v>
          </cell>
          <cell r="D193" t="str">
            <v>EXECUÇÃO DE VIA EM PISO INTERTRAVADO, COM BLOCO 16 FACES DE 22X11 CM, ESPESSURA DE 8 CM. AF_10/2022</v>
          </cell>
          <cell r="H193" t="str">
            <v>M2</v>
          </cell>
          <cell r="I193">
            <v>558</v>
          </cell>
        </row>
        <row r="194">
          <cell r="B194" t="str">
            <v>SINAPI</v>
          </cell>
          <cell r="C194">
            <v>94273</v>
          </cell>
          <cell r="D194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194" t="str">
            <v>M</v>
          </cell>
          <cell r="I194">
            <v>137</v>
          </cell>
        </row>
        <row r="195">
          <cell r="D195" t="str">
            <v>PIETRO ERCOLANI TRECHO 2</v>
          </cell>
        </row>
        <row r="196">
          <cell r="D196" t="str">
            <v>SERVIÇOS PRELIMINARES</v>
          </cell>
        </row>
        <row r="197">
          <cell r="B197" t="str">
            <v>SINAPI</v>
          </cell>
          <cell r="C197">
            <v>99064</v>
          </cell>
          <cell r="D197" t="str">
            <v>LOCAÇÃO DE PAVIMENTAÇÃO. AF_10/2018</v>
          </cell>
          <cell r="H197" t="str">
            <v>M</v>
          </cell>
          <cell r="I197">
            <v>114</v>
          </cell>
        </row>
        <row r="198">
          <cell r="D198" t="str">
            <v>DRENAGEM PLUVIAL</v>
          </cell>
        </row>
        <row r="199">
          <cell r="B199" t="str">
            <v>SINAPI</v>
          </cell>
          <cell r="C199">
            <v>90105</v>
          </cell>
          <cell r="D199" t="str">
            <v>ESCAVAÇÃO MECANIZADA DE VALA COM PROFUNDIDADE ATÉ 1,5 M (MÉDIA MONTANTE E JUSANTE/UMA COMPOSIÇÃO POR TRECHO), RETROESCAV. (0,26 M3), LARGURA MENOR QUE 0,8 M, EM SOLO DE 1A CATEGORIA, LOCAIS COM BAIXO NÍVEL DE INTERFERÊNCIA. AF_02/2021</v>
          </cell>
          <cell r="H199" t="str">
            <v>M3</v>
          </cell>
          <cell r="I199">
            <v>128.18</v>
          </cell>
        </row>
        <row r="200">
          <cell r="B200" t="str">
            <v>SINAPI</v>
          </cell>
          <cell r="C200">
            <v>95568</v>
          </cell>
          <cell r="D200" t="str">
            <v>TUBO DE CONCRETO (SIMPLES) PARA REDES COLETORAS DE ÁGUAS PLUVIAIS, DIÂMETRO DE 400 MM, JUNTA RÍGIDA, INSTALADO EM LOCAL COM BAIXO NÍVEL DE INTERFERÊNCIAS - FORNECIMENTO E ASSENTAMENTO. AF_12/2015</v>
          </cell>
          <cell r="H200" t="str">
            <v>M</v>
          </cell>
          <cell r="I200">
            <v>27</v>
          </cell>
        </row>
        <row r="201">
          <cell r="B201" t="str">
            <v>SINAPI</v>
          </cell>
          <cell r="C201">
            <v>92212</v>
          </cell>
          <cell r="D201" t="str">
            <v>TUBO DE CONCRETO PARA REDES COLETORAS DE ÁGUAS PLUVIAIS, DIÂMETRO DE 600 MM, JUNTA RÍGIDA, INSTALADO EM LOCAL COM BAIXO NÍVEL DE INTERFERÊNCIAS - FORNECIMENTO E ASSENTAMENTO. AF_12/2015</v>
          </cell>
          <cell r="H201" t="str">
            <v>M</v>
          </cell>
          <cell r="I201">
            <v>52</v>
          </cell>
        </row>
        <row r="202">
          <cell r="B202" t="str">
            <v>COMP.</v>
          </cell>
          <cell r="C202">
            <v>1</v>
          </cell>
          <cell r="D202" t="str">
            <v>CX. PARA BOCA DE LOBO EM ALVENARIA DE BLOCOS DE CONCRETO 0,8X0,8X1,5m (DIM. INTERNA)</v>
          </cell>
          <cell r="H202" t="str">
            <v>UNID.</v>
          </cell>
          <cell r="I202">
            <v>5</v>
          </cell>
        </row>
        <row r="203">
          <cell r="B203" t="str">
            <v>SINAPI</v>
          </cell>
          <cell r="C203">
            <v>93382</v>
          </cell>
          <cell r="D203" t="str">
            <v>REATERRO MANUAL DE VALAS, COM COMPACTADOR DE SOLOS DE PERCUSSÃO. AF_08/2023</v>
          </cell>
          <cell r="H203" t="str">
            <v>M3</v>
          </cell>
          <cell r="I203">
            <v>142.92600000000002</v>
          </cell>
        </row>
        <row r="204">
          <cell r="D204" t="str">
            <v>PAVIMENTAÇÃO</v>
          </cell>
        </row>
        <row r="205">
          <cell r="B205" t="str">
            <v>COMP.</v>
          </cell>
          <cell r="C205">
            <v>3</v>
          </cell>
          <cell r="D205" t="str">
            <v>EXECUÇÃO DE VIA EM PISO INTERTRAVADO, COM BLOCO 16 FACES DE 22X11 CM, ESPESSURA DE 8 CM. AF_10/2022</v>
          </cell>
          <cell r="H205" t="str">
            <v>M2</v>
          </cell>
          <cell r="I205">
            <v>1062</v>
          </cell>
        </row>
        <row r="206">
          <cell r="B206" t="str">
            <v>SINAPI</v>
          </cell>
          <cell r="C206">
            <v>94273</v>
          </cell>
          <cell r="D206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206" t="str">
            <v>M</v>
          </cell>
          <cell r="I206">
            <v>223</v>
          </cell>
        </row>
        <row r="209">
          <cell r="B209" t="str">
            <v>SINAPI</v>
          </cell>
          <cell r="C209">
            <v>99064</v>
          </cell>
          <cell r="D209" t="str">
            <v>LOCAÇÃO DE PAVIMENTAÇÃO. AF_10/2018</v>
          </cell>
          <cell r="H209" t="str">
            <v>M</v>
          </cell>
          <cell r="I209">
            <v>42</v>
          </cell>
        </row>
        <row r="210">
          <cell r="D210" t="str">
            <v>PAVIMENTAÇÃO</v>
          </cell>
        </row>
        <row r="211">
          <cell r="B211" t="str">
            <v>COMP.</v>
          </cell>
          <cell r="C211">
            <v>3</v>
          </cell>
          <cell r="D211" t="str">
            <v>EXECUÇÃO DE VIA EM PISO INTERTRAVADO, COM BLOCO 16 FACES DE 22X11 CM, ESPESSURA DE 8 CM. AF_10/2022</v>
          </cell>
          <cell r="H211" t="str">
            <v>M2</v>
          </cell>
          <cell r="I211">
            <v>378</v>
          </cell>
        </row>
        <row r="212">
          <cell r="B212" t="str">
            <v>SINAPI</v>
          </cell>
          <cell r="C212">
            <v>94273</v>
          </cell>
          <cell r="D212" t="str">
            <v>ASSENTAMENTO DE GUIA (MEIO-FIO) EM TRECHO RETO, CONFECCIONADA EM CONCRETO PRÉ-FABRICADO, DIMENSÕES 100X15X13X30 CM (COMPRIMENTO X BASE INFERIOR X BASE SUPERIOR X ALTURA), PARA VIAS URBANAS (USO VIÁRIO). AF_06/2016</v>
          </cell>
          <cell r="H212" t="str">
            <v>M</v>
          </cell>
          <cell r="I212">
            <v>96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U220"/>
  <sheetViews>
    <sheetView tabSelected="1" zoomScale="90" zoomScaleNormal="90" workbookViewId="0">
      <selection activeCell="D13" sqref="D13"/>
    </sheetView>
  </sheetViews>
  <sheetFormatPr defaultRowHeight="15"/>
  <cols>
    <col min="1" max="6" width="8.7109375" customWidth="1"/>
    <col min="7" max="7" width="18" customWidth="1"/>
    <col min="8" max="8" width="9.140625" customWidth="1"/>
    <col min="9" max="9" width="12.140625" customWidth="1"/>
    <col min="10" max="11" width="12.7109375" customWidth="1"/>
    <col min="12" max="13" width="16.7109375" customWidth="1"/>
    <col min="14" max="14" width="8.7109375" customWidth="1"/>
    <col min="15" max="15" width="14.28515625" customWidth="1"/>
    <col min="16" max="16" width="8.7109375" customWidth="1"/>
    <col min="17" max="17" width="5.85546875" customWidth="1"/>
    <col min="18" max="18" width="15.7109375" customWidth="1"/>
    <col min="19" max="1027" width="8.7109375" customWidth="1"/>
  </cols>
  <sheetData>
    <row r="1" spans="1:2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21" ht="23.25">
      <c r="A2" s="7"/>
      <c r="B2" s="8"/>
      <c r="C2" s="8"/>
      <c r="D2" s="8"/>
      <c r="E2" s="8"/>
      <c r="F2" s="155" t="s">
        <v>56</v>
      </c>
      <c r="G2" s="155"/>
      <c r="H2" s="155"/>
      <c r="I2" s="155"/>
      <c r="J2" s="155"/>
      <c r="K2" s="155"/>
      <c r="L2" s="155"/>
      <c r="M2" s="9"/>
    </row>
    <row r="3" spans="1:21" ht="17.25">
      <c r="A3" s="7"/>
      <c r="B3" s="8"/>
      <c r="C3" s="8"/>
      <c r="D3" s="8"/>
      <c r="E3" s="8"/>
      <c r="F3" s="156" t="s">
        <v>57</v>
      </c>
      <c r="G3" s="156"/>
      <c r="H3" s="156"/>
      <c r="I3" s="156"/>
      <c r="J3" s="156"/>
      <c r="K3" s="156"/>
      <c r="L3" s="156"/>
      <c r="M3" s="9"/>
    </row>
    <row r="4" spans="1:21">
      <c r="A4" s="7"/>
      <c r="B4" s="8"/>
      <c r="C4" s="8"/>
      <c r="D4" s="8"/>
      <c r="E4" s="8"/>
      <c r="F4" s="128"/>
      <c r="G4" s="128"/>
      <c r="H4" s="128"/>
      <c r="I4" s="128"/>
      <c r="J4" s="128"/>
      <c r="K4" s="128"/>
      <c r="L4" s="128"/>
      <c r="M4" s="9"/>
    </row>
    <row r="5" spans="1:21" ht="15.75" thickBot="1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9"/>
    </row>
    <row r="6" spans="1:21" ht="15.75" thickBot="1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2"/>
      <c r="P6" s="26"/>
      <c r="Q6" s="125" t="s">
        <v>61</v>
      </c>
      <c r="R6" s="126"/>
      <c r="S6" s="126"/>
      <c r="T6" s="126"/>
      <c r="U6" s="127"/>
    </row>
    <row r="7" spans="1:21" ht="21" customHeight="1">
      <c r="A7" s="132" t="s">
        <v>64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</row>
    <row r="8" spans="1:21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P8" t="s">
        <v>67</v>
      </c>
    </row>
    <row r="9" spans="1:21">
      <c r="A9" s="4" t="s">
        <v>302</v>
      </c>
      <c r="B9" s="5"/>
      <c r="C9" s="5"/>
      <c r="D9" s="5"/>
      <c r="E9" s="5"/>
      <c r="F9" s="5"/>
      <c r="G9" s="5"/>
      <c r="H9" s="5"/>
      <c r="I9" s="5"/>
      <c r="J9" s="157" t="s">
        <v>79</v>
      </c>
      <c r="K9" s="157"/>
      <c r="L9" s="28" t="s">
        <v>62</v>
      </c>
      <c r="M9" s="252"/>
    </row>
    <row r="10" spans="1:21">
      <c r="A10" s="7" t="s">
        <v>303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9"/>
    </row>
    <row r="11" spans="1:21">
      <c r="A11" s="7" t="s">
        <v>60</v>
      </c>
      <c r="B11" s="248">
        <v>0.22040000000000001</v>
      </c>
      <c r="C11" s="250"/>
      <c r="D11" s="8"/>
      <c r="E11" s="246"/>
      <c r="F11" s="8"/>
      <c r="G11" s="8"/>
      <c r="H11" s="8"/>
      <c r="I11" s="8"/>
      <c r="J11" s="8" t="s">
        <v>58</v>
      </c>
      <c r="K11" s="128"/>
      <c r="L11" s="128"/>
      <c r="M11" s="247"/>
    </row>
    <row r="12" spans="1:21">
      <c r="A12" s="10" t="s">
        <v>66</v>
      </c>
      <c r="B12" s="249">
        <v>0.14000000000000001</v>
      </c>
      <c r="C12" s="251"/>
      <c r="D12" s="245"/>
      <c r="E12" s="11"/>
      <c r="F12" s="11"/>
      <c r="G12" s="11"/>
      <c r="H12" s="11"/>
      <c r="I12" s="11"/>
      <c r="J12" s="11"/>
      <c r="K12" s="11"/>
      <c r="L12" s="11"/>
      <c r="M12" s="12"/>
    </row>
    <row r="13" spans="1:2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21" ht="30.75" customHeight="1">
      <c r="A14" s="14" t="s">
        <v>1</v>
      </c>
      <c r="B14" s="14" t="s">
        <v>27</v>
      </c>
      <c r="C14" s="14" t="s">
        <v>149</v>
      </c>
      <c r="D14" s="133" t="s">
        <v>2</v>
      </c>
      <c r="E14" s="133"/>
      <c r="F14" s="133"/>
      <c r="G14" s="133"/>
      <c r="H14" s="14" t="s">
        <v>3</v>
      </c>
      <c r="I14" s="14" t="s">
        <v>4</v>
      </c>
      <c r="J14" s="14" t="s">
        <v>5</v>
      </c>
      <c r="K14" s="15" t="s">
        <v>6</v>
      </c>
      <c r="L14" s="15" t="s">
        <v>7</v>
      </c>
      <c r="M14" s="14" t="s">
        <v>8</v>
      </c>
      <c r="N14" s="263" t="s">
        <v>84</v>
      </c>
      <c r="O14" s="253"/>
      <c r="P14" s="1"/>
      <c r="Q14" s="1"/>
    </row>
    <row r="15" spans="1:21" ht="15" customHeight="1">
      <c r="A15" s="122" t="s">
        <v>28</v>
      </c>
      <c r="B15" s="122"/>
      <c r="C15" s="14"/>
      <c r="D15" s="158" t="str">
        <f>'[2]Orçamento COM PVS'!$D$15</f>
        <v>RUA DALTRO LUIZ TUZI</v>
      </c>
      <c r="E15" s="159"/>
      <c r="F15" s="159"/>
      <c r="G15" s="159"/>
      <c r="H15" s="159"/>
      <c r="I15" s="159"/>
      <c r="J15" s="159"/>
      <c r="K15" s="160"/>
      <c r="L15" s="258">
        <f>L16+L18+L24</f>
        <v>0</v>
      </c>
      <c r="M15" s="258">
        <f>M16+M18+M24</f>
        <v>0</v>
      </c>
      <c r="N15" s="253"/>
      <c r="O15" s="253"/>
      <c r="P15" s="124"/>
      <c r="Q15" s="124"/>
    </row>
    <row r="16" spans="1:21" ht="15" customHeight="1">
      <c r="A16" s="52" t="s">
        <v>141</v>
      </c>
      <c r="B16" s="52"/>
      <c r="C16" s="52"/>
      <c r="D16" s="158" t="str">
        <f>'[2]Orçamento COM PVS'!$D$16</f>
        <v>SERVIÇOS PRELIMINARES</v>
      </c>
      <c r="E16" s="159"/>
      <c r="F16" s="159"/>
      <c r="G16" s="159"/>
      <c r="H16" s="159"/>
      <c r="I16" s="159"/>
      <c r="J16" s="159"/>
      <c r="K16" s="160"/>
      <c r="L16" s="259">
        <f>SUM(L17:L17)</f>
        <v>0</v>
      </c>
      <c r="M16" s="259">
        <f>SUM(M17:M17)</f>
        <v>0</v>
      </c>
      <c r="N16" s="253"/>
      <c r="O16" s="253"/>
      <c r="Q16" s="1"/>
    </row>
    <row r="17" spans="1:16" ht="34.5" customHeight="1">
      <c r="A17" s="123" t="s">
        <v>142</v>
      </c>
      <c r="B17" s="242" t="str">
        <f>'[2]Orçamento COM PVS'!$B$17</f>
        <v>SINAPI</v>
      </c>
      <c r="C17" s="16">
        <f>'[2]Orçamento COM PVS'!$C$17</f>
        <v>99064</v>
      </c>
      <c r="D17" s="134" t="str">
        <f ca="1">'[2]Orçamento COM PVS'!$D$17</f>
        <v>LOCAÇÃO DE PAVIMENTAÇÃO. AF_10/2018</v>
      </c>
      <c r="E17" s="135"/>
      <c r="F17" s="135"/>
      <c r="G17" s="136"/>
      <c r="H17" s="17" t="str">
        <f ca="1">'[2]Orçamento COM PVS'!$H$17</f>
        <v>M</v>
      </c>
      <c r="I17" s="18">
        <f>'[2]Orçamento COM PVS'!$I$17</f>
        <v>177</v>
      </c>
      <c r="J17" s="27"/>
      <c r="K17" s="23">
        <f>ROUND(J17*(1+N17),2)</f>
        <v>0</v>
      </c>
      <c r="L17" s="24">
        <f>ROUND(J17*I17,2)</f>
        <v>0</v>
      </c>
      <c r="M17" s="24">
        <f>ROUND(I17*K17,2)</f>
        <v>0</v>
      </c>
      <c r="N17" s="264">
        <v>0.22040000000000001</v>
      </c>
      <c r="O17" s="265"/>
      <c r="P17" s="2"/>
    </row>
    <row r="18" spans="1:16">
      <c r="A18" s="53" t="s">
        <v>143</v>
      </c>
      <c r="B18" s="53"/>
      <c r="C18" s="53"/>
      <c r="D18" s="152" t="str">
        <f>'[2]Orçamento COM PVS'!$D$18</f>
        <v>DRENAGEM PLUVIAL</v>
      </c>
      <c r="E18" s="153"/>
      <c r="F18" s="153"/>
      <c r="G18" s="153"/>
      <c r="H18" s="153"/>
      <c r="I18" s="153"/>
      <c r="J18" s="153"/>
      <c r="K18" s="154"/>
      <c r="L18" s="259">
        <f>SUM(L19:L23)</f>
        <v>0</v>
      </c>
      <c r="M18" s="260">
        <f>SUM(M19:M23)</f>
        <v>0</v>
      </c>
      <c r="N18" s="13"/>
      <c r="O18" s="8"/>
    </row>
    <row r="19" spans="1:16" ht="94.5" customHeight="1">
      <c r="A19" s="123" t="s">
        <v>144</v>
      </c>
      <c r="B19" s="242" t="str">
        <f>'[2]Orçamento COM PVS'!$B$19</f>
        <v>SINAPI</v>
      </c>
      <c r="C19" s="16">
        <f>'[2]Orçamento COM PVS'!$C$19</f>
        <v>90105</v>
      </c>
      <c r="D19" s="141" t="str">
        <f ca="1">'[2]Orçamento COM PVS'!$D$19:$G$19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19" s="135"/>
      <c r="F19" s="135"/>
      <c r="G19" s="136"/>
      <c r="H19" s="17" t="str">
        <f ca="1">'[2]Orçamento COM PVS'!$H$19</f>
        <v>M3</v>
      </c>
      <c r="I19" s="19">
        <f>'[2]Orçamento COM PVS'!$I$19</f>
        <v>473</v>
      </c>
      <c r="J19" s="27"/>
      <c r="K19" s="23">
        <f>ROUND(J19*(1+N19),2)</f>
        <v>0</v>
      </c>
      <c r="L19" s="24">
        <f>ROUND(J19*I19,2)</f>
        <v>0</v>
      </c>
      <c r="M19" s="24">
        <f>ROUND(I19*K19,2)</f>
        <v>0</v>
      </c>
      <c r="N19" s="264">
        <v>0.22040000000000001</v>
      </c>
      <c r="O19" s="8"/>
    </row>
    <row r="20" spans="1:16" ht="78" customHeight="1">
      <c r="A20" s="123" t="s">
        <v>145</v>
      </c>
      <c r="B20" s="242" t="str">
        <f>'[2]Orçamento COM PVS'!$B$20</f>
        <v>SINAPI</v>
      </c>
      <c r="C20" s="16">
        <f>'[2]Orçamento COM PVS'!$C$20</f>
        <v>95568</v>
      </c>
      <c r="D20" s="141" t="str">
        <f ca="1">'[2]Orçamento COM PVS'!$D$20:$G$20</f>
        <v>TUBO DE CONCRETO (SIMPLES) PARA REDES COLETORAS DE ÁGUAS PLUVIAIS, DIÂMETRO DE 400 MM, JUNTA RÍGIDA, INSTALADO EM LOCAL COM BAIXO NÍVEL DE INTERFERÊNCIAS - FORNECIMENTO E ASSENTAMENTO. AF_12/2015</v>
      </c>
      <c r="E20" s="135"/>
      <c r="F20" s="135"/>
      <c r="G20" s="136"/>
      <c r="H20" s="17" t="str">
        <f ca="1">'[2]Orçamento COM PVS'!$H$20</f>
        <v>M</v>
      </c>
      <c r="I20" s="19">
        <f>'[2]Orçamento COM PVS'!$I$20</f>
        <v>30</v>
      </c>
      <c r="J20" s="27"/>
      <c r="K20" s="23">
        <f t="shared" ref="K20:K23" si="0">ROUND(J20*(1+N20),2)</f>
        <v>0</v>
      </c>
      <c r="L20" s="24">
        <f t="shared" ref="L20:L21" si="1">ROUND(J20*I20,2)</f>
        <v>0</v>
      </c>
      <c r="M20" s="24">
        <f t="shared" ref="M20:M21" si="2">ROUND(I20*K20,2)</f>
        <v>0</v>
      </c>
      <c r="N20" s="264">
        <v>0.22040000000000001</v>
      </c>
      <c r="O20" s="8"/>
    </row>
    <row r="21" spans="1:16" ht="78" customHeight="1">
      <c r="A21" s="123" t="s">
        <v>146</v>
      </c>
      <c r="B21" s="242" t="str">
        <f>'[2]Orçamento COM PVS'!$B$21</f>
        <v>SINAPI</v>
      </c>
      <c r="C21" s="16">
        <f>'[2]Orçamento COM PVS'!$C$21</f>
        <v>92212</v>
      </c>
      <c r="D21" s="137" t="str">
        <f ca="1">'[2]Orçamento COM PVS'!$D$21:$G$21</f>
        <v>TUBO DE CONCRETO PARA REDES COLETORAS DE ÁGUAS PLUVIAIS, DIÂMETRO DE 600 MM, JUNTA RÍGIDA, INSTALADO EM LOCAL COM BAIXO NÍVEL DE INTERFERÊNCIAS - FORNECIMENTO E ASSENTAMENTO. AF_12/2015</v>
      </c>
      <c r="E21" s="138"/>
      <c r="F21" s="138"/>
      <c r="G21" s="138"/>
      <c r="H21" s="17" t="str">
        <f ca="1">'[2]Orçamento COM PVS'!$H$21</f>
        <v>M</v>
      </c>
      <c r="I21" s="19">
        <f>'[2]Orçamento COM PVS'!$I$21</f>
        <v>273</v>
      </c>
      <c r="J21" s="27"/>
      <c r="K21" s="23">
        <f t="shared" si="0"/>
        <v>0</v>
      </c>
      <c r="L21" s="24">
        <f t="shared" si="1"/>
        <v>0</v>
      </c>
      <c r="M21" s="24">
        <f t="shared" si="2"/>
        <v>0</v>
      </c>
      <c r="N21" s="264">
        <v>0.22040000000000001</v>
      </c>
      <c r="O21" s="266"/>
      <c r="P21" s="2"/>
    </row>
    <row r="22" spans="1:16" ht="45.75" customHeight="1">
      <c r="A22" s="123" t="s">
        <v>147</v>
      </c>
      <c r="B22" s="242" t="str">
        <f>'[2]Orçamento COM PVS'!$B$22</f>
        <v>COMP.</v>
      </c>
      <c r="C22" s="16">
        <f>'[2]Orçamento COM PVS'!$C$22</f>
        <v>1</v>
      </c>
      <c r="D22" s="137" t="str">
        <f>'[2]Orçamento COM PVS'!$D$22:$G$22</f>
        <v>CX. PARA BOCA DE LOBO EM ALVENARIA DE BLOCOS DE CONCRETO 0,8X0,8X1,5m (DIM. INTERNA)</v>
      </c>
      <c r="E22" s="138"/>
      <c r="F22" s="138"/>
      <c r="G22" s="138"/>
      <c r="H22" s="17" t="str">
        <f>'[2]Orçamento COM PVS'!$H$22</f>
        <v>UNID.</v>
      </c>
      <c r="I22" s="19">
        <f>'[2]Orçamento COM PVS'!$I$22</f>
        <v>9</v>
      </c>
      <c r="J22" s="27"/>
      <c r="K22" s="23">
        <f t="shared" si="0"/>
        <v>0</v>
      </c>
      <c r="L22" s="24">
        <f t="shared" ref="L22" si="3">ROUND(J22*I22,2)</f>
        <v>0</v>
      </c>
      <c r="M22" s="24">
        <f t="shared" ref="M22" si="4">ROUND(I22*K22,2)</f>
        <v>0</v>
      </c>
      <c r="N22" s="264">
        <v>0.22040000000000001</v>
      </c>
      <c r="O22" s="266"/>
      <c r="P22" s="2"/>
    </row>
    <row r="23" spans="1:16" ht="50.25" customHeight="1">
      <c r="A23" s="123" t="s">
        <v>148</v>
      </c>
      <c r="B23" s="242" t="str">
        <f>'[2]Orçamento COM PVS'!$B$23</f>
        <v>SINAPI</v>
      </c>
      <c r="C23" s="16">
        <f>'[2]Orçamento COM PVS'!$C$23</f>
        <v>93382</v>
      </c>
      <c r="D23" s="137" t="str">
        <f ca="1">'[2]Orçamento COM PVS'!$D$23:$G$23</f>
        <v>REATERRO MANUAL DE VALAS, COM COMPACTADOR DE SOLOS DE PERCUSSÃO. AF_08/2023</v>
      </c>
      <c r="E23" s="138"/>
      <c r="F23" s="138"/>
      <c r="G23" s="138"/>
      <c r="H23" s="17" t="str">
        <f ca="1">'[2]Orçamento COM PVS'!$H$23</f>
        <v>M3</v>
      </c>
      <c r="I23" s="19">
        <f>'[2]Orçamento COM PVS'!$I$23</f>
        <v>216</v>
      </c>
      <c r="J23" s="27"/>
      <c r="K23" s="23">
        <f t="shared" si="0"/>
        <v>0</v>
      </c>
      <c r="L23" s="24">
        <f t="shared" ref="L23" si="5">ROUND(J23*I23,2)</f>
        <v>0</v>
      </c>
      <c r="M23" s="24">
        <f t="shared" ref="M23" si="6">ROUND(I23*K23,2)</f>
        <v>0</v>
      </c>
      <c r="N23" s="264">
        <v>0.22040000000000001</v>
      </c>
      <c r="O23" s="266"/>
      <c r="P23" s="2"/>
    </row>
    <row r="24" spans="1:16">
      <c r="A24" s="53" t="s">
        <v>150</v>
      </c>
      <c r="B24" s="53"/>
      <c r="C24" s="53"/>
      <c r="D24" s="152" t="str">
        <f>'[2]Orçamento COM PVS'!$D$24:$L$24</f>
        <v>PAVIMENTAÇÃO</v>
      </c>
      <c r="E24" s="153"/>
      <c r="F24" s="153"/>
      <c r="G24" s="153"/>
      <c r="H24" s="153"/>
      <c r="I24" s="153"/>
      <c r="J24" s="153"/>
      <c r="K24" s="154"/>
      <c r="L24" s="259">
        <f>SUM(L25:L26)</f>
        <v>0</v>
      </c>
      <c r="M24" s="260">
        <f>SUM(M25:M26)</f>
        <v>0</v>
      </c>
      <c r="N24" s="13"/>
      <c r="O24" s="8"/>
    </row>
    <row r="25" spans="1:16" ht="60.75" customHeight="1">
      <c r="A25" s="123" t="s">
        <v>151</v>
      </c>
      <c r="B25" s="242" t="str">
        <f>'[2]Orçamento COM PVS'!$B$25</f>
        <v>COMP.</v>
      </c>
      <c r="C25" s="16">
        <f>'[2]Orçamento COM PVS'!$C$25</f>
        <v>3</v>
      </c>
      <c r="D25" s="139" t="str">
        <f>'[2]Orçamento COM PVS'!$D$25:$G$25</f>
        <v>EXECUÇÃO DE VIA EM PISO INTERTRAVADO, COM BLOCO 16 FACES DE 22X11 CM, ESPESSURA DE 8 CM. AF_10/2022</v>
      </c>
      <c r="E25" s="140"/>
      <c r="F25" s="140"/>
      <c r="G25" s="140"/>
      <c r="H25" s="20" t="str">
        <f>'[2]Orçamento COM PVS'!$H$25</f>
        <v>M2</v>
      </c>
      <c r="I25" s="18">
        <f>'[2]Orçamento COM PVS'!$I$25</f>
        <v>1770</v>
      </c>
      <c r="J25" s="27"/>
      <c r="K25" s="23">
        <f>ROUND(J25*(1+N25),2)</f>
        <v>0</v>
      </c>
      <c r="L25" s="24">
        <f t="shared" ref="L25" si="7">ROUND(J25*I25,2)</f>
        <v>0</v>
      </c>
      <c r="M25" s="24">
        <f t="shared" ref="M25" si="8">ROUND(I25*K25,2)</f>
        <v>0</v>
      </c>
      <c r="N25" s="264">
        <v>0.22040000000000001</v>
      </c>
      <c r="O25" s="267"/>
      <c r="P25" s="2"/>
    </row>
    <row r="26" spans="1:16" ht="60.75" customHeight="1">
      <c r="A26" s="123" t="s">
        <v>152</v>
      </c>
      <c r="B26" s="242" t="str">
        <f>'[2]Orçamento COM PVS'!$B$26</f>
        <v>SINAPI</v>
      </c>
      <c r="C26" s="16">
        <f>'[2]Orçamento COM PVS'!$C$26</f>
        <v>94273</v>
      </c>
      <c r="D26" s="139" t="str">
        <f ca="1">'[2]Orçamento COM PVS'!$D$26:$G$26</f>
        <v>ASSENTAMENTO DE GUIA (MEIO-FIO) EM TRECHO RETO, CONFECCIONADA EM CONCRETO PRÉ-FABRICADO, DIMENSÕES 100X15X13X30 CM (COMPRIMENTO X BASE INFERIOR X BASE SUPERIOR X ALTURA), PARA VIAS URBANAS (USO VIÁRIO). AF_06/2016</v>
      </c>
      <c r="E26" s="140"/>
      <c r="F26" s="140"/>
      <c r="G26" s="140"/>
      <c r="H26" s="20" t="str">
        <f ca="1">'[2]Orçamento COM PVS'!$H$26</f>
        <v>M</v>
      </c>
      <c r="I26" s="18">
        <f>'[2]Orçamento COM PVS'!$I$26</f>
        <v>327</v>
      </c>
      <c r="J26" s="27"/>
      <c r="K26" s="23">
        <f>ROUND(J26*(1+N26),2)</f>
        <v>0</v>
      </c>
      <c r="L26" s="24">
        <f t="shared" ref="L26:L32" si="9">ROUND(J26*I26,2)</f>
        <v>0</v>
      </c>
      <c r="M26" s="24">
        <f t="shared" ref="M26:M32" si="10">ROUND(I26*K26,2)</f>
        <v>0</v>
      </c>
      <c r="N26" s="264">
        <v>0.22040000000000001</v>
      </c>
      <c r="O26" s="267"/>
      <c r="P26" s="2"/>
    </row>
    <row r="27" spans="1:16" ht="15" customHeight="1">
      <c r="A27" s="53" t="s">
        <v>29</v>
      </c>
      <c r="B27" s="53"/>
      <c r="C27" s="53"/>
      <c r="D27" s="152" t="str">
        <f>'[2]Orçamento COM PVS'!$D$27:$L$27</f>
        <v>RUA ANITA TOCHETTO FRIZZO</v>
      </c>
      <c r="E27" s="153"/>
      <c r="F27" s="153"/>
      <c r="G27" s="153"/>
      <c r="H27" s="153"/>
      <c r="I27" s="153"/>
      <c r="J27" s="153"/>
      <c r="K27" s="154"/>
      <c r="L27" s="261">
        <f>L28+L30+L35</f>
        <v>0</v>
      </c>
      <c r="M27" s="260">
        <f>M28+M30+M35</f>
        <v>0</v>
      </c>
      <c r="N27" s="13"/>
      <c r="O27" s="267"/>
      <c r="P27" s="2"/>
    </row>
    <row r="28" spans="1:16" ht="15" customHeight="1">
      <c r="A28" s="53" t="s">
        <v>9</v>
      </c>
      <c r="B28" s="53"/>
      <c r="C28" s="53"/>
      <c r="D28" s="152" t="str">
        <f>'[2]Orçamento COM PVS'!$D$28:$L$28</f>
        <v>SERVIÇOS PRELIMINARES</v>
      </c>
      <c r="E28" s="153"/>
      <c r="F28" s="153"/>
      <c r="G28" s="153"/>
      <c r="H28" s="153"/>
      <c r="I28" s="153"/>
      <c r="J28" s="153"/>
      <c r="K28" s="154"/>
      <c r="L28" s="259">
        <f>SUM(L29)</f>
        <v>0</v>
      </c>
      <c r="M28" s="260">
        <f>SUM(M29)</f>
        <v>0</v>
      </c>
      <c r="N28" s="13"/>
      <c r="O28" s="267"/>
      <c r="P28" s="2"/>
    </row>
    <row r="29" spans="1:16" ht="30" customHeight="1">
      <c r="A29" s="123" t="s">
        <v>153</v>
      </c>
      <c r="B29" s="242" t="str">
        <f>'[2]Orçamento COM PVS'!$B$29</f>
        <v>SINAPI</v>
      </c>
      <c r="C29" s="16">
        <f>'[2]Orçamento COM PVS'!$C$29</f>
        <v>99064</v>
      </c>
      <c r="D29" s="139" t="str">
        <f ca="1">'[2]Orçamento COM PVS'!$D$29:$G$29</f>
        <v>LOCAÇÃO DE PAVIMENTAÇÃO. AF_10/2018</v>
      </c>
      <c r="E29" s="140"/>
      <c r="F29" s="140"/>
      <c r="G29" s="140"/>
      <c r="H29" s="20" t="str">
        <f ca="1">'[2]Orçamento COM PVS'!$H$29</f>
        <v>M</v>
      </c>
      <c r="I29" s="18">
        <f>'[2]Orçamento COM PVS'!$I$29</f>
        <v>96</v>
      </c>
      <c r="J29" s="27"/>
      <c r="K29" s="23">
        <f>ROUND(J29*(1+N29),2)</f>
        <v>0</v>
      </c>
      <c r="L29" s="24">
        <f t="shared" si="9"/>
        <v>0</v>
      </c>
      <c r="M29" s="24">
        <f t="shared" si="10"/>
        <v>0</v>
      </c>
      <c r="N29" s="264">
        <v>0.22040000000000001</v>
      </c>
      <c r="O29" s="267"/>
      <c r="P29" s="2"/>
    </row>
    <row r="30" spans="1:16" ht="15" customHeight="1">
      <c r="A30" s="53" t="s">
        <v>25</v>
      </c>
      <c r="B30" s="53"/>
      <c r="C30" s="53"/>
      <c r="D30" s="152" t="str">
        <f>'[2]Orçamento COM PVS'!$D$30:$L$30</f>
        <v>DRENAGEM PLUVIAL</v>
      </c>
      <c r="E30" s="153"/>
      <c r="F30" s="153"/>
      <c r="G30" s="153"/>
      <c r="H30" s="153"/>
      <c r="I30" s="153"/>
      <c r="J30" s="153"/>
      <c r="K30" s="154"/>
      <c r="L30" s="259">
        <f>SUM(L31:L34)</f>
        <v>0</v>
      </c>
      <c r="M30" s="260">
        <f>SUM(M31:M34)</f>
        <v>0</v>
      </c>
      <c r="N30" s="13"/>
      <c r="O30" s="267"/>
      <c r="P30" s="2"/>
    </row>
    <row r="31" spans="1:16" ht="96" customHeight="1">
      <c r="A31" s="123" t="s">
        <v>154</v>
      </c>
      <c r="B31" s="242" t="str">
        <f>'[2]Orçamento COM PVS'!$B$31</f>
        <v>SINAPI</v>
      </c>
      <c r="C31" s="16">
        <f>'[2]Orçamento COM PVS'!$C$31</f>
        <v>90105</v>
      </c>
      <c r="D31" s="139" t="str">
        <f ca="1">'[2]Orçamento COM PVS'!$D$31:$G$31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31" s="140"/>
      <c r="F31" s="140"/>
      <c r="G31" s="140"/>
      <c r="H31" s="20" t="str">
        <f ca="1">'[2]Orçamento COM PVS'!$H$31</f>
        <v>M3</v>
      </c>
      <c r="I31" s="18">
        <f>'[2]Orçamento COM PVS'!$I$31</f>
        <v>103.744</v>
      </c>
      <c r="J31" s="27"/>
      <c r="K31" s="23">
        <f>ROUND(J31*(1+N31),2)</f>
        <v>0</v>
      </c>
      <c r="L31" s="24">
        <f t="shared" si="9"/>
        <v>0</v>
      </c>
      <c r="M31" s="24">
        <f t="shared" si="10"/>
        <v>0</v>
      </c>
      <c r="N31" s="264">
        <v>0.22040000000000001</v>
      </c>
      <c r="O31" s="267"/>
      <c r="P31" s="2"/>
    </row>
    <row r="32" spans="1:16" ht="64.5" customHeight="1">
      <c r="A32" s="123" t="s">
        <v>155</v>
      </c>
      <c r="B32" s="242" t="str">
        <f>'[2]Orçamento COM PVS'!$B$32</f>
        <v>SINAPI</v>
      </c>
      <c r="C32" s="16">
        <f>'[2]Orçamento COM PVS'!$C$32</f>
        <v>95568</v>
      </c>
      <c r="D32" s="139" t="str">
        <f ca="1">'[2]Orçamento COM PVS'!$D$32:$G$32</f>
        <v>TUBO DE CONCRETO (SIMPLES) PARA REDES COLETORAS DE ÁGUAS PLUVIAIS, DIÂMETRO DE 400 MM, JUNTA RÍGIDA, INSTALADO EM LOCAL COM BAIXO NÍVEL DE INTERFERÊNCIAS - FORNECIMENTO E ASSENTAMENTO. AF_12/2015</v>
      </c>
      <c r="E32" s="140"/>
      <c r="F32" s="140"/>
      <c r="G32" s="140"/>
      <c r="H32" s="20" t="str">
        <f ca="1">'[2]Orçamento COM PVS'!$H$32</f>
        <v>M</v>
      </c>
      <c r="I32" s="18">
        <f>'[2]Orçamento COM PVS'!$I$32</f>
        <v>64</v>
      </c>
      <c r="J32" s="27"/>
      <c r="K32" s="23">
        <f t="shared" ref="K32:K34" si="11">ROUND(J32*(1+N32),2)</f>
        <v>0</v>
      </c>
      <c r="L32" s="24">
        <f t="shared" si="9"/>
        <v>0</v>
      </c>
      <c r="M32" s="24">
        <f t="shared" si="10"/>
        <v>0</v>
      </c>
      <c r="N32" s="264">
        <v>0.22040000000000001</v>
      </c>
      <c r="O32" s="267"/>
      <c r="P32" s="2"/>
    </row>
    <row r="33" spans="1:16" ht="48" customHeight="1">
      <c r="A33" s="123" t="s">
        <v>156</v>
      </c>
      <c r="B33" s="242" t="str">
        <f>'[2]Orçamento COM PVS'!$B$33</f>
        <v>COMP.</v>
      </c>
      <c r="C33" s="243" t="str">
        <f>'[2]Orçamento COM PVS'!$C$33</f>
        <v>1</v>
      </c>
      <c r="D33" s="139" t="str">
        <f>'[2]Orçamento COM PVS'!$D$33:$G$33</f>
        <v>CX. PARA BOCA DE LOBO EM ALVENARIA DE BLOCOS DE CONCRETO 0,8X0,8X1,5m (DIM. INTERNA)</v>
      </c>
      <c r="E33" s="140"/>
      <c r="F33" s="140"/>
      <c r="G33" s="140"/>
      <c r="H33" s="20" t="str">
        <f>'[2]Orçamento COM PVS'!$H$33</f>
        <v>UNID.</v>
      </c>
      <c r="I33" s="18">
        <f>'[2]Orçamento COM PVS'!$I$33</f>
        <v>4</v>
      </c>
      <c r="J33" s="27"/>
      <c r="K33" s="23">
        <f t="shared" si="11"/>
        <v>0</v>
      </c>
      <c r="L33" s="24">
        <f t="shared" ref="L33:L34" si="12">ROUND(J33*I33,2)</f>
        <v>0</v>
      </c>
      <c r="M33" s="24">
        <f t="shared" ref="M33:M34" si="13">ROUND(I33*K33,2)</f>
        <v>0</v>
      </c>
      <c r="N33" s="264">
        <v>0.22040000000000001</v>
      </c>
      <c r="O33" s="267"/>
      <c r="P33" s="2"/>
    </row>
    <row r="34" spans="1:16" ht="44.25" customHeight="1">
      <c r="A34" s="123" t="s">
        <v>157</v>
      </c>
      <c r="B34" s="242" t="str">
        <f>'[2]Orçamento COM PVS'!$B$34</f>
        <v>SINAPI</v>
      </c>
      <c r="C34" s="16">
        <f>'[2]Orçamento COM PVS'!$C$34</f>
        <v>93382</v>
      </c>
      <c r="D34" s="139" t="str">
        <f ca="1">'[2]Orçamento COM PVS'!$D$34:$G$34</f>
        <v>REATERRO MANUAL DE VALAS, COM COMPACTADOR DE SOLOS DE PERCUSSÃO. AF_08/2023</v>
      </c>
      <c r="E34" s="140"/>
      <c r="F34" s="140"/>
      <c r="G34" s="140"/>
      <c r="H34" s="20" t="str">
        <f ca="1">'[2]Orçamento COM PVS'!$H$34</f>
        <v>M3</v>
      </c>
      <c r="I34" s="18">
        <f>'[2]Orçamento COM PVS'!$I$34</f>
        <v>46.4</v>
      </c>
      <c r="J34" s="27"/>
      <c r="K34" s="23">
        <f t="shared" si="11"/>
        <v>0</v>
      </c>
      <c r="L34" s="24">
        <f t="shared" si="12"/>
        <v>0</v>
      </c>
      <c r="M34" s="24">
        <f t="shared" si="13"/>
        <v>0</v>
      </c>
      <c r="N34" s="264">
        <v>0.22040000000000001</v>
      </c>
      <c r="O34" s="267"/>
      <c r="P34" s="2"/>
    </row>
    <row r="35" spans="1:16" ht="18" customHeight="1">
      <c r="A35" s="53" t="s">
        <v>158</v>
      </c>
      <c r="B35" s="53"/>
      <c r="C35" s="53"/>
      <c r="D35" s="152" t="str">
        <f>'[2]Orçamento COM PVS'!$D$35:$L$35</f>
        <v>PAVIMENTAÇÃO</v>
      </c>
      <c r="E35" s="153"/>
      <c r="F35" s="153"/>
      <c r="G35" s="153"/>
      <c r="H35" s="153"/>
      <c r="I35" s="153"/>
      <c r="J35" s="153"/>
      <c r="K35" s="154"/>
      <c r="L35" s="260">
        <f>SUM(L36:L37)</f>
        <v>0</v>
      </c>
      <c r="M35" s="260">
        <f>SUM(M36:M37)</f>
        <v>0</v>
      </c>
      <c r="N35" s="13"/>
      <c r="O35" s="266"/>
    </row>
    <row r="36" spans="1:16" ht="54.75" customHeight="1">
      <c r="A36" s="123" t="s">
        <v>160</v>
      </c>
      <c r="B36" s="242" t="str">
        <f>'[2]Orçamento COM PVS'!$B$36</f>
        <v>COMP.</v>
      </c>
      <c r="C36" s="16">
        <f>'[2]Orçamento COM PVS'!$C$36</f>
        <v>3</v>
      </c>
      <c r="D36" s="149" t="str">
        <f>'[2]Orçamento COM PVS'!$D$36:$G$36</f>
        <v>EXECUÇÃO DE VIA EM PISO INTERTRAVADO, COM BLOCO 16 FACES DE 22X11 CM, ESPESSURA DE 8 CM. AF_10/2022</v>
      </c>
      <c r="E36" s="135"/>
      <c r="F36" s="135"/>
      <c r="G36" s="136"/>
      <c r="H36" s="17" t="str">
        <f>'[2]Orçamento COM PVS'!$H$36</f>
        <v>M2</v>
      </c>
      <c r="I36" s="18">
        <f>'[2]Orçamento COM PVS'!$I$36</f>
        <v>864</v>
      </c>
      <c r="J36" s="27"/>
      <c r="K36" s="23">
        <f>ROUND(J36*(1+N36),2)</f>
        <v>0</v>
      </c>
      <c r="L36" s="24">
        <f t="shared" ref="L36:L45" si="14">ROUND(J36*I36,2)</f>
        <v>0</v>
      </c>
      <c r="M36" s="24">
        <f t="shared" ref="M36" si="15">ROUND(I36*K36,2)</f>
        <v>0</v>
      </c>
      <c r="N36" s="264">
        <v>0.22040000000000001</v>
      </c>
      <c r="O36" s="266"/>
    </row>
    <row r="37" spans="1:16" ht="90" customHeight="1">
      <c r="A37" s="123" t="s">
        <v>161</v>
      </c>
      <c r="B37" s="242" t="str">
        <f>'[2]Orçamento COM PVS'!$B$37</f>
        <v>SINAPI</v>
      </c>
      <c r="C37" s="16">
        <f>'[2]Orçamento COM PVS'!$C$37</f>
        <v>94273</v>
      </c>
      <c r="D37" s="134" t="str">
        <f ca="1">'[2]Orçamento COM PVS'!$D$37:$G$37</f>
        <v>ASSENTAMENTO DE GUIA (MEIO-FIO) EM TRECHO RETO, CONFECCIONADA EM CONCRETO PRÉ-FABRICADO, DIMENSÕES 100X15X13X30 CM (COMPRIMENTO X BASE INFERIOR X BASE SUPERIOR X ALTURA), PARA VIAS URBANAS (USO VIÁRIO). AF_06/2016</v>
      </c>
      <c r="E37" s="135"/>
      <c r="F37" s="135"/>
      <c r="G37" s="136"/>
      <c r="H37" s="17" t="str">
        <f ca="1">'[2]Orçamento COM PVS'!$H$37</f>
        <v>M</v>
      </c>
      <c r="I37" s="18">
        <f>'[2]Orçamento COM PVS'!$I$37</f>
        <v>200</v>
      </c>
      <c r="J37" s="27"/>
      <c r="K37" s="23">
        <f>ROUND(J37*(1+N37),2)</f>
        <v>0</v>
      </c>
      <c r="L37" s="24">
        <f t="shared" ref="L37" si="16">ROUND(J37*I37,2)</f>
        <v>0</v>
      </c>
      <c r="M37" s="24">
        <f t="shared" ref="M37" si="17">ROUND(I37*K37,2)</f>
        <v>0</v>
      </c>
      <c r="N37" s="264">
        <v>0.22040000000000001</v>
      </c>
      <c r="O37" s="266"/>
    </row>
    <row r="38" spans="1:16" ht="15" customHeight="1">
      <c r="A38" s="53" t="s">
        <v>30</v>
      </c>
      <c r="B38" s="53"/>
      <c r="C38" s="53"/>
      <c r="D38" s="152" t="str">
        <f>'[2]Orçamento COM PVS'!$D$38:$L$38</f>
        <v>RUA ANTONIO GUASSO</v>
      </c>
      <c r="E38" s="153"/>
      <c r="F38" s="153"/>
      <c r="G38" s="153"/>
      <c r="H38" s="153"/>
      <c r="I38" s="153"/>
      <c r="J38" s="153"/>
      <c r="K38" s="154"/>
      <c r="L38" s="259">
        <f>L39+L41+L46</f>
        <v>0</v>
      </c>
      <c r="M38" s="260">
        <f>M39+M41+M46</f>
        <v>0</v>
      </c>
      <c r="N38" s="13"/>
      <c r="O38" s="266"/>
    </row>
    <row r="39" spans="1:16" ht="15" customHeight="1">
      <c r="A39" s="53" t="s">
        <v>31</v>
      </c>
      <c r="B39" s="53"/>
      <c r="C39" s="53"/>
      <c r="D39" s="152" t="str">
        <f>'[2]Orçamento COM PVS'!$D$39:$L$39</f>
        <v>SERVIÇOS PRELIMINARES</v>
      </c>
      <c r="E39" s="153"/>
      <c r="F39" s="153"/>
      <c r="G39" s="153"/>
      <c r="H39" s="153"/>
      <c r="I39" s="153"/>
      <c r="J39" s="153"/>
      <c r="K39" s="154"/>
      <c r="L39" s="259">
        <f>L40</f>
        <v>0</v>
      </c>
      <c r="M39" s="260">
        <f>M40</f>
        <v>0</v>
      </c>
      <c r="N39" s="13"/>
      <c r="O39" s="266"/>
    </row>
    <row r="40" spans="1:16" ht="30" customHeight="1">
      <c r="A40" s="123" t="s">
        <v>162</v>
      </c>
      <c r="B40" s="242" t="str">
        <f>'[2]Orçamento COM PVS'!$B$40</f>
        <v>SINAPI</v>
      </c>
      <c r="C40" s="16">
        <f>'[2]Orçamento COM PVS'!$C$40</f>
        <v>99064</v>
      </c>
      <c r="D40" s="139" t="str">
        <f ca="1">'[2]Orçamento COM PVS'!$D$40:$G$40</f>
        <v>LOCAÇÃO DE PAVIMENTAÇÃO. AF_10/2018</v>
      </c>
      <c r="E40" s="140"/>
      <c r="F40" s="140"/>
      <c r="G40" s="140"/>
      <c r="H40" s="20" t="str">
        <f ca="1">'[2]Orçamento COM PVS'!$H$40</f>
        <v>M</v>
      </c>
      <c r="I40" s="18">
        <f>'[2]Orçamento COM PVS'!$I$40</f>
        <v>93.5</v>
      </c>
      <c r="J40" s="27"/>
      <c r="K40" s="23">
        <f>ROUND(J40*(1+N40),2)</f>
        <v>0</v>
      </c>
      <c r="L40" s="24">
        <f t="shared" ref="L40" si="18">ROUND(J40*I40,2)</f>
        <v>0</v>
      </c>
      <c r="M40" s="24">
        <f t="shared" ref="M40" si="19">ROUND(I40*K40,2)</f>
        <v>0</v>
      </c>
      <c r="N40" s="264">
        <v>0.22040000000000001</v>
      </c>
      <c r="O40" s="266"/>
    </row>
    <row r="41" spans="1:16" ht="15" customHeight="1">
      <c r="A41" s="53" t="s">
        <v>26</v>
      </c>
      <c r="B41" s="53"/>
      <c r="C41" s="53"/>
      <c r="D41" s="152" t="str">
        <f>'[2]Orçamento COM PVS'!$D$41:$L$41</f>
        <v>DRENAGEM PLUVIAL</v>
      </c>
      <c r="E41" s="153"/>
      <c r="F41" s="153"/>
      <c r="G41" s="153"/>
      <c r="H41" s="153"/>
      <c r="I41" s="153"/>
      <c r="J41" s="153"/>
      <c r="K41" s="154"/>
      <c r="L41" s="260">
        <f>SUM(L42:L45)</f>
        <v>0</v>
      </c>
      <c r="M41" s="260">
        <f>SUM(M42:M45)</f>
        <v>0</v>
      </c>
      <c r="N41" s="13"/>
      <c r="O41" s="266"/>
    </row>
    <row r="42" spans="1:16" ht="76.5" customHeight="1">
      <c r="A42" s="123" t="s">
        <v>164</v>
      </c>
      <c r="B42" s="242" t="str">
        <f>'[2]Orçamento COM PVS'!$B$42</f>
        <v>SINAPI</v>
      </c>
      <c r="C42" s="16">
        <f>'[2]Orçamento COM PVS'!$C$42</f>
        <v>90105</v>
      </c>
      <c r="D42" s="141" t="str">
        <f ca="1">'[2]Orçamento COM PVS'!$D$42:$G$42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42" s="150"/>
      <c r="F42" s="150"/>
      <c r="G42" s="151"/>
      <c r="H42" s="17" t="str">
        <f ca="1">'[2]Orçamento COM PVS'!$H$42</f>
        <v>M3</v>
      </c>
      <c r="I42" s="18">
        <f>'[2]Orçamento COM PVS'!$I$42</f>
        <v>103.744</v>
      </c>
      <c r="J42" s="27"/>
      <c r="K42" s="23">
        <f>ROUND(J42*(1+N42),2)</f>
        <v>0</v>
      </c>
      <c r="L42" s="24">
        <f t="shared" ref="L42" si="20">ROUND(J42*I42,2)</f>
        <v>0</v>
      </c>
      <c r="M42" s="25">
        <f t="shared" ref="M42" si="21">ROUND(K42*I42,2)</f>
        <v>0</v>
      </c>
      <c r="N42" s="264">
        <v>0.22040000000000001</v>
      </c>
      <c r="O42" s="266"/>
    </row>
    <row r="43" spans="1:16" ht="72.75" customHeight="1">
      <c r="A43" s="123" t="s">
        <v>165</v>
      </c>
      <c r="B43" s="242" t="str">
        <f>'[2]Orçamento COM PVS'!$B$43</f>
        <v>SINAPI</v>
      </c>
      <c r="C43" s="16">
        <f>'[2]Orçamento COM PVS'!$C$43</f>
        <v>95568</v>
      </c>
      <c r="D43" s="141" t="str">
        <f ca="1">'[2]Orçamento COM PVS'!$D$42:$G$43</f>
        <v>TUBO DE CONCRETO (SIMPLES) PARA REDES COLETORAS DE ÁGUAS PLUVIAIS, DIÂMETRO DE 400 MM, JUNTA RÍGIDA, INSTALADO EM LOCAL COM BAIXO NÍVEL DE INTERFERÊNCIAS - FORNECIMENTO E ASSENTAMENTO. AF_12/2015</v>
      </c>
      <c r="E43" s="150"/>
      <c r="F43" s="150"/>
      <c r="G43" s="151"/>
      <c r="H43" s="17" t="str">
        <f ca="1">'[2]Orçamento COM PVS'!$H$43</f>
        <v>M</v>
      </c>
      <c r="I43" s="18">
        <f>'[2]Orçamento COM PVS'!$I$43</f>
        <v>64</v>
      </c>
      <c r="J43" s="27"/>
      <c r="K43" s="23">
        <f t="shared" ref="K43:K45" si="22">ROUND(J43*(1+N43),2)</f>
        <v>0</v>
      </c>
      <c r="L43" s="24">
        <f t="shared" ref="L43:L44" si="23">ROUND(J43*I43,2)</f>
        <v>0</v>
      </c>
      <c r="M43" s="25">
        <f t="shared" ref="M43:M44" si="24">ROUND(K43*I43,2)</f>
        <v>0</v>
      </c>
      <c r="N43" s="264">
        <v>0.22040000000000001</v>
      </c>
      <c r="O43" s="266"/>
    </row>
    <row r="44" spans="1:16" ht="44.25" customHeight="1">
      <c r="A44" s="123" t="s">
        <v>166</v>
      </c>
      <c r="B44" s="242" t="str">
        <f>'[2]Orçamento COM PVS'!$B$44</f>
        <v>COMP.</v>
      </c>
      <c r="C44" s="243" t="str">
        <f>'[2]Orçamento COM PVS'!$C$44</f>
        <v>1</v>
      </c>
      <c r="D44" s="141" t="str">
        <f>'[2]Orçamento COM PVS'!$D$42:$G$44</f>
        <v>CX. PARA BOCA DE LOBO EM ALVENARIA DE BLOCOS DE CONCRETO 0,8X0,8X1,5m (DIM. INTERNA)</v>
      </c>
      <c r="E44" s="150"/>
      <c r="F44" s="150"/>
      <c r="G44" s="151"/>
      <c r="H44" s="17" t="str">
        <f>'[2]Orçamento COM PVS'!$H$44</f>
        <v>UNID.</v>
      </c>
      <c r="I44" s="18">
        <f>'[2]Orçamento COM PVS'!$I$44</f>
        <v>4</v>
      </c>
      <c r="J44" s="27"/>
      <c r="K44" s="23">
        <f t="shared" si="22"/>
        <v>0</v>
      </c>
      <c r="L44" s="24">
        <f t="shared" si="23"/>
        <v>0</v>
      </c>
      <c r="M44" s="25">
        <f t="shared" si="24"/>
        <v>0</v>
      </c>
      <c r="N44" s="264">
        <v>0.22040000000000001</v>
      </c>
      <c r="O44" s="266"/>
    </row>
    <row r="45" spans="1:16" ht="45.75" customHeight="1">
      <c r="A45" s="123" t="s">
        <v>167</v>
      </c>
      <c r="B45" s="242" t="str">
        <f>'[2]Orçamento COM PVS'!$B$45</f>
        <v>SINAPI</v>
      </c>
      <c r="C45" s="16">
        <f>'[2]Orçamento COM PVS'!$C$45</f>
        <v>93382</v>
      </c>
      <c r="D45" s="141" t="str">
        <f ca="1">'[2]Orçamento COM PVS'!$D$42:$G$45</f>
        <v>REATERRO MANUAL DE VALAS, COM COMPACTADOR DE SOLOS DE PERCUSSÃO. AF_08/2023</v>
      </c>
      <c r="E45" s="150"/>
      <c r="F45" s="150"/>
      <c r="G45" s="151"/>
      <c r="H45" s="17" t="str">
        <f ca="1">'[2]Orçamento COM PVS'!$H$45</f>
        <v>M3</v>
      </c>
      <c r="I45" s="18">
        <f>'[2]Orçamento COM PVS'!$I$45</f>
        <v>46.4</v>
      </c>
      <c r="J45" s="27"/>
      <c r="K45" s="23">
        <f t="shared" si="22"/>
        <v>0</v>
      </c>
      <c r="L45" s="24">
        <f t="shared" si="14"/>
        <v>0</v>
      </c>
      <c r="M45" s="25">
        <f t="shared" ref="M45" si="25">ROUND(K45*I45,2)</f>
        <v>0</v>
      </c>
      <c r="N45" s="264">
        <v>0.22040000000000001</v>
      </c>
      <c r="O45" s="266"/>
    </row>
    <row r="46" spans="1:16" ht="18" customHeight="1">
      <c r="A46" s="53" t="s">
        <v>32</v>
      </c>
      <c r="B46" s="53"/>
      <c r="C46" s="53"/>
      <c r="D46" s="152" t="str">
        <f>'[2]Orçamento COM PVS'!$D$46:$L$46</f>
        <v>PAVIMENTAÇÃO</v>
      </c>
      <c r="E46" s="153"/>
      <c r="F46" s="153"/>
      <c r="G46" s="153"/>
      <c r="H46" s="153"/>
      <c r="I46" s="153"/>
      <c r="J46" s="153"/>
      <c r="K46" s="154"/>
      <c r="L46" s="260">
        <f>SUM(L47:L48)</f>
        <v>0</v>
      </c>
      <c r="M46" s="260">
        <f>SUM(M47:M48)</f>
        <v>0</v>
      </c>
      <c r="N46" s="13"/>
      <c r="O46" s="266"/>
    </row>
    <row r="47" spans="1:16" ht="54.75" customHeight="1">
      <c r="A47" s="123" t="s">
        <v>168</v>
      </c>
      <c r="B47" s="242" t="str">
        <f>'[2]Orçamento COM PVS'!$B$47</f>
        <v>COMP.</v>
      </c>
      <c r="C47" s="16" t="str">
        <f>'[2]Orçamento COM PVS'!$C$47</f>
        <v>COMP. 003</v>
      </c>
      <c r="D47" s="144" t="str">
        <f>'[2]Orçamento COM PVS'!$D$47:$G$47</f>
        <v>EXECUÇÃO DE VIA EM PISO INTERTRAVADO, COM BLOCO 16 FACES DE 22X11 CM, ESPESSURA DE 8 CM. AF_10/2022</v>
      </c>
      <c r="E47" s="148"/>
      <c r="F47" s="148"/>
      <c r="G47" s="140"/>
      <c r="H47" s="17" t="str">
        <f>'[2]Orçamento COM PVS'!$H$47</f>
        <v>M2</v>
      </c>
      <c r="I47" s="18">
        <f>'[2]Orçamento COM PVS'!$I$47</f>
        <v>842</v>
      </c>
      <c r="J47" s="27"/>
      <c r="K47" s="23">
        <f>ROUND(J47*(1+N47),2)</f>
        <v>0</v>
      </c>
      <c r="L47" s="24">
        <f t="shared" ref="L47" si="26">ROUND(J47*I47,2)</f>
        <v>0</v>
      </c>
      <c r="M47" s="25">
        <f>ROUND(K47*I47,2)</f>
        <v>0</v>
      </c>
      <c r="N47" s="264">
        <v>0.22040000000000001</v>
      </c>
      <c r="O47" s="266"/>
    </row>
    <row r="48" spans="1:16" ht="49.5" customHeight="1">
      <c r="A48" s="123" t="s">
        <v>169</v>
      </c>
      <c r="B48" s="242" t="str">
        <f>'[2]Orçamento COM PVS'!$B$48</f>
        <v>SINAPI</v>
      </c>
      <c r="C48" s="16">
        <f>'[2]Orçamento COM PVS'!$C$48</f>
        <v>94273</v>
      </c>
      <c r="D48" s="141" t="str">
        <f ca="1">'[2]Orçamento COM PVS'!$D$48:$G$48</f>
        <v>ASSENTAMENTO DE GUIA (MEIO-FIO) EM TRECHO RETO, CONFECCIONADA EM CONCRETO PRÉ-FABRICADO, DIMENSÕES 100X15X13X30 CM (COMPRIMENTO X BASE INFERIOR X BASE SUPERIOR X ALTURA), PARA VIAS URBANAS (USO VIÁRIO). AF_06/2016</v>
      </c>
      <c r="E48" s="135"/>
      <c r="F48" s="135"/>
      <c r="G48" s="136"/>
      <c r="H48" s="17" t="str">
        <f ca="1">'[2]Orçamento COM PVS'!$H$48</f>
        <v>M</v>
      </c>
      <c r="I48" s="19">
        <f>'[2]Orçamento COM PVS'!$I$48</f>
        <v>205</v>
      </c>
      <c r="J48" s="27"/>
      <c r="K48" s="23">
        <f>ROUND(J48*(1+N48),2)</f>
        <v>0</v>
      </c>
      <c r="L48" s="24">
        <f t="shared" ref="L48:L51" si="27">ROUND(J48*I48,2)</f>
        <v>0</v>
      </c>
      <c r="M48" s="25">
        <f>ROUND(K48*I48,2)</f>
        <v>0</v>
      </c>
      <c r="N48" s="264">
        <v>0.22040000000000001</v>
      </c>
      <c r="O48" s="266"/>
    </row>
    <row r="49" spans="1:15" ht="15" customHeight="1">
      <c r="A49" s="53" t="s">
        <v>33</v>
      </c>
      <c r="B49" s="53"/>
      <c r="C49" s="53"/>
      <c r="D49" s="152" t="str">
        <f>'[2]Orçamento COM PVS'!$D$49:$L$49</f>
        <v>RUA ALEXANDRE MANENTI</v>
      </c>
      <c r="E49" s="153"/>
      <c r="F49" s="153"/>
      <c r="G49" s="153"/>
      <c r="H49" s="153"/>
      <c r="I49" s="153"/>
      <c r="J49" s="153"/>
      <c r="K49" s="154"/>
      <c r="L49" s="259">
        <f>L50+L52+L58</f>
        <v>0</v>
      </c>
      <c r="M49" s="260">
        <f>M50+M52+M58</f>
        <v>0</v>
      </c>
      <c r="N49" s="13"/>
      <c r="O49" s="266"/>
    </row>
    <row r="50" spans="1:15" ht="15" customHeight="1">
      <c r="A50" s="53" t="s">
        <v>34</v>
      </c>
      <c r="B50" s="53"/>
      <c r="C50" s="53"/>
      <c r="D50" s="152" t="str">
        <f>'[2]Orçamento COM PVS'!$D$50:$L$50</f>
        <v>SERVIÇOS PRELIMINARES</v>
      </c>
      <c r="E50" s="153"/>
      <c r="F50" s="153"/>
      <c r="G50" s="153"/>
      <c r="H50" s="153"/>
      <c r="I50" s="153"/>
      <c r="J50" s="153"/>
      <c r="K50" s="154"/>
      <c r="L50" s="259">
        <f>L51</f>
        <v>0</v>
      </c>
      <c r="M50" s="260">
        <f>M51</f>
        <v>0</v>
      </c>
      <c r="N50" s="13"/>
      <c r="O50" s="266"/>
    </row>
    <row r="51" spans="1:15" ht="38.25" customHeight="1">
      <c r="A51" s="123" t="s">
        <v>170</v>
      </c>
      <c r="B51" s="242" t="str">
        <f>'[2]Orçamento COM PVS'!$B$51</f>
        <v>SINAPI</v>
      </c>
      <c r="C51" s="16">
        <f>'[2]Orçamento COM PVS'!$C$51</f>
        <v>99064</v>
      </c>
      <c r="D51" s="144" t="str">
        <f ca="1">'[2]Orçamento COM PVS'!$D$51:$G$51</f>
        <v>LOCAÇÃO DE PAVIMENTAÇÃO. AF_10/2018</v>
      </c>
      <c r="E51" s="145"/>
      <c r="F51" s="145"/>
      <c r="G51" s="139"/>
      <c r="H51" s="17" t="str">
        <f ca="1">'[2]Orçamento COM PVS'!$H$51</f>
        <v>M</v>
      </c>
      <c r="I51" s="18">
        <f>'[2]Orçamento COM PVS'!$I$51</f>
        <v>153</v>
      </c>
      <c r="J51" s="27"/>
      <c r="K51" s="23">
        <f>ROUND(J51*(1+N51),2)</f>
        <v>0</v>
      </c>
      <c r="L51" s="24">
        <f t="shared" si="27"/>
        <v>0</v>
      </c>
      <c r="M51" s="25">
        <f t="shared" ref="M51" si="28">ROUND(K51*I51,2)</f>
        <v>0</v>
      </c>
      <c r="N51" s="264">
        <v>0.22040000000000001</v>
      </c>
      <c r="O51" s="266"/>
    </row>
    <row r="52" spans="1:15" ht="15" customHeight="1">
      <c r="A52" s="53" t="s">
        <v>35</v>
      </c>
      <c r="B52" s="53"/>
      <c r="C52" s="53"/>
      <c r="D52" s="152" t="str">
        <f>'[2]Orçamento COM PVS'!$D$41:$L$41</f>
        <v>DRENAGEM PLUVIAL</v>
      </c>
      <c r="E52" s="153"/>
      <c r="F52" s="153"/>
      <c r="G52" s="153"/>
      <c r="H52" s="153"/>
      <c r="I52" s="153"/>
      <c r="J52" s="153"/>
      <c r="K52" s="154"/>
      <c r="L52" s="260">
        <f>SUM(L53:L57)</f>
        <v>0</v>
      </c>
      <c r="M52" s="260">
        <f>SUM(M53:M57)</f>
        <v>0</v>
      </c>
      <c r="N52" s="13"/>
      <c r="O52" s="266"/>
    </row>
    <row r="53" spans="1:15" ht="78" customHeight="1">
      <c r="A53" s="123" t="s">
        <v>171</v>
      </c>
      <c r="B53" s="242" t="str">
        <f>'[2]Orçamento COM PVS'!$B$53</f>
        <v>SINAPI</v>
      </c>
      <c r="C53" s="16">
        <f>'[2]Orçamento COM PVS'!$C$53</f>
        <v>90105</v>
      </c>
      <c r="D53" s="144" t="str">
        <f ca="1">'[2]Orçamento COM PVS'!$D$53:$G$53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53" s="145"/>
      <c r="F53" s="145"/>
      <c r="G53" s="139"/>
      <c r="H53" s="17" t="str">
        <f ca="1">'[2]Orçamento COM PVS'!$H$53</f>
        <v>M3</v>
      </c>
      <c r="I53" s="18">
        <f>'[2]Orçamento COM PVS'!$I$53</f>
        <v>275.61599999999999</v>
      </c>
      <c r="J53" s="27"/>
      <c r="K53" s="23">
        <f>ROUND(J53*(1+N53),2)</f>
        <v>0</v>
      </c>
      <c r="L53" s="24">
        <f t="shared" ref="L53" si="29">ROUND(J53*I53,2)</f>
        <v>0</v>
      </c>
      <c r="M53" s="25">
        <f t="shared" ref="M53" si="30">ROUND(K53*I53,2)</f>
        <v>0</v>
      </c>
      <c r="N53" s="264">
        <v>0.22040000000000001</v>
      </c>
      <c r="O53" s="266"/>
    </row>
    <row r="54" spans="1:15" ht="80.25" customHeight="1">
      <c r="A54" s="123" t="s">
        <v>172</v>
      </c>
      <c r="B54" s="242" t="str">
        <f>'[2]Orçamento COM PVS'!$B$54</f>
        <v>SINAPI</v>
      </c>
      <c r="C54" s="16">
        <f>'[2]Orçamento COM PVS'!$C$54</f>
        <v>95568</v>
      </c>
      <c r="D54" s="144" t="str">
        <f ca="1">'[2]Orçamento COM PVS'!$D$54:$G$54</f>
        <v>TUBO DE CONCRETO (SIMPLES) PARA REDES COLETORAS DE ÁGUAS PLUVIAIS, DIÂMETRO DE 400 MM, JUNTA RÍGIDA, INSTALADO EM LOCAL COM BAIXO NÍVEL DE INTERFERÊNCIAS - FORNECIMENTO E ASSENTAMENTO. AF_12/2015</v>
      </c>
      <c r="E54" s="145"/>
      <c r="F54" s="145"/>
      <c r="G54" s="139"/>
      <c r="H54" s="17" t="str">
        <f ca="1">'[2]Orçamento COM PVS'!$H$54</f>
        <v>M</v>
      </c>
      <c r="I54" s="18">
        <f>'[2]Orçamento COM PVS'!$I$54</f>
        <v>93</v>
      </c>
      <c r="J54" s="27"/>
      <c r="K54" s="23">
        <f t="shared" ref="K54:K56" si="31">ROUND(J54*(1+N54),2)</f>
        <v>0</v>
      </c>
      <c r="L54" s="24">
        <f t="shared" ref="L54:L56" si="32">ROUND(J54*I54,2)</f>
        <v>0</v>
      </c>
      <c r="M54" s="25">
        <f t="shared" ref="M54:M56" si="33">ROUND(K54*I54,2)</f>
        <v>0</v>
      </c>
      <c r="N54" s="264">
        <v>0.22040000000000001</v>
      </c>
      <c r="O54" s="266"/>
    </row>
    <row r="55" spans="1:15" ht="45" customHeight="1">
      <c r="A55" s="123" t="s">
        <v>173</v>
      </c>
      <c r="B55" s="242" t="str">
        <f>'[2]Orçamento COM PVS'!$B$55</f>
        <v>SINAPI</v>
      </c>
      <c r="C55" s="16">
        <f>'[2]Orçamento COM PVS'!$C$55</f>
        <v>92212</v>
      </c>
      <c r="D55" s="144" t="str">
        <f>'[2]Orçamento COM PVS'!$D$56:$G$56</f>
        <v>CX. PARA BOCA DE LOBO EM ALVENARIA DE BLOCOS DE CONCRETO 0,8X0,8X1,5m (DIM. INTERNA)</v>
      </c>
      <c r="E55" s="145"/>
      <c r="F55" s="145"/>
      <c r="G55" s="139"/>
      <c r="H55" s="17" t="str">
        <f ca="1">'[2]Orçamento COM PVS'!$H$55</f>
        <v>M</v>
      </c>
      <c r="I55" s="18">
        <f>'[2]Orçamento COM PVS'!$I$55</f>
        <v>83</v>
      </c>
      <c r="J55" s="27"/>
      <c r="K55" s="23">
        <f t="shared" si="31"/>
        <v>0</v>
      </c>
      <c r="L55" s="24">
        <f t="shared" si="32"/>
        <v>0</v>
      </c>
      <c r="M55" s="25">
        <f t="shared" si="33"/>
        <v>0</v>
      </c>
      <c r="N55" s="264">
        <v>0.22040000000000001</v>
      </c>
      <c r="O55" s="266"/>
    </row>
    <row r="56" spans="1:15" ht="44.25" customHeight="1">
      <c r="A56" s="123" t="s">
        <v>174</v>
      </c>
      <c r="B56" s="242" t="str">
        <f>'[2]Orçamento COM PVS'!$B$56</f>
        <v>COMP.</v>
      </c>
      <c r="C56" s="243" t="str">
        <f>'[2]Orçamento COM PVS'!$C$56</f>
        <v>1</v>
      </c>
      <c r="D56" s="144" t="str">
        <f ca="1">'[2]Orçamento COM PVS'!$D$57:$G$57</f>
        <v>REATERRO MANUAL DE VALAS, COM COMPACTADOR DE SOLOS DE PERCUSSÃO. AF_08/2023</v>
      </c>
      <c r="E56" s="145"/>
      <c r="F56" s="145"/>
      <c r="G56" s="139"/>
      <c r="H56" s="17" t="str">
        <f>'[2]Orçamento COM PVS'!$H$56</f>
        <v>UNID.</v>
      </c>
      <c r="I56" s="18">
        <f>'[2]Orçamento COM PVS'!$I$56</f>
        <v>6</v>
      </c>
      <c r="J56" s="27"/>
      <c r="K56" s="23">
        <f t="shared" si="31"/>
        <v>0</v>
      </c>
      <c r="L56" s="24">
        <f t="shared" si="32"/>
        <v>0</v>
      </c>
      <c r="M56" s="25">
        <f t="shared" si="33"/>
        <v>0</v>
      </c>
      <c r="N56" s="264">
        <v>0.22040000000000001</v>
      </c>
      <c r="O56" s="266"/>
    </row>
    <row r="57" spans="1:15" ht="44.25" customHeight="1">
      <c r="A57" s="123" t="s">
        <v>304</v>
      </c>
      <c r="B57" s="242" t="str">
        <f>'[2]Orçamento COM PVS'!$B$57</f>
        <v>SINAPI</v>
      </c>
      <c r="C57" s="254">
        <f>'[2]Orçamento COM PVS'!$C$57</f>
        <v>93382</v>
      </c>
      <c r="D57" s="144" t="str">
        <f ca="1">'[2]Orçamento COM PVS'!$D$57:$G$57</f>
        <v>REATERRO MANUAL DE VALAS, COM COMPACTADOR DE SOLOS DE PERCUSSÃO. AF_08/2023</v>
      </c>
      <c r="E57" s="145"/>
      <c r="F57" s="145"/>
      <c r="G57" s="139"/>
      <c r="H57" s="17" t="str">
        <f ca="1">'[2]Orçamento COM PVS'!$H$57</f>
        <v>M3</v>
      </c>
      <c r="I57" s="18">
        <f>'[2]Orçamento COM PVS'!$I$57</f>
        <v>125.6</v>
      </c>
      <c r="J57" s="27"/>
      <c r="K57" s="23">
        <f t="shared" ref="K57" si="34">ROUND(J57*(1+N57),2)</f>
        <v>0</v>
      </c>
      <c r="L57" s="24">
        <f t="shared" ref="L57" si="35">ROUND(J57*I57,2)</f>
        <v>0</v>
      </c>
      <c r="M57" s="25">
        <f t="shared" ref="M57" si="36">ROUND(K57*I57,2)</f>
        <v>0</v>
      </c>
      <c r="N57" s="264">
        <v>0.22040000000000001</v>
      </c>
      <c r="O57" s="266"/>
    </row>
    <row r="58" spans="1:15" ht="18" customHeight="1">
      <c r="A58" s="53" t="s">
        <v>36</v>
      </c>
      <c r="B58" s="53"/>
      <c r="C58" s="53"/>
      <c r="D58" s="152" t="str">
        <f>'[2]Orçamento COM PVS'!$D$58:$L$58</f>
        <v>PAVIMENTAÇÃO</v>
      </c>
      <c r="E58" s="153"/>
      <c r="F58" s="153"/>
      <c r="G58" s="153"/>
      <c r="H58" s="153"/>
      <c r="I58" s="153"/>
      <c r="J58" s="153"/>
      <c r="K58" s="154"/>
      <c r="L58" s="260">
        <f>SUM(L59:L60)</f>
        <v>0</v>
      </c>
      <c r="M58" s="260">
        <f>SUM(M59:M60)</f>
        <v>0</v>
      </c>
      <c r="N58" s="13"/>
      <c r="O58" s="266"/>
    </row>
    <row r="59" spans="1:15" ht="65.25" customHeight="1">
      <c r="A59" s="123" t="s">
        <v>183</v>
      </c>
      <c r="B59" s="242" t="str">
        <f>'[2]Orçamento COM PVS'!$B$59</f>
        <v>COMP.</v>
      </c>
      <c r="C59" s="16">
        <f>'[2]Orçamento COM PVS'!$C$59</f>
        <v>3</v>
      </c>
      <c r="D59" s="134" t="str">
        <f>'[2]Orçamento COM PVS'!$D$59:$G$59</f>
        <v>EXECUÇÃO DE VIA EM PISO INTERTRAVADO, COM BLOCO 16 FACES DE 22X11 CM, ESPESSURA DE 8 CM. AF_10/2022</v>
      </c>
      <c r="E59" s="135"/>
      <c r="F59" s="135"/>
      <c r="G59" s="136"/>
      <c r="H59" s="17" t="str">
        <f>'[2]Orçamento COM PVS'!$H$59</f>
        <v>M2</v>
      </c>
      <c r="I59" s="18">
        <f>'[2]Orçamento COM PVS'!$I$59</f>
        <v>1377</v>
      </c>
      <c r="J59" s="27"/>
      <c r="K59" s="23">
        <f>ROUND(J59*(1+N59),2)</f>
        <v>0</v>
      </c>
      <c r="L59" s="24">
        <f t="shared" ref="L59:L66" si="37">ROUND(J59*I59,2)</f>
        <v>0</v>
      </c>
      <c r="M59" s="25">
        <f t="shared" ref="M59" si="38">ROUND(K59*I59,2)</f>
        <v>0</v>
      </c>
      <c r="N59" s="264">
        <v>0.22040000000000001</v>
      </c>
      <c r="O59" s="266"/>
    </row>
    <row r="60" spans="1:15" ht="93" customHeight="1">
      <c r="A60" s="123" t="s">
        <v>184</v>
      </c>
      <c r="B60" s="242" t="str">
        <f>'[2]Orçamento COM PVS'!$B$60</f>
        <v>SINAPI</v>
      </c>
      <c r="C60" s="16">
        <f>'[2]Orçamento COM PVS'!$C$60</f>
        <v>94273</v>
      </c>
      <c r="D60" s="144" t="str">
        <f ca="1">'[2]Orçamento COM PVS'!$D$60:$G$60</f>
        <v>ASSENTAMENTO DE GUIA (MEIO-FIO) EM TRECHO RETO, CONFECCIONADA EM CONCRETO PRÉ-FABRICADO, DIMENSÕES 100X15X13X30 CM (COMPRIMENTO X BASE INFERIOR X BASE SUPERIOR X ALTURA), PARA VIAS URBANAS (USO VIÁRIO). AF_06/2016</v>
      </c>
      <c r="E60" s="148"/>
      <c r="F60" s="148"/>
      <c r="G60" s="140"/>
      <c r="H60" s="17" t="str">
        <f ca="1">'[2]Orçamento COM PVS'!$H$60</f>
        <v>M</v>
      </c>
      <c r="I60" s="18">
        <f>'[2]Orçamento COM PVS'!$I$60</f>
        <v>306</v>
      </c>
      <c r="J60" s="27"/>
      <c r="K60" s="23">
        <f>ROUND(J60*(1+N60),2)</f>
        <v>0</v>
      </c>
      <c r="L60" s="24">
        <f t="shared" si="37"/>
        <v>0</v>
      </c>
      <c r="M60" s="25">
        <f t="shared" ref="M60" si="39">ROUND(K60*I60,2)</f>
        <v>0</v>
      </c>
      <c r="N60" s="264">
        <v>0.22040000000000001</v>
      </c>
      <c r="O60" s="268"/>
    </row>
    <row r="61" spans="1:15" ht="15" customHeight="1">
      <c r="A61" s="53" t="s">
        <v>37</v>
      </c>
      <c r="B61" s="53"/>
      <c r="C61" s="53"/>
      <c r="D61" s="152" t="str">
        <f>'[2]Orçamento COM PVS'!$D$61:$L$61</f>
        <v>RUA PIETRO ERCOLANI</v>
      </c>
      <c r="E61" s="153"/>
      <c r="F61" s="153"/>
      <c r="G61" s="153"/>
      <c r="H61" s="153"/>
      <c r="I61" s="153"/>
      <c r="J61" s="153"/>
      <c r="K61" s="154"/>
      <c r="L61" s="260">
        <f>L62+L64+L69</f>
        <v>0</v>
      </c>
      <c r="M61" s="260">
        <f>M62+M64+M69</f>
        <v>0</v>
      </c>
      <c r="N61" s="13"/>
      <c r="O61" s="266"/>
    </row>
    <row r="62" spans="1:15" ht="15" customHeight="1">
      <c r="A62" s="53" t="s">
        <v>38</v>
      </c>
      <c r="B62" s="53"/>
      <c r="C62" s="53"/>
      <c r="D62" s="152" t="str">
        <f>'[2]Orçamento COM PVS'!$D$50:$L$50</f>
        <v>SERVIÇOS PRELIMINARES</v>
      </c>
      <c r="E62" s="153"/>
      <c r="F62" s="153"/>
      <c r="G62" s="153"/>
      <c r="H62" s="153"/>
      <c r="I62" s="153"/>
      <c r="J62" s="153"/>
      <c r="K62" s="154"/>
      <c r="L62" s="259">
        <f>L63</f>
        <v>0</v>
      </c>
      <c r="M62" s="260">
        <f>M63</f>
        <v>0</v>
      </c>
      <c r="N62" s="13"/>
      <c r="O62" s="266"/>
    </row>
    <row r="63" spans="1:15" ht="42.75" customHeight="1">
      <c r="A63" s="123" t="s">
        <v>175</v>
      </c>
      <c r="B63" s="242" t="str">
        <f>'[2]Orçamento COM PVS'!$B$63</f>
        <v>SINAPI</v>
      </c>
      <c r="C63" s="16">
        <f>'[2]Orçamento COM PVS'!$C$63</f>
        <v>99064</v>
      </c>
      <c r="D63" s="139" t="str">
        <f ca="1">'[2]Orçamento COM PVS'!$D$63:$G$63</f>
        <v>LOCAÇÃO DE PAVIMENTAÇÃO. AF_10/2018</v>
      </c>
      <c r="E63" s="140"/>
      <c r="F63" s="140"/>
      <c r="G63" s="140"/>
      <c r="H63" s="20" t="str">
        <f ca="1">'[2]Orçamento COM PVS'!$H$63</f>
        <v>M</v>
      </c>
      <c r="I63" s="18">
        <f>'[2]Orçamento COM PVS'!$I$63</f>
        <v>168</v>
      </c>
      <c r="J63" s="27"/>
      <c r="K63" s="23">
        <f>ROUND(J63*(1+N63),2)</f>
        <v>0</v>
      </c>
      <c r="L63" s="24">
        <f t="shared" si="37"/>
        <v>0</v>
      </c>
      <c r="M63" s="25">
        <f t="shared" ref="M63:M66" si="40">ROUND(K63*I63,2)</f>
        <v>0</v>
      </c>
      <c r="N63" s="264">
        <v>0.22040000000000001</v>
      </c>
      <c r="O63" s="266"/>
    </row>
    <row r="64" spans="1:15" ht="15" customHeight="1">
      <c r="A64" s="53" t="s">
        <v>159</v>
      </c>
      <c r="B64" s="53"/>
      <c r="C64" s="53"/>
      <c r="D64" s="152" t="str">
        <f>'[2]Orçamento COM PVS'!$D$64:$L$64</f>
        <v>DRENAGEM PLUVIAL</v>
      </c>
      <c r="E64" s="153"/>
      <c r="F64" s="153"/>
      <c r="G64" s="153"/>
      <c r="H64" s="153"/>
      <c r="I64" s="153"/>
      <c r="J64" s="153"/>
      <c r="K64" s="154"/>
      <c r="L64" s="259">
        <f>SUM(L65:L68)</f>
        <v>0</v>
      </c>
      <c r="M64" s="260">
        <f>SUM(M65:M68)</f>
        <v>0</v>
      </c>
      <c r="N64" s="13"/>
      <c r="O64" s="266"/>
    </row>
    <row r="65" spans="1:17" ht="96.75" customHeight="1">
      <c r="A65" s="123" t="s">
        <v>176</v>
      </c>
      <c r="B65" s="242" t="str">
        <f>'[2]Orçamento COM PVS'!$B$65</f>
        <v>SINAPI</v>
      </c>
      <c r="C65" s="16">
        <f>'[2]Orçamento COM PVS'!$C$65</f>
        <v>90105</v>
      </c>
      <c r="D65" s="144" t="str">
        <f ca="1">'[2]Orçamento COM PVS'!$D$65:$G$65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65" s="145"/>
      <c r="F65" s="145"/>
      <c r="G65" s="139"/>
      <c r="H65" s="20" t="str">
        <f ca="1">'[2]Orçamento COM PVS'!$H$65</f>
        <v>M3</v>
      </c>
      <c r="I65" s="18">
        <f>'[2]Orçamento COM PVS'!$I$65</f>
        <v>175.744</v>
      </c>
      <c r="J65" s="27"/>
      <c r="K65" s="23">
        <f>ROUND(J65*(1+N65),2)</f>
        <v>0</v>
      </c>
      <c r="L65" s="24">
        <f t="shared" ref="L65" si="41">ROUND(J65*I65,2)</f>
        <v>0</v>
      </c>
      <c r="M65" s="25">
        <f t="shared" ref="M65" si="42">ROUND(K65*I65,2)</f>
        <v>0</v>
      </c>
      <c r="N65" s="264">
        <v>0.22040000000000001</v>
      </c>
      <c r="O65" s="266"/>
    </row>
    <row r="66" spans="1:17" ht="95.25" customHeight="1">
      <c r="A66" s="123" t="s">
        <v>177</v>
      </c>
      <c r="B66" s="242" t="str">
        <f>'[2]Orçamento COM PVS'!$B$66</f>
        <v>SINAPI</v>
      </c>
      <c r="C66" s="16">
        <f>'[2]Orçamento COM PVS'!$C$66</f>
        <v>95568</v>
      </c>
      <c r="D66" s="144" t="str">
        <f ca="1">'[2]Orçamento COM PVS'!$D$65:$G$66</f>
        <v>TUBO DE CONCRETO (SIMPLES) PARA REDES COLETORAS DE ÁGUAS PLUVIAIS, DIÂMETRO DE 400 MM, JUNTA RÍGIDA, INSTALADO EM LOCAL COM BAIXO NÍVEL DE INTERFERÊNCIAS - FORNECIMENTO E ASSENTAMENTO. AF_12/2015</v>
      </c>
      <c r="E66" s="145"/>
      <c r="F66" s="145"/>
      <c r="G66" s="139"/>
      <c r="H66" s="20" t="str">
        <f>'[2]Orçamento COM PVS'!$H$66</f>
        <v>m</v>
      </c>
      <c r="I66" s="18">
        <f>'[2]Orçamento COM PVS'!$I$66</f>
        <v>112</v>
      </c>
      <c r="J66" s="27"/>
      <c r="K66" s="23">
        <f t="shared" ref="K66:K68" si="43">ROUND(J66*(1+N66),2)</f>
        <v>0</v>
      </c>
      <c r="L66" s="24">
        <f t="shared" ref="L66:L68" si="44">ROUND(J66*I66,2)</f>
        <v>0</v>
      </c>
      <c r="M66" s="25">
        <f t="shared" ref="M66:M68" si="45">ROUND(K66*I66,2)</f>
        <v>0</v>
      </c>
      <c r="N66" s="264">
        <v>0.22040000000000001</v>
      </c>
      <c r="O66" s="266"/>
    </row>
    <row r="67" spans="1:17" ht="77.25" customHeight="1">
      <c r="A67" s="123" t="s">
        <v>178</v>
      </c>
      <c r="B67" s="242" t="str">
        <f>'[2]Orçamento COM PVS'!$B$67</f>
        <v>COMP.</v>
      </c>
      <c r="C67" s="16">
        <f>'[2]Orçamento COM PVS'!$C$67</f>
        <v>1</v>
      </c>
      <c r="D67" s="144" t="str">
        <f>'[2]Orçamento COM PVS'!$D$65:$G$67</f>
        <v>CX. PARA BOCA DE LOBO EM ALVENARIA DE BLOCOS DE CONCRETO 0,8X0,8X1,5m (DIM. INTERNA)</v>
      </c>
      <c r="E67" s="145"/>
      <c r="F67" s="145"/>
      <c r="G67" s="139"/>
      <c r="H67" s="20" t="str">
        <f>'[2]Orçamento COM PVS'!$H$67</f>
        <v>UNID.</v>
      </c>
      <c r="I67" s="18">
        <f>'[2]Orçamento COM PVS'!$I$67</f>
        <v>4</v>
      </c>
      <c r="J67" s="27"/>
      <c r="K67" s="23">
        <f t="shared" si="43"/>
        <v>0</v>
      </c>
      <c r="L67" s="24">
        <f t="shared" si="44"/>
        <v>0</v>
      </c>
      <c r="M67" s="25">
        <f t="shared" si="45"/>
        <v>0</v>
      </c>
      <c r="N67" s="264">
        <v>0.22040000000000001</v>
      </c>
      <c r="O67" s="266"/>
    </row>
    <row r="68" spans="1:17" ht="51.75" customHeight="1">
      <c r="A68" s="123" t="s">
        <v>179</v>
      </c>
      <c r="B68" s="242" t="str">
        <f>'[2]Orçamento COM PVS'!$B$68</f>
        <v>SINAPI</v>
      </c>
      <c r="C68" s="16">
        <f>'[2]Orçamento COM PVS'!$C$68</f>
        <v>93382</v>
      </c>
      <c r="D68" s="144" t="str">
        <f ca="1">'[2]Orçamento COM PVS'!$D$65:$G$68</f>
        <v>REATERRO MANUAL DE VALAS, COM COMPACTADOR DE SOLOS DE PERCUSSÃO. AF_08/2023</v>
      </c>
      <c r="E68" s="145"/>
      <c r="F68" s="145"/>
      <c r="G68" s="139"/>
      <c r="H68" s="20" t="str">
        <f ca="1">'[2]Orçamento COM PVS'!$H$68</f>
        <v>M3</v>
      </c>
      <c r="I68" s="18">
        <f>'[2]Orçamento COM PVS'!$I$68</f>
        <v>79.999999999999986</v>
      </c>
      <c r="J68" s="27"/>
      <c r="K68" s="23">
        <f t="shared" si="43"/>
        <v>0</v>
      </c>
      <c r="L68" s="24">
        <f t="shared" si="44"/>
        <v>0</v>
      </c>
      <c r="M68" s="25">
        <f t="shared" si="45"/>
        <v>0</v>
      </c>
      <c r="N68" s="264">
        <v>0.22040000000000001</v>
      </c>
      <c r="O68" s="266"/>
    </row>
    <row r="69" spans="1:17" ht="18" customHeight="1">
      <c r="A69" s="53" t="s">
        <v>180</v>
      </c>
      <c r="B69" s="53"/>
      <c r="C69" s="53"/>
      <c r="D69" s="152" t="str">
        <f>'[2]Orçamento COM PVS'!$D$69:$L$69</f>
        <v>PAVIMENTAÇÃO</v>
      </c>
      <c r="E69" s="153"/>
      <c r="F69" s="153"/>
      <c r="G69" s="153"/>
      <c r="H69" s="153"/>
      <c r="I69" s="153"/>
      <c r="J69" s="153"/>
      <c r="K69" s="154"/>
      <c r="L69" s="260">
        <f>SUM(L70:L71)</f>
        <v>0</v>
      </c>
      <c r="M69" s="260">
        <f>SUM(M70:M71)</f>
        <v>0</v>
      </c>
      <c r="N69" s="13"/>
      <c r="O69" s="13"/>
    </row>
    <row r="70" spans="1:17" ht="46.5" customHeight="1">
      <c r="A70" s="123" t="s">
        <v>181</v>
      </c>
      <c r="B70" s="242" t="str">
        <f>'[2]Orçamento COM PVS'!$B$70</f>
        <v>COMP.</v>
      </c>
      <c r="C70" s="16">
        <f>'[2]Orçamento COM PVS'!$C$70</f>
        <v>3</v>
      </c>
      <c r="D70" s="147" t="str">
        <f>'[2]Orçamento COM PVS'!$D$70:$G$70</f>
        <v>EXECUÇÃO DE VIA EM PISO INTERTRAVADO, COM BLOCO 16 FACES DE 22X11 CM, ESPESSURA DE 8 CM. AF_10/2022</v>
      </c>
      <c r="E70" s="148"/>
      <c r="F70" s="148"/>
      <c r="G70" s="140"/>
      <c r="H70" s="17" t="str">
        <f>'[2]Orçamento COM PVS'!$H$70</f>
        <v>M2</v>
      </c>
      <c r="I70" s="18">
        <f>'[2]Orçamento COM PVS'!$I$70</f>
        <v>1512</v>
      </c>
      <c r="J70" s="27"/>
      <c r="K70" s="23">
        <f>ROUND(J70*(1+N70),2)</f>
        <v>0</v>
      </c>
      <c r="L70" s="24">
        <f t="shared" ref="L70:L72" si="46">ROUND(J70*I70,2)</f>
        <v>0</v>
      </c>
      <c r="M70" s="25">
        <f t="shared" ref="M70" si="47">ROUND(K70*I70,2)</f>
        <v>0</v>
      </c>
      <c r="N70" s="264">
        <v>0.22040000000000001</v>
      </c>
      <c r="O70" s="269"/>
      <c r="P70" s="142"/>
      <c r="Q70" s="142"/>
    </row>
    <row r="71" spans="1:17" ht="95.25" customHeight="1">
      <c r="A71" s="123" t="s">
        <v>182</v>
      </c>
      <c r="B71" s="242">
        <f>'[2]Orçamento COM PVS'!$C$71</f>
        <v>94273</v>
      </c>
      <c r="C71" s="16">
        <f>'[2]Orçamento COM PVS'!$C$71</f>
        <v>94273</v>
      </c>
      <c r="D71" s="139" t="str">
        <f ca="1">'[2]Orçamento COM PVS'!$D$71:$G$71</f>
        <v>ASSENTAMENTO DE GUIA (MEIO-FIO) EM TRECHO RETO, CONFECCIONADA EM CONCRETO PRÉ-FABRICADO, DIMENSÕES 100X15X13X30 CM (COMPRIMENTO X BASE INFERIOR X BASE SUPERIOR X ALTURA), PARA VIAS URBANAS (USO VIÁRIO). AF_06/2016</v>
      </c>
      <c r="E71" s="140"/>
      <c r="F71" s="140"/>
      <c r="G71" s="140"/>
      <c r="H71" s="20" t="str">
        <f ca="1">'[2]Orçamento COM PVS'!$H$71</f>
        <v>M</v>
      </c>
      <c r="I71" s="18">
        <f>'[2]Orçamento COM PVS'!$I$71</f>
        <v>325</v>
      </c>
      <c r="J71" s="27"/>
      <c r="K71" s="23">
        <f>ROUND(J71*(1+N71),2)</f>
        <v>0</v>
      </c>
      <c r="L71" s="24">
        <f t="shared" si="46"/>
        <v>0</v>
      </c>
      <c r="M71" s="25">
        <f t="shared" ref="M71:M72" si="48">ROUND(K71*I71,2)</f>
        <v>0</v>
      </c>
      <c r="N71" s="264">
        <v>0.22040000000000001</v>
      </c>
      <c r="O71" s="270"/>
      <c r="P71" s="143"/>
      <c r="Q71" s="143"/>
    </row>
    <row r="72" spans="1:17" ht="15" customHeight="1">
      <c r="A72" s="53" t="s">
        <v>39</v>
      </c>
      <c r="B72" s="53"/>
      <c r="C72" s="53"/>
      <c r="D72" s="152" t="str">
        <f>'[2]Orçamento COM PVS'!$D$72:$L$72</f>
        <v>RUA VALDENIR VICENTE GAVIOLI</v>
      </c>
      <c r="E72" s="153"/>
      <c r="F72" s="153"/>
      <c r="G72" s="153"/>
      <c r="H72" s="153"/>
      <c r="I72" s="153"/>
      <c r="J72" s="153"/>
      <c r="K72" s="154"/>
      <c r="L72" s="260">
        <f>L73+L75+L81</f>
        <v>0</v>
      </c>
      <c r="M72" s="260">
        <f>M73+M75+M81</f>
        <v>0</v>
      </c>
      <c r="N72" s="241"/>
      <c r="O72" s="241"/>
      <c r="P72" s="143"/>
      <c r="Q72" s="143"/>
    </row>
    <row r="73" spans="1:17" ht="14.25" customHeight="1">
      <c r="A73" s="53" t="s">
        <v>40</v>
      </c>
      <c r="B73" s="53"/>
      <c r="C73" s="53"/>
      <c r="D73" s="152" t="str">
        <f>'[2]Orçamento COM PVS'!$D$73:$L$73</f>
        <v>SERVIÇOS PRELIMINARES</v>
      </c>
      <c r="E73" s="153"/>
      <c r="F73" s="153"/>
      <c r="G73" s="153"/>
      <c r="H73" s="153"/>
      <c r="I73" s="153"/>
      <c r="J73" s="153"/>
      <c r="K73" s="154"/>
      <c r="L73" s="260">
        <f>L74</f>
        <v>0</v>
      </c>
      <c r="M73" s="260">
        <f>M74</f>
        <v>0</v>
      </c>
      <c r="N73" s="13"/>
      <c r="O73" s="271"/>
    </row>
    <row r="74" spans="1:17" ht="42" customHeight="1">
      <c r="A74" s="123" t="s">
        <v>185</v>
      </c>
      <c r="B74" s="242" t="str">
        <f>'[2]Orçamento COM PVS'!$B$74</f>
        <v>SINAPI</v>
      </c>
      <c r="C74" s="16">
        <f>'[2]Orçamento COM PVS'!$C$74</f>
        <v>99064</v>
      </c>
      <c r="D74" s="144" t="str">
        <f ca="1">'[2]Orçamento COM PVS'!$D$74:$G$74</f>
        <v>LOCAÇÃO DE PAVIMENTAÇÃO. AF_10/2018</v>
      </c>
      <c r="E74" s="145"/>
      <c r="F74" s="145"/>
      <c r="G74" s="139"/>
      <c r="H74" s="20" t="str">
        <f ca="1">'[2]Orçamento COM PVS'!$H$74</f>
        <v>M</v>
      </c>
      <c r="I74" s="19">
        <f>'[2]Orçamento COM PVS'!$I$74</f>
        <v>170</v>
      </c>
      <c r="J74" s="27"/>
      <c r="K74" s="23">
        <f>ROUND(J74*(1+N74),2)</f>
        <v>0</v>
      </c>
      <c r="L74" s="24">
        <f t="shared" ref="L74" si="49">ROUND(J74*I74,2)</f>
        <v>0</v>
      </c>
      <c r="M74" s="25">
        <f t="shared" ref="M74" si="50">ROUND(K74*I74,2)</f>
        <v>0</v>
      </c>
      <c r="N74" s="264">
        <v>0.22040000000000001</v>
      </c>
      <c r="O74" s="271"/>
    </row>
    <row r="75" spans="1:17" ht="15" customHeight="1">
      <c r="A75" s="53" t="s">
        <v>41</v>
      </c>
      <c r="B75" s="53"/>
      <c r="C75" s="53"/>
      <c r="D75" s="152" t="str">
        <f>'[2]Orçamento COM PVS'!$D$75:$L$75</f>
        <v>DRENAGEM PLUVIAL</v>
      </c>
      <c r="E75" s="153"/>
      <c r="F75" s="153"/>
      <c r="G75" s="153"/>
      <c r="H75" s="153"/>
      <c r="I75" s="153"/>
      <c r="J75" s="153"/>
      <c r="K75" s="154"/>
      <c r="L75" s="259">
        <f>SUM(L76:L80)</f>
        <v>0</v>
      </c>
      <c r="M75" s="260">
        <f>SUM(M76:M80)</f>
        <v>0</v>
      </c>
      <c r="N75" s="13"/>
      <c r="O75" s="271"/>
    </row>
    <row r="76" spans="1:17" ht="79.5" customHeight="1">
      <c r="A76" s="123" t="s">
        <v>186</v>
      </c>
      <c r="B76" s="242" t="str">
        <f>'[2]Orçamento COM PVS'!$B$76</f>
        <v>SINAPI</v>
      </c>
      <c r="C76" s="16">
        <f>'[2]Orçamento COM PVS'!$C$76</f>
        <v>90105</v>
      </c>
      <c r="D76" s="144" t="str">
        <f ca="1">'[2]Orçamento COM PVS'!$D$76:$G$76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76" s="145"/>
      <c r="F76" s="145"/>
      <c r="G76" s="139"/>
      <c r="H76" s="20" t="str">
        <f ca="1">'[2]Orçamento COM PVS'!$H$76</f>
        <v>M3</v>
      </c>
      <c r="I76" s="19">
        <f>'[2]Orçamento COM PVS'!$I$76</f>
        <v>284.80799999999999</v>
      </c>
      <c r="J76" s="27"/>
      <c r="K76" s="23">
        <f>ROUND(J76*(1+N76),2)</f>
        <v>0</v>
      </c>
      <c r="L76" s="24">
        <f t="shared" ref="L76" si="51">ROUND(J76*I76,2)</f>
        <v>0</v>
      </c>
      <c r="M76" s="25">
        <f t="shared" ref="M76" si="52">ROUND(K76*I76,2)</f>
        <v>0</v>
      </c>
      <c r="N76" s="264">
        <v>0.22040000000000001</v>
      </c>
      <c r="O76" s="271"/>
    </row>
    <row r="77" spans="1:17" ht="96" customHeight="1">
      <c r="A77" s="123" t="s">
        <v>187</v>
      </c>
      <c r="B77" s="242" t="str">
        <f>'[2]Orçamento COM PVS'!$B$77</f>
        <v>SINAPI</v>
      </c>
      <c r="C77" s="16">
        <f>'[2]Orçamento COM PVS'!$C$77</f>
        <v>92212</v>
      </c>
      <c r="D77" s="144" t="str">
        <f ca="1">'[2]Orçamento COM PVS'!$D$76:$G$77</f>
        <v>TUBO DE CONCRETO PARA REDES COLETORAS DE ÁGUAS PLUVIAIS, DIÂMETRO DE 600 MM, JUNTA RÍGIDA, INSTALADO EM LOCAL COM BAIXO NÍVEL DE INTERFERÊNCIAS - FORNECIMENTO E ASSENTAMENTO. AF_12/2015</v>
      </c>
      <c r="E77" s="145"/>
      <c r="F77" s="145"/>
      <c r="G77" s="139"/>
      <c r="H77" s="20" t="str">
        <f ca="1">'[2]Orçamento COM PVS'!$H$77</f>
        <v>M</v>
      </c>
      <c r="I77" s="19">
        <f>'[2]Orçamento COM PVS'!$I$77</f>
        <v>177</v>
      </c>
      <c r="J77" s="27"/>
      <c r="K77" s="23">
        <f t="shared" ref="K77:K80" si="53">ROUND(J77*(1+N77),2)</f>
        <v>0</v>
      </c>
      <c r="L77" s="24">
        <f t="shared" ref="L77:L83" si="54">ROUND(J77*I77,2)</f>
        <v>0</v>
      </c>
      <c r="M77" s="25">
        <f t="shared" ref="M77:M83" si="55">ROUND(K77*I77,2)</f>
        <v>0</v>
      </c>
      <c r="N77" s="264">
        <v>0.22040000000000001</v>
      </c>
      <c r="O77" s="271"/>
    </row>
    <row r="78" spans="1:17" ht="77.25" customHeight="1">
      <c r="A78" s="123" t="s">
        <v>188</v>
      </c>
      <c r="B78" s="242" t="str">
        <f>'[2]Orçamento COM PVS'!$B$78</f>
        <v>SINAPI</v>
      </c>
      <c r="C78" s="16">
        <f>'[2]Orçamento COM PVS'!$C$78</f>
        <v>95568</v>
      </c>
      <c r="D78" s="144" t="str">
        <f ca="1">'[2]Orçamento COM PVS'!$D$76:$G$78</f>
        <v>TUBO DE CONCRETO (SIMPLES) PARA REDES COLETORAS DE ÁGUAS PLUVIAIS, DIÂMETRO DE 400 MM, JUNTA RÍGIDA, INSTALADO EM LOCAL COM BAIXO NÍVEL DE INTERFERÊNCIAS - FORNECIMENTO E ASSENTAMENTO. AF_12/2015</v>
      </c>
      <c r="E78" s="145"/>
      <c r="F78" s="145"/>
      <c r="G78" s="139"/>
      <c r="H78" s="20" t="str">
        <f ca="1">'[2]Orçamento COM PVS'!$H$78</f>
        <v>M</v>
      </c>
      <c r="I78" s="19">
        <f>'[2]Orçamento COM PVS'!$I$78</f>
        <v>9</v>
      </c>
      <c r="J78" s="27"/>
      <c r="K78" s="23">
        <f t="shared" si="53"/>
        <v>0</v>
      </c>
      <c r="L78" s="24">
        <f t="shared" si="54"/>
        <v>0</v>
      </c>
      <c r="M78" s="25">
        <f t="shared" si="55"/>
        <v>0</v>
      </c>
      <c r="N78" s="264">
        <v>0.22040000000000001</v>
      </c>
      <c r="O78" s="271"/>
    </row>
    <row r="79" spans="1:17" ht="62.25" customHeight="1">
      <c r="A79" s="123" t="s">
        <v>189</v>
      </c>
      <c r="B79" s="242" t="str">
        <f>'[2]Orçamento COM PVS'!$B$79</f>
        <v>COMP.</v>
      </c>
      <c r="C79" s="16">
        <f>'[2]Orçamento COM PVS'!$C$79</f>
        <v>1</v>
      </c>
      <c r="D79" s="144" t="str">
        <f>'[2]Orçamento COM PVS'!$D$76:$G$79</f>
        <v>CX. PARA BOCA DE LOBO EM ALVENARIA DE BLOCOS DE CONCRETO 0,8X0,8X1,5m (DIM. INTERNA)</v>
      </c>
      <c r="E79" s="145"/>
      <c r="F79" s="145"/>
      <c r="G79" s="139"/>
      <c r="H79" s="20" t="str">
        <f>'[2]Orçamento COM PVS'!$H$79</f>
        <v>UNID.</v>
      </c>
      <c r="I79" s="19">
        <f>'[2]Orçamento COM PVS'!$I$79</f>
        <v>3</v>
      </c>
      <c r="J79" s="27"/>
      <c r="K79" s="23">
        <f t="shared" si="53"/>
        <v>0</v>
      </c>
      <c r="L79" s="24">
        <f t="shared" si="54"/>
        <v>0</v>
      </c>
      <c r="M79" s="25">
        <f t="shared" si="55"/>
        <v>0</v>
      </c>
      <c r="N79" s="264">
        <v>0.22040000000000001</v>
      </c>
      <c r="O79" s="271"/>
    </row>
    <row r="80" spans="1:17" ht="51" customHeight="1">
      <c r="A80" s="123" t="s">
        <v>190</v>
      </c>
      <c r="B80" s="242" t="str">
        <f>'[2]Orçamento COM PVS'!$B$80</f>
        <v>SINAPI</v>
      </c>
      <c r="C80" s="16">
        <f>'[2]Orçamento COM PVS'!$C$80</f>
        <v>93382</v>
      </c>
      <c r="D80" s="144" t="str">
        <f ca="1">'[2]Orçamento COM PVS'!$D$76:$G$80</f>
        <v>REATERRO MANUAL DE VALAS, COM COMPACTADOR DE SOLOS DE PERCUSSÃO. AF_08/2023</v>
      </c>
      <c r="E80" s="145"/>
      <c r="F80" s="145"/>
      <c r="G80" s="139"/>
      <c r="H80" s="20" t="str">
        <f ca="1">'[2]Orçamento COM PVS'!$H$80</f>
        <v>M3</v>
      </c>
      <c r="I80" s="19">
        <f>'[2]Orçamento COM PVS'!$I$80</f>
        <v>131.39999999999998</v>
      </c>
      <c r="J80" s="27"/>
      <c r="K80" s="23">
        <f t="shared" si="53"/>
        <v>0</v>
      </c>
      <c r="L80" s="24">
        <f t="shared" si="54"/>
        <v>0</v>
      </c>
      <c r="M80" s="25">
        <f t="shared" si="55"/>
        <v>0</v>
      </c>
      <c r="N80" s="264">
        <v>0.22040000000000001</v>
      </c>
      <c r="O80" s="271"/>
    </row>
    <row r="81" spans="1:15" ht="15" customHeight="1">
      <c r="A81" s="53" t="s">
        <v>163</v>
      </c>
      <c r="B81" s="53"/>
      <c r="C81" s="53"/>
      <c r="D81" s="152" t="str">
        <f>'[2]Orçamento COM PVS'!$D$81:$L$81</f>
        <v>PAVIMENTAÇÃO</v>
      </c>
      <c r="E81" s="153"/>
      <c r="F81" s="153"/>
      <c r="G81" s="153"/>
      <c r="H81" s="153"/>
      <c r="I81" s="153"/>
      <c r="J81" s="153"/>
      <c r="K81" s="154"/>
      <c r="L81" s="259">
        <f>SUM(L82:L83)</f>
        <v>0</v>
      </c>
      <c r="M81" s="260">
        <f>SUM(M82:M83)</f>
        <v>0</v>
      </c>
      <c r="N81" s="13"/>
      <c r="O81" s="271"/>
    </row>
    <row r="82" spans="1:15" ht="54.75" customHeight="1">
      <c r="A82" s="123" t="s">
        <v>191</v>
      </c>
      <c r="B82" s="242" t="str">
        <f>'[2]Orçamento COM PVS'!$B$82</f>
        <v>COMP.</v>
      </c>
      <c r="C82" s="16">
        <f>'[2]Orçamento COM PVS'!$C$82</f>
        <v>3</v>
      </c>
      <c r="D82" s="144" t="str">
        <f>'[2]Orçamento COM PVS'!$D$82:$G$82</f>
        <v>EXECUÇÃO DE VIA EM PISO INTERTRAVADO, COM BLOCO 16 FACES DE 22X11 CM, ESPESSURA DE 8 CM. AF_10/2022</v>
      </c>
      <c r="E82" s="145"/>
      <c r="F82" s="145"/>
      <c r="G82" s="139"/>
      <c r="H82" s="20" t="str">
        <f>'[2]Orçamento COM PVS'!$H$82</f>
        <v>M2</v>
      </c>
      <c r="I82" s="19">
        <f>'[2]Orçamento COM PVS'!$I$82</f>
        <v>1530</v>
      </c>
      <c r="J82" s="27"/>
      <c r="K82" s="23">
        <f>ROUND(J82*(1+N82),2)</f>
        <v>0</v>
      </c>
      <c r="L82" s="24">
        <f t="shared" si="54"/>
        <v>0</v>
      </c>
      <c r="M82" s="25">
        <f t="shared" si="55"/>
        <v>0</v>
      </c>
      <c r="N82" s="264">
        <v>0.22040000000000001</v>
      </c>
      <c r="O82" s="271"/>
    </row>
    <row r="83" spans="1:15" ht="90.75" customHeight="1">
      <c r="A83" s="123" t="s">
        <v>192</v>
      </c>
      <c r="B83" s="242" t="str">
        <f>'[2]Orçamento COM PVS'!$B$83</f>
        <v>SINAPI</v>
      </c>
      <c r="C83" s="16">
        <f>'[2]Orçamento COM PVS'!$C$83</f>
        <v>94273</v>
      </c>
      <c r="D83" s="144" t="str">
        <f ca="1">'[2]Orçamento COM PVS'!$D$83:$G$83</f>
        <v>ASSENTAMENTO DE GUIA (MEIO-FIO) EM TRECHO RETO, CONFECCIONADA EM CONCRETO PRÉ-FABRICADO, DIMENSÕES 100X15X13X30 CM (COMPRIMENTO X BASE INFERIOR X BASE SUPERIOR X ALTURA), PARA VIAS URBANAS (USO VIÁRIO). AF_06/2016</v>
      </c>
      <c r="E83" s="145"/>
      <c r="F83" s="145"/>
      <c r="G83" s="139"/>
      <c r="H83" s="20" t="str">
        <f ca="1">'[2]Orçamento COM PVS'!$H$83</f>
        <v>M</v>
      </c>
      <c r="I83" s="19">
        <f>'[2]Orçamento COM PVS'!$I$83</f>
        <v>331</v>
      </c>
      <c r="J83" s="27"/>
      <c r="K83" s="23">
        <f>ROUND(J83*(1+N83),2)</f>
        <v>0</v>
      </c>
      <c r="L83" s="24">
        <f t="shared" si="54"/>
        <v>0</v>
      </c>
      <c r="M83" s="25">
        <f t="shared" si="55"/>
        <v>0</v>
      </c>
      <c r="N83" s="264">
        <v>0.22040000000000001</v>
      </c>
      <c r="O83" s="271"/>
    </row>
    <row r="84" spans="1:15" ht="15" customHeight="1">
      <c r="A84" s="53" t="s">
        <v>42</v>
      </c>
      <c r="B84" s="53"/>
      <c r="C84" s="53"/>
      <c r="D84" s="152" t="str">
        <f>'[2]Orçamento COM PVS'!$D$84:$L$84</f>
        <v>RUA EMANCIPAÇÃO</v>
      </c>
      <c r="E84" s="153"/>
      <c r="F84" s="153"/>
      <c r="G84" s="153"/>
      <c r="H84" s="153"/>
      <c r="I84" s="153"/>
      <c r="J84" s="153"/>
      <c r="K84" s="154"/>
      <c r="L84" s="260">
        <f>L85+L87+L95</f>
        <v>0</v>
      </c>
      <c r="M84" s="260">
        <f>M85+M87+M95</f>
        <v>0</v>
      </c>
      <c r="N84" s="13"/>
      <c r="O84" s="271"/>
    </row>
    <row r="85" spans="1:15" ht="15" customHeight="1">
      <c r="A85" s="53" t="s">
        <v>43</v>
      </c>
      <c r="B85" s="53"/>
      <c r="C85" s="53"/>
      <c r="D85" s="152" t="str">
        <f>'[2]Orçamento COM PVS'!$D$85:$L$85</f>
        <v>SERVIÇOS PRELIMINARES</v>
      </c>
      <c r="E85" s="153"/>
      <c r="F85" s="153"/>
      <c r="G85" s="153"/>
      <c r="H85" s="153"/>
      <c r="I85" s="153"/>
      <c r="J85" s="153"/>
      <c r="K85" s="154"/>
      <c r="L85" s="260">
        <f>L86</f>
        <v>0</v>
      </c>
      <c r="M85" s="260">
        <f>M86</f>
        <v>0</v>
      </c>
      <c r="N85" s="13"/>
      <c r="O85" s="271"/>
    </row>
    <row r="86" spans="1:15" ht="42" customHeight="1">
      <c r="A86" s="123" t="s">
        <v>193</v>
      </c>
      <c r="B86" s="242" t="str">
        <f>'[2]Orçamento COM PVS'!$B$86</f>
        <v>SINAPI</v>
      </c>
      <c r="C86" s="16">
        <f>'[2]Orçamento COM PVS'!$C$86</f>
        <v>99064</v>
      </c>
      <c r="D86" s="144" t="str">
        <f ca="1">'[2]Orçamento COM PVS'!$D$86:$G$86</f>
        <v>LOCAÇÃO DE PAVIMENTAÇÃO. AF_10/2018</v>
      </c>
      <c r="E86" s="145"/>
      <c r="F86" s="145"/>
      <c r="G86" s="139"/>
      <c r="H86" s="20" t="str">
        <f ca="1">'[2]Orçamento COM PVS'!$H$86</f>
        <v>M</v>
      </c>
      <c r="I86" s="19">
        <f>'[2]Orçamento COM PVS'!$I$86</f>
        <v>397</v>
      </c>
      <c r="J86" s="27"/>
      <c r="K86" s="23">
        <f>ROUND(J86*(1+N86),2)</f>
        <v>0</v>
      </c>
      <c r="L86" s="24">
        <f t="shared" ref="L86:L97" si="56">ROUND(J86*I86,2)</f>
        <v>0</v>
      </c>
      <c r="M86" s="25">
        <f t="shared" ref="M86:M97" si="57">ROUND(K86*I86,2)</f>
        <v>0</v>
      </c>
      <c r="N86" s="264">
        <v>0.22040000000000001</v>
      </c>
      <c r="O86" s="271"/>
    </row>
    <row r="87" spans="1:15" ht="15" customHeight="1">
      <c r="A87" s="53" t="s">
        <v>44</v>
      </c>
      <c r="B87" s="53"/>
      <c r="C87" s="53"/>
      <c r="D87" s="152" t="str">
        <f>'[2]Orçamento COM PVS'!$D$87:$L$87</f>
        <v>DRENAGEM PLUVIAL</v>
      </c>
      <c r="E87" s="153"/>
      <c r="F87" s="153"/>
      <c r="G87" s="153"/>
      <c r="H87" s="153"/>
      <c r="I87" s="153"/>
      <c r="J87" s="153"/>
      <c r="K87" s="154"/>
      <c r="L87" s="260">
        <f>SUM(L88:L94)</f>
        <v>0</v>
      </c>
      <c r="M87" s="260">
        <f>SUM(M88:M94)</f>
        <v>0</v>
      </c>
      <c r="N87" s="13"/>
      <c r="O87" s="271"/>
    </row>
    <row r="88" spans="1:15" ht="91.5" customHeight="1">
      <c r="A88" s="123" t="s">
        <v>195</v>
      </c>
      <c r="B88" s="242" t="str">
        <f>'[2]Orçamento COM PVS'!$B$88</f>
        <v>SINAPI</v>
      </c>
      <c r="C88" s="16">
        <f>'[2]Orçamento COM PVS'!$C$88</f>
        <v>90105</v>
      </c>
      <c r="D88" s="144" t="str">
        <f ca="1">'[2]Orçamento COM PVS'!$D$88:$G$88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88" s="145"/>
      <c r="F88" s="145"/>
      <c r="G88" s="139"/>
      <c r="H88" s="20" t="str">
        <f ca="1">'[2]Orçamento COM PVS'!$H$88</f>
        <v>M3</v>
      </c>
      <c r="I88" s="19">
        <f>'[2]Orçamento COM PVS'!$I$88</f>
        <v>509.03999999999996</v>
      </c>
      <c r="J88" s="27"/>
      <c r="K88" s="23">
        <f>ROUND(J88*(1+N88),2)</f>
        <v>0</v>
      </c>
      <c r="L88" s="24">
        <f t="shared" ref="L88:L92" si="58">ROUND(J88*I88,2)</f>
        <v>0</v>
      </c>
      <c r="M88" s="25">
        <f t="shared" ref="M88:M92" si="59">ROUND(K88*I88,2)</f>
        <v>0</v>
      </c>
      <c r="N88" s="264">
        <v>0.22040000000000001</v>
      </c>
      <c r="O88" s="271"/>
    </row>
    <row r="89" spans="1:15" ht="77.25" customHeight="1">
      <c r="A89" s="123" t="s">
        <v>196</v>
      </c>
      <c r="B89" s="242" t="str">
        <f>'[2]Orçamento COM PVS'!$B$89</f>
        <v>SINAPI</v>
      </c>
      <c r="C89" s="16">
        <f>'[2]Orçamento COM PVS'!$C$89</f>
        <v>95568</v>
      </c>
      <c r="D89" s="144" t="str">
        <f ca="1">'[2]Orçamento COM PVS'!$D$89:$G$89</f>
        <v>TUBO DE CONCRETO (SIMPLES) PARA REDES COLETORAS DE ÁGUAS PLUVIAIS, DIÂMETRO DE 400 MM, JUNTA RÍGIDA, INSTALADO EM LOCAL COM BAIXO NÍVEL DE INTERFERÊNCIAS - FORNECIMENTO E ASSENTAMENTO. AF_12/2015</v>
      </c>
      <c r="E89" s="145"/>
      <c r="F89" s="145"/>
      <c r="G89" s="139"/>
      <c r="H89" s="20" t="str">
        <f ca="1">'[2]Orçamento COM PVS'!$H$89</f>
        <v>M</v>
      </c>
      <c r="I89" s="19">
        <f>'[2]Orçamento COM PVS'!$I$89</f>
        <v>80</v>
      </c>
      <c r="J89" s="27"/>
      <c r="K89" s="23">
        <f t="shared" ref="K89:K94" si="60">ROUND(J89*(1+N89),2)</f>
        <v>0</v>
      </c>
      <c r="L89" s="24">
        <f t="shared" si="58"/>
        <v>0</v>
      </c>
      <c r="M89" s="25">
        <f t="shared" si="59"/>
        <v>0</v>
      </c>
      <c r="N89" s="264">
        <v>0.22040000000000001</v>
      </c>
      <c r="O89" s="271"/>
    </row>
    <row r="90" spans="1:15" ht="76.5" customHeight="1">
      <c r="A90" s="123" t="s">
        <v>197</v>
      </c>
      <c r="B90" s="242" t="str">
        <f>'[2]Orçamento COM PVS'!$B$90</f>
        <v>SINAPI</v>
      </c>
      <c r="C90" s="16">
        <f>'[2]Orçamento COM PVS'!$C$90</f>
        <v>92212</v>
      </c>
      <c r="D90" s="144" t="str">
        <f ca="1">'[2]Orçamento COM PVS'!$D$90:$G$90</f>
        <v>TUBO DE CONCRETO PARA REDES COLETORAS DE ÁGUAS PLUVIAIS, DIÂMETRO DE 600 MM, JUNTA RÍGIDA, INSTALADO EM LOCAL COM BAIXO NÍVEL DE INTERFERÊNCIAS - FORNECIMENTO E ASSENTAMENTO. AF_12/2015</v>
      </c>
      <c r="E90" s="145"/>
      <c r="F90" s="145"/>
      <c r="G90" s="139"/>
      <c r="H90" s="20" t="str">
        <f ca="1">'[2]Orçamento COM PVS'!$H$90</f>
        <v>M</v>
      </c>
      <c r="I90" s="19">
        <f>'[2]Orçamento COM PVS'!$I$90</f>
        <v>240</v>
      </c>
      <c r="J90" s="27"/>
      <c r="K90" s="23">
        <f t="shared" si="60"/>
        <v>0</v>
      </c>
      <c r="L90" s="24">
        <f t="shared" si="58"/>
        <v>0</v>
      </c>
      <c r="M90" s="25">
        <f t="shared" si="59"/>
        <v>0</v>
      </c>
      <c r="N90" s="264">
        <v>0.22040000000000001</v>
      </c>
      <c r="O90" s="271"/>
    </row>
    <row r="91" spans="1:15" ht="76.5" customHeight="1">
      <c r="A91" s="123" t="s">
        <v>198</v>
      </c>
      <c r="B91" s="242" t="str">
        <f>'[2]Orçamento COM PVS'!$B$91</f>
        <v>SINAPI</v>
      </c>
      <c r="C91" s="16">
        <f>'[2]Orçamento COM PVS'!$C$91</f>
        <v>92216</v>
      </c>
      <c r="D91" s="144" t="str">
        <f ca="1">'[2]Orçamento COM PVS'!$D$91:$G$91</f>
        <v>TUBO DE CONCRETO PARA REDES COLETORAS DE ÁGUAS PLUVIAIS, DIÂMETRO DE 1000 MM, JUNTA RÍGIDA, INSTALADO EM LOCAL COM BAIXO NÍVEL DE INTERFERÊNCIAS - FORNECIMENTO E ASSENTAMENTO. AF_12/2015</v>
      </c>
      <c r="E91" s="145"/>
      <c r="F91" s="145"/>
      <c r="G91" s="139"/>
      <c r="H91" s="20" t="str">
        <f ca="1">'[2]Orçamento COM PVS'!$H$91</f>
        <v>M</v>
      </c>
      <c r="I91" s="19">
        <f>'[2]Orçamento COM PVS'!$I$91</f>
        <v>10</v>
      </c>
      <c r="J91" s="27"/>
      <c r="K91" s="23">
        <f t="shared" si="60"/>
        <v>0</v>
      </c>
      <c r="L91" s="24">
        <f t="shared" si="58"/>
        <v>0</v>
      </c>
      <c r="M91" s="25">
        <f t="shared" si="59"/>
        <v>0</v>
      </c>
      <c r="N91" s="264">
        <v>0.22040000000000001</v>
      </c>
      <c r="O91" s="271"/>
    </row>
    <row r="92" spans="1:15" ht="51" customHeight="1">
      <c r="A92" s="123" t="s">
        <v>199</v>
      </c>
      <c r="B92" s="242" t="str">
        <f>'[2]Orçamento COM PVS'!$B$92</f>
        <v>COMP.</v>
      </c>
      <c r="C92" s="16">
        <f>'[2]Orçamento COM PVS'!$C$92</f>
        <v>1</v>
      </c>
      <c r="D92" s="144" t="str">
        <f>'[2]Orçamento COM PVS'!$D$92:$G$92</f>
        <v>CX. PARA BOCA DE LOBO EM ALVENARIA DE BLOCOS DE CONCRETO 0,8X0,8X1,5m (DIM. INTERNA)</v>
      </c>
      <c r="E92" s="145"/>
      <c r="F92" s="145"/>
      <c r="G92" s="139"/>
      <c r="H92" s="20" t="str">
        <f>'[2]Orçamento COM PVS'!$H$92</f>
        <v>UNID.</v>
      </c>
      <c r="I92" s="19">
        <f>'[2]Orçamento COM PVS'!$I$92</f>
        <v>14</v>
      </c>
      <c r="J92" s="27"/>
      <c r="K92" s="23">
        <f t="shared" si="60"/>
        <v>0</v>
      </c>
      <c r="L92" s="24">
        <f t="shared" si="58"/>
        <v>0</v>
      </c>
      <c r="M92" s="25">
        <f t="shared" si="59"/>
        <v>0</v>
      </c>
      <c r="N92" s="264">
        <v>0.22040000000000001</v>
      </c>
      <c r="O92" s="271"/>
    </row>
    <row r="93" spans="1:15" ht="43.5" customHeight="1">
      <c r="A93" s="123" t="s">
        <v>200</v>
      </c>
      <c r="B93" s="242" t="str">
        <f>'[2]Orçamento COM PVS'!$B$93</f>
        <v>COMP.</v>
      </c>
      <c r="C93" s="16">
        <f>'[2]Orçamento COM PVS'!$C$93</f>
        <v>4</v>
      </c>
      <c r="D93" s="144" t="str">
        <f>'[2]Orçamento COM PVS'!$D$92:$G$93</f>
        <v>CX. PARA BOCA DE LOBO EM ALVENARIA DE BLOCOS DE CONCRETO 1,2X1,2X1,5m (DIM. INTERNA))</v>
      </c>
      <c r="E93" s="145"/>
      <c r="F93" s="145"/>
      <c r="G93" s="139"/>
      <c r="H93" s="20" t="str">
        <f>'[2]Orçamento COM PVS'!$H$93</f>
        <v>UNID.</v>
      </c>
      <c r="I93" s="19">
        <f>'[2]Orçamento COM PVS'!$I$93</f>
        <v>1</v>
      </c>
      <c r="J93" s="27"/>
      <c r="K93" s="23">
        <f t="shared" si="60"/>
        <v>0</v>
      </c>
      <c r="L93" s="24">
        <f t="shared" ref="L93:L94" si="61">ROUND(J93*I93,2)</f>
        <v>0</v>
      </c>
      <c r="M93" s="25">
        <f t="shared" ref="M93:M94" si="62">ROUND(K93*I93,2)</f>
        <v>0</v>
      </c>
      <c r="N93" s="264">
        <v>0.22040000000000001</v>
      </c>
      <c r="O93" s="271"/>
    </row>
    <row r="94" spans="1:15" ht="48" customHeight="1">
      <c r="A94" s="123" t="s">
        <v>201</v>
      </c>
      <c r="B94" s="242" t="str">
        <f>'[2]Orçamento COM PVS'!$B$94</f>
        <v>SINAPI</v>
      </c>
      <c r="C94" s="16">
        <f>'[2]Orçamento COM PVS'!$C$94</f>
        <v>93382</v>
      </c>
      <c r="D94" s="144" t="str">
        <f ca="1">'[2]Orçamento COM PVS'!$D$92:$G$94</f>
        <v>REATERRO MANUAL DE VALAS, COM COMPACTADOR DE SOLOS DE PERCUSSÃO. AF_08/2023</v>
      </c>
      <c r="E94" s="145"/>
      <c r="F94" s="145"/>
      <c r="G94" s="139"/>
      <c r="H94" s="20" t="str">
        <f ca="1">'[2]Orçamento COM PVS'!$H$94</f>
        <v>M3</v>
      </c>
      <c r="I94" s="19">
        <f>'[2]Orçamento COM PVS'!$I$94</f>
        <v>350.62400000000002</v>
      </c>
      <c r="J94" s="27"/>
      <c r="K94" s="23">
        <f t="shared" si="60"/>
        <v>0</v>
      </c>
      <c r="L94" s="24">
        <f t="shared" si="61"/>
        <v>0</v>
      </c>
      <c r="M94" s="25">
        <f t="shared" si="62"/>
        <v>0</v>
      </c>
      <c r="N94" s="264">
        <v>0.22040000000000001</v>
      </c>
      <c r="O94" s="271"/>
    </row>
    <row r="95" spans="1:15" ht="15" customHeight="1">
      <c r="A95" s="53" t="s">
        <v>194</v>
      </c>
      <c r="B95" s="53"/>
      <c r="C95" s="53"/>
      <c r="D95" s="152" t="str">
        <f>'[2]Orçamento COM PVS'!$D$95:$L$95</f>
        <v>PAVIMENTAÇÃO</v>
      </c>
      <c r="E95" s="153"/>
      <c r="F95" s="153"/>
      <c r="G95" s="153"/>
      <c r="H95" s="153"/>
      <c r="I95" s="153"/>
      <c r="J95" s="153"/>
      <c r="K95" s="154"/>
      <c r="L95" s="260">
        <f>SUM(L96:L97)</f>
        <v>0</v>
      </c>
      <c r="M95" s="260">
        <f>SUM(M96:M97)</f>
        <v>0</v>
      </c>
      <c r="N95" s="13"/>
      <c r="O95" s="271"/>
    </row>
    <row r="96" spans="1:15" ht="46.5" customHeight="1">
      <c r="A96" s="123" t="s">
        <v>202</v>
      </c>
      <c r="B96" s="242" t="str">
        <f>'[2]Orçamento COM PVS'!$B$96</f>
        <v>COMP.</v>
      </c>
      <c r="C96" s="16">
        <f>'[2]Orçamento COM PVS'!$C$96</f>
        <v>3</v>
      </c>
      <c r="D96" s="144" t="str">
        <f>'[2]Orçamento COM PVS'!$D$96:$G$96</f>
        <v>EXECUÇÃO DE VIA EM PISO INTERTRAVADO, COM BLOCO 16 FACES DE 22X11 CM, ESPESSURA DE 8 CM. AF_10/2022</v>
      </c>
      <c r="E96" s="145"/>
      <c r="F96" s="145"/>
      <c r="G96" s="139"/>
      <c r="H96" s="20" t="str">
        <f>'[2]Orçamento COM PVS'!$H$96</f>
        <v>M2</v>
      </c>
      <c r="I96" s="19">
        <f>'[2]Orçamento COM PVS'!$I$96</f>
        <v>3970</v>
      </c>
      <c r="J96" s="27"/>
      <c r="K96" s="23">
        <f>ROUND(J96*(1+N96),2)</f>
        <v>0</v>
      </c>
      <c r="L96" s="24">
        <f t="shared" ref="L96:L97" si="63">ROUND(J96*I96,2)</f>
        <v>0</v>
      </c>
      <c r="M96" s="25">
        <f t="shared" ref="M96:M97" si="64">ROUND(K96*I96,2)</f>
        <v>0</v>
      </c>
      <c r="N96" s="264">
        <v>0.22040000000000001</v>
      </c>
      <c r="O96" s="271"/>
    </row>
    <row r="97" spans="1:15" ht="42" customHeight="1">
      <c r="A97" s="123" t="s">
        <v>203</v>
      </c>
      <c r="B97" s="242" t="str">
        <f>'[2]Orçamento COM PVS'!$B$97</f>
        <v>SINAPI</v>
      </c>
      <c r="C97" s="16">
        <f>'[2]Orçamento COM PVS'!$C$97</f>
        <v>94273</v>
      </c>
      <c r="D97" s="144" t="str">
        <f ca="1">'[2]Orçamento COM PVS'!$D$97:$G$97</f>
        <v>ASSENTAMENTO DE GUIA (MEIO-FIO) EM TRECHO RETO, CONFECCIONADA EM CONCRETO PRÉ-FABRICADO, DIMENSÕES 100X15X13X30 CM (COMPRIMENTO X BASE INFERIOR X BASE SUPERIOR X ALTURA), PARA VIAS URBANAS (USO VIÁRIO). AF_06/2016</v>
      </c>
      <c r="E97" s="145"/>
      <c r="F97" s="145"/>
      <c r="G97" s="139"/>
      <c r="H97" s="20" t="str">
        <f ca="1">'[2]Orçamento COM PVS'!$H$97</f>
        <v>M</v>
      </c>
      <c r="I97" s="19">
        <f>'[2]Orçamento COM PVS'!$I$97</f>
        <v>795</v>
      </c>
      <c r="J97" s="27"/>
      <c r="K97" s="23">
        <f>ROUND(J97*(1+N97),2)</f>
        <v>0</v>
      </c>
      <c r="L97" s="24">
        <f t="shared" si="63"/>
        <v>0</v>
      </c>
      <c r="M97" s="25">
        <f t="shared" si="64"/>
        <v>0</v>
      </c>
      <c r="N97" s="264">
        <v>0.22040000000000001</v>
      </c>
      <c r="O97" s="271"/>
    </row>
    <row r="98" spans="1:15" ht="15" customHeight="1">
      <c r="A98" s="53" t="s">
        <v>45</v>
      </c>
      <c r="B98" s="53"/>
      <c r="C98" s="53"/>
      <c r="D98" s="152" t="str">
        <f>'[2]Orçamento COM PVS'!$D$98:$L$98</f>
        <v>RUA JOÃO GIODA</v>
      </c>
      <c r="E98" s="153"/>
      <c r="F98" s="153"/>
      <c r="G98" s="153"/>
      <c r="H98" s="153"/>
      <c r="I98" s="153"/>
      <c r="J98" s="153"/>
      <c r="K98" s="154"/>
      <c r="L98" s="260">
        <f>L99+L101+L107</f>
        <v>0</v>
      </c>
      <c r="M98" s="260">
        <f>M99+M101+M107</f>
        <v>0</v>
      </c>
      <c r="N98" s="13"/>
      <c r="O98" s="271"/>
    </row>
    <row r="99" spans="1:15" ht="15" customHeight="1">
      <c r="A99" s="53" t="s">
        <v>46</v>
      </c>
      <c r="B99" s="53"/>
      <c r="C99" s="53"/>
      <c r="D99" s="152" t="str">
        <f>'[2]Orçamento COM PVS'!$D$99:$L$99</f>
        <v>SERVIÇOS PRELIMINARES</v>
      </c>
      <c r="E99" s="153"/>
      <c r="F99" s="153"/>
      <c r="G99" s="153"/>
      <c r="H99" s="153"/>
      <c r="I99" s="153"/>
      <c r="J99" s="153"/>
      <c r="K99" s="154"/>
      <c r="L99" s="260">
        <f>L100</f>
        <v>0</v>
      </c>
      <c r="M99" s="260">
        <f>M100</f>
        <v>0</v>
      </c>
      <c r="N99" s="13"/>
      <c r="O99" s="271"/>
    </row>
    <row r="100" spans="1:15" ht="30.75" customHeight="1">
      <c r="A100" s="123" t="s">
        <v>204</v>
      </c>
      <c r="B100" s="242" t="str">
        <f>'[2]Orçamento COM PVS'!$B$100</f>
        <v>SINAPI</v>
      </c>
      <c r="C100" s="16">
        <f>'[2]Orçamento COM PVS'!$C$100</f>
        <v>99064</v>
      </c>
      <c r="D100" s="144" t="str">
        <f ca="1">'[2]Orçamento COM PVS'!$D$100:$G$100</f>
        <v>LOCAÇÃO DE PAVIMENTAÇÃO. AF_10/2018</v>
      </c>
      <c r="E100" s="145"/>
      <c r="F100" s="145"/>
      <c r="G100" s="139"/>
      <c r="H100" s="20" t="str">
        <f ca="1">'[2]Orçamento COM PVS'!$H$100</f>
        <v>M</v>
      </c>
      <c r="I100" s="19">
        <f>'[2]Orçamento COM PVS'!$I$100</f>
        <v>158</v>
      </c>
      <c r="J100" s="27"/>
      <c r="K100" s="23">
        <f>ROUND(J100*(1+N100),2)</f>
        <v>0</v>
      </c>
      <c r="L100" s="24">
        <f t="shared" ref="L100" si="65">ROUND(J100*I100,2)</f>
        <v>0</v>
      </c>
      <c r="M100" s="25">
        <f t="shared" ref="M100" si="66">ROUND(K100*I100,2)</f>
        <v>0</v>
      </c>
      <c r="N100" s="264">
        <v>0.22040000000000001</v>
      </c>
      <c r="O100" s="271"/>
    </row>
    <row r="101" spans="1:15" ht="15" customHeight="1">
      <c r="A101" s="53" t="s">
        <v>47</v>
      </c>
      <c r="B101" s="53"/>
      <c r="C101" s="53"/>
      <c r="D101" s="152" t="str">
        <f>'[2]Orçamento COM PVS'!$D$101:$L$101</f>
        <v>DRENAGEM PLUVIAL</v>
      </c>
      <c r="E101" s="153"/>
      <c r="F101" s="153"/>
      <c r="G101" s="153"/>
      <c r="H101" s="153"/>
      <c r="I101" s="153"/>
      <c r="J101" s="153"/>
      <c r="K101" s="154"/>
      <c r="L101" s="260">
        <f>SUM(L102:L106)</f>
        <v>0</v>
      </c>
      <c r="M101" s="260">
        <f>SUM(M102:M106)</f>
        <v>0</v>
      </c>
      <c r="N101" s="13"/>
      <c r="O101" s="271"/>
    </row>
    <row r="102" spans="1:15" ht="90.75" customHeight="1">
      <c r="A102" s="123" t="s">
        <v>205</v>
      </c>
      <c r="B102" s="242" t="str">
        <f>'[2]Orçamento COM PVS'!$B$102</f>
        <v>SINAPI</v>
      </c>
      <c r="C102" s="16">
        <f>'[2]Orçamento COM PVS'!$C$102</f>
        <v>90105</v>
      </c>
      <c r="D102" s="144" t="str">
        <f ca="1">'[2]Orçamento COM PVS'!$D$102:$G$102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102" s="145"/>
      <c r="F102" s="145"/>
      <c r="G102" s="139"/>
      <c r="H102" s="244" t="str">
        <f ca="1">'[2]Orçamento COM PVS'!$H$102</f>
        <v>M3</v>
      </c>
      <c r="I102" s="19">
        <f>'[2]Orçamento COM PVS'!$I$102</f>
        <v>35.808</v>
      </c>
      <c r="J102" s="27"/>
      <c r="K102" s="23">
        <f>ROUND(J102*(1+N102),2)</f>
        <v>0</v>
      </c>
      <c r="L102" s="24">
        <f t="shared" ref="L102:L106" si="67">ROUND(J102*I102,2)</f>
        <v>0</v>
      </c>
      <c r="M102" s="25">
        <f t="shared" ref="M102:M106" si="68">ROUND(K102*I102,2)</f>
        <v>0</v>
      </c>
      <c r="N102" s="264">
        <v>0.22040000000000001</v>
      </c>
      <c r="O102" s="271"/>
    </row>
    <row r="103" spans="1:15" ht="90" customHeight="1">
      <c r="A103" s="123" t="s">
        <v>206</v>
      </c>
      <c r="B103" s="242" t="str">
        <f>'[2]Orçamento COM PVS'!$B$103</f>
        <v>SINAPI</v>
      </c>
      <c r="C103" s="16">
        <f>'[2]Orçamento COM PVS'!$C$103</f>
        <v>95568</v>
      </c>
      <c r="D103" s="144" t="str">
        <f ca="1">'[2]Orçamento COM PVS'!$D$102:$G$103</f>
        <v>TUBO DE CONCRETO (SIMPLES) PARA REDES COLETORAS DE ÁGUAS PLUVIAIS, DIÂMETRO DE 400 MM, JUNTA RÍGIDA, INSTALADO EM LOCAL COM BAIXO NÍVEL DE INTERFERÊNCIAS - FORNECIMENTO E ASSENTAMENTO. AF_12/2015</v>
      </c>
      <c r="E103" s="145"/>
      <c r="F103" s="145"/>
      <c r="G103" s="139"/>
      <c r="H103" s="244" t="str">
        <f ca="1">'[2]Orçamento COM PVS'!$H$103</f>
        <v>M</v>
      </c>
      <c r="I103" s="19">
        <f>'[2]Orçamento COM PVS'!$I$103</f>
        <v>20</v>
      </c>
      <c r="J103" s="27"/>
      <c r="K103" s="23">
        <f t="shared" ref="K103:K106" si="69">ROUND(J103*(1+N103),2)</f>
        <v>0</v>
      </c>
      <c r="L103" s="24">
        <f t="shared" si="67"/>
        <v>0</v>
      </c>
      <c r="M103" s="25">
        <f t="shared" si="68"/>
        <v>0</v>
      </c>
      <c r="N103" s="264">
        <v>0.22040000000000001</v>
      </c>
      <c r="O103" s="271"/>
    </row>
    <row r="104" spans="1:15" ht="74.25" customHeight="1">
      <c r="A104" s="123" t="s">
        <v>207</v>
      </c>
      <c r="B104" s="242" t="str">
        <f>'[2]Orçamento COM PVS'!$B$104</f>
        <v>COMP.</v>
      </c>
      <c r="C104" s="16">
        <f>'[2]Orçamento COM PVS'!$C$104</f>
        <v>1</v>
      </c>
      <c r="D104" s="144" t="str">
        <f>'[2]Orçamento COM PVS'!$D$102:$G$104</f>
        <v>CX. PARA BOCA DE LOBO EM ALVENARIA DE BLOCOS DE CONCRETO 0,8X0,8X1,5m (DIM. INTERNA)</v>
      </c>
      <c r="E104" s="145"/>
      <c r="F104" s="145"/>
      <c r="G104" s="139"/>
      <c r="H104" s="244" t="str">
        <f>'[2]Orçamento COM PVS'!$H$104</f>
        <v>UNID.</v>
      </c>
      <c r="I104" s="19">
        <f>'[2]Orçamento COM PVS'!$I$104</f>
        <v>2</v>
      </c>
      <c r="J104" s="27"/>
      <c r="K104" s="23">
        <f t="shared" si="69"/>
        <v>0</v>
      </c>
      <c r="L104" s="24">
        <f t="shared" si="67"/>
        <v>0</v>
      </c>
      <c r="M104" s="25">
        <f t="shared" si="68"/>
        <v>0</v>
      </c>
      <c r="N104" s="264">
        <v>0.22040000000000001</v>
      </c>
      <c r="O104" s="271"/>
    </row>
    <row r="105" spans="1:15" ht="43.5" customHeight="1">
      <c r="A105" s="123" t="s">
        <v>208</v>
      </c>
      <c r="B105" s="242" t="str">
        <f>'[2]Orçamento COM PVS'!$B$105</f>
        <v>COMP.</v>
      </c>
      <c r="C105" s="16">
        <f>'[2]Orçamento COM PVS'!$C$105</f>
        <v>2</v>
      </c>
      <c r="D105" s="144" t="str">
        <f>'[2]Orçamento COM PVS'!$D$102:$G$105</f>
        <v>CX. PARA BOCA DE LOBO EM ALVENARIA DE BLOCOS DE CONCRETO 0,8X0,8X1,5m, COM GRELHA DE AÇO (DIM. INTERNA)</v>
      </c>
      <c r="E105" s="145"/>
      <c r="F105" s="145"/>
      <c r="G105" s="139"/>
      <c r="H105" s="244" t="str">
        <f>'[2]Orçamento COM PVS'!$H$105</f>
        <v>UNID.</v>
      </c>
      <c r="I105" s="19">
        <f>'[2]Orçamento COM PVS'!$I$105</f>
        <v>1</v>
      </c>
      <c r="J105" s="27"/>
      <c r="K105" s="23">
        <f t="shared" si="69"/>
        <v>0</v>
      </c>
      <c r="L105" s="24">
        <f t="shared" si="67"/>
        <v>0</v>
      </c>
      <c r="M105" s="25">
        <f t="shared" si="68"/>
        <v>0</v>
      </c>
      <c r="N105" s="264">
        <v>0.22040000000000001</v>
      </c>
      <c r="O105" s="271"/>
    </row>
    <row r="106" spans="1:15" ht="45" customHeight="1">
      <c r="A106" s="123" t="s">
        <v>209</v>
      </c>
      <c r="B106" s="242" t="str">
        <f>'[2]Orçamento COM PVS'!$B$106</f>
        <v>SINAPI</v>
      </c>
      <c r="C106" s="16">
        <f>'[2]Orçamento COM PVS'!$C$106</f>
        <v>93382</v>
      </c>
      <c r="D106" s="144" t="str">
        <f ca="1">'[2]Orçamento COM PVS'!$D$102:$G$106</f>
        <v>REATERRO MANUAL DE VALAS, COM COMPACTADOR DE SOLOS DE PERCUSSÃO. AF_08/2023</v>
      </c>
      <c r="E106" s="145"/>
      <c r="F106" s="145"/>
      <c r="G106" s="139"/>
      <c r="H106" s="244" t="str">
        <f ca="1">'[2]Orçamento COM PVS'!$H$106</f>
        <v>M3</v>
      </c>
      <c r="I106" s="19">
        <f>'[2]Orçamento COM PVS'!$I$106</f>
        <v>15.200000000000001</v>
      </c>
      <c r="J106" s="27"/>
      <c r="K106" s="23">
        <f t="shared" si="69"/>
        <v>0</v>
      </c>
      <c r="L106" s="24">
        <f t="shared" si="67"/>
        <v>0</v>
      </c>
      <c r="M106" s="25">
        <f t="shared" si="68"/>
        <v>0</v>
      </c>
      <c r="N106" s="264">
        <v>0.22040000000000001</v>
      </c>
      <c r="O106" s="271"/>
    </row>
    <row r="107" spans="1:15" ht="15" customHeight="1">
      <c r="A107" s="53" t="s">
        <v>48</v>
      </c>
      <c r="B107" s="53"/>
      <c r="C107" s="53"/>
      <c r="D107" s="152" t="str">
        <f>'[2]Orçamento COM PVS'!$D$107:$L$107</f>
        <v>PAVIMENTAÇÃO</v>
      </c>
      <c r="E107" s="153"/>
      <c r="F107" s="153"/>
      <c r="G107" s="153"/>
      <c r="H107" s="153"/>
      <c r="I107" s="153"/>
      <c r="J107" s="153"/>
      <c r="K107" s="154"/>
      <c r="L107" s="260">
        <f>SUM(L108:L109)</f>
        <v>0</v>
      </c>
      <c r="M107" s="260">
        <f>SUM(M108:M109)</f>
        <v>0</v>
      </c>
      <c r="N107" s="13"/>
      <c r="O107" s="271"/>
    </row>
    <row r="108" spans="1:15" ht="51.75" customHeight="1">
      <c r="A108" s="123" t="s">
        <v>210</v>
      </c>
      <c r="B108" s="242" t="str">
        <f>'[2]Orçamento COM PVS'!$B$108</f>
        <v>COMP.</v>
      </c>
      <c r="C108" s="16">
        <f>'[2]Orçamento COM PVS'!$C$108</f>
        <v>3</v>
      </c>
      <c r="D108" s="144" t="str">
        <f>'[2]Orçamento COM PVS'!$D$108:$G$108</f>
        <v>EXECUÇÃO DE VIA EM PISO INTERTRAVADO, COM BLOCO 16 FACES DE 22X11 CM, ESPESSURA DE 8 CM. AF_10/2022</v>
      </c>
      <c r="E108" s="145"/>
      <c r="F108" s="145"/>
      <c r="G108" s="139"/>
      <c r="H108" s="20" t="str">
        <f>'[2]Orçamento COM PVS'!$H$108</f>
        <v>M2</v>
      </c>
      <c r="I108" s="19">
        <f>'[2]Orçamento COM PVS'!$I$108</f>
        <v>1580</v>
      </c>
      <c r="J108" s="27"/>
      <c r="K108" s="23">
        <f>ROUND(J108*(1+N108),2)</f>
        <v>0</v>
      </c>
      <c r="L108" s="24">
        <f t="shared" ref="L108:L109" si="70">ROUND(J108*I108,2)</f>
        <v>0</v>
      </c>
      <c r="M108" s="25">
        <f t="shared" ref="M108:M109" si="71">ROUND(K108*I108,2)</f>
        <v>0</v>
      </c>
      <c r="N108" s="264">
        <v>0.22040000000000001</v>
      </c>
      <c r="O108" s="271"/>
    </row>
    <row r="109" spans="1:15" ht="86.25" customHeight="1">
      <c r="A109" s="123" t="s">
        <v>211</v>
      </c>
      <c r="B109" s="242" t="str">
        <f>'[2]Orçamento COM PVS'!$B$109</f>
        <v>SINAPI</v>
      </c>
      <c r="C109" s="16">
        <f>'[2]Orçamento COM PVS'!$C$109</f>
        <v>94273</v>
      </c>
      <c r="D109" s="144" t="str">
        <f ca="1">'[2]Orçamento COM PVS'!$D$109:$G$109</f>
        <v>ASSENTAMENTO DE GUIA (MEIO-FIO) EM TRECHO RETO, CONFECCIONADA EM CONCRETO PRÉ-FABRICADO, DIMENSÕES 100X15X13X30 CM (COMPRIMENTO X BASE INFERIOR X BASE SUPERIOR X ALTURA), PARA VIAS URBANAS (USO VIÁRIO). AF_06/2016</v>
      </c>
      <c r="E109" s="145"/>
      <c r="F109" s="145"/>
      <c r="G109" s="139"/>
      <c r="H109" s="20" t="str">
        <f ca="1">'[2]Orçamento COM PVS'!$H$109</f>
        <v>M</v>
      </c>
      <c r="I109" s="19">
        <f>'[2]Orçamento COM PVS'!$I$109</f>
        <v>298</v>
      </c>
      <c r="J109" s="27"/>
      <c r="K109" s="23">
        <f>ROUND(J109*(1+N109),2)</f>
        <v>0</v>
      </c>
      <c r="L109" s="24">
        <f t="shared" si="70"/>
        <v>0</v>
      </c>
      <c r="M109" s="25">
        <f t="shared" si="71"/>
        <v>0</v>
      </c>
      <c r="N109" s="264">
        <v>0.22040000000000001</v>
      </c>
      <c r="O109" s="271"/>
    </row>
    <row r="110" spans="1:15" ht="15" customHeight="1">
      <c r="A110" s="53" t="s">
        <v>49</v>
      </c>
      <c r="B110" s="53"/>
      <c r="C110" s="53"/>
      <c r="D110" s="152" t="str">
        <f>'[2]Orçamento COM PVS'!$D$110:$L$110</f>
        <v>RUA GIOVANA LOVATO VIELMO</v>
      </c>
      <c r="E110" s="153"/>
      <c r="F110" s="153"/>
      <c r="G110" s="153"/>
      <c r="H110" s="153"/>
      <c r="I110" s="153"/>
      <c r="J110" s="153"/>
      <c r="K110" s="154"/>
      <c r="L110" s="260">
        <f>L111+L113+L118</f>
        <v>0</v>
      </c>
      <c r="M110" s="260">
        <f>M111+M113+M118</f>
        <v>0</v>
      </c>
      <c r="N110" s="13"/>
      <c r="O110" s="271"/>
    </row>
    <row r="111" spans="1:15" ht="15" customHeight="1">
      <c r="A111" s="53" t="s">
        <v>50</v>
      </c>
      <c r="B111" s="53"/>
      <c r="C111" s="53"/>
      <c r="D111" s="152" t="str">
        <f>'[2]Orçamento COM PVS'!$D$111:$L$111</f>
        <v>SERVIÇOS PRELIMINARES</v>
      </c>
      <c r="E111" s="153"/>
      <c r="F111" s="153"/>
      <c r="G111" s="153"/>
      <c r="H111" s="153"/>
      <c r="I111" s="153"/>
      <c r="J111" s="153"/>
      <c r="K111" s="154"/>
      <c r="L111" s="260">
        <f>L112</f>
        <v>0</v>
      </c>
      <c r="M111" s="260">
        <f>M112</f>
        <v>0</v>
      </c>
      <c r="N111" s="13"/>
      <c r="O111" s="271"/>
    </row>
    <row r="112" spans="1:15" ht="30.75" customHeight="1">
      <c r="A112" s="123" t="s">
        <v>212</v>
      </c>
      <c r="B112" s="242" t="str">
        <f>'[2]Orçamento COM PVS'!$B$112</f>
        <v>SINAPI</v>
      </c>
      <c r="C112" s="16">
        <f>'[2]Orçamento COM PVS'!$C$112</f>
        <v>99064</v>
      </c>
      <c r="D112" s="144" t="str">
        <f ca="1">'[2]Orçamento COM PVS'!$D$112:$G$112</f>
        <v>LOCAÇÃO DE PAVIMENTAÇÃO. AF_10/2018</v>
      </c>
      <c r="E112" s="145"/>
      <c r="F112" s="145"/>
      <c r="G112" s="139"/>
      <c r="H112" s="20" t="str">
        <f ca="1">'[2]Orçamento COM PVS'!$H$112</f>
        <v>M</v>
      </c>
      <c r="I112" s="19">
        <f>'[2]Orçamento COM PVS'!$I$112</f>
        <v>86</v>
      </c>
      <c r="J112" s="27"/>
      <c r="K112" s="23">
        <f>ROUND(J112*(1+N112),2)</f>
        <v>0</v>
      </c>
      <c r="L112" s="24">
        <f t="shared" ref="L112" si="72">ROUND(J112*I112,2)</f>
        <v>0</v>
      </c>
      <c r="M112" s="25">
        <f t="shared" ref="M112" si="73">ROUND(K112*I112,2)</f>
        <v>0</v>
      </c>
      <c r="N112" s="264">
        <v>0.22040000000000001</v>
      </c>
      <c r="O112" s="271"/>
    </row>
    <row r="113" spans="1:15" ht="15" customHeight="1">
      <c r="A113" s="53" t="s">
        <v>51</v>
      </c>
      <c r="B113" s="53"/>
      <c r="C113" s="53"/>
      <c r="D113" s="152" t="str">
        <f>'[2]Orçamento COM PVS'!$D$113:$L$113</f>
        <v>DRENAGEM PLUVIAL</v>
      </c>
      <c r="E113" s="153"/>
      <c r="F113" s="153"/>
      <c r="G113" s="153"/>
      <c r="H113" s="153"/>
      <c r="I113" s="153"/>
      <c r="J113" s="153"/>
      <c r="K113" s="154"/>
      <c r="L113" s="260">
        <f>SUM(L114:L117)</f>
        <v>0</v>
      </c>
      <c r="M113" s="260">
        <f>SUM(M114:M117)</f>
        <v>0</v>
      </c>
      <c r="N113" s="13"/>
      <c r="O113" s="271"/>
    </row>
    <row r="114" spans="1:15" ht="90.75" customHeight="1">
      <c r="A114" s="123" t="s">
        <v>213</v>
      </c>
      <c r="B114" s="242" t="str">
        <f>'[2]Orçamento COM PVS'!$B$114</f>
        <v>SINAPI</v>
      </c>
      <c r="C114" s="16">
        <f>'[2]Orçamento COM PVS'!$C$114</f>
        <v>90105</v>
      </c>
      <c r="D114" s="144" t="str">
        <f ca="1">'[2]Orçamento COM PVS'!$D$114:$G$114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114" s="145"/>
      <c r="F114" s="145"/>
      <c r="G114" s="139"/>
      <c r="H114" s="244" t="str">
        <f ca="1">'[2]Orçamento COM PVS'!$H$114</f>
        <v>M3</v>
      </c>
      <c r="I114" s="19">
        <f>'[2]Orçamento COM PVS'!$I$114</f>
        <v>155.18</v>
      </c>
      <c r="J114" s="27"/>
      <c r="K114" s="23">
        <f>ROUND(J114*(1+N114),2)</f>
        <v>0</v>
      </c>
      <c r="L114" s="24">
        <f t="shared" ref="L114:L117" si="74">ROUND(J114*I114,2)</f>
        <v>0</v>
      </c>
      <c r="M114" s="25">
        <f t="shared" ref="M114:M117" si="75">ROUND(K114*I114,2)</f>
        <v>0</v>
      </c>
      <c r="N114" s="264">
        <v>0.22040000000000001</v>
      </c>
      <c r="O114" s="271"/>
    </row>
    <row r="115" spans="1:15" ht="76.5" customHeight="1">
      <c r="A115" s="123" t="s">
        <v>214</v>
      </c>
      <c r="B115" s="242" t="str">
        <f>'[2]Orçamento COM PVS'!$B$115</f>
        <v>SINAPI</v>
      </c>
      <c r="C115" s="16">
        <f>'[2]Orçamento COM PVS'!$C$115</f>
        <v>95568</v>
      </c>
      <c r="D115" s="144" t="str">
        <f ca="1">'[2]Orçamento COM PVS'!$D$115:$G$115</f>
        <v>TUBO DE CONCRETO (SIMPLES) PARA REDES COLETORAS DE ÁGUAS PLUVIAIS, DIÂMETRO DE 400 MM, JUNTA RÍGIDA, INSTALADO EM LOCAL COM BAIXO NÍVEL DE INTERFERÊNCIAS - FORNECIMENTO E ASSENTAMENTO. AF_12/2015</v>
      </c>
      <c r="E115" s="145"/>
      <c r="F115" s="145"/>
      <c r="G115" s="139"/>
      <c r="H115" s="244" t="str">
        <f ca="1">'[2]Orçamento COM PVS'!$H$115</f>
        <v>M</v>
      </c>
      <c r="I115" s="19">
        <f>'[2]Orçamento COM PVS'!$I$115</f>
        <v>97</v>
      </c>
      <c r="J115" s="27"/>
      <c r="K115" s="23">
        <f>ROUND(J115*(1+N115),2)</f>
        <v>0</v>
      </c>
      <c r="L115" s="24">
        <f t="shared" si="74"/>
        <v>0</v>
      </c>
      <c r="M115" s="25">
        <f t="shared" si="75"/>
        <v>0</v>
      </c>
      <c r="N115" s="264">
        <v>0.22040000000000001</v>
      </c>
      <c r="O115" s="271"/>
    </row>
    <row r="116" spans="1:15" ht="48.75" customHeight="1">
      <c r="A116" s="123" t="s">
        <v>215</v>
      </c>
      <c r="B116" s="242" t="str">
        <f>'[2]Orçamento COM PVS'!$B$116</f>
        <v>COMP.</v>
      </c>
      <c r="C116" s="16">
        <f>'[2]Orçamento COM PVS'!$C$116</f>
        <v>1</v>
      </c>
      <c r="D116" s="144" t="str">
        <f>'[2]Orçamento COM PVS'!$D$116:$G$116</f>
        <v>CX. PARA BOCA DE LOBO EM ALVENARIA DE BLOCOS DE CONCRETO 0,8X0,8X1,5m (DIM. INTERNA)</v>
      </c>
      <c r="E116" s="145"/>
      <c r="F116" s="145"/>
      <c r="G116" s="139"/>
      <c r="H116" s="244" t="str">
        <f>'[2]Orçamento COM PVS'!$H$116</f>
        <v>UNID.</v>
      </c>
      <c r="I116" s="19">
        <f>'[2]Orçamento COM PVS'!$I$116</f>
        <v>5</v>
      </c>
      <c r="J116" s="27"/>
      <c r="K116" s="23">
        <f>ROUND(J116*(1+N116),2)</f>
        <v>0</v>
      </c>
      <c r="L116" s="24">
        <f t="shared" si="74"/>
        <v>0</v>
      </c>
      <c r="M116" s="25">
        <f t="shared" si="75"/>
        <v>0</v>
      </c>
      <c r="N116" s="264">
        <v>0.22040000000000001</v>
      </c>
      <c r="O116" s="271"/>
    </row>
    <row r="117" spans="1:15" ht="51.75" customHeight="1">
      <c r="A117" s="123" t="s">
        <v>216</v>
      </c>
      <c r="B117" s="242" t="str">
        <f>'[2]Orçamento COM PVS'!$B$117</f>
        <v>SINAPI</v>
      </c>
      <c r="C117" s="16">
        <f>'[2]Orçamento COM PVS'!$C$117</f>
        <v>93382</v>
      </c>
      <c r="D117" s="144" t="str">
        <f ca="1">'[2]Orçamento COM PVS'!$D$117:$G$117</f>
        <v>REATERRO MANUAL DE VALAS, COM COMPACTADOR DE SOLOS DE PERCUSSÃO. AF_08/2023</v>
      </c>
      <c r="E117" s="145"/>
      <c r="F117" s="145"/>
      <c r="G117" s="139"/>
      <c r="H117" s="244" t="str">
        <f ca="1">'[2]Orçamento COM PVS'!$H$117</f>
        <v>M3</v>
      </c>
      <c r="I117" s="19">
        <f>'[2]Orçamento COM PVS'!$I$117</f>
        <v>69.899999999999991</v>
      </c>
      <c r="J117" s="27"/>
      <c r="K117" s="23">
        <f>ROUND(J117*(1+N117),2)</f>
        <v>0</v>
      </c>
      <c r="L117" s="24">
        <f t="shared" si="74"/>
        <v>0</v>
      </c>
      <c r="M117" s="25">
        <f t="shared" si="75"/>
        <v>0</v>
      </c>
      <c r="N117" s="264">
        <v>0.22040000000000001</v>
      </c>
      <c r="O117" s="271"/>
    </row>
    <row r="118" spans="1:15" ht="15" customHeight="1">
      <c r="A118" s="53" t="s">
        <v>217</v>
      </c>
      <c r="B118" s="53"/>
      <c r="C118" s="53"/>
      <c r="D118" s="152" t="str">
        <f>'[2]Orçamento COM PVS'!$D$118:$L$118</f>
        <v>PAVIMENTAÇÃO</v>
      </c>
      <c r="E118" s="153"/>
      <c r="F118" s="153"/>
      <c r="G118" s="153"/>
      <c r="H118" s="153"/>
      <c r="I118" s="153"/>
      <c r="J118" s="153"/>
      <c r="K118" s="154"/>
      <c r="L118" s="260">
        <f>SUM(L119:L120)</f>
        <v>0</v>
      </c>
      <c r="M118" s="260">
        <f>SUM(M119:M120)</f>
        <v>0</v>
      </c>
      <c r="N118" s="13"/>
      <c r="O118" s="271"/>
    </row>
    <row r="119" spans="1:15" ht="30.75" customHeight="1">
      <c r="A119" s="123" t="s">
        <v>218</v>
      </c>
      <c r="B119" s="242" t="str">
        <f>'[2]Orçamento COM PVS'!$B$119</f>
        <v>COMP.</v>
      </c>
      <c r="C119" s="16">
        <f>'[2]Orçamento COM PVS'!$C$119</f>
        <v>3</v>
      </c>
      <c r="D119" s="144" t="str">
        <f>'[2]Orçamento COM PVS'!$D$119:$G$119</f>
        <v>EXECUÇÃO DE VIA EM PISO INTERTRAVADO, COM BLOCO 16 FACES DE 22X11 CM, ESPESSURA DE 8 CM. AF_10/2022</v>
      </c>
      <c r="E119" s="145"/>
      <c r="F119" s="145"/>
      <c r="G119" s="139"/>
      <c r="H119" s="20" t="str">
        <f>'[2]Orçamento COM PVS'!$H$119</f>
        <v>M2</v>
      </c>
      <c r="I119" s="19">
        <f>'[2]Orçamento COM PVS'!$I$119</f>
        <v>774</v>
      </c>
      <c r="J119" s="27"/>
      <c r="K119" s="23">
        <f>ROUND(J119*(1+N119),2)</f>
        <v>0</v>
      </c>
      <c r="L119" s="24">
        <f t="shared" ref="L119:L120" si="76">ROUND(J119*I119,2)</f>
        <v>0</v>
      </c>
      <c r="M119" s="25">
        <f t="shared" ref="M119:M120" si="77">ROUND(K119*I119,2)</f>
        <v>0</v>
      </c>
      <c r="N119" s="264">
        <v>0.22040000000000001</v>
      </c>
      <c r="O119" s="271"/>
    </row>
    <row r="120" spans="1:15" ht="30.75" customHeight="1">
      <c r="A120" s="123" t="s">
        <v>219</v>
      </c>
      <c r="B120" s="242" t="str">
        <f>'[2]Orçamento COM PVS'!$B$120</f>
        <v>SINAPI</v>
      </c>
      <c r="C120" s="16">
        <f>'[2]Orçamento COM PVS'!$C$120</f>
        <v>94273</v>
      </c>
      <c r="D120" s="144" t="str">
        <f ca="1">'[2]Orçamento COM PVS'!$D$120:$G$120</f>
        <v>ASSENTAMENTO DE GUIA (MEIO-FIO) EM TRECHO RETO, CONFECCIONADA EM CONCRETO PRÉ-FABRICADO, DIMENSÕES 100X15X13X30 CM (COMPRIMENTO X BASE INFERIOR X BASE SUPERIOR X ALTURA), PARA VIAS URBANAS (USO VIÁRIO). AF_06/2016</v>
      </c>
      <c r="E120" s="145"/>
      <c r="F120" s="145"/>
      <c r="G120" s="139"/>
      <c r="H120" s="20" t="str">
        <f ca="1">'[2]Orçamento COM PVS'!$H$120</f>
        <v>M</v>
      </c>
      <c r="I120" s="19">
        <f>'[2]Orçamento COM PVS'!$I$120</f>
        <v>179</v>
      </c>
      <c r="J120" s="27"/>
      <c r="K120" s="23">
        <f>ROUND(J120*(1+N120),2)</f>
        <v>0</v>
      </c>
      <c r="L120" s="24">
        <f t="shared" si="76"/>
        <v>0</v>
      </c>
      <c r="M120" s="25">
        <f t="shared" si="77"/>
        <v>0</v>
      </c>
      <c r="N120" s="264">
        <v>0.22040000000000001</v>
      </c>
      <c r="O120" s="271"/>
    </row>
    <row r="121" spans="1:15" ht="15" customHeight="1">
      <c r="A121" s="53" t="s">
        <v>68</v>
      </c>
      <c r="B121" s="53"/>
      <c r="C121" s="53"/>
      <c r="D121" s="152" t="str">
        <f>'[2]Orçamento COM PVS'!$D$121:$L$121</f>
        <v>RUA EUCLIDES DA CUNHA</v>
      </c>
      <c r="E121" s="153"/>
      <c r="F121" s="153"/>
      <c r="G121" s="153"/>
      <c r="H121" s="153"/>
      <c r="I121" s="153"/>
      <c r="J121" s="153"/>
      <c r="K121" s="154"/>
      <c r="L121" s="260">
        <f>L122+L124+L129</f>
        <v>0</v>
      </c>
      <c r="M121" s="260">
        <f>M122+M124+M129</f>
        <v>0</v>
      </c>
      <c r="N121" s="13"/>
      <c r="O121" s="271"/>
    </row>
    <row r="122" spans="1:15" ht="15" customHeight="1">
      <c r="A122" s="53" t="s">
        <v>69</v>
      </c>
      <c r="B122" s="53"/>
      <c r="C122" s="53"/>
      <c r="D122" s="152" t="str">
        <f>'[2]Orçamento COM PVS'!$D$122:$L$122</f>
        <v>SERVIÇOS PRELIMINARES</v>
      </c>
      <c r="E122" s="153"/>
      <c r="F122" s="153"/>
      <c r="G122" s="153"/>
      <c r="H122" s="153"/>
      <c r="I122" s="153"/>
      <c r="J122" s="153"/>
      <c r="K122" s="154"/>
      <c r="L122" s="260">
        <f>L123</f>
        <v>0</v>
      </c>
      <c r="M122" s="260">
        <f>M123</f>
        <v>0</v>
      </c>
      <c r="N122" s="13"/>
      <c r="O122" s="271"/>
    </row>
    <row r="123" spans="1:15" ht="30.75" customHeight="1">
      <c r="A123" s="123" t="s">
        <v>220</v>
      </c>
      <c r="B123" s="242" t="str">
        <f>'[2]Orçamento COM PVS'!$B$123</f>
        <v>SINAPI</v>
      </c>
      <c r="C123" s="16">
        <f>'[2]Orçamento COM PVS'!$C$123</f>
        <v>99064</v>
      </c>
      <c r="D123" s="144" t="str">
        <f ca="1">'[2]Orçamento COM PVS'!$D$123:$G$123</f>
        <v>LOCAÇÃO DE PAVIMENTAÇÃO. AF_10/2018</v>
      </c>
      <c r="E123" s="145"/>
      <c r="F123" s="145"/>
      <c r="G123" s="139"/>
      <c r="H123" s="20" t="str">
        <f ca="1">'[2]Orçamento COM PVS'!$H$123</f>
        <v>M</v>
      </c>
      <c r="I123" s="19">
        <f>'[2]Orçamento COM PVS'!$I$123</f>
        <v>132</v>
      </c>
      <c r="J123" s="27"/>
      <c r="K123" s="23">
        <f>ROUND(J123*(1+N123),2)</f>
        <v>0</v>
      </c>
      <c r="L123" s="24">
        <f t="shared" ref="L123" si="78">ROUND(J123*I123,2)</f>
        <v>0</v>
      </c>
      <c r="M123" s="25">
        <f t="shared" ref="M123" si="79">ROUND(K123*I123,2)</f>
        <v>0</v>
      </c>
      <c r="N123" s="264">
        <v>0.22040000000000001</v>
      </c>
      <c r="O123" s="271"/>
    </row>
    <row r="124" spans="1:15" ht="15" customHeight="1">
      <c r="A124" s="53" t="s">
        <v>70</v>
      </c>
      <c r="B124" s="53"/>
      <c r="C124" s="53"/>
      <c r="D124" s="152" t="str">
        <f>'[2]Orçamento COM PVS'!$D$124:$L$124</f>
        <v>DRENAGEM PLUVIAL</v>
      </c>
      <c r="E124" s="153"/>
      <c r="F124" s="153"/>
      <c r="G124" s="153"/>
      <c r="H124" s="153"/>
      <c r="I124" s="153"/>
      <c r="J124" s="153"/>
      <c r="K124" s="154"/>
      <c r="L124" s="260">
        <f>SUM(L125:L128)</f>
        <v>0</v>
      </c>
      <c r="M124" s="260">
        <f>SUM(M125:M128)</f>
        <v>0</v>
      </c>
      <c r="N124" s="13"/>
      <c r="O124" s="271"/>
    </row>
    <row r="125" spans="1:15" ht="75.75" customHeight="1">
      <c r="A125" s="123" t="s">
        <v>221</v>
      </c>
      <c r="B125" s="242" t="str">
        <f>'[2]Orçamento COM PVS'!$B$125</f>
        <v>SINAPI</v>
      </c>
      <c r="C125" s="16">
        <f>'[2]Orçamento COM PVS'!$C$125</f>
        <v>90105</v>
      </c>
      <c r="D125" s="144" t="str">
        <f ca="1">'[2]Orçamento COM PVS'!$D$125:$G$125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125" s="145"/>
      <c r="F125" s="145"/>
      <c r="G125" s="139"/>
      <c r="H125" s="244" t="str">
        <f ca="1">'[2]Orçamento COM PVS'!$H$125</f>
        <v>M3</v>
      </c>
      <c r="I125" s="19">
        <f>'[2]Orçamento COM PVS'!$I$125</f>
        <v>150.244</v>
      </c>
      <c r="J125" s="27"/>
      <c r="K125" s="23">
        <f>ROUND(J125*(1+N125),2)</f>
        <v>0</v>
      </c>
      <c r="L125" s="24">
        <f t="shared" ref="L125:L128" si="80">ROUND(J125*I125,2)</f>
        <v>0</v>
      </c>
      <c r="M125" s="25">
        <f t="shared" ref="M125:M128" si="81">ROUND(K125*I125,2)</f>
        <v>0</v>
      </c>
      <c r="N125" s="264">
        <v>0.22040000000000001</v>
      </c>
      <c r="O125" s="271"/>
    </row>
    <row r="126" spans="1:15" ht="76.5" customHeight="1">
      <c r="A126" s="123" t="s">
        <v>224</v>
      </c>
      <c r="B126" s="242" t="str">
        <f>'[2]Orçamento COM PVS'!$B$126</f>
        <v>SINAPI</v>
      </c>
      <c r="C126" s="16">
        <f>'[2]Orçamento COM PVS'!$C$126</f>
        <v>95568</v>
      </c>
      <c r="D126" s="144" t="str">
        <f ca="1">'[2]Orçamento COM PVS'!$D$126:$G$126</f>
        <v>TUBO DE CONCRETO (SIMPLES) PARA REDES COLETORAS DE ÁGUAS PLUVIAIS, DIÂMETRO DE 400 MM, JUNTA RÍGIDA, INSTALADO EM LOCAL COM BAIXO NÍVEL DE INTERFERÊNCIAS - FORNECIMENTO E ASSENTAMENTO. AF_12/2015</v>
      </c>
      <c r="E126" s="145"/>
      <c r="F126" s="145"/>
      <c r="G126" s="139"/>
      <c r="H126" s="244" t="str">
        <f ca="1">'[2]Orçamento COM PVS'!$H$126</f>
        <v>M</v>
      </c>
      <c r="I126" s="19">
        <f>'[2]Orçamento COM PVS'!$I$126</f>
        <v>95</v>
      </c>
      <c r="J126" s="27"/>
      <c r="K126" s="23">
        <f t="shared" ref="K126:K128" si="82">ROUND(J126*(1+N126),2)</f>
        <v>0</v>
      </c>
      <c r="L126" s="24">
        <f t="shared" si="80"/>
        <v>0</v>
      </c>
      <c r="M126" s="25">
        <f t="shared" si="81"/>
        <v>0</v>
      </c>
      <c r="N126" s="264">
        <v>0.22040000000000001</v>
      </c>
      <c r="O126" s="271"/>
    </row>
    <row r="127" spans="1:15" ht="46.5" customHeight="1">
      <c r="A127" s="123" t="s">
        <v>225</v>
      </c>
      <c r="B127" s="242" t="str">
        <f>'[2]Orçamento COM PVS'!$B$127</f>
        <v>COMP.</v>
      </c>
      <c r="C127" s="16">
        <f>'[2]Orçamento COM PVS'!$C$127</f>
        <v>1</v>
      </c>
      <c r="D127" s="144" t="str">
        <f>'[2]Orçamento COM PVS'!$D$127:$G$127</f>
        <v>CX. PARA BOCA DE LOBO EM ALVENARIA DE BLOCOS DE CONCRETO 0,8X0,8X1,5m (DIM. INTERNA)</v>
      </c>
      <c r="E127" s="145"/>
      <c r="F127" s="145"/>
      <c r="G127" s="139"/>
      <c r="H127" s="244" t="str">
        <f>'[2]Orçamento COM PVS'!$H$127</f>
        <v>UNID.</v>
      </c>
      <c r="I127" s="19">
        <f>'[2]Orçamento COM PVS'!$I$127</f>
        <v>4</v>
      </c>
      <c r="J127" s="27"/>
      <c r="K127" s="23">
        <f t="shared" si="82"/>
        <v>0</v>
      </c>
      <c r="L127" s="24">
        <f t="shared" si="80"/>
        <v>0</v>
      </c>
      <c r="M127" s="25">
        <f t="shared" si="81"/>
        <v>0</v>
      </c>
      <c r="N127" s="264">
        <v>0.22040000000000001</v>
      </c>
      <c r="O127" s="271"/>
    </row>
    <row r="128" spans="1:15" ht="46.5" customHeight="1">
      <c r="A128" s="123" t="s">
        <v>226</v>
      </c>
      <c r="B128" s="242" t="str">
        <f>'[2]Orçamento COM PVS'!$B$128</f>
        <v>SINAPI</v>
      </c>
      <c r="C128" s="16">
        <f>'[2]Orçamento COM PVS'!$C$128</f>
        <v>93382</v>
      </c>
      <c r="D128" s="144" t="str">
        <f ca="1">'[2]Orçamento COM PVS'!$D$128:$G$128</f>
        <v>REATERRO MANUAL DE VALAS, COM COMPACTADOR DE SOLOS DE PERCUSSÃO. AF_08/2023</v>
      </c>
      <c r="E128" s="145"/>
      <c r="F128" s="145"/>
      <c r="G128" s="139"/>
      <c r="H128" s="244" t="str">
        <f ca="1">'[2]Orçamento COM PVS'!$H$128</f>
        <v>M3</v>
      </c>
      <c r="I128" s="19">
        <f>'[2]Orçamento COM PVS'!$I$128</f>
        <v>68.099999999999994</v>
      </c>
      <c r="J128" s="27"/>
      <c r="K128" s="23">
        <f t="shared" si="82"/>
        <v>0</v>
      </c>
      <c r="L128" s="24">
        <f t="shared" si="80"/>
        <v>0</v>
      </c>
      <c r="M128" s="25">
        <f t="shared" si="81"/>
        <v>0</v>
      </c>
      <c r="N128" s="264">
        <v>0.22040000000000001</v>
      </c>
      <c r="O128" s="271"/>
    </row>
    <row r="129" spans="1:15" ht="15" customHeight="1">
      <c r="A129" s="53" t="s">
        <v>71</v>
      </c>
      <c r="B129" s="53"/>
      <c r="C129" s="53"/>
      <c r="D129" s="152" t="str">
        <f>'[2]Orçamento COM PVS'!$D$129:$L$129</f>
        <v>PAVIMENTAÇÃO</v>
      </c>
      <c r="E129" s="153"/>
      <c r="F129" s="153"/>
      <c r="G129" s="153"/>
      <c r="H129" s="153"/>
      <c r="I129" s="153"/>
      <c r="J129" s="153"/>
      <c r="K129" s="154"/>
      <c r="L129" s="260">
        <f>SUM(L130:L131)</f>
        <v>0</v>
      </c>
      <c r="M129" s="260">
        <f>SUM(M130:M131)</f>
        <v>0</v>
      </c>
      <c r="N129" s="13"/>
      <c r="O129" s="271"/>
    </row>
    <row r="130" spans="1:15" ht="48" customHeight="1">
      <c r="A130" s="123" t="s">
        <v>222</v>
      </c>
      <c r="B130" s="242" t="str">
        <f>'[2]Orçamento COM PVS'!$B$130</f>
        <v>COMP.</v>
      </c>
      <c r="C130" s="16">
        <f>'[2]Orçamento COM PVS'!$C$130</f>
        <v>3</v>
      </c>
      <c r="D130" s="144" t="str">
        <f>'[2]Orçamento COM PVS'!$D$130:$G$130</f>
        <v>EXECUÇÃO DE VIA EM PISO INTERTRAVADO, COM BLOCO 16 FACES DE 22X11 CM, ESPESSURA DE 8 CM. AF_10/2022</v>
      </c>
      <c r="E130" s="145"/>
      <c r="F130" s="145"/>
      <c r="G130" s="139"/>
      <c r="H130" s="20" t="str">
        <f>'[2]Orçamento COM PVS'!$H$130</f>
        <v>M2</v>
      </c>
      <c r="I130" s="19">
        <f>'[2]Orçamento COM PVS'!$I$130</f>
        <v>1188</v>
      </c>
      <c r="J130" s="27"/>
      <c r="K130" s="23">
        <f>ROUND(J130*(1+N130),2)</f>
        <v>0</v>
      </c>
      <c r="L130" s="24">
        <f t="shared" ref="L130:L131" si="83">ROUND(J130*I130,2)</f>
        <v>0</v>
      </c>
      <c r="M130" s="25">
        <f t="shared" ref="M130:M131" si="84">ROUND(K130*I130,2)</f>
        <v>0</v>
      </c>
      <c r="N130" s="264">
        <v>0.22040000000000001</v>
      </c>
      <c r="O130" s="271"/>
    </row>
    <row r="131" spans="1:15" ht="91.5" customHeight="1">
      <c r="A131" s="123" t="s">
        <v>223</v>
      </c>
      <c r="B131" s="242" t="str">
        <f>'[2]Orçamento COM PVS'!$B$131</f>
        <v>SINAPI</v>
      </c>
      <c r="C131" s="16">
        <f>'[2]Orçamento COM PVS'!$C$131</f>
        <v>94273</v>
      </c>
      <c r="D131" s="144" t="str">
        <f ca="1">'[2]Orçamento COM PVS'!$D$131:$G$131</f>
        <v>ASSENTAMENTO DE GUIA (MEIO-FIO) EM TRECHO RETO, CONFECCIONADA EM CONCRETO PRÉ-FABRICADO, DIMENSÕES 100X15X13X30 CM (COMPRIMENTO X BASE INFERIOR X BASE SUPERIOR X ALTURA), PARA VIAS URBANAS (USO VIÁRIO). AF_06/2016</v>
      </c>
      <c r="E131" s="145"/>
      <c r="F131" s="145"/>
      <c r="G131" s="139"/>
      <c r="H131" s="20" t="str">
        <f ca="1">'[2]Orçamento COM PVS'!$H$131</f>
        <v>M</v>
      </c>
      <c r="I131" s="19">
        <f>'[2]Orçamento COM PVS'!$I$131</f>
        <v>273</v>
      </c>
      <c r="J131" s="27"/>
      <c r="K131" s="23">
        <f>ROUND(J131*(1+N131),2)</f>
        <v>0</v>
      </c>
      <c r="L131" s="24">
        <f t="shared" si="83"/>
        <v>0</v>
      </c>
      <c r="M131" s="25">
        <f t="shared" si="84"/>
        <v>0</v>
      </c>
      <c r="N131" s="264">
        <v>0.22040000000000001</v>
      </c>
      <c r="O131" s="271"/>
    </row>
    <row r="132" spans="1:15" ht="15" customHeight="1">
      <c r="A132" s="53" t="s">
        <v>72</v>
      </c>
      <c r="B132" s="53"/>
      <c r="C132" s="53"/>
      <c r="D132" s="152" t="str">
        <f>'[2]Orçamento COM PVS'!$D$132:$L$132</f>
        <v>PEDRO DELEVATI SOBRINHO</v>
      </c>
      <c r="E132" s="153"/>
      <c r="F132" s="153"/>
      <c r="G132" s="153"/>
      <c r="H132" s="153"/>
      <c r="I132" s="153"/>
      <c r="J132" s="153"/>
      <c r="K132" s="154"/>
      <c r="L132" s="260">
        <f>L133+L135</f>
        <v>0</v>
      </c>
      <c r="M132" s="260">
        <f>M133+M135</f>
        <v>0</v>
      </c>
      <c r="N132" s="13"/>
      <c r="O132" s="271"/>
    </row>
    <row r="133" spans="1:15" ht="15" customHeight="1">
      <c r="A133" s="53" t="s">
        <v>73</v>
      </c>
      <c r="B133" s="53"/>
      <c r="C133" s="53"/>
      <c r="D133" s="152" t="str">
        <f>'[2]Orçamento COM PVS'!$D$133:$L$133</f>
        <v>SERVIÇOS PRELIMINARES</v>
      </c>
      <c r="E133" s="153"/>
      <c r="F133" s="153"/>
      <c r="G133" s="153"/>
      <c r="H133" s="153"/>
      <c r="I133" s="153"/>
      <c r="J133" s="153"/>
      <c r="K133" s="154"/>
      <c r="L133" s="260">
        <f>L134</f>
        <v>0</v>
      </c>
      <c r="M133" s="260">
        <f>M134</f>
        <v>0</v>
      </c>
      <c r="N133" s="13"/>
      <c r="O133" s="271"/>
    </row>
    <row r="134" spans="1:15" ht="30.75" customHeight="1">
      <c r="A134" s="123" t="s">
        <v>227</v>
      </c>
      <c r="B134" s="242" t="str">
        <f>'[2]Orçamento COM PVS'!$B$134</f>
        <v>SINAPI</v>
      </c>
      <c r="C134" s="16">
        <f>'[2]Orçamento COM PVS'!$C$134</f>
        <v>99064</v>
      </c>
      <c r="D134" s="144" t="str">
        <f ca="1">'[2]Orçamento COM PVS'!$D$134:$G$134</f>
        <v>LOCAÇÃO DE PAVIMENTAÇÃO. AF_10/2018</v>
      </c>
      <c r="E134" s="145"/>
      <c r="F134" s="145"/>
      <c r="G134" s="139"/>
      <c r="H134" s="20" t="str">
        <f ca="1">'[2]Orçamento COM PVS'!$H$134</f>
        <v>M</v>
      </c>
      <c r="I134" s="19">
        <f>'[2]Orçamento COM PVS'!$I$134</f>
        <v>86</v>
      </c>
      <c r="J134" s="27"/>
      <c r="K134" s="23">
        <f>ROUND(J134*(1+N134),2)</f>
        <v>0</v>
      </c>
      <c r="L134" s="24">
        <f t="shared" ref="L134" si="85">ROUND(J134*I134,2)</f>
        <v>0</v>
      </c>
      <c r="M134" s="25">
        <f t="shared" ref="M134" si="86">ROUND(K134*I134,2)</f>
        <v>0</v>
      </c>
      <c r="N134" s="264">
        <v>0.22040000000000001</v>
      </c>
      <c r="O134" s="271"/>
    </row>
    <row r="135" spans="1:15" ht="15" customHeight="1">
      <c r="A135" s="53" t="s">
        <v>74</v>
      </c>
      <c r="B135" s="53"/>
      <c r="C135" s="53"/>
      <c r="D135" s="152" t="str">
        <f>'[2]Orçamento COM PVS'!$D$135:$L$135</f>
        <v>PAVIMENTAÇÃO</v>
      </c>
      <c r="E135" s="153"/>
      <c r="F135" s="153"/>
      <c r="G135" s="153"/>
      <c r="H135" s="153"/>
      <c r="I135" s="153"/>
      <c r="J135" s="153"/>
      <c r="K135" s="154"/>
      <c r="L135" s="260">
        <f>SUM(L136:L137)</f>
        <v>0</v>
      </c>
      <c r="M135" s="260">
        <f>SUM(M136:M137)</f>
        <v>0</v>
      </c>
      <c r="N135" s="13"/>
      <c r="O135" s="271"/>
    </row>
    <row r="136" spans="1:15" ht="45.75" customHeight="1">
      <c r="A136" s="123" t="s">
        <v>228</v>
      </c>
      <c r="B136" s="242" t="str">
        <f>'[2]Orçamento COM PVS'!$B$136</f>
        <v>COMP.</v>
      </c>
      <c r="C136" s="16">
        <f>'[2]Orçamento COM PVS'!$C$136</f>
        <v>3</v>
      </c>
      <c r="D136" s="144" t="str">
        <f>'[2]Orçamento COM PVS'!$D$136:$G$136</f>
        <v>EXECUÇÃO DE VIA EM PISO INTERTRAVADO, COM BLOCO 16 FACES DE 22X11 CM, ESPESSURA DE 8 CM. AF_10/2022</v>
      </c>
      <c r="E136" s="145"/>
      <c r="F136" s="145"/>
      <c r="G136" s="139"/>
      <c r="H136" s="244" t="str">
        <f>'[2]Orçamento COM PVS'!$H$136</f>
        <v>M2</v>
      </c>
      <c r="I136" s="19">
        <f>'[2]Orçamento COM PVS'!$I$136</f>
        <v>774</v>
      </c>
      <c r="J136" s="27"/>
      <c r="K136" s="23">
        <f>ROUND(J136*(1+N136),2)</f>
        <v>0</v>
      </c>
      <c r="L136" s="24">
        <f t="shared" ref="L136:L137" si="87">ROUND(J136*I136,2)</f>
        <v>0</v>
      </c>
      <c r="M136" s="25">
        <f t="shared" ref="M136:M137" si="88">ROUND(K136*I136,2)</f>
        <v>0</v>
      </c>
      <c r="N136" s="264">
        <v>0.22040000000000001</v>
      </c>
      <c r="O136" s="271"/>
    </row>
    <row r="137" spans="1:15" ht="30.75" customHeight="1">
      <c r="A137" s="123" t="s">
        <v>229</v>
      </c>
      <c r="B137" s="242" t="str">
        <f>'[2]Orçamento COM PVS'!$B$137</f>
        <v>SINAPI</v>
      </c>
      <c r="C137" s="16">
        <f>'[2]Orçamento COM PVS'!$C$137</f>
        <v>94273</v>
      </c>
      <c r="D137" s="144" t="str">
        <f ca="1">'[2]Orçamento COM PVS'!$D$137:$G$137</f>
        <v>ASSENTAMENTO DE GUIA (MEIO-FIO) EM TRECHO RETO, CONFECCIONADA EM CONCRETO PRÉ-FABRICADO, DIMENSÕES 100X15X13X30 CM (COMPRIMENTO X BASE INFERIOR X BASE SUPERIOR X ALTURA), PARA VIAS URBANAS (USO VIÁRIO). AF_06/2016</v>
      </c>
      <c r="E137" s="145"/>
      <c r="F137" s="145"/>
      <c r="G137" s="139"/>
      <c r="H137" s="244" t="str">
        <f ca="1">'[2]Orçamento COM PVS'!$H$137</f>
        <v>M</v>
      </c>
      <c r="I137" s="19">
        <f>'[2]Orçamento COM PVS'!$I$137</f>
        <v>172</v>
      </c>
      <c r="J137" s="27"/>
      <c r="K137" s="23">
        <f>ROUND(J137*(1+N137),2)</f>
        <v>0</v>
      </c>
      <c r="L137" s="24">
        <f t="shared" si="87"/>
        <v>0</v>
      </c>
      <c r="M137" s="25">
        <f t="shared" si="88"/>
        <v>0</v>
      </c>
      <c r="N137" s="264">
        <v>0.22040000000000001</v>
      </c>
      <c r="O137" s="271"/>
    </row>
    <row r="138" spans="1:15" ht="15" customHeight="1">
      <c r="A138" s="53" t="s">
        <v>230</v>
      </c>
      <c r="B138" s="53"/>
      <c r="C138" s="53"/>
      <c r="D138" s="152" t="str">
        <f>'[2]Orçamento COM PVS'!$D$138:$L$138</f>
        <v>ALADINO BUZATA</v>
      </c>
      <c r="E138" s="153"/>
      <c r="F138" s="153"/>
      <c r="G138" s="153"/>
      <c r="H138" s="153"/>
      <c r="I138" s="153"/>
      <c r="J138" s="153"/>
      <c r="K138" s="154"/>
      <c r="L138" s="260">
        <f>L139+L141+L147</f>
        <v>0</v>
      </c>
      <c r="M138" s="260">
        <f>M139+M141+M147</f>
        <v>0</v>
      </c>
      <c r="N138" s="13"/>
      <c r="O138" s="271"/>
    </row>
    <row r="139" spans="1:15" ht="15" customHeight="1">
      <c r="A139" s="53" t="s">
        <v>231</v>
      </c>
      <c r="B139" s="53"/>
      <c r="C139" s="53"/>
      <c r="D139" s="152" t="str">
        <f>'[2]Orçamento COM PVS'!$D$139:$L$139</f>
        <v>SERVIÇOS PRELIMINARES</v>
      </c>
      <c r="E139" s="153"/>
      <c r="F139" s="153"/>
      <c r="G139" s="153"/>
      <c r="H139" s="153"/>
      <c r="I139" s="153"/>
      <c r="J139" s="153"/>
      <c r="K139" s="154"/>
      <c r="L139" s="260">
        <f>L140</f>
        <v>0</v>
      </c>
      <c r="M139" s="260">
        <f>M140</f>
        <v>0</v>
      </c>
      <c r="N139" s="13"/>
      <c r="O139" s="271"/>
    </row>
    <row r="140" spans="1:15" ht="30.75" customHeight="1">
      <c r="A140" s="123" t="s">
        <v>232</v>
      </c>
      <c r="B140" s="242" t="str">
        <f>'[2]Orçamento COM PVS'!$B$140</f>
        <v>SINAPI</v>
      </c>
      <c r="C140" s="16">
        <f>'[2]Orçamento COM PVS'!$C$140</f>
        <v>99064</v>
      </c>
      <c r="D140" s="144" t="str">
        <f ca="1">'[2]Orçamento COM PVS'!$D$140:$G$140</f>
        <v>LOCAÇÃO DE PAVIMENTAÇÃO. AF_10/2018</v>
      </c>
      <c r="E140" s="145"/>
      <c r="F140" s="145"/>
      <c r="G140" s="139"/>
      <c r="H140" s="20" t="str">
        <f ca="1">'[2]Orçamento COM PVS'!$H$140</f>
        <v>M</v>
      </c>
      <c r="I140" s="19">
        <f>'[2]Orçamento COM PVS'!$I$140</f>
        <v>116</v>
      </c>
      <c r="J140" s="27"/>
      <c r="K140" s="23">
        <f>ROUND(J140*(1+N140),2)</f>
        <v>0</v>
      </c>
      <c r="L140" s="24">
        <f t="shared" ref="L140" si="89">ROUND(J140*I140,2)</f>
        <v>0</v>
      </c>
      <c r="M140" s="25">
        <f t="shared" ref="M140" si="90">ROUND(K140*I140,2)</f>
        <v>0</v>
      </c>
      <c r="N140" s="264">
        <v>0.22040000000000001</v>
      </c>
      <c r="O140" s="271"/>
    </row>
    <row r="141" spans="1:15" ht="15" customHeight="1">
      <c r="A141" s="53" t="s">
        <v>233</v>
      </c>
      <c r="B141" s="53"/>
      <c r="C141" s="53"/>
      <c r="D141" s="152" t="str">
        <f>'[2]Orçamento COM PVS'!$D$141:$L$141</f>
        <v>DRENAGEM PLUVIAL</v>
      </c>
      <c r="E141" s="153"/>
      <c r="F141" s="153"/>
      <c r="G141" s="153"/>
      <c r="H141" s="153"/>
      <c r="I141" s="153"/>
      <c r="J141" s="153"/>
      <c r="K141" s="154"/>
      <c r="L141" s="260">
        <f>SUM(L142:L146)</f>
        <v>0</v>
      </c>
      <c r="M141" s="260">
        <f>SUM(M142:M146)</f>
        <v>0</v>
      </c>
      <c r="N141" s="13"/>
      <c r="O141" s="271"/>
    </row>
    <row r="142" spans="1:15" ht="95.25" customHeight="1">
      <c r="A142" s="123" t="s">
        <v>234</v>
      </c>
      <c r="B142" s="242" t="str">
        <f>'[2]Orçamento COM PVS'!$B$142</f>
        <v>SINAPI</v>
      </c>
      <c r="C142" s="16">
        <f>'[2]Orçamento COM PVS'!$C$142</f>
        <v>90105</v>
      </c>
      <c r="D142" s="144" t="str">
        <f ca="1">'[2]Orçamento COM PVS'!$D$142:$G$142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142" s="145"/>
      <c r="F142" s="145"/>
      <c r="G142" s="139"/>
      <c r="H142" s="244" t="str">
        <f ca="1">'[2]Orçamento COM PVS'!$H$142</f>
        <v>M3</v>
      </c>
      <c r="I142" s="19">
        <f>'[2]Orçamento COM PVS'!$I$142</f>
        <v>183.68</v>
      </c>
      <c r="J142" s="27"/>
      <c r="K142" s="23">
        <f>ROUND(J142*(1+N142),2)</f>
        <v>0</v>
      </c>
      <c r="L142" s="24">
        <f t="shared" ref="L142:L145" si="91">ROUND(J142*I142,2)</f>
        <v>0</v>
      </c>
      <c r="M142" s="25">
        <f t="shared" ref="M142:M145" si="92">ROUND(K142*I142,2)</f>
        <v>0</v>
      </c>
      <c r="N142" s="264">
        <v>0.22040000000000001</v>
      </c>
      <c r="O142" s="271"/>
    </row>
    <row r="143" spans="1:15" ht="90.75" customHeight="1">
      <c r="A143" s="123" t="s">
        <v>235</v>
      </c>
      <c r="B143" s="242" t="str">
        <f>'[2]Orçamento COM PVS'!$B$143</f>
        <v>SINAPI</v>
      </c>
      <c r="C143" s="16">
        <f>'[2]Orçamento COM PVS'!$C$143</f>
        <v>95568</v>
      </c>
      <c r="D143" s="144" t="str">
        <f ca="1">'[2]Orçamento COM PVS'!$D$142:$G$143</f>
        <v>TUBO DE CONCRETO (SIMPLES) PARA REDES COLETORAS DE ÁGUAS PLUVIAIS, DIÂMETRO DE 400 MM, JUNTA RÍGIDA, INSTALADO EM LOCAL COM BAIXO NÍVEL DE INTERFERÊNCIAS - FORNECIMENTO E ASSENTAMENTO. AF_12/2015</v>
      </c>
      <c r="E143" s="145"/>
      <c r="F143" s="145"/>
      <c r="G143" s="139"/>
      <c r="H143" s="244" t="str">
        <f ca="1">'[2]Orçamento COM PVS'!$H$143</f>
        <v>M</v>
      </c>
      <c r="I143" s="19">
        <f>'[2]Orçamento COM PVS'!$I$143</f>
        <v>76</v>
      </c>
      <c r="J143" s="27"/>
      <c r="K143" s="23">
        <f t="shared" ref="K143:K145" si="93">ROUND(J143*(1+N143),2)</f>
        <v>0</v>
      </c>
      <c r="L143" s="24">
        <f t="shared" si="91"/>
        <v>0</v>
      </c>
      <c r="M143" s="25">
        <f t="shared" si="92"/>
        <v>0</v>
      </c>
      <c r="N143" s="264">
        <v>0.22040000000000001</v>
      </c>
      <c r="O143" s="271"/>
    </row>
    <row r="144" spans="1:15" ht="81" customHeight="1">
      <c r="A144" s="123" t="s">
        <v>236</v>
      </c>
      <c r="B144" s="242" t="str">
        <f>'[2]Orçamento COM PVS'!$B$144</f>
        <v>SINAPI</v>
      </c>
      <c r="C144" s="16">
        <f>'[2]Orçamento COM PVS'!$C$144</f>
        <v>92212</v>
      </c>
      <c r="D144" s="144" t="str">
        <f ca="1">'[2]Orçamento COM PVS'!$D$142:$G$144</f>
        <v>TUBO DE CONCRETO PARA REDES COLETORAS DE ÁGUAS PLUVIAIS, DIÂMETRO DE 600 MM, JUNTA RÍGIDA, INSTALADO EM LOCAL COM BAIXO NÍVEL DE INTERFERÊNCIAS - FORNECIMENTO E ASSENTAMENTO. AF_12/2015</v>
      </c>
      <c r="E144" s="145"/>
      <c r="F144" s="145"/>
      <c r="G144" s="139"/>
      <c r="H144" s="244" t="str">
        <f ca="1">'[2]Orçamento COM PVS'!$H$144</f>
        <v>M</v>
      </c>
      <c r="I144" s="19">
        <f>'[2]Orçamento COM PVS'!$I$144</f>
        <v>40</v>
      </c>
      <c r="J144" s="27"/>
      <c r="K144" s="23">
        <f t="shared" si="93"/>
        <v>0</v>
      </c>
      <c r="L144" s="24">
        <f t="shared" si="91"/>
        <v>0</v>
      </c>
      <c r="M144" s="25">
        <f t="shared" si="92"/>
        <v>0</v>
      </c>
      <c r="N144" s="264">
        <v>0.22040000000000001</v>
      </c>
      <c r="O144" s="271"/>
    </row>
    <row r="145" spans="1:15" ht="76.5" customHeight="1">
      <c r="A145" s="123" t="s">
        <v>237</v>
      </c>
      <c r="B145" s="242" t="str">
        <f>'[2]Orçamento COM PVS'!$B$145</f>
        <v>COMP.</v>
      </c>
      <c r="C145" s="16">
        <f>'[2]Orçamento COM PVS'!$C$145</f>
        <v>1</v>
      </c>
      <c r="D145" s="144" t="str">
        <f>'[2]Orçamento COM PVS'!$D$142:$G$145</f>
        <v>CX. PARA BOCA DE LOBO EM ALVENARIA DE BLOCOS DE CONCRETO 0,8X0,8X1,5m (DIM. INTERNA)</v>
      </c>
      <c r="E145" s="145"/>
      <c r="F145" s="145"/>
      <c r="G145" s="139"/>
      <c r="H145" s="244" t="str">
        <f>'[2]Orçamento COM PVS'!$H$145</f>
        <v>UNID.</v>
      </c>
      <c r="I145" s="19">
        <f>'[2]Orçamento COM PVS'!$I$145</f>
        <v>5</v>
      </c>
      <c r="J145" s="27"/>
      <c r="K145" s="23">
        <f t="shared" si="93"/>
        <v>0</v>
      </c>
      <c r="L145" s="24">
        <f t="shared" si="91"/>
        <v>0</v>
      </c>
      <c r="M145" s="25">
        <f t="shared" si="92"/>
        <v>0</v>
      </c>
      <c r="N145" s="264">
        <v>0.22040000000000001</v>
      </c>
      <c r="O145" s="271"/>
    </row>
    <row r="146" spans="1:15" ht="76.5" customHeight="1">
      <c r="A146" s="123" t="s">
        <v>305</v>
      </c>
      <c r="B146" s="242" t="str">
        <f>'[2]Orçamento COM PVS'!$B$146</f>
        <v>SINAPI</v>
      </c>
      <c r="C146" s="16">
        <f>'[2]Orçamento COM PVS'!$C$146</f>
        <v>93382</v>
      </c>
      <c r="D146" s="144" t="str">
        <f ca="1">'[2]Orçamento COM PVS'!$D$146:$G$146</f>
        <v>REATERRO MANUAL DE VALAS, COM COMPACTADOR DE SOLOS DE PERCUSSÃO. AF_08/2023</v>
      </c>
      <c r="E146" s="145"/>
      <c r="F146" s="145"/>
      <c r="G146" s="139"/>
      <c r="H146" s="244" t="str">
        <f ca="1">'[2]Orçamento COM PVS'!$H$146</f>
        <v>M3</v>
      </c>
      <c r="I146" s="19">
        <f>'[2]Orçamento COM PVS'!$I$146</f>
        <v>235.77600000000001</v>
      </c>
      <c r="J146" s="27"/>
      <c r="K146" s="23">
        <f t="shared" ref="K146" si="94">ROUND(J146*(1+N146),2)</f>
        <v>0</v>
      </c>
      <c r="L146" s="24">
        <f t="shared" ref="L146" si="95">ROUND(J146*I146,2)</f>
        <v>0</v>
      </c>
      <c r="M146" s="25">
        <f t="shared" ref="M146" si="96">ROUND(K146*I146,2)</f>
        <v>0</v>
      </c>
      <c r="N146" s="264">
        <v>0.22040000000000001</v>
      </c>
      <c r="O146" s="271"/>
    </row>
    <row r="147" spans="1:15" ht="15" customHeight="1">
      <c r="A147" s="53" t="s">
        <v>238</v>
      </c>
      <c r="B147" s="53"/>
      <c r="C147" s="53"/>
      <c r="D147" s="152" t="str">
        <f>'[2]Orçamento COM PVS'!$D$147:$L$147</f>
        <v>PAVIMENTAÇÃO</v>
      </c>
      <c r="E147" s="153"/>
      <c r="F147" s="153"/>
      <c r="G147" s="153"/>
      <c r="H147" s="153"/>
      <c r="I147" s="153"/>
      <c r="J147" s="153"/>
      <c r="K147" s="154"/>
      <c r="L147" s="260">
        <f>SUM(L148:L149)</f>
        <v>0</v>
      </c>
      <c r="M147" s="260">
        <f>SUM(M148:M149)</f>
        <v>0</v>
      </c>
      <c r="N147" s="13"/>
      <c r="O147" s="271"/>
    </row>
    <row r="148" spans="1:15" ht="45" customHeight="1">
      <c r="A148" s="123" t="s">
        <v>239</v>
      </c>
      <c r="B148" s="242" t="str">
        <f>'[2]Orçamento COM PVS'!$B$148</f>
        <v>COMP.</v>
      </c>
      <c r="C148" s="16">
        <f>'[2]Orçamento COM PVS'!$C$148</f>
        <v>3</v>
      </c>
      <c r="D148" s="144" t="str">
        <f>'[2]Orçamento COM PVS'!$D$148:$G$148</f>
        <v>EXECUÇÃO DE VIA EM PISO INTERTRAVADO, COM BLOCO 16 FACES DE 22X11 CM, ESPESSURA DE 8 CM. AF_10/2022</v>
      </c>
      <c r="E148" s="145"/>
      <c r="F148" s="145"/>
      <c r="G148" s="139"/>
      <c r="H148" s="20" t="str">
        <f>'[2]Orçamento COM PVS'!$H$148</f>
        <v>M2</v>
      </c>
      <c r="I148" s="19">
        <f>'[2]Orçamento COM PVS'!$I$148</f>
        <v>1044</v>
      </c>
      <c r="J148" s="27"/>
      <c r="K148" s="23">
        <f>ROUND(J148*(1+N148),2)</f>
        <v>0</v>
      </c>
      <c r="L148" s="24">
        <f t="shared" ref="L148:L149" si="97">ROUND(J148*I148,2)</f>
        <v>0</v>
      </c>
      <c r="M148" s="25">
        <f t="shared" ref="M148:M149" si="98">ROUND(K148*I148,2)</f>
        <v>0</v>
      </c>
      <c r="N148" s="264">
        <v>0.22040000000000001</v>
      </c>
      <c r="O148" s="271"/>
    </row>
    <row r="149" spans="1:15" ht="90.75" customHeight="1">
      <c r="A149" s="123" t="s">
        <v>240</v>
      </c>
      <c r="B149" s="242" t="str">
        <f>'[2]Orçamento COM PVS'!$B$149</f>
        <v>SINAPI</v>
      </c>
      <c r="C149" s="16">
        <f>'[2]Orçamento COM PVS'!$C$149</f>
        <v>94273</v>
      </c>
      <c r="D149" s="144" t="str">
        <f ca="1">'[2]Orçamento COM PVS'!$D$149:$G$155</f>
        <v>ASSENTAMENTO DE GUIA (MEIO-FIO) EM TRECHO RETO, CONFECCIONADA EM CONCRETO PRÉ-FABRICADO, DIMENSÕES 100X15X13X30 CM (COMPRIMENTO X BASE INFERIOR X BASE SUPERIOR X ALTURA), PARA VIAS URBANAS (USO VIÁRIO). AF_06/2016</v>
      </c>
      <c r="E149" s="145"/>
      <c r="F149" s="145"/>
      <c r="G149" s="139"/>
      <c r="H149" s="20" t="str">
        <f ca="1">'[2]Orçamento COM PVS'!$H$149</f>
        <v>M</v>
      </c>
      <c r="I149" s="19">
        <f>'[2]Orçamento COM PVS'!$I$149</f>
        <v>245</v>
      </c>
      <c r="J149" s="27"/>
      <c r="K149" s="23">
        <f>ROUND(J149*(1+N149),2)</f>
        <v>0</v>
      </c>
      <c r="L149" s="24">
        <f t="shared" si="97"/>
        <v>0</v>
      </c>
      <c r="M149" s="25">
        <f t="shared" si="98"/>
        <v>0</v>
      </c>
      <c r="N149" s="264">
        <v>0.22040000000000001</v>
      </c>
      <c r="O149" s="271"/>
    </row>
    <row r="150" spans="1:15" ht="13.5" customHeight="1">
      <c r="A150" s="53">
        <v>13</v>
      </c>
      <c r="B150" s="53"/>
      <c r="C150" s="53"/>
      <c r="D150" s="152" t="str">
        <f>'[2]Orçamento COM PVS'!$D$150:$L$150</f>
        <v>PEDRO MINOSSO</v>
      </c>
      <c r="E150" s="153"/>
      <c r="F150" s="153"/>
      <c r="G150" s="153"/>
      <c r="H150" s="153"/>
      <c r="I150" s="153"/>
      <c r="J150" s="153"/>
      <c r="K150" s="154"/>
      <c r="L150" s="260">
        <f>L151+L153</f>
        <v>0</v>
      </c>
      <c r="M150" s="260">
        <f>M151+M153</f>
        <v>0</v>
      </c>
      <c r="N150" s="13"/>
      <c r="O150" s="271"/>
    </row>
    <row r="151" spans="1:15" ht="15" customHeight="1">
      <c r="A151" s="53" t="s">
        <v>241</v>
      </c>
      <c r="B151" s="53"/>
      <c r="C151" s="53"/>
      <c r="D151" s="152" t="str">
        <f>'[2]Orçamento COM PVS'!$D$157:$L$157</f>
        <v>SERVIÇOS PRELIMINARES</v>
      </c>
      <c r="E151" s="153"/>
      <c r="F151" s="153"/>
      <c r="G151" s="153"/>
      <c r="H151" s="153"/>
      <c r="I151" s="153"/>
      <c r="J151" s="153"/>
      <c r="K151" s="154"/>
      <c r="L151" s="260">
        <f>L152</f>
        <v>0</v>
      </c>
      <c r="M151" s="260">
        <f>M152</f>
        <v>0</v>
      </c>
      <c r="N151" s="13"/>
      <c r="O151" s="271"/>
    </row>
    <row r="152" spans="1:15" ht="30.75" customHeight="1">
      <c r="A152" s="123" t="s">
        <v>242</v>
      </c>
      <c r="B152" s="242" t="str">
        <f>'[2]Orçamento COM PVS'!$B$152</f>
        <v>SINAPI</v>
      </c>
      <c r="C152" s="16">
        <f>'[2]Orçamento COM PVS'!$C$152</f>
        <v>99064</v>
      </c>
      <c r="D152" s="144" t="str">
        <f ca="1">'[2]Orçamento COM PVS'!$D$152:$G$152</f>
        <v>LOCAÇÃO DE PAVIMENTAÇÃO. AF_10/2018</v>
      </c>
      <c r="E152" s="145"/>
      <c r="F152" s="145"/>
      <c r="G152" s="139"/>
      <c r="H152" s="20" t="str">
        <f ca="1">'[2]Orçamento COM PVS'!$H$152</f>
        <v>M</v>
      </c>
      <c r="I152" s="19">
        <f>'[2]Orçamento COM PVS'!$I$152</f>
        <v>76</v>
      </c>
      <c r="J152" s="27"/>
      <c r="K152" s="23">
        <f>ROUND(J152*(1+N152),2)</f>
        <v>0</v>
      </c>
      <c r="L152" s="24">
        <f t="shared" ref="L152" si="99">ROUND(J152*I152,2)</f>
        <v>0</v>
      </c>
      <c r="M152" s="25">
        <f t="shared" ref="M152" si="100">ROUND(K152*I152,2)</f>
        <v>0</v>
      </c>
      <c r="N152" s="264">
        <v>0.22040000000000001</v>
      </c>
      <c r="O152" s="271"/>
    </row>
    <row r="153" spans="1:15" ht="15" customHeight="1">
      <c r="A153" s="53" t="s">
        <v>243</v>
      </c>
      <c r="B153" s="53"/>
      <c r="C153" s="53"/>
      <c r="D153" s="152" t="str">
        <f>'[2]Orçamento COM PVS'!$D$153:$L$153</f>
        <v>PAVIMENTAÇÃO</v>
      </c>
      <c r="E153" s="153"/>
      <c r="F153" s="153"/>
      <c r="G153" s="153"/>
      <c r="H153" s="153"/>
      <c r="I153" s="153"/>
      <c r="J153" s="153"/>
      <c r="K153" s="154"/>
      <c r="L153" s="260">
        <f>SUM(L154:L155)</f>
        <v>0</v>
      </c>
      <c r="M153" s="260">
        <f>SUM(M154:M155)</f>
        <v>0</v>
      </c>
      <c r="N153" s="13"/>
      <c r="O153" s="271"/>
    </row>
    <row r="154" spans="1:15" ht="46.5" customHeight="1">
      <c r="A154" s="123" t="s">
        <v>244</v>
      </c>
      <c r="B154" s="242" t="str">
        <f>'[2]Orçamento COM PVS'!$B$154</f>
        <v>COMP.</v>
      </c>
      <c r="C154" s="16">
        <f>'[2]Orçamento COM PVS'!$C$154</f>
        <v>3</v>
      </c>
      <c r="D154" s="144" t="str">
        <f>'[2]Orçamento COM PVS'!$D$136:$G$136</f>
        <v>EXECUÇÃO DE VIA EM PISO INTERTRAVADO, COM BLOCO 16 FACES DE 22X11 CM, ESPESSURA DE 8 CM. AF_10/2022</v>
      </c>
      <c r="E154" s="145"/>
      <c r="F154" s="145"/>
      <c r="G154" s="139"/>
      <c r="H154" s="244" t="str">
        <f>'[2]Orçamento COM PVS'!$H$154</f>
        <v>M2</v>
      </c>
      <c r="I154" s="19">
        <f>'[2]Orçamento COM PVS'!$I$154</f>
        <v>684</v>
      </c>
      <c r="J154" s="27"/>
      <c r="K154" s="23">
        <f>ROUND(J154*(1+N154),2)</f>
        <v>0</v>
      </c>
      <c r="L154" s="24">
        <f t="shared" ref="L154:L155" si="101">ROUND(J154*I154,2)</f>
        <v>0</v>
      </c>
      <c r="M154" s="25">
        <f t="shared" ref="M154:M155" si="102">ROUND(K154*I154,2)</f>
        <v>0</v>
      </c>
      <c r="N154" s="264">
        <v>0.22040000000000001</v>
      </c>
      <c r="O154" s="271"/>
    </row>
    <row r="155" spans="1:15" ht="89.25" customHeight="1">
      <c r="A155" s="123" t="s">
        <v>245</v>
      </c>
      <c r="B155" s="242" t="str">
        <f>'[2]Orçamento COM PVS'!$B$155</f>
        <v>SINAPI</v>
      </c>
      <c r="C155" s="16">
        <f>'[2]Orçamento COM PVS'!$C$155</f>
        <v>94273</v>
      </c>
      <c r="D155" s="144" t="str">
        <f ca="1">'[2]Orçamento COM PVS'!$D$155:$G$155</f>
        <v>ASSENTAMENTO DE GUIA (MEIO-FIO) EM TRECHO RETO, CONFECCIONADA EM CONCRETO PRÉ-FABRICADO, DIMENSÕES 100X15X13X30 CM (COMPRIMENTO X BASE INFERIOR X BASE SUPERIOR X ALTURA), PARA VIAS URBANAS (USO VIÁRIO). AF_06/2016</v>
      </c>
      <c r="E155" s="145"/>
      <c r="F155" s="145"/>
      <c r="G155" s="139"/>
      <c r="H155" s="244" t="str">
        <f ca="1">'[2]Orçamento COM PVS'!$H$155</f>
        <v>M</v>
      </c>
      <c r="I155" s="19">
        <f>'[2]Orçamento COM PVS'!$I$155</f>
        <v>158</v>
      </c>
      <c r="J155" s="27"/>
      <c r="K155" s="23">
        <f>ROUND(J155*(1+N155),2)</f>
        <v>0</v>
      </c>
      <c r="L155" s="24">
        <f t="shared" si="101"/>
        <v>0</v>
      </c>
      <c r="M155" s="25">
        <f t="shared" si="102"/>
        <v>0</v>
      </c>
      <c r="N155" s="264">
        <v>0.22040000000000001</v>
      </c>
      <c r="O155" s="271"/>
    </row>
    <row r="156" spans="1:15" ht="15" customHeight="1">
      <c r="A156" s="53" t="s">
        <v>246</v>
      </c>
      <c r="B156" s="53"/>
      <c r="C156" s="53"/>
      <c r="D156" s="152" t="str">
        <f>'[2]Orçamento COM PVS'!$D$156:$L$156</f>
        <v>JOÃO VIELMO</v>
      </c>
      <c r="E156" s="153"/>
      <c r="F156" s="153"/>
      <c r="G156" s="153"/>
      <c r="H156" s="153"/>
      <c r="I156" s="153"/>
      <c r="J156" s="153"/>
      <c r="K156" s="154"/>
      <c r="L156" s="260">
        <f>L157+L159+L164</f>
        <v>0</v>
      </c>
      <c r="M156" s="260">
        <f>M157+M159+M164</f>
        <v>0</v>
      </c>
      <c r="N156" s="13"/>
      <c r="O156" s="271"/>
    </row>
    <row r="157" spans="1:15" ht="15" customHeight="1">
      <c r="A157" s="53" t="s">
        <v>247</v>
      </c>
      <c r="B157" s="53"/>
      <c r="C157" s="53"/>
      <c r="D157" s="152" t="str">
        <f>'[2]Orçamento COM PVS'!$D$157:$L$157</f>
        <v>SERVIÇOS PRELIMINARES</v>
      </c>
      <c r="E157" s="153"/>
      <c r="F157" s="153"/>
      <c r="G157" s="153"/>
      <c r="H157" s="153"/>
      <c r="I157" s="153"/>
      <c r="J157" s="153"/>
      <c r="K157" s="154"/>
      <c r="L157" s="260">
        <f>L158</f>
        <v>0</v>
      </c>
      <c r="M157" s="260">
        <f>M158</f>
        <v>0</v>
      </c>
      <c r="N157" s="13"/>
      <c r="O157" s="271"/>
    </row>
    <row r="158" spans="1:15" ht="30.75" customHeight="1">
      <c r="A158" s="123" t="s">
        <v>248</v>
      </c>
      <c r="B158" s="242" t="str">
        <f>'[2]Orçamento COM PVS'!$B$158</f>
        <v>SINAPI</v>
      </c>
      <c r="C158" s="16">
        <f>'[2]Orçamento COM PVS'!$C$158</f>
        <v>99064</v>
      </c>
      <c r="D158" s="144" t="str">
        <f ca="1">'[2]Orçamento COM PVS'!$D$158:$G$158</f>
        <v>LOCAÇÃO DE PAVIMENTAÇÃO. AF_10/2018</v>
      </c>
      <c r="E158" s="145"/>
      <c r="F158" s="145"/>
      <c r="G158" s="139"/>
      <c r="H158" s="20" t="str">
        <f ca="1">'[2]Orçamento COM PVS'!$H$158</f>
        <v>M</v>
      </c>
      <c r="I158" s="19">
        <f>'[2]Orçamento COM PVS'!$I$158</f>
        <v>99</v>
      </c>
      <c r="J158" s="27"/>
      <c r="K158" s="23">
        <f>ROUND(J158*(1+N158),2)</f>
        <v>0</v>
      </c>
      <c r="L158" s="24">
        <f t="shared" ref="L158" si="103">ROUND(J158*I158,2)</f>
        <v>0</v>
      </c>
      <c r="M158" s="25">
        <f t="shared" ref="M158" si="104">ROUND(K158*I158,2)</f>
        <v>0</v>
      </c>
      <c r="N158" s="264">
        <v>0.22040000000000001</v>
      </c>
      <c r="O158" s="271"/>
    </row>
    <row r="159" spans="1:15" ht="15" customHeight="1">
      <c r="A159" s="53" t="s">
        <v>249</v>
      </c>
      <c r="B159" s="53"/>
      <c r="C159" s="53"/>
      <c r="D159" s="152" t="str">
        <f>'[2]Orçamento COM PVS'!$D$159:$L$159</f>
        <v>DRENAGEM PLUVIAL</v>
      </c>
      <c r="E159" s="153"/>
      <c r="F159" s="153"/>
      <c r="G159" s="153"/>
      <c r="H159" s="153"/>
      <c r="I159" s="153"/>
      <c r="J159" s="153"/>
      <c r="K159" s="154"/>
      <c r="L159" s="260">
        <f>SUM(L160:L163)</f>
        <v>0</v>
      </c>
      <c r="M159" s="260">
        <f>SUM(M160:M163)</f>
        <v>0</v>
      </c>
      <c r="N159" s="13"/>
      <c r="O159" s="271"/>
    </row>
    <row r="160" spans="1:15" ht="90" customHeight="1">
      <c r="A160" s="123" t="s">
        <v>250</v>
      </c>
      <c r="B160" s="242" t="str">
        <f>'[2]Orçamento COM PVS'!$B$160</f>
        <v>SINAPI</v>
      </c>
      <c r="C160" s="16">
        <f>'[2]Orçamento COM PVS'!$C$160</f>
        <v>90105</v>
      </c>
      <c r="D160" s="144" t="str">
        <f ca="1">'[2]Orçamento COM PVS'!$D$160:$G$160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160" s="145"/>
      <c r="F160" s="145"/>
      <c r="G160" s="139"/>
      <c r="H160" s="244" t="str">
        <f ca="1">'[2]Orçamento COM PVS'!$H$160</f>
        <v>M3</v>
      </c>
      <c r="I160" s="19">
        <f>'[2]Orçamento COM PVS'!$I$160</f>
        <v>167.80799999999999</v>
      </c>
      <c r="J160" s="27"/>
      <c r="K160" s="23">
        <f>ROUND(J160*(1+N160),2)</f>
        <v>0</v>
      </c>
      <c r="L160" s="24">
        <f t="shared" ref="L160:L163" si="105">ROUND(J160*I160,2)</f>
        <v>0</v>
      </c>
      <c r="M160" s="25">
        <f t="shared" ref="M160:M163" si="106">ROUND(K160*I160,2)</f>
        <v>0</v>
      </c>
      <c r="N160" s="264">
        <v>0.22040000000000001</v>
      </c>
      <c r="O160" s="271"/>
    </row>
    <row r="161" spans="1:15" ht="73.5" customHeight="1">
      <c r="A161" s="123" t="s">
        <v>251</v>
      </c>
      <c r="B161" s="242" t="str">
        <f>'[2]Orçamento COM PVS'!$B$161</f>
        <v>SINAPI</v>
      </c>
      <c r="C161" s="16">
        <f>'[2]Orçamento COM PVS'!$C$161</f>
        <v>95568</v>
      </c>
      <c r="D161" s="144" t="str">
        <f ca="1">'[2]Orçamento COM PVS'!$D$161:$G$161</f>
        <v>TUBO DE CONCRETO (SIMPLES) PARA REDES COLETORAS DE ÁGUAS PLUVIAIS, DIÂMETRO DE 400 MM, JUNTA RÍGIDA, INSTALADO EM LOCAL COM BAIXO NÍVEL DE INTERFERÊNCIAS - FORNECIMENTO E ASSENTAMENTO. AF_12/2015</v>
      </c>
      <c r="E161" s="145"/>
      <c r="F161" s="145"/>
      <c r="G161" s="139"/>
      <c r="H161" s="244" t="str">
        <f ca="1">'[2]Orçamento COM PVS'!$H$161</f>
        <v>M</v>
      </c>
      <c r="I161" s="19">
        <f>'[2]Orçamento COM PVS'!$I$161</f>
        <v>108</v>
      </c>
      <c r="J161" s="27"/>
      <c r="K161" s="23">
        <f t="shared" ref="K161:K163" si="107">ROUND(J161*(1+N161),2)</f>
        <v>0</v>
      </c>
      <c r="L161" s="24">
        <f t="shared" si="105"/>
        <v>0</v>
      </c>
      <c r="M161" s="25">
        <f t="shared" si="106"/>
        <v>0</v>
      </c>
      <c r="N161" s="264">
        <v>0.22040000000000001</v>
      </c>
      <c r="O161" s="271"/>
    </row>
    <row r="162" spans="1:15" ht="43.5" customHeight="1">
      <c r="A162" s="123" t="s">
        <v>252</v>
      </c>
      <c r="B162" s="242" t="str">
        <f>'[2]Orçamento COM PVS'!$B$162</f>
        <v>COMP.</v>
      </c>
      <c r="C162" s="16">
        <f>'[2]Orçamento COM PVS'!$C$162</f>
        <v>1</v>
      </c>
      <c r="D162" s="144" t="str">
        <f>'[2]Orçamento COM PVS'!$D$162:$G$162</f>
        <v>CX. PARA BOCA DE LOBO EM ALVENARIA DE BLOCOS DE CONCRETO 0,8X0,8X1,5m (DIM. INTERNA)</v>
      </c>
      <c r="E162" s="145"/>
      <c r="F162" s="145"/>
      <c r="G162" s="139"/>
      <c r="H162" s="244" t="str">
        <f>'[2]Orçamento COM PVS'!$H$162</f>
        <v>UNID.</v>
      </c>
      <c r="I162" s="19">
        <f>'[2]Orçamento COM PVS'!$I$162</f>
        <v>3</v>
      </c>
      <c r="J162" s="27"/>
      <c r="K162" s="23">
        <f t="shared" si="107"/>
        <v>0</v>
      </c>
      <c r="L162" s="24">
        <f t="shared" si="105"/>
        <v>0</v>
      </c>
      <c r="M162" s="25">
        <f t="shared" si="106"/>
        <v>0</v>
      </c>
      <c r="N162" s="264">
        <v>0.22040000000000001</v>
      </c>
      <c r="O162" s="271"/>
    </row>
    <row r="163" spans="1:15" ht="51" customHeight="1">
      <c r="A163" s="123" t="s">
        <v>253</v>
      </c>
      <c r="B163" s="242" t="str">
        <f>'[2]Orçamento COM PVS'!$B$163</f>
        <v>SINAPI</v>
      </c>
      <c r="C163" s="16">
        <f>'[2]Orçamento COM PVS'!$C$163</f>
        <v>93382</v>
      </c>
      <c r="D163" s="144" t="str">
        <f ca="1">'[2]Orçamento COM PVS'!$D$163:$G$163</f>
        <v>REATERRO MANUAL DE VALAS, COM COMPACTADOR DE SOLOS DE PERCUSSÃO. AF_08/2023</v>
      </c>
      <c r="E163" s="145"/>
      <c r="F163" s="145"/>
      <c r="G163" s="139"/>
      <c r="H163" s="244" t="str">
        <f ca="1">'[2]Orçamento COM PVS'!$H$163</f>
        <v>M3</v>
      </c>
      <c r="I163" s="19">
        <f>'[2]Orçamento COM PVS'!$I$163</f>
        <v>76.8</v>
      </c>
      <c r="J163" s="27"/>
      <c r="K163" s="23">
        <f t="shared" si="107"/>
        <v>0</v>
      </c>
      <c r="L163" s="24">
        <f t="shared" si="105"/>
        <v>0</v>
      </c>
      <c r="M163" s="25">
        <f t="shared" si="106"/>
        <v>0</v>
      </c>
      <c r="N163" s="264">
        <v>0.22040000000000001</v>
      </c>
      <c r="O163" s="271"/>
    </row>
    <row r="164" spans="1:15" ht="15" customHeight="1">
      <c r="A164" s="53" t="s">
        <v>254</v>
      </c>
      <c r="B164" s="53"/>
      <c r="C164" s="53"/>
      <c r="D164" s="152" t="str">
        <f>'[2]Orçamento COM PVS'!$D$164:$L$164</f>
        <v>PAVIMENTAÇÃO</v>
      </c>
      <c r="E164" s="153"/>
      <c r="F164" s="153"/>
      <c r="G164" s="153"/>
      <c r="H164" s="153"/>
      <c r="I164" s="153"/>
      <c r="J164" s="153"/>
      <c r="K164" s="154"/>
      <c r="L164" s="260">
        <f>SUM(L165:L166)</f>
        <v>0</v>
      </c>
      <c r="M164" s="260">
        <f>SUM(M165:M166)</f>
        <v>0</v>
      </c>
      <c r="N164" s="13"/>
      <c r="O164" s="271"/>
    </row>
    <row r="165" spans="1:15" ht="30.75" customHeight="1">
      <c r="A165" s="123" t="s">
        <v>255</v>
      </c>
      <c r="B165" s="242" t="str">
        <f>'[2]Orçamento COM PVS'!$B$165</f>
        <v>COMP.</v>
      </c>
      <c r="C165" s="16">
        <f>'[2]Orçamento COM PVS'!$C$165</f>
        <v>3</v>
      </c>
      <c r="D165" s="144" t="str">
        <f>'[2]Orçamento COM PVS'!$D$165:$G$165</f>
        <v>EXECUÇÃO DE VIA EM PISO INTERTRAVADO, COM BLOCO 16 FACES DE 22X11 CM, ESPESSURA DE 8 CM. AF_10/2022</v>
      </c>
      <c r="E165" s="145"/>
      <c r="F165" s="145"/>
      <c r="G165" s="139"/>
      <c r="H165" s="20" t="str">
        <f>'[2]Orçamento COM PVS'!$H$165</f>
        <v>M2</v>
      </c>
      <c r="I165" s="19">
        <f>'[2]Orçamento COM PVS'!$I$165</f>
        <v>891</v>
      </c>
      <c r="J165" s="27"/>
      <c r="K165" s="23">
        <f>ROUND(J165*(1+N165),2)</f>
        <v>0</v>
      </c>
      <c r="L165" s="24">
        <f t="shared" ref="L165:L166" si="108">ROUND(J165*I165,2)</f>
        <v>0</v>
      </c>
      <c r="M165" s="25">
        <f t="shared" ref="M165:M166" si="109">ROUND(K165*I165,2)</f>
        <v>0</v>
      </c>
      <c r="N165" s="264">
        <v>0.22040000000000001</v>
      </c>
      <c r="O165" s="271"/>
    </row>
    <row r="166" spans="1:15" ht="30.75" customHeight="1">
      <c r="A166" s="123" t="s">
        <v>256</v>
      </c>
      <c r="B166" s="242" t="str">
        <f>'[2]Orçamento COM PVS'!$B$166</f>
        <v>SINAPI</v>
      </c>
      <c r="C166" s="16">
        <f>'[2]Orçamento COM PVS'!$C$166</f>
        <v>94273</v>
      </c>
      <c r="D166" s="144" t="str">
        <f ca="1">'[2]Orçamento COM PVS'!$D$166:$G$166</f>
        <v>ASSENTAMENTO DE GUIA (MEIO-FIO) EM TRECHO RETO, CONFECCIONADA EM CONCRETO PRÉ-FABRICADO, DIMENSÕES 100X15X13X30 CM (COMPRIMENTO X BASE INFERIOR X BASE SUPERIOR X ALTURA), PARA VIAS URBANAS (USO VIÁRIO). AF_06/2016</v>
      </c>
      <c r="E166" s="145"/>
      <c r="F166" s="145"/>
      <c r="G166" s="139"/>
      <c r="H166" s="20" t="str">
        <f ca="1">'[2]Orçamento COM PVS'!$H$166</f>
        <v>M</v>
      </c>
      <c r="I166" s="19">
        <f>'[2]Orçamento COM PVS'!$I$166</f>
        <v>198</v>
      </c>
      <c r="J166" s="27"/>
      <c r="K166" s="23">
        <f>ROUND(J166*(1+N166),2)</f>
        <v>0</v>
      </c>
      <c r="L166" s="24">
        <f t="shared" si="108"/>
        <v>0</v>
      </c>
      <c r="M166" s="25">
        <f t="shared" si="109"/>
        <v>0</v>
      </c>
      <c r="N166" s="264">
        <v>0.22040000000000001</v>
      </c>
      <c r="O166" s="271"/>
    </row>
    <row r="167" spans="1:15" ht="15" customHeight="1">
      <c r="A167" s="53" t="s">
        <v>257</v>
      </c>
      <c r="B167" s="53"/>
      <c r="C167" s="53"/>
      <c r="D167" s="152" t="str">
        <f>'[2]Orçamento COM PVS'!$D$167:$L$167</f>
        <v>JOSÉ ANGONESE</v>
      </c>
      <c r="E167" s="153"/>
      <c r="F167" s="153"/>
      <c r="G167" s="153"/>
      <c r="H167" s="153"/>
      <c r="I167" s="153"/>
      <c r="J167" s="153"/>
      <c r="K167" s="154"/>
      <c r="L167" s="260">
        <f>L168+L170+L175</f>
        <v>0</v>
      </c>
      <c r="M167" s="260">
        <f>M168+M170+M175</f>
        <v>0</v>
      </c>
      <c r="N167" s="13"/>
      <c r="O167" s="271"/>
    </row>
    <row r="168" spans="1:15" ht="15" customHeight="1">
      <c r="A168" s="53" t="s">
        <v>258</v>
      </c>
      <c r="B168" s="53"/>
      <c r="C168" s="53"/>
      <c r="D168" s="152" t="str">
        <f>'[2]Orçamento COM PVS'!$D$168:$L$168</f>
        <v>SERVIÇOS PRELIMINARES</v>
      </c>
      <c r="E168" s="153"/>
      <c r="F168" s="153"/>
      <c r="G168" s="153"/>
      <c r="H168" s="153"/>
      <c r="I168" s="153"/>
      <c r="J168" s="153"/>
      <c r="K168" s="154"/>
      <c r="L168" s="260">
        <f>L169</f>
        <v>0</v>
      </c>
      <c r="M168" s="260">
        <f>M169</f>
        <v>0</v>
      </c>
      <c r="N168" s="13"/>
      <c r="O168" s="271"/>
    </row>
    <row r="169" spans="1:15" ht="30.75" customHeight="1">
      <c r="A169" s="123" t="s">
        <v>269</v>
      </c>
      <c r="B169" s="242" t="str">
        <f>'[2]Orçamento COM PVS'!$B$169</f>
        <v>SINAPI</v>
      </c>
      <c r="C169" s="16">
        <f>'[2]Orçamento COM PVS'!$C$169</f>
        <v>99064</v>
      </c>
      <c r="D169" s="144" t="str">
        <f ca="1">'[2]Orçamento COM PVS'!$D$169:$G$169</f>
        <v>LOCAÇÃO DE PAVIMENTAÇÃO. AF_10/2018</v>
      </c>
      <c r="E169" s="145"/>
      <c r="F169" s="145"/>
      <c r="G169" s="139"/>
      <c r="H169" s="20" t="str">
        <f ca="1">'[2]Orçamento COM PVS'!$H$169</f>
        <v>M</v>
      </c>
      <c r="I169" s="19">
        <f>'[2]Orçamento COM PVS'!$I$169</f>
        <v>78</v>
      </c>
      <c r="J169" s="27"/>
      <c r="K169" s="23">
        <f>ROUND(J169*(1+N169),2)</f>
        <v>0</v>
      </c>
      <c r="L169" s="24">
        <f t="shared" ref="L169" si="110">ROUND(J169*I169,2)</f>
        <v>0</v>
      </c>
      <c r="M169" s="25">
        <f t="shared" ref="M169" si="111">ROUND(K169*I169,2)</f>
        <v>0</v>
      </c>
      <c r="N169" s="264">
        <v>0.22040000000000001</v>
      </c>
      <c r="O169" s="271"/>
    </row>
    <row r="170" spans="1:15" ht="15" customHeight="1">
      <c r="A170" s="53" t="s">
        <v>259</v>
      </c>
      <c r="B170" s="53"/>
      <c r="C170" s="53"/>
      <c r="D170" s="152" t="str">
        <f>'[2]Orçamento COM PVS'!$D$170:$L$170</f>
        <v>DRENAGEM PLUVIAL</v>
      </c>
      <c r="E170" s="153"/>
      <c r="F170" s="153"/>
      <c r="G170" s="153"/>
      <c r="H170" s="153"/>
      <c r="I170" s="153"/>
      <c r="J170" s="153"/>
      <c r="K170" s="154"/>
      <c r="L170" s="260">
        <f>SUM(L171:L174)</f>
        <v>0</v>
      </c>
      <c r="M170" s="260">
        <f>SUM(M171:M174)</f>
        <v>0</v>
      </c>
      <c r="N170" s="13"/>
      <c r="O170" s="271"/>
    </row>
    <row r="171" spans="1:15" ht="79.5" customHeight="1">
      <c r="A171" s="123" t="s">
        <v>260</v>
      </c>
      <c r="B171" s="242" t="str">
        <f>'[2]Orçamento COM PVS'!$B$171</f>
        <v>SINAPI</v>
      </c>
      <c r="C171" s="16">
        <f>'[2]Orçamento COM PVS'!$C$171</f>
        <v>90105</v>
      </c>
      <c r="D171" s="144" t="str">
        <f ca="1">'[2]Orçamento COM PVS'!$D$171:$G$171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171" s="145"/>
      <c r="F171" s="145"/>
      <c r="G171" s="139"/>
      <c r="H171" s="244" t="str">
        <f ca="1">'[2]Orçamento COM PVS'!$H$171</f>
        <v>M3</v>
      </c>
      <c r="I171" s="19">
        <f>'[2]Orçamento COM PVS'!$I$171</f>
        <v>32.808</v>
      </c>
      <c r="J171" s="27"/>
      <c r="K171" s="23">
        <f>ROUND(J171*(1+N171),2)</f>
        <v>0</v>
      </c>
      <c r="L171" s="24">
        <f t="shared" ref="L171:L174" si="112">ROUND(J171*I171,2)</f>
        <v>0</v>
      </c>
      <c r="M171" s="25">
        <f t="shared" ref="M171:M174" si="113">ROUND(K171*I171,2)</f>
        <v>0</v>
      </c>
      <c r="N171" s="264">
        <v>0.22040000000000001</v>
      </c>
      <c r="O171" s="271"/>
    </row>
    <row r="172" spans="1:15" ht="76.5" customHeight="1">
      <c r="A172" s="123" t="s">
        <v>261</v>
      </c>
      <c r="B172" s="242" t="str">
        <f>'[2]Orçamento COM PVS'!$B$172</f>
        <v>SINAPI</v>
      </c>
      <c r="C172" s="16">
        <f>'[2]Orçamento COM PVS'!$C$172</f>
        <v>95568</v>
      </c>
      <c r="D172" s="144" t="str">
        <f ca="1">'[2]Orçamento COM PVS'!$D$172:$G$172</f>
        <v>TUBO DE CONCRETO (SIMPLES) PARA REDES COLETORAS DE ÁGUAS PLUVIAIS, DIÂMETRO DE 400 MM, JUNTA RÍGIDA, INSTALADO EM LOCAL COM BAIXO NÍVEL DE INTERFERÊNCIAS - FORNECIMENTO E ASSENTAMENTO. AF_12/2015</v>
      </c>
      <c r="E172" s="145"/>
      <c r="F172" s="145"/>
      <c r="G172" s="139"/>
      <c r="H172" s="244" t="str">
        <f ca="1">'[2]Orçamento COM PVS'!$H$172</f>
        <v>M</v>
      </c>
      <c r="I172" s="19">
        <f>'[2]Orçamento COM PVS'!$I$172</f>
        <v>18</v>
      </c>
      <c r="J172" s="27"/>
      <c r="K172" s="23">
        <f t="shared" ref="K172:K174" si="114">ROUND(J172*(1+N172),2)</f>
        <v>0</v>
      </c>
      <c r="L172" s="24">
        <f t="shared" si="112"/>
        <v>0</v>
      </c>
      <c r="M172" s="25">
        <f t="shared" si="113"/>
        <v>0</v>
      </c>
      <c r="N172" s="264">
        <v>0.22040000000000001</v>
      </c>
      <c r="O172" s="271"/>
    </row>
    <row r="173" spans="1:15" ht="50.25" customHeight="1">
      <c r="A173" s="123" t="s">
        <v>262</v>
      </c>
      <c r="B173" s="242" t="str">
        <f>'[2]Orçamento COM PVS'!$B$173</f>
        <v>COMP.</v>
      </c>
      <c r="C173" s="16">
        <f>'[2]Orçamento COM PVS'!$C$173</f>
        <v>1</v>
      </c>
      <c r="D173" s="144" t="str">
        <f>'[2]Orçamento COM PVS'!$D$173:$G$173</f>
        <v>CX. PARA BOCA DE LOBO EM ALVENARIA DE BLOCOS DE CONCRETO 0,8X0,8X1,5m (DIM. INTERNA)</v>
      </c>
      <c r="E173" s="145"/>
      <c r="F173" s="145"/>
      <c r="G173" s="139"/>
      <c r="H173" s="244" t="str">
        <f>'[2]Orçamento COM PVS'!$H$173</f>
        <v>UNID.</v>
      </c>
      <c r="I173" s="19">
        <f>'[2]Orçamento COM PVS'!$I$173</f>
        <v>3</v>
      </c>
      <c r="J173" s="27"/>
      <c r="K173" s="23">
        <f t="shared" si="114"/>
        <v>0</v>
      </c>
      <c r="L173" s="24">
        <f t="shared" si="112"/>
        <v>0</v>
      </c>
      <c r="M173" s="25">
        <f t="shared" si="113"/>
        <v>0</v>
      </c>
      <c r="N173" s="264">
        <v>0.22040000000000001</v>
      </c>
      <c r="O173" s="271"/>
    </row>
    <row r="174" spans="1:15" ht="42.75" customHeight="1">
      <c r="A174" s="123" t="s">
        <v>263</v>
      </c>
      <c r="B174" s="242" t="str">
        <f>'[2]Orçamento COM PVS'!$B$174</f>
        <v>SINAPI</v>
      </c>
      <c r="C174" s="16">
        <f>'[2]Orçamento COM PVS'!$C$174</f>
        <v>93382</v>
      </c>
      <c r="D174" s="144" t="str">
        <f ca="1">'[2]Orçamento COM PVS'!$D$174:$G$174</f>
        <v>REATERRO MANUAL DE VALAS, COM COMPACTADOR DE SOLOS DE PERCUSSÃO. AF_08/2023</v>
      </c>
      <c r="E174" s="145"/>
      <c r="F174" s="145"/>
      <c r="G174" s="139"/>
      <c r="H174" s="244" t="str">
        <f ca="1">'[2]Orçamento COM PVS'!$H$174</f>
        <v>M3</v>
      </c>
      <c r="I174" s="19">
        <f>'[2]Orçamento COM PVS'!$I$174</f>
        <v>13.8</v>
      </c>
      <c r="J174" s="27"/>
      <c r="K174" s="23">
        <f t="shared" si="114"/>
        <v>0</v>
      </c>
      <c r="L174" s="24">
        <f t="shared" si="112"/>
        <v>0</v>
      </c>
      <c r="M174" s="25">
        <f t="shared" si="113"/>
        <v>0</v>
      </c>
      <c r="N174" s="264">
        <v>0.22040000000000001</v>
      </c>
      <c r="O174" s="271"/>
    </row>
    <row r="175" spans="1:15" ht="15" customHeight="1">
      <c r="A175" s="53" t="s">
        <v>264</v>
      </c>
      <c r="B175" s="53"/>
      <c r="C175" s="53"/>
      <c r="D175" s="152" t="str">
        <f>'[2]Orçamento COM PVS'!$D$175:$L$175</f>
        <v>PAVIMENTAÇÃO</v>
      </c>
      <c r="E175" s="153"/>
      <c r="F175" s="153"/>
      <c r="G175" s="153"/>
      <c r="H175" s="153"/>
      <c r="I175" s="153"/>
      <c r="J175" s="153"/>
      <c r="K175" s="154"/>
      <c r="L175" s="260">
        <f>SUM(L176:L177)</f>
        <v>0</v>
      </c>
      <c r="M175" s="260">
        <f>SUM(M176:M177)</f>
        <v>0</v>
      </c>
      <c r="N175" s="13"/>
      <c r="O175" s="271"/>
    </row>
    <row r="176" spans="1:15" ht="45" customHeight="1">
      <c r="A176" s="123" t="s">
        <v>265</v>
      </c>
      <c r="B176" s="242" t="str">
        <f>'[2]Orçamento COM PVS'!$B$176</f>
        <v>COMP.</v>
      </c>
      <c r="C176" s="16">
        <f>'[2]Orçamento COM PVS'!$C$176</f>
        <v>3</v>
      </c>
      <c r="D176" s="144" t="str">
        <f>'[2]Orçamento COM PVS'!$D$176:$G$176</f>
        <v>EXECUÇÃO DE VIA EM PISO INTERTRAVADO, COM BLOCO 16 FACES DE 22X11 CM, ESPESSURA DE 8 CM. AF_10/2022</v>
      </c>
      <c r="E176" s="145"/>
      <c r="F176" s="145"/>
      <c r="G176" s="139"/>
      <c r="H176" s="20" t="str">
        <f>'[2]Orçamento COM PVS'!$H$176</f>
        <v>M2</v>
      </c>
      <c r="I176" s="19">
        <f>'[2]Orçamento COM PVS'!$I$176</f>
        <v>702</v>
      </c>
      <c r="J176" s="27"/>
      <c r="K176" s="23">
        <f>ROUND(J176*(1+N176),2)</f>
        <v>0</v>
      </c>
      <c r="L176" s="24">
        <f t="shared" ref="L176:L177" si="115">ROUND(J176*I176,2)</f>
        <v>0</v>
      </c>
      <c r="M176" s="25">
        <f t="shared" ref="M176:M177" si="116">ROUND(K176*I176,2)</f>
        <v>0</v>
      </c>
      <c r="N176" s="264">
        <v>0.22040000000000001</v>
      </c>
      <c r="O176" s="271"/>
    </row>
    <row r="177" spans="1:15" ht="78" customHeight="1">
      <c r="A177" s="123" t="s">
        <v>266</v>
      </c>
      <c r="B177" s="242" t="str">
        <f>'[2]Orçamento COM PVS'!$B$177</f>
        <v>SINAPI</v>
      </c>
      <c r="C177" s="16">
        <f>'[2]Orçamento COM PVS'!$C$177</f>
        <v>94273</v>
      </c>
      <c r="D177" s="144" t="str">
        <f ca="1">'[2]Orçamento COM PVS'!$D$177:$G$177</f>
        <v>ASSENTAMENTO DE GUIA (MEIO-FIO) EM TRECHO RETO, CONFECCIONADA EM CONCRETO PRÉ-FABRICADO, DIMENSÕES 100X15X13X30 CM (COMPRIMENTO X BASE INFERIOR X BASE SUPERIOR X ALTURA), PARA VIAS URBANAS (USO VIÁRIO). AF_06/2016</v>
      </c>
      <c r="E177" s="145"/>
      <c r="F177" s="145"/>
      <c r="G177" s="139"/>
      <c r="H177" s="20" t="str">
        <f ca="1">'[2]Orçamento COM PVS'!$H$177</f>
        <v>M</v>
      </c>
      <c r="I177" s="19">
        <f>'[2]Orçamento COM PVS'!$I$177</f>
        <v>165</v>
      </c>
      <c r="J177" s="27"/>
      <c r="K177" s="23">
        <f>ROUND(J177*(1+N177),2)</f>
        <v>0</v>
      </c>
      <c r="L177" s="24">
        <f t="shared" si="115"/>
        <v>0</v>
      </c>
      <c r="M177" s="25">
        <f t="shared" si="116"/>
        <v>0</v>
      </c>
      <c r="N177" s="264">
        <v>0.22040000000000001</v>
      </c>
      <c r="O177" s="271"/>
    </row>
    <row r="178" spans="1:15" ht="15" customHeight="1">
      <c r="A178" s="53" t="s">
        <v>267</v>
      </c>
      <c r="B178" s="53"/>
      <c r="C178" s="53"/>
      <c r="D178" s="152" t="str">
        <f>'[2]Orçamento COM PVS'!$D$178:$L$178</f>
        <v>ANTONIO DELEVATI</v>
      </c>
      <c r="E178" s="153"/>
      <c r="F178" s="153"/>
      <c r="G178" s="153"/>
      <c r="H178" s="153"/>
      <c r="I178" s="153"/>
      <c r="J178" s="153"/>
      <c r="K178" s="154"/>
      <c r="L178" s="260">
        <f>L179+L181+L186</f>
        <v>0</v>
      </c>
      <c r="M178" s="260">
        <f>M179+M181+M186</f>
        <v>0</v>
      </c>
      <c r="N178" s="13"/>
      <c r="O178" s="271"/>
    </row>
    <row r="179" spans="1:15" ht="15" customHeight="1">
      <c r="A179" s="53" t="s">
        <v>268</v>
      </c>
      <c r="B179" s="53"/>
      <c r="C179" s="53"/>
      <c r="D179" s="152" t="str">
        <f>'[2]Orçamento COM PVS'!$D$179:$L$179</f>
        <v>SERVIÇOS PRELIMINARES</v>
      </c>
      <c r="E179" s="153"/>
      <c r="F179" s="153"/>
      <c r="G179" s="153"/>
      <c r="H179" s="153"/>
      <c r="I179" s="153"/>
      <c r="J179" s="153"/>
      <c r="K179" s="154"/>
      <c r="L179" s="260">
        <f>L180</f>
        <v>0</v>
      </c>
      <c r="M179" s="260">
        <f>M180</f>
        <v>0</v>
      </c>
      <c r="N179" s="13"/>
      <c r="O179" s="271"/>
    </row>
    <row r="180" spans="1:15" ht="30.75" customHeight="1">
      <c r="A180" s="123" t="s">
        <v>270</v>
      </c>
      <c r="B180" s="242" t="str">
        <f>'[2]Orçamento COM PVS'!$B$180</f>
        <v>SINAPI</v>
      </c>
      <c r="C180" s="16">
        <f>'[2]Orçamento COM PVS'!$C$180</f>
        <v>99064</v>
      </c>
      <c r="D180" s="144" t="str">
        <f ca="1">'[2]Orçamento COM PVS'!$D$180:$G$180</f>
        <v>LOCAÇÃO DE PAVIMENTAÇÃO. AF_10/2018</v>
      </c>
      <c r="E180" s="145"/>
      <c r="F180" s="145"/>
      <c r="G180" s="139"/>
      <c r="H180" s="20" t="str">
        <f ca="1">'[2]Orçamento COM PVS'!$H$180</f>
        <v>M</v>
      </c>
      <c r="I180" s="19">
        <f>'[2]Orçamento COM PVS'!$I$180</f>
        <v>68</v>
      </c>
      <c r="J180" s="27"/>
      <c r="K180" s="23">
        <f>ROUND(J180*(1+N180),2)</f>
        <v>0</v>
      </c>
      <c r="L180" s="24">
        <f t="shared" ref="L180" si="117">ROUND(J180*I180,2)</f>
        <v>0</v>
      </c>
      <c r="M180" s="25">
        <f t="shared" ref="M180" si="118">ROUND(K180*I180,2)</f>
        <v>0</v>
      </c>
      <c r="N180" s="264">
        <v>0.22040000000000001</v>
      </c>
      <c r="O180" s="271"/>
    </row>
    <row r="181" spans="1:15" ht="15" customHeight="1">
      <c r="A181" s="53" t="s">
        <v>271</v>
      </c>
      <c r="B181" s="53"/>
      <c r="C181" s="53"/>
      <c r="D181" s="152" t="str">
        <f>'[2]Orçamento COM PVS'!$D$181:$L$181</f>
        <v>DRENAGEM PLUVIAL</v>
      </c>
      <c r="E181" s="153"/>
      <c r="F181" s="153"/>
      <c r="G181" s="153"/>
      <c r="H181" s="153"/>
      <c r="I181" s="153"/>
      <c r="J181" s="153"/>
      <c r="K181" s="154"/>
      <c r="L181" s="260">
        <f>SUM(L182:L185)</f>
        <v>0</v>
      </c>
      <c r="M181" s="260">
        <f>SUM(M182:M185)</f>
        <v>0</v>
      </c>
      <c r="N181" s="13"/>
      <c r="O181" s="271"/>
    </row>
    <row r="182" spans="1:15" ht="30.75" customHeight="1">
      <c r="A182" s="123" t="s">
        <v>273</v>
      </c>
      <c r="B182" s="242" t="str">
        <f>'[2]Orçamento COM PVS'!$B$182</f>
        <v>SINAPI</v>
      </c>
      <c r="C182" s="16">
        <f>'[2]Orçamento COM PVS'!$C$182</f>
        <v>90105</v>
      </c>
      <c r="D182" s="144" t="str">
        <f ca="1">'[2]Orçamento COM PVS'!$D$182:$G$182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182" s="145"/>
      <c r="F182" s="145"/>
      <c r="G182" s="139"/>
      <c r="H182" s="244" t="str">
        <f ca="1">'[2]Orçamento COM PVS'!$H$182</f>
        <v>M3</v>
      </c>
      <c r="I182" s="19">
        <f>'[2]Orçamento COM PVS'!$I$182</f>
        <v>91.308000000000007</v>
      </c>
      <c r="J182" s="27"/>
      <c r="K182" s="23">
        <f>ROUND(J182*(1+N182),2)</f>
        <v>0</v>
      </c>
      <c r="L182" s="24">
        <f t="shared" ref="L182:L185" si="119">ROUND(J182*I182,2)</f>
        <v>0</v>
      </c>
      <c r="M182" s="25">
        <f t="shared" ref="M182:M185" si="120">ROUND(K182*I182,2)</f>
        <v>0</v>
      </c>
      <c r="N182" s="264">
        <v>0.22040000000000001</v>
      </c>
      <c r="O182" s="271"/>
    </row>
    <row r="183" spans="1:15" ht="30.75" customHeight="1">
      <c r="A183" s="123" t="s">
        <v>274</v>
      </c>
      <c r="B183" s="242" t="str">
        <f>'[2]Orçamento COM PVS'!$B$183</f>
        <v>SINAPI</v>
      </c>
      <c r="C183" s="16">
        <f>'[2]Orçamento COM PVS'!$C$183</f>
        <v>95568</v>
      </c>
      <c r="D183" s="144" t="str">
        <f ca="1">'[2]Orçamento COM PVS'!$D$183:$G$183</f>
        <v>TUBO DE CONCRETO (SIMPLES) PARA REDES COLETORAS DE ÁGUAS PLUVIAIS, DIÂMETRO DE 400 MM, JUNTA RÍGIDA, INSTALADO EM LOCAL COM BAIXO NÍVEL DE INTERFERÊNCIAS - FORNECIMENTO E ASSENTAMENTO. AF_12/2015</v>
      </c>
      <c r="E183" s="145"/>
      <c r="F183" s="145"/>
      <c r="G183" s="139"/>
      <c r="H183" s="244" t="str">
        <f ca="1">'[2]Orçamento COM PVS'!$H$183</f>
        <v>M</v>
      </c>
      <c r="I183" s="19">
        <f>'[2]Orçamento COM PVS'!$I$183</f>
        <v>57</v>
      </c>
      <c r="J183" s="27"/>
      <c r="K183" s="23">
        <f t="shared" ref="K183:K185" si="121">ROUND(J183*(1+N183),2)</f>
        <v>0</v>
      </c>
      <c r="L183" s="24">
        <f t="shared" si="119"/>
        <v>0</v>
      </c>
      <c r="M183" s="25">
        <f t="shared" si="120"/>
        <v>0</v>
      </c>
      <c r="N183" s="264">
        <v>0.22040000000000001</v>
      </c>
      <c r="O183" s="271"/>
    </row>
    <row r="184" spans="1:15" ht="30.75" customHeight="1">
      <c r="A184" s="123" t="s">
        <v>275</v>
      </c>
      <c r="B184" s="242" t="str">
        <f>'[2]Orçamento COM PVS'!$B$184</f>
        <v>COMP.</v>
      </c>
      <c r="C184" s="16">
        <f>'[2]Orçamento COM PVS'!$C$184</f>
        <v>1</v>
      </c>
      <c r="D184" s="144" t="str">
        <f>'[2]Orçamento COM PVS'!$D$184:$G$184</f>
        <v>CX. PARA BOCA DE LOBO EM ALVENARIA DE BLOCOS DE CONCRETO 0,8X0,8X1,5m (DIM. INTERNA)</v>
      </c>
      <c r="E184" s="145"/>
      <c r="F184" s="145"/>
      <c r="G184" s="139"/>
      <c r="H184" s="244" t="str">
        <f>'[2]Orçamento COM PVS'!$H$184</f>
        <v>UNID.</v>
      </c>
      <c r="I184" s="19">
        <f>'[2]Orçamento COM PVS'!$I$184</f>
        <v>3</v>
      </c>
      <c r="J184" s="27"/>
      <c r="K184" s="23">
        <f t="shared" si="121"/>
        <v>0</v>
      </c>
      <c r="L184" s="24">
        <f t="shared" si="119"/>
        <v>0</v>
      </c>
      <c r="M184" s="25">
        <f t="shared" si="120"/>
        <v>0</v>
      </c>
      <c r="N184" s="264">
        <v>0.22040000000000001</v>
      </c>
      <c r="O184" s="271"/>
    </row>
    <row r="185" spans="1:15" ht="30.75" customHeight="1">
      <c r="A185" s="123" t="s">
        <v>276</v>
      </c>
      <c r="B185" s="242" t="str">
        <f>'[2]Orçamento COM PVS'!$B$185</f>
        <v>SINAPI</v>
      </c>
      <c r="C185" s="16">
        <f>'[2]Orçamento COM PVS'!$C$185</f>
        <v>93382</v>
      </c>
      <c r="D185" s="144" t="str">
        <f ca="1">'[2]Orçamento COM PVS'!$D$185:$G$185</f>
        <v>REATERRO MANUAL DE VALAS, COM COMPACTADOR DE SOLOS DE PERCUSSÃO. AF_08/2023</v>
      </c>
      <c r="E185" s="145"/>
      <c r="F185" s="145"/>
      <c r="G185" s="139"/>
      <c r="H185" s="244" t="str">
        <f ca="1">'[2]Orçamento COM PVS'!$H$185</f>
        <v>M3</v>
      </c>
      <c r="I185" s="19">
        <f>'[2]Orçamento COM PVS'!$I$185</f>
        <v>41.1</v>
      </c>
      <c r="J185" s="27"/>
      <c r="K185" s="23">
        <f t="shared" si="121"/>
        <v>0</v>
      </c>
      <c r="L185" s="24">
        <f t="shared" si="119"/>
        <v>0</v>
      </c>
      <c r="M185" s="25">
        <f t="shared" si="120"/>
        <v>0</v>
      </c>
      <c r="N185" s="264">
        <v>0.22040000000000001</v>
      </c>
      <c r="O185" s="271"/>
    </row>
    <row r="186" spans="1:15" ht="15" customHeight="1">
      <c r="A186" s="53" t="s">
        <v>272</v>
      </c>
      <c r="B186" s="53"/>
      <c r="C186" s="53"/>
      <c r="D186" s="152" t="str">
        <f>'[2]Orçamento COM PVS'!$D$186:$L$186</f>
        <v>PAVIMENTAÇÃO</v>
      </c>
      <c r="E186" s="153"/>
      <c r="F186" s="153"/>
      <c r="G186" s="153"/>
      <c r="H186" s="153"/>
      <c r="I186" s="153"/>
      <c r="J186" s="153"/>
      <c r="K186" s="154"/>
      <c r="L186" s="260">
        <f>SUM(L187:L188)</f>
        <v>0</v>
      </c>
      <c r="M186" s="260">
        <f>SUM(M187:M188)</f>
        <v>0</v>
      </c>
      <c r="N186" s="13"/>
      <c r="O186" s="271"/>
    </row>
    <row r="187" spans="1:15" ht="30.75" customHeight="1">
      <c r="A187" s="123" t="s">
        <v>277</v>
      </c>
      <c r="B187" s="242" t="str">
        <f>'[2]Orçamento COM PVS'!$B$187</f>
        <v>COMP.</v>
      </c>
      <c r="C187" s="16">
        <f>'[2]Orçamento COM PVS'!$C$187</f>
        <v>3</v>
      </c>
      <c r="D187" s="144" t="str">
        <f>'[2]Orçamento COM PVS'!$D$187:$G$187</f>
        <v>EXECUÇÃO DE VIA EM PISO INTERTRAVADO, COM BLOCO 16 FACES DE 22X11 CM, ESPESSURA DE 8 CM. AF_10/2022</v>
      </c>
      <c r="E187" s="145"/>
      <c r="F187" s="145"/>
      <c r="G187" s="139"/>
      <c r="H187" s="20" t="str">
        <f>'[2]Orçamento COM PVS'!$H$187</f>
        <v>M2</v>
      </c>
      <c r="I187" s="19">
        <f>'[2]Orçamento COM PVS'!$I$187</f>
        <v>612</v>
      </c>
      <c r="J187" s="27"/>
      <c r="K187" s="23">
        <f>ROUND(J187*(1+N187),2)</f>
        <v>0</v>
      </c>
      <c r="L187" s="24">
        <f t="shared" ref="L187:L188" si="122">ROUND(J187*I187,2)</f>
        <v>0</v>
      </c>
      <c r="M187" s="25">
        <f t="shared" ref="M187:M188" si="123">ROUND(K187*I187,2)</f>
        <v>0</v>
      </c>
      <c r="N187" s="264">
        <v>0.22040000000000001</v>
      </c>
      <c r="O187" s="271"/>
    </row>
    <row r="188" spans="1:15" ht="90" customHeight="1">
      <c r="A188" s="123" t="s">
        <v>278</v>
      </c>
      <c r="B188" s="242" t="str">
        <f>'[2]Orçamento COM PVS'!$B$188</f>
        <v>SINAPI</v>
      </c>
      <c r="C188" s="16">
        <f>'[2]Orçamento COM PVS'!$C$188</f>
        <v>94273</v>
      </c>
      <c r="D188" s="144" t="str">
        <f ca="1">'[2]Orçamento COM PVS'!$D$188:$G$188</f>
        <v>ASSENTAMENTO DE GUIA (MEIO-FIO) EM TRECHO RETO, CONFECCIONADA EM CONCRETO PRÉ-FABRICADO, DIMENSÕES 100X15X13X30 CM (COMPRIMENTO X BASE INFERIOR X BASE SUPERIOR X ALTURA), PARA VIAS URBANAS (USO VIÁRIO). AF_06/2016</v>
      </c>
      <c r="E188" s="145"/>
      <c r="F188" s="145"/>
      <c r="G188" s="139"/>
      <c r="H188" s="20" t="str">
        <f ca="1">'[2]Orçamento COM PVS'!$H$188</f>
        <v>M</v>
      </c>
      <c r="I188" s="19">
        <f>'[2]Orçamento COM PVS'!$I$188</f>
        <v>149</v>
      </c>
      <c r="J188" s="27"/>
      <c r="K188" s="23">
        <f>ROUND(J188*(1+N188),2)</f>
        <v>0</v>
      </c>
      <c r="L188" s="24">
        <f t="shared" si="122"/>
        <v>0</v>
      </c>
      <c r="M188" s="25">
        <f t="shared" si="123"/>
        <v>0</v>
      </c>
      <c r="N188" s="264">
        <v>0.22040000000000001</v>
      </c>
      <c r="O188" s="271"/>
    </row>
    <row r="189" spans="1:15" ht="15" customHeight="1">
      <c r="A189" s="53" t="s">
        <v>279</v>
      </c>
      <c r="B189" s="53"/>
      <c r="C189" s="53"/>
      <c r="D189" s="152" t="str">
        <f>'[2]Orçamento COM PVS'!$D$189:$L$189</f>
        <v>VALDECI CAETANO GUASSO</v>
      </c>
      <c r="E189" s="153"/>
      <c r="F189" s="153"/>
      <c r="G189" s="153"/>
      <c r="H189" s="153"/>
      <c r="I189" s="153"/>
      <c r="J189" s="153"/>
      <c r="K189" s="154"/>
      <c r="L189" s="260">
        <f>L190+L192</f>
        <v>0</v>
      </c>
      <c r="M189" s="260">
        <f>M190+M192</f>
        <v>0</v>
      </c>
      <c r="N189" s="13"/>
      <c r="O189" s="271"/>
    </row>
    <row r="190" spans="1:15" ht="15" customHeight="1">
      <c r="A190" s="53" t="s">
        <v>280</v>
      </c>
      <c r="B190" s="53"/>
      <c r="C190" s="53"/>
      <c r="D190" s="152" t="str">
        <f>'[2]Orçamento COM PVS'!$D$190:$L$190</f>
        <v>SERVIÇOS PRELIMINARES</v>
      </c>
      <c r="E190" s="153"/>
      <c r="F190" s="153"/>
      <c r="G190" s="153"/>
      <c r="H190" s="153"/>
      <c r="I190" s="153"/>
      <c r="J190" s="153"/>
      <c r="K190" s="154"/>
      <c r="L190" s="260">
        <f>L191</f>
        <v>0</v>
      </c>
      <c r="M190" s="260">
        <f>M191</f>
        <v>0</v>
      </c>
      <c r="N190" s="13"/>
      <c r="O190" s="271"/>
    </row>
    <row r="191" spans="1:15" ht="30.75" customHeight="1">
      <c r="A191" s="123" t="s">
        <v>281</v>
      </c>
      <c r="B191" s="242" t="str">
        <f>'[2]Orçamento COM PVS'!$B$191</f>
        <v>SINAPI</v>
      </c>
      <c r="C191" s="16">
        <f>'[2]Orçamento COM PVS'!$C$191</f>
        <v>99064</v>
      </c>
      <c r="D191" s="144" t="str">
        <f ca="1">'[2]Orçamento COM PVS'!$D$191:$G$191</f>
        <v>LOCAÇÃO DE PAVIMENTAÇÃO. AF_10/2018</v>
      </c>
      <c r="E191" s="145"/>
      <c r="F191" s="145"/>
      <c r="G191" s="139"/>
      <c r="H191" s="20" t="str">
        <f ca="1">'[2]Orçamento COM PVS'!$H$191</f>
        <v>M</v>
      </c>
      <c r="I191" s="19">
        <f>'[2]Orçamento COM PVS'!$I$191</f>
        <v>62</v>
      </c>
      <c r="J191" s="27"/>
      <c r="K191" s="23">
        <f>ROUND(J191*(1+N191),2)</f>
        <v>0</v>
      </c>
      <c r="L191" s="24">
        <f t="shared" ref="L191" si="124">ROUND(J191*I191,2)</f>
        <v>0</v>
      </c>
      <c r="M191" s="25">
        <f t="shared" ref="M191" si="125">ROUND(K191*I191,2)</f>
        <v>0</v>
      </c>
      <c r="N191" s="264">
        <v>0.22040000000000001</v>
      </c>
      <c r="O191" s="271"/>
    </row>
    <row r="192" spans="1:15" ht="15" customHeight="1">
      <c r="A192" s="53" t="s">
        <v>282</v>
      </c>
      <c r="B192" s="53"/>
      <c r="C192" s="53"/>
      <c r="D192" s="152" t="str">
        <f>'[2]Orçamento COM PVS'!$D$192:$L$192</f>
        <v>PAVIMENTAÇÃO</v>
      </c>
      <c r="E192" s="153"/>
      <c r="F192" s="153"/>
      <c r="G192" s="153"/>
      <c r="H192" s="153"/>
      <c r="I192" s="153"/>
      <c r="J192" s="153"/>
      <c r="K192" s="154"/>
      <c r="L192" s="260">
        <f>SUM(L193:L194)</f>
        <v>0</v>
      </c>
      <c r="M192" s="260">
        <f>SUM(M193:M194)</f>
        <v>0</v>
      </c>
      <c r="N192" s="13"/>
      <c r="O192" s="271"/>
    </row>
    <row r="193" spans="1:15" ht="30.75" customHeight="1">
      <c r="A193" s="123" t="s">
        <v>283</v>
      </c>
      <c r="B193" s="242" t="str">
        <f>'[2]Orçamento COM PVS'!$B$193</f>
        <v>COMP.</v>
      </c>
      <c r="C193" s="16">
        <f>'[2]Orçamento COM PVS'!$C$193</f>
        <v>3</v>
      </c>
      <c r="D193" s="144" t="str">
        <f>'[2]Orçamento COM PVS'!$D$193:$G$193</f>
        <v>EXECUÇÃO DE VIA EM PISO INTERTRAVADO, COM BLOCO 16 FACES DE 22X11 CM, ESPESSURA DE 8 CM. AF_10/2022</v>
      </c>
      <c r="E193" s="145"/>
      <c r="F193" s="145"/>
      <c r="G193" s="139"/>
      <c r="H193" s="244" t="str">
        <f>'[2]Orçamento COM PVS'!$H$193</f>
        <v>M2</v>
      </c>
      <c r="I193" s="19">
        <f>'[2]Orçamento COM PVS'!$I$193</f>
        <v>558</v>
      </c>
      <c r="J193" s="27"/>
      <c r="K193" s="23">
        <f>ROUND(J193*(1+N193),2)</f>
        <v>0</v>
      </c>
      <c r="L193" s="24">
        <f t="shared" ref="L193:L194" si="126">ROUND(J193*I193,2)</f>
        <v>0</v>
      </c>
      <c r="M193" s="25">
        <f t="shared" ref="M193:M194" si="127">ROUND(K193*I193,2)</f>
        <v>0</v>
      </c>
      <c r="N193" s="264">
        <v>0.22040000000000001</v>
      </c>
      <c r="O193" s="271"/>
    </row>
    <row r="194" spans="1:15" ht="93" customHeight="1">
      <c r="A194" s="123" t="s">
        <v>284</v>
      </c>
      <c r="B194" s="242" t="str">
        <f>'[2]Orçamento COM PVS'!$B$194</f>
        <v>SINAPI</v>
      </c>
      <c r="C194" s="16">
        <f>'[2]Orçamento COM PVS'!$C$194</f>
        <v>94273</v>
      </c>
      <c r="D194" s="144" t="str">
        <f ca="1">'[2]Orçamento COM PVS'!$D$194:$G$194</f>
        <v>ASSENTAMENTO DE GUIA (MEIO-FIO) EM TRECHO RETO, CONFECCIONADA EM CONCRETO PRÉ-FABRICADO, DIMENSÕES 100X15X13X30 CM (COMPRIMENTO X BASE INFERIOR X BASE SUPERIOR X ALTURA), PARA VIAS URBANAS (USO VIÁRIO). AF_06/2016</v>
      </c>
      <c r="E194" s="145"/>
      <c r="F194" s="145"/>
      <c r="G194" s="139"/>
      <c r="H194" s="244" t="str">
        <f ca="1">'[2]Orçamento COM PVS'!$H$194</f>
        <v>M</v>
      </c>
      <c r="I194" s="19">
        <f>'[2]Orçamento COM PVS'!$I$194</f>
        <v>137</v>
      </c>
      <c r="J194" s="27"/>
      <c r="K194" s="23">
        <f>ROUND(J194*(1+N194),2)</f>
        <v>0</v>
      </c>
      <c r="L194" s="24">
        <f t="shared" si="126"/>
        <v>0</v>
      </c>
      <c r="M194" s="25">
        <f t="shared" si="127"/>
        <v>0</v>
      </c>
      <c r="N194" s="264">
        <v>0.22040000000000001</v>
      </c>
      <c r="O194" s="271"/>
    </row>
    <row r="195" spans="1:15" ht="15" customHeight="1">
      <c r="A195" s="53" t="s">
        <v>285</v>
      </c>
      <c r="B195" s="53"/>
      <c r="C195" s="53"/>
      <c r="D195" s="152" t="str">
        <f>'[2]Orçamento COM PVS'!$D$195:$L$195</f>
        <v>PIETRO ERCOLANI TRECHO 2</v>
      </c>
      <c r="E195" s="153"/>
      <c r="F195" s="153"/>
      <c r="G195" s="153"/>
      <c r="H195" s="153"/>
      <c r="I195" s="153"/>
      <c r="J195" s="153"/>
      <c r="K195" s="154"/>
      <c r="L195" s="260">
        <f>L196+L198+L204</f>
        <v>0</v>
      </c>
      <c r="M195" s="260">
        <f>M196+M198+M204</f>
        <v>0</v>
      </c>
      <c r="N195" s="13"/>
      <c r="O195" s="271"/>
    </row>
    <row r="196" spans="1:15" ht="15" customHeight="1">
      <c r="A196" s="53" t="s">
        <v>286</v>
      </c>
      <c r="B196" s="53"/>
      <c r="C196" s="53"/>
      <c r="D196" s="152" t="str">
        <f>'[2]Orçamento COM PVS'!$D$196:$L$196</f>
        <v>SERVIÇOS PRELIMINARES</v>
      </c>
      <c r="E196" s="153"/>
      <c r="F196" s="153"/>
      <c r="G196" s="153"/>
      <c r="H196" s="153"/>
      <c r="I196" s="153"/>
      <c r="J196" s="153"/>
      <c r="K196" s="154"/>
      <c r="L196" s="260">
        <f>L197</f>
        <v>0</v>
      </c>
      <c r="M196" s="260">
        <f>M197</f>
        <v>0</v>
      </c>
      <c r="N196" s="13"/>
      <c r="O196" s="271"/>
    </row>
    <row r="197" spans="1:15" ht="30.75" customHeight="1">
      <c r="A197" s="123" t="s">
        <v>287</v>
      </c>
      <c r="B197" s="242" t="str">
        <f>'[2]Orçamento COM PVS'!$B$197</f>
        <v>SINAPI</v>
      </c>
      <c r="C197" s="16">
        <f>'[2]Orçamento COM PVS'!$C$197</f>
        <v>99064</v>
      </c>
      <c r="D197" s="144" t="str">
        <f ca="1">'[2]Orçamento COM PVS'!$D$197:$G$197</f>
        <v>LOCAÇÃO DE PAVIMENTAÇÃO. AF_10/2018</v>
      </c>
      <c r="E197" s="145"/>
      <c r="F197" s="145"/>
      <c r="G197" s="139"/>
      <c r="H197" s="20" t="str">
        <f ca="1">'[2]Orçamento COM PVS'!$H$197</f>
        <v>M</v>
      </c>
      <c r="I197" s="19">
        <f>'[2]Orçamento COM PVS'!$I$197</f>
        <v>114</v>
      </c>
      <c r="J197" s="27"/>
      <c r="K197" s="23">
        <f>ROUND(J197*(1+N197),2)</f>
        <v>0</v>
      </c>
      <c r="L197" s="24">
        <f t="shared" ref="L197" si="128">ROUND(J197*I197,2)</f>
        <v>0</v>
      </c>
      <c r="M197" s="25">
        <f t="shared" ref="M197" si="129">ROUND(K197*I197,2)</f>
        <v>0</v>
      </c>
      <c r="N197" s="264">
        <v>0.22040000000000001</v>
      </c>
      <c r="O197" s="271"/>
    </row>
    <row r="198" spans="1:15" ht="15" customHeight="1">
      <c r="A198" s="53" t="s">
        <v>288</v>
      </c>
      <c r="B198" s="53"/>
      <c r="C198" s="53"/>
      <c r="D198" s="152" t="str">
        <f>'[2]Orçamento COM PVS'!$D$198:$L$198</f>
        <v>DRENAGEM PLUVIAL</v>
      </c>
      <c r="E198" s="153"/>
      <c r="F198" s="153"/>
      <c r="G198" s="153"/>
      <c r="H198" s="153"/>
      <c r="I198" s="153"/>
      <c r="J198" s="153"/>
      <c r="K198" s="154"/>
      <c r="L198" s="260">
        <f>SUM(L199:L203)</f>
        <v>0</v>
      </c>
      <c r="M198" s="260">
        <f>SUM(M199:M203)</f>
        <v>0</v>
      </c>
      <c r="N198" s="13"/>
      <c r="O198" s="271"/>
    </row>
    <row r="199" spans="1:15" ht="30.75" customHeight="1">
      <c r="A199" s="123" t="s">
        <v>289</v>
      </c>
      <c r="B199" s="242" t="str">
        <f>'[2]Orçamento COM PVS'!$B$199</f>
        <v>SINAPI</v>
      </c>
      <c r="C199" s="16">
        <f>'[2]Orçamento COM PVS'!$C$199</f>
        <v>90105</v>
      </c>
      <c r="D199" s="144" t="str">
        <f ca="1">'[2]Orçamento COM PVS'!$D$199:$G$199</f>
        <v>ESCAVAÇÃO MECANIZADA DE VALA COM PROFUNDIDADE ATÉ 1,5 M (MÉDIA MONTANTE E JUSANTE/UMA COMPOSIÇÃO POR TRECHO), RETROESCAV. (0,26 M3), LARGURA MENOR QUE 0,8 M, EM SOLO DE 1A CATEGORIA, LOCAIS COM BAIXO NÍVEL DE INTERFERÊNCIA. AF_02/2021</v>
      </c>
      <c r="E199" s="145"/>
      <c r="F199" s="145"/>
      <c r="G199" s="139"/>
      <c r="H199" s="244" t="str">
        <f ca="1">'[2]Orçamento COM PVS'!$H$199</f>
        <v>M3</v>
      </c>
      <c r="I199" s="19">
        <f>'[2]Orçamento COM PVS'!$I$199</f>
        <v>128.18</v>
      </c>
      <c r="J199" s="27"/>
      <c r="K199" s="23">
        <f>ROUND(J199*(1+N199),2)</f>
        <v>0</v>
      </c>
      <c r="L199" s="24">
        <f t="shared" ref="L199:L202" si="130">ROUND(J199*I199,2)</f>
        <v>0</v>
      </c>
      <c r="M199" s="25">
        <f t="shared" ref="M199:M202" si="131">ROUND(K199*I199,2)</f>
        <v>0</v>
      </c>
      <c r="N199" s="264">
        <v>0.22040000000000001</v>
      </c>
      <c r="O199" s="271"/>
    </row>
    <row r="200" spans="1:15" ht="81.75" customHeight="1">
      <c r="A200" s="123" t="s">
        <v>290</v>
      </c>
      <c r="B200" s="242" t="str">
        <f>'[2]Orçamento COM PVS'!$B$200</f>
        <v>SINAPI</v>
      </c>
      <c r="C200" s="16">
        <f>'[2]Orçamento COM PVS'!$C$200</f>
        <v>95568</v>
      </c>
      <c r="D200" s="144" t="str">
        <f ca="1">'[2]Orçamento COM PVS'!$D$200:$G$200</f>
        <v>TUBO DE CONCRETO (SIMPLES) PARA REDES COLETORAS DE ÁGUAS PLUVIAIS, DIÂMETRO DE 400 MM, JUNTA RÍGIDA, INSTALADO EM LOCAL COM BAIXO NÍVEL DE INTERFERÊNCIAS - FORNECIMENTO E ASSENTAMENTO. AF_12/2015</v>
      </c>
      <c r="E200" s="145"/>
      <c r="F200" s="145"/>
      <c r="G200" s="139"/>
      <c r="H200" s="244" t="str">
        <f ca="1">'[2]Orçamento COM PVS'!$H$200</f>
        <v>M</v>
      </c>
      <c r="I200" s="19">
        <f>'[2]Orçamento COM PVS'!$I$200</f>
        <v>27</v>
      </c>
      <c r="J200" s="27"/>
      <c r="K200" s="23">
        <f t="shared" ref="K200:K203" si="132">ROUND(J200*(1+N200),2)</f>
        <v>0</v>
      </c>
      <c r="L200" s="24">
        <f t="shared" si="130"/>
        <v>0</v>
      </c>
      <c r="M200" s="25">
        <f t="shared" si="131"/>
        <v>0</v>
      </c>
      <c r="N200" s="264">
        <v>0.22040000000000001</v>
      </c>
      <c r="O200" s="271"/>
    </row>
    <row r="201" spans="1:15" ht="81" customHeight="1">
      <c r="A201" s="123" t="s">
        <v>291</v>
      </c>
      <c r="B201" s="242" t="str">
        <f>'[2]Orçamento COM PVS'!$B$201</f>
        <v>SINAPI</v>
      </c>
      <c r="C201" s="16">
        <f>'[2]Orçamento COM PVS'!$C$201</f>
        <v>92212</v>
      </c>
      <c r="D201" s="144" t="str">
        <f ca="1">'[2]Orçamento COM PVS'!$D$201:$G$201</f>
        <v>TUBO DE CONCRETO PARA REDES COLETORAS DE ÁGUAS PLUVIAIS, DIÂMETRO DE 600 MM, JUNTA RÍGIDA, INSTALADO EM LOCAL COM BAIXO NÍVEL DE INTERFERÊNCIAS - FORNECIMENTO E ASSENTAMENTO. AF_12/2015</v>
      </c>
      <c r="E201" s="145"/>
      <c r="F201" s="145"/>
      <c r="G201" s="139"/>
      <c r="H201" s="244" t="str">
        <f ca="1">'[2]Orçamento COM PVS'!$H$201</f>
        <v>M</v>
      </c>
      <c r="I201" s="19">
        <f>'[2]Orçamento COM PVS'!$I$201</f>
        <v>52</v>
      </c>
      <c r="J201" s="27"/>
      <c r="K201" s="23">
        <f t="shared" si="132"/>
        <v>0</v>
      </c>
      <c r="L201" s="24">
        <f t="shared" si="130"/>
        <v>0</v>
      </c>
      <c r="M201" s="25">
        <f t="shared" si="131"/>
        <v>0</v>
      </c>
      <c r="N201" s="264">
        <v>0.22040000000000001</v>
      </c>
      <c r="O201" s="271"/>
    </row>
    <row r="202" spans="1:15" ht="51.75" customHeight="1">
      <c r="A202" s="123" t="s">
        <v>292</v>
      </c>
      <c r="B202" s="242" t="str">
        <f>'[2]Orçamento COM PVS'!$B$202</f>
        <v>COMP.</v>
      </c>
      <c r="C202" s="16">
        <f>'[2]Orçamento COM PVS'!$C$202</f>
        <v>1</v>
      </c>
      <c r="D202" s="144" t="str">
        <f>'[2]Orçamento COM PVS'!$D$202:$G$202</f>
        <v>CX. PARA BOCA DE LOBO EM ALVENARIA DE BLOCOS DE CONCRETO 0,8X0,8X1,5m (DIM. INTERNA)</v>
      </c>
      <c r="E202" s="145"/>
      <c r="F202" s="145"/>
      <c r="G202" s="139"/>
      <c r="H202" s="244" t="str">
        <f>'[2]Orçamento COM PVS'!$H$202</f>
        <v>UNID.</v>
      </c>
      <c r="I202" s="19">
        <f>'[2]Orçamento COM PVS'!$I$202</f>
        <v>5</v>
      </c>
      <c r="J202" s="27"/>
      <c r="K202" s="23">
        <f t="shared" si="132"/>
        <v>0</v>
      </c>
      <c r="L202" s="24">
        <f t="shared" si="130"/>
        <v>0</v>
      </c>
      <c r="M202" s="25">
        <f t="shared" si="131"/>
        <v>0</v>
      </c>
      <c r="N202" s="264">
        <v>0.22040000000000001</v>
      </c>
      <c r="O202" s="271"/>
    </row>
    <row r="203" spans="1:15" ht="30.75" customHeight="1">
      <c r="A203" s="123" t="s">
        <v>293</v>
      </c>
      <c r="B203" s="242" t="str">
        <f>'[2]Orçamento COM PVS'!$B$203</f>
        <v>SINAPI</v>
      </c>
      <c r="C203" s="16">
        <f>'[2]Orçamento COM PVS'!$C$203</f>
        <v>93382</v>
      </c>
      <c r="D203" s="144" t="str">
        <f ca="1">'[2]Orçamento COM PVS'!$D$203:$G$203</f>
        <v>REATERRO MANUAL DE VALAS, COM COMPACTADOR DE SOLOS DE PERCUSSÃO. AF_08/2023</v>
      </c>
      <c r="E203" s="145"/>
      <c r="F203" s="145"/>
      <c r="G203" s="139"/>
      <c r="H203" s="244" t="str">
        <f ca="1">'[2]Orçamento COM PVS'!$H$203</f>
        <v>M3</v>
      </c>
      <c r="I203" s="19">
        <f>'[2]Orçamento COM PVS'!$I$203</f>
        <v>142.92600000000002</v>
      </c>
      <c r="J203" s="27"/>
      <c r="K203" s="23">
        <f t="shared" si="132"/>
        <v>0</v>
      </c>
      <c r="L203" s="24">
        <f t="shared" ref="L203" si="133">ROUND(J203*I203,2)</f>
        <v>0</v>
      </c>
      <c r="M203" s="25">
        <f t="shared" ref="M203" si="134">ROUND(K203*I203,2)</f>
        <v>0</v>
      </c>
      <c r="N203" s="264">
        <v>0.22040000000000001</v>
      </c>
      <c r="O203" s="271"/>
    </row>
    <row r="204" spans="1:15" ht="15" customHeight="1">
      <c r="A204" s="53" t="s">
        <v>294</v>
      </c>
      <c r="B204" s="53"/>
      <c r="C204" s="53"/>
      <c r="D204" s="152" t="str">
        <f>'[2]Orçamento COM PVS'!$D$204:$L$204</f>
        <v>PAVIMENTAÇÃO</v>
      </c>
      <c r="E204" s="153"/>
      <c r="F204" s="153"/>
      <c r="G204" s="153"/>
      <c r="H204" s="153"/>
      <c r="I204" s="153"/>
      <c r="J204" s="153"/>
      <c r="K204" s="154"/>
      <c r="L204" s="260">
        <f>SUM(L205:L206)</f>
        <v>0</v>
      </c>
      <c r="M204" s="260">
        <f>SUM(M205:M206)</f>
        <v>0</v>
      </c>
      <c r="N204" s="13"/>
      <c r="O204" s="271"/>
    </row>
    <row r="205" spans="1:15" ht="30.75" customHeight="1">
      <c r="A205" s="123" t="s">
        <v>277</v>
      </c>
      <c r="B205" s="242" t="str">
        <f>'[2]Orçamento COM PVS'!$B$205</f>
        <v>COMP.</v>
      </c>
      <c r="C205" s="16">
        <f>'[2]Orçamento COM PVS'!$C$205</f>
        <v>3</v>
      </c>
      <c r="D205" s="144" t="str">
        <f>'[2]Orçamento COM PVS'!$D$205:$G$205</f>
        <v>EXECUÇÃO DE VIA EM PISO INTERTRAVADO, COM BLOCO 16 FACES DE 22X11 CM, ESPESSURA DE 8 CM. AF_10/2022</v>
      </c>
      <c r="E205" s="145"/>
      <c r="F205" s="145"/>
      <c r="G205" s="139"/>
      <c r="H205" s="20" t="str">
        <f>'[2]Orçamento COM PVS'!$H$205</f>
        <v>M2</v>
      </c>
      <c r="I205" s="19">
        <f>'[2]Orçamento COM PVS'!$I$205</f>
        <v>1062</v>
      </c>
      <c r="J205" s="27"/>
      <c r="K205" s="23">
        <f>ROUND(J205*(1+N205),2)</f>
        <v>0</v>
      </c>
      <c r="L205" s="24">
        <f t="shared" ref="L205:L206" si="135">ROUND(J205*I205,2)</f>
        <v>0</v>
      </c>
      <c r="M205" s="25">
        <f t="shared" ref="M205:M206" si="136">ROUND(K205*I205,2)</f>
        <v>0</v>
      </c>
      <c r="N205" s="264">
        <v>0.22040000000000001</v>
      </c>
      <c r="O205" s="271"/>
    </row>
    <row r="206" spans="1:15" ht="90" customHeight="1">
      <c r="A206" s="123" t="s">
        <v>278</v>
      </c>
      <c r="B206" s="242" t="str">
        <f>'[2]Orçamento COM PVS'!$B$206</f>
        <v>SINAPI</v>
      </c>
      <c r="C206" s="16">
        <f>'[2]Orçamento COM PVS'!$C$206</f>
        <v>94273</v>
      </c>
      <c r="D206" s="144" t="str">
        <f ca="1">'[2]Orçamento COM PVS'!$D$206:$G$206</f>
        <v>ASSENTAMENTO DE GUIA (MEIO-FIO) EM TRECHO RETO, CONFECCIONADA EM CONCRETO PRÉ-FABRICADO, DIMENSÕES 100X15X13X30 CM (COMPRIMENTO X BASE INFERIOR X BASE SUPERIOR X ALTURA), PARA VIAS URBANAS (USO VIÁRIO). AF_06/2016</v>
      </c>
      <c r="E206" s="145"/>
      <c r="F206" s="145"/>
      <c r="G206" s="139"/>
      <c r="H206" s="20" t="str">
        <f ca="1">'[2]Orçamento COM PVS'!$H$206</f>
        <v>M</v>
      </c>
      <c r="I206" s="19">
        <f>'[2]Orçamento COM PVS'!$I$206</f>
        <v>223</v>
      </c>
      <c r="J206" s="27"/>
      <c r="K206" s="23">
        <f>ROUND(J206*(1+N206),2)</f>
        <v>0</v>
      </c>
      <c r="L206" s="24">
        <f t="shared" si="135"/>
        <v>0</v>
      </c>
      <c r="M206" s="25">
        <f t="shared" si="136"/>
        <v>0</v>
      </c>
      <c r="N206" s="264">
        <v>0.22040000000000001</v>
      </c>
      <c r="O206" s="271"/>
    </row>
    <row r="207" spans="1:15" ht="15" customHeight="1">
      <c r="A207" s="53" t="s">
        <v>295</v>
      </c>
      <c r="B207" s="53"/>
      <c r="C207" s="53"/>
      <c r="D207" s="152" t="str">
        <f>'[2]Orçamento COM PVS'!$D$189:$L$189</f>
        <v>VALDECI CAETANO GUASSO</v>
      </c>
      <c r="E207" s="153"/>
      <c r="F207" s="153"/>
      <c r="G207" s="153"/>
      <c r="H207" s="153"/>
      <c r="I207" s="153"/>
      <c r="J207" s="153"/>
      <c r="K207" s="154"/>
      <c r="L207" s="260">
        <f>L208+L210</f>
        <v>0</v>
      </c>
      <c r="M207" s="260">
        <f>M208+M210</f>
        <v>0</v>
      </c>
      <c r="N207" s="13"/>
      <c r="O207" s="271"/>
    </row>
    <row r="208" spans="1:15" ht="15" customHeight="1">
      <c r="A208" s="53" t="s">
        <v>296</v>
      </c>
      <c r="B208" s="53"/>
      <c r="C208" s="53"/>
      <c r="D208" s="152" t="str">
        <f>'[2]Orçamento COM PVS'!$D$190:$L$190</f>
        <v>SERVIÇOS PRELIMINARES</v>
      </c>
      <c r="E208" s="153"/>
      <c r="F208" s="153"/>
      <c r="G208" s="153"/>
      <c r="H208" s="153"/>
      <c r="I208" s="153"/>
      <c r="J208" s="153"/>
      <c r="K208" s="154"/>
      <c r="L208" s="260">
        <f>L209</f>
        <v>0</v>
      </c>
      <c r="M208" s="260">
        <f>M209</f>
        <v>0</v>
      </c>
      <c r="N208" s="13"/>
      <c r="O208" s="271"/>
    </row>
    <row r="209" spans="1:15" ht="30.75" customHeight="1">
      <c r="A209" s="123" t="s">
        <v>297</v>
      </c>
      <c r="B209" s="242" t="str">
        <f>'[2]Orçamento COM PVS'!$B$209</f>
        <v>SINAPI</v>
      </c>
      <c r="C209" s="16">
        <f>'[2]Orçamento COM PVS'!$C$209</f>
        <v>99064</v>
      </c>
      <c r="D209" s="144" t="str">
        <f ca="1">'[2]Orçamento COM PVS'!$D$209:$G$209</f>
        <v>LOCAÇÃO DE PAVIMENTAÇÃO. AF_10/2018</v>
      </c>
      <c r="E209" s="145"/>
      <c r="F209" s="145"/>
      <c r="G209" s="139"/>
      <c r="H209" s="20" t="str">
        <f ca="1">'[2]Orçamento COM PVS'!$H$209</f>
        <v>M</v>
      </c>
      <c r="I209" s="19">
        <f>'[2]Orçamento COM PVS'!$I$209</f>
        <v>42</v>
      </c>
      <c r="J209" s="27"/>
      <c r="K209" s="23">
        <f>ROUND(J209*(1+N209),2)</f>
        <v>0</v>
      </c>
      <c r="L209" s="24">
        <f t="shared" ref="L209" si="137">ROUND(J209*I209,2)</f>
        <v>0</v>
      </c>
      <c r="M209" s="25">
        <f t="shared" ref="M209" si="138">ROUND(K209*I209,2)</f>
        <v>0</v>
      </c>
      <c r="N209" s="264">
        <v>0.22040000000000001</v>
      </c>
      <c r="O209" s="271"/>
    </row>
    <row r="210" spans="1:15" ht="15" customHeight="1">
      <c r="A210" s="53" t="s">
        <v>300</v>
      </c>
      <c r="B210" s="53"/>
      <c r="C210" s="53"/>
      <c r="D210" s="152" t="str">
        <f>'[2]Orçamento COM PVS'!$D$210:$L$210</f>
        <v>PAVIMENTAÇÃO</v>
      </c>
      <c r="E210" s="153"/>
      <c r="F210" s="153"/>
      <c r="G210" s="153"/>
      <c r="H210" s="153"/>
      <c r="I210" s="153"/>
      <c r="J210" s="153"/>
      <c r="K210" s="154"/>
      <c r="L210" s="260">
        <f>SUM(L211:L212)</f>
        <v>0</v>
      </c>
      <c r="M210" s="260">
        <f>SUM(M211:M212)</f>
        <v>0</v>
      </c>
      <c r="N210" s="13"/>
      <c r="O210" s="271"/>
    </row>
    <row r="211" spans="1:15" ht="30.75" customHeight="1">
      <c r="A211" s="123" t="s">
        <v>298</v>
      </c>
      <c r="B211" s="242" t="str">
        <f>'[2]Orçamento COM PVS'!$B$211</f>
        <v>COMP.</v>
      </c>
      <c r="C211" s="16">
        <f>'[2]Orçamento COM PVS'!$C$211</f>
        <v>3</v>
      </c>
      <c r="D211" s="144" t="str">
        <f>'[2]Orçamento COM PVS'!$D$211:$G$211</f>
        <v>EXECUÇÃO DE VIA EM PISO INTERTRAVADO, COM BLOCO 16 FACES DE 22X11 CM, ESPESSURA DE 8 CM. AF_10/2022</v>
      </c>
      <c r="E211" s="145"/>
      <c r="F211" s="145"/>
      <c r="G211" s="139"/>
      <c r="H211" s="244" t="str">
        <f>'[2]Orçamento COM PVS'!$H$211</f>
        <v>M2</v>
      </c>
      <c r="I211" s="19">
        <f>'[2]Orçamento COM PVS'!$I$211</f>
        <v>378</v>
      </c>
      <c r="J211" s="27"/>
      <c r="K211" s="23">
        <f>ROUND(J211*(1+N211),2)</f>
        <v>0</v>
      </c>
      <c r="L211" s="24">
        <f t="shared" ref="L211:L212" si="139">ROUND(J211*I211,2)</f>
        <v>0</v>
      </c>
      <c r="M211" s="25">
        <f t="shared" ref="M211:M212" si="140">ROUND(K211*I211,2)</f>
        <v>0</v>
      </c>
      <c r="N211" s="264">
        <v>0.22040000000000001</v>
      </c>
      <c r="O211" s="271"/>
    </row>
    <row r="212" spans="1:15" ht="96.75" customHeight="1">
      <c r="A212" s="123" t="s">
        <v>299</v>
      </c>
      <c r="B212" s="242" t="str">
        <f>'[2]Orçamento COM PVS'!$B$212</f>
        <v>SINAPI</v>
      </c>
      <c r="C212" s="16">
        <f>'[2]Orçamento COM PVS'!$C$212</f>
        <v>94273</v>
      </c>
      <c r="D212" s="144" t="str">
        <f ca="1">'[2]Orçamento COM PVS'!$D$212:$G$212</f>
        <v>ASSENTAMENTO DE GUIA (MEIO-FIO) EM TRECHO RETO, CONFECCIONADA EM CONCRETO PRÉ-FABRICADO, DIMENSÕES 100X15X13X30 CM (COMPRIMENTO X BASE INFERIOR X BASE SUPERIOR X ALTURA), PARA VIAS URBANAS (USO VIÁRIO). AF_06/2016</v>
      </c>
      <c r="E212" s="145"/>
      <c r="F212" s="145"/>
      <c r="G212" s="139"/>
      <c r="H212" s="244" t="str">
        <f ca="1">'[2]Orçamento COM PVS'!$H$212</f>
        <v>M</v>
      </c>
      <c r="I212" s="19">
        <f>'[2]Orçamento COM PVS'!$I$212</f>
        <v>96</v>
      </c>
      <c r="J212" s="27"/>
      <c r="K212" s="23">
        <f>ROUND(J212*(1+N212),2)</f>
        <v>0</v>
      </c>
      <c r="L212" s="24">
        <f t="shared" si="139"/>
        <v>0</v>
      </c>
      <c r="M212" s="25">
        <f t="shared" si="140"/>
        <v>0</v>
      </c>
      <c r="N212" s="264">
        <v>0.22040000000000001</v>
      </c>
      <c r="O212" s="271"/>
    </row>
    <row r="213" spans="1:15" ht="18" customHeight="1">
      <c r="A213" s="129" t="s">
        <v>7</v>
      </c>
      <c r="B213" s="130"/>
      <c r="C213" s="130"/>
      <c r="D213" s="130"/>
      <c r="E213" s="130"/>
      <c r="F213" s="130"/>
      <c r="G213" s="130"/>
      <c r="H213" s="130"/>
      <c r="I213" s="130"/>
      <c r="J213" s="130"/>
      <c r="K213" s="131"/>
      <c r="L213" s="262">
        <f>L15+L27+L38+L49+L61+L72+L84+L98+L110+L121+L132+L138+L150+L156+L167+L178+L189+L195+L207</f>
        <v>0</v>
      </c>
      <c r="M213" s="262">
        <f>M15+M27+M38+M49+M61+M72+M84+M98+M110+M121+M132+M138+M150+M156+M167+M178+M189+M195+M207</f>
        <v>0</v>
      </c>
      <c r="N213" s="13"/>
      <c r="O213" s="13"/>
    </row>
    <row r="214" spans="1:1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</row>
    <row r="215" spans="1:1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</row>
    <row r="216" spans="1:1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</row>
    <row r="217" spans="1:1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</row>
    <row r="218" spans="1:15">
      <c r="A218" s="13"/>
      <c r="B218" s="13"/>
      <c r="C218" s="11"/>
      <c r="D218" s="11"/>
      <c r="E218" s="11"/>
      <c r="F218" s="11"/>
      <c r="G218" s="11"/>
      <c r="H218" s="13"/>
      <c r="I218" s="13"/>
      <c r="J218" s="13"/>
      <c r="K218" s="13"/>
      <c r="L218" s="13"/>
      <c r="M218" s="13"/>
    </row>
    <row r="219" spans="1:15">
      <c r="A219" s="13"/>
      <c r="B219" s="13"/>
      <c r="C219" s="128" t="s">
        <v>301</v>
      </c>
      <c r="D219" s="128"/>
      <c r="E219" s="128"/>
      <c r="F219" s="128"/>
      <c r="G219" s="128"/>
      <c r="H219" s="13"/>
      <c r="I219" s="13"/>
      <c r="J219" s="146" t="s">
        <v>59</v>
      </c>
      <c r="K219" s="146"/>
      <c r="L219" s="146"/>
      <c r="M219" s="146"/>
    </row>
    <row r="220" spans="1:15">
      <c r="A220" s="13"/>
      <c r="B220" s="13"/>
      <c r="C220" s="128" t="s">
        <v>63</v>
      </c>
      <c r="D220" s="128"/>
      <c r="E220" s="128"/>
      <c r="F220" s="128"/>
      <c r="G220" s="128"/>
      <c r="H220" s="13"/>
      <c r="I220" s="13"/>
      <c r="J220" s="128" t="s">
        <v>63</v>
      </c>
      <c r="K220" s="128"/>
      <c r="L220" s="128"/>
      <c r="M220" s="128"/>
    </row>
  </sheetData>
  <sheetProtection password="C99E" sheet="1" scenarios="1"/>
  <mergeCells count="215">
    <mergeCell ref="C219:G219"/>
    <mergeCell ref="C220:G220"/>
    <mergeCell ref="D57:G57"/>
    <mergeCell ref="D146:G146"/>
    <mergeCell ref="D208:K208"/>
    <mergeCell ref="D209:G209"/>
    <mergeCell ref="D210:K210"/>
    <mergeCell ref="D211:G211"/>
    <mergeCell ref="D212:G212"/>
    <mergeCell ref="D204:K204"/>
    <mergeCell ref="D205:G205"/>
    <mergeCell ref="D206:G206"/>
    <mergeCell ref="D203:G203"/>
    <mergeCell ref="D207:K207"/>
    <mergeCell ref="D198:K198"/>
    <mergeCell ref="D199:G199"/>
    <mergeCell ref="D200:G200"/>
    <mergeCell ref="D201:G201"/>
    <mergeCell ref="D202:G202"/>
    <mergeCell ref="D193:G193"/>
    <mergeCell ref="D194:G194"/>
    <mergeCell ref="D195:K195"/>
    <mergeCell ref="D196:K196"/>
    <mergeCell ref="D197:G197"/>
    <mergeCell ref="D188:G188"/>
    <mergeCell ref="D189:K189"/>
    <mergeCell ref="D190:K190"/>
    <mergeCell ref="D191:G191"/>
    <mergeCell ref="D192:K192"/>
    <mergeCell ref="D183:G183"/>
    <mergeCell ref="D184:G184"/>
    <mergeCell ref="D185:G185"/>
    <mergeCell ref="D186:K186"/>
    <mergeCell ref="D187:G187"/>
    <mergeCell ref="D178:K178"/>
    <mergeCell ref="D179:K179"/>
    <mergeCell ref="D180:G180"/>
    <mergeCell ref="D181:K181"/>
    <mergeCell ref="D182:G182"/>
    <mergeCell ref="D173:G173"/>
    <mergeCell ref="D174:G174"/>
    <mergeCell ref="D175:K175"/>
    <mergeCell ref="D176:G176"/>
    <mergeCell ref="D177:G177"/>
    <mergeCell ref="D168:K168"/>
    <mergeCell ref="D169:G169"/>
    <mergeCell ref="D170:K170"/>
    <mergeCell ref="D171:G171"/>
    <mergeCell ref="D172:G172"/>
    <mergeCell ref="D163:G163"/>
    <mergeCell ref="D164:K164"/>
    <mergeCell ref="D165:G165"/>
    <mergeCell ref="D166:G166"/>
    <mergeCell ref="D167:K167"/>
    <mergeCell ref="D158:G158"/>
    <mergeCell ref="D159:K159"/>
    <mergeCell ref="D160:G160"/>
    <mergeCell ref="D161:G161"/>
    <mergeCell ref="D162:G162"/>
    <mergeCell ref="D153:K153"/>
    <mergeCell ref="D154:G154"/>
    <mergeCell ref="D155:G155"/>
    <mergeCell ref="D156:K156"/>
    <mergeCell ref="D157:K157"/>
    <mergeCell ref="D148:G148"/>
    <mergeCell ref="D149:G149"/>
    <mergeCell ref="D150:K150"/>
    <mergeCell ref="D151:K151"/>
    <mergeCell ref="D152:G152"/>
    <mergeCell ref="D142:G142"/>
    <mergeCell ref="D143:G143"/>
    <mergeCell ref="D144:G144"/>
    <mergeCell ref="D145:G145"/>
    <mergeCell ref="D147:K147"/>
    <mergeCell ref="D138:K138"/>
    <mergeCell ref="D140:G140"/>
    <mergeCell ref="D139:K139"/>
    <mergeCell ref="D141:K141"/>
    <mergeCell ref="D133:K133"/>
    <mergeCell ref="D134:G134"/>
    <mergeCell ref="D135:K135"/>
    <mergeCell ref="D136:G136"/>
    <mergeCell ref="D137:G137"/>
    <mergeCell ref="D128:G128"/>
    <mergeCell ref="D129:K129"/>
    <mergeCell ref="D130:G130"/>
    <mergeCell ref="D131:G131"/>
    <mergeCell ref="D132:K132"/>
    <mergeCell ref="D123:G123"/>
    <mergeCell ref="D124:K124"/>
    <mergeCell ref="D125:G125"/>
    <mergeCell ref="D126:G126"/>
    <mergeCell ref="D127:G127"/>
    <mergeCell ref="D118:K118"/>
    <mergeCell ref="D119:G119"/>
    <mergeCell ref="D120:G120"/>
    <mergeCell ref="D121:K121"/>
    <mergeCell ref="D122:K122"/>
    <mergeCell ref="D114:G114"/>
    <mergeCell ref="D115:G115"/>
    <mergeCell ref="D116:G116"/>
    <mergeCell ref="D117:G117"/>
    <mergeCell ref="D109:G109"/>
    <mergeCell ref="D110:K110"/>
    <mergeCell ref="D111:K111"/>
    <mergeCell ref="D112:G112"/>
    <mergeCell ref="D113:K113"/>
    <mergeCell ref="D106:G106"/>
    <mergeCell ref="D107:K107"/>
    <mergeCell ref="D108:G108"/>
    <mergeCell ref="D101:K101"/>
    <mergeCell ref="D102:G102"/>
    <mergeCell ref="D103:G103"/>
    <mergeCell ref="D104:G104"/>
    <mergeCell ref="D105:G105"/>
    <mergeCell ref="D96:G96"/>
    <mergeCell ref="D97:G97"/>
    <mergeCell ref="D81:K81"/>
    <mergeCell ref="D84:K84"/>
    <mergeCell ref="D85:K85"/>
    <mergeCell ref="D87:K87"/>
    <mergeCell ref="D95:K95"/>
    <mergeCell ref="D93:G93"/>
    <mergeCell ref="D94:G94"/>
    <mergeCell ref="D98:K98"/>
    <mergeCell ref="D99:K99"/>
    <mergeCell ref="D89:G89"/>
    <mergeCell ref="D90:G90"/>
    <mergeCell ref="D91:G91"/>
    <mergeCell ref="D92:G92"/>
    <mergeCell ref="D86:G86"/>
    <mergeCell ref="D88:G88"/>
    <mergeCell ref="D80:G80"/>
    <mergeCell ref="D82:G82"/>
    <mergeCell ref="D83:G83"/>
    <mergeCell ref="D75:K75"/>
    <mergeCell ref="D76:G76"/>
    <mergeCell ref="D77:G77"/>
    <mergeCell ref="D78:G78"/>
    <mergeCell ref="D79:G79"/>
    <mergeCell ref="D44:G44"/>
    <mergeCell ref="D50:K50"/>
    <mergeCell ref="D52:K52"/>
    <mergeCell ref="D62:K62"/>
    <mergeCell ref="D64:K64"/>
    <mergeCell ref="D23:G23"/>
    <mergeCell ref="D28:K28"/>
    <mergeCell ref="D27:K27"/>
    <mergeCell ref="K11:M11"/>
    <mergeCell ref="D38:K38"/>
    <mergeCell ref="D46:K46"/>
    <mergeCell ref="D49:K49"/>
    <mergeCell ref="D22:G22"/>
    <mergeCell ref="D54:G54"/>
    <mergeCell ref="D47:G47"/>
    <mergeCell ref="D53:G53"/>
    <mergeCell ref="D30:K30"/>
    <mergeCell ref="D33:G33"/>
    <mergeCell ref="D34:G34"/>
    <mergeCell ref="D37:G37"/>
    <mergeCell ref="D39:K39"/>
    <mergeCell ref="D40:G40"/>
    <mergeCell ref="D41:K41"/>
    <mergeCell ref="D42:G42"/>
    <mergeCell ref="D43:G43"/>
    <mergeCell ref="F2:L2"/>
    <mergeCell ref="F3:L3"/>
    <mergeCell ref="D48:G48"/>
    <mergeCell ref="J9:K9"/>
    <mergeCell ref="D100:G100"/>
    <mergeCell ref="D16:K16"/>
    <mergeCell ref="D15:K15"/>
    <mergeCell ref="D18:K18"/>
    <mergeCell ref="D24:K24"/>
    <mergeCell ref="D26:G26"/>
    <mergeCell ref="D29:G29"/>
    <mergeCell ref="D31:G31"/>
    <mergeCell ref="D32:G32"/>
    <mergeCell ref="D35:K35"/>
    <mergeCell ref="D58:K58"/>
    <mergeCell ref="D61:K61"/>
    <mergeCell ref="D69:K69"/>
    <mergeCell ref="D55:G55"/>
    <mergeCell ref="D56:G56"/>
    <mergeCell ref="D65:G65"/>
    <mergeCell ref="D67:G67"/>
    <mergeCell ref="J219:M219"/>
    <mergeCell ref="J220:M220"/>
    <mergeCell ref="D68:G68"/>
    <mergeCell ref="D59:G59"/>
    <mergeCell ref="D51:G51"/>
    <mergeCell ref="D63:G63"/>
    <mergeCell ref="D66:G66"/>
    <mergeCell ref="D60:G60"/>
    <mergeCell ref="D70:G70"/>
    <mergeCell ref="D36:G36"/>
    <mergeCell ref="D45:G45"/>
    <mergeCell ref="D71:G71"/>
    <mergeCell ref="N72:O72"/>
    <mergeCell ref="P72:Q72"/>
    <mergeCell ref="D74:G74"/>
    <mergeCell ref="D72:K72"/>
    <mergeCell ref="D73:K73"/>
    <mergeCell ref="Q6:U6"/>
    <mergeCell ref="F4:L4"/>
    <mergeCell ref="A213:K213"/>
    <mergeCell ref="A7:M8"/>
    <mergeCell ref="D14:G14"/>
    <mergeCell ref="D17:G17"/>
    <mergeCell ref="D21:G21"/>
    <mergeCell ref="D25:G25"/>
    <mergeCell ref="D20:G20"/>
    <mergeCell ref="D19:G19"/>
    <mergeCell ref="P70:Q70"/>
    <mergeCell ref="P71:Q71"/>
  </mergeCells>
  <dataValidations count="1">
    <dataValidation type="list" allowBlank="1" showInputMessage="1" showErrorMessage="1" sqref="N17 N211:N212 N209 N205:N206 N199:N203 N197 N193:N194 N191 N187:N188 N182:N185 N180 N176:N177 N171:N174 N169 N165:N166 N160:N163 N158 N154:N155 N152 N148:N149 N53:N57 N140 N136:N137 N134 N130:N131 N125:N128 N123 N119:N120 N114:N117 N112 N108:N109 N102:N106 N100 N96:N97 N88:N94 N86 N82:N83 N76:N80 N74 N70:N71 N65:N68 N63 N59:N60 N19:N23 N51 N47:N48 N42:N45 N40 N36:N37 N29 N31:N34 N25:N26 N142:N146">
      <formula1>$B$11:$B$12</formula1>
    </dataValidation>
  </dataValidations>
  <pageMargins left="0.51181102362204722" right="0.51181102362204722" top="0.78740157480314965" bottom="0.78740157480314965" header="0.51181102362204722" footer="0.51181102362204722"/>
  <pageSetup paperSize="9" scale="65" firstPageNumber="0" fitToHeight="5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Z130"/>
  <sheetViews>
    <sheetView topLeftCell="A40" workbookViewId="0">
      <selection activeCell="K111" sqref="K111"/>
    </sheetView>
  </sheetViews>
  <sheetFormatPr defaultRowHeight="15"/>
  <cols>
    <col min="1" max="5" width="8.7109375" customWidth="1"/>
    <col min="6" max="6" width="8.85546875" customWidth="1"/>
    <col min="7" max="7" width="9.140625" hidden="1" customWidth="1"/>
    <col min="8" max="8" width="8.7109375" customWidth="1"/>
    <col min="9" max="9" width="14.28515625" customWidth="1"/>
    <col min="10" max="10" width="9.7109375" customWidth="1"/>
    <col min="11" max="11" width="14.7109375" customWidth="1"/>
    <col min="12" max="12" width="9.7109375" customWidth="1"/>
    <col min="13" max="13" width="14.7109375" customWidth="1"/>
    <col min="14" max="14" width="9.7109375" customWidth="1"/>
    <col min="15" max="15" width="14.7109375" customWidth="1"/>
    <col min="16" max="16" width="9.7109375" customWidth="1"/>
    <col min="17" max="17" width="14.7109375" customWidth="1"/>
    <col min="18" max="18" width="2" customWidth="1"/>
    <col min="19" max="1025" width="8.7109375" customWidth="1"/>
  </cols>
  <sheetData>
    <row r="1" spans="1:26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1:26" ht="21">
      <c r="A2" s="7"/>
      <c r="B2" s="8"/>
      <c r="C2" s="8"/>
      <c r="D2" s="162" t="s">
        <v>0</v>
      </c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3"/>
      <c r="P2" s="13"/>
      <c r="Q2" s="9"/>
    </row>
    <row r="3" spans="1:26" ht="18.75">
      <c r="A3" s="7"/>
      <c r="B3" s="8"/>
      <c r="C3" s="8"/>
      <c r="D3" s="163" t="s">
        <v>10</v>
      </c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3"/>
      <c r="P3" s="13"/>
      <c r="Q3" s="9"/>
    </row>
    <row r="4" spans="1:26">
      <c r="A4" s="7"/>
      <c r="B4" s="8"/>
      <c r="C4" s="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3"/>
      <c r="P4" s="13"/>
      <c r="Q4" s="9"/>
      <c r="U4" t="s">
        <v>78</v>
      </c>
    </row>
    <row r="5" spans="1:26" ht="15.75" thickBot="1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2"/>
    </row>
    <row r="6" spans="1:26" ht="15.75" thickBot="1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U6" s="26"/>
      <c r="V6" s="125" t="s">
        <v>61</v>
      </c>
      <c r="W6" s="126"/>
      <c r="X6" s="126"/>
      <c r="Y6" s="126"/>
      <c r="Z6" s="127"/>
    </row>
    <row r="7" spans="1:26" ht="15.75" thickBot="1">
      <c r="A7" s="164" t="s">
        <v>11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</row>
    <row r="8" spans="1:26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26">
      <c r="A9" s="29" t="s">
        <v>306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157" t="s">
        <v>79</v>
      </c>
      <c r="M9" s="157"/>
      <c r="N9" s="157" t="s">
        <v>62</v>
      </c>
      <c r="O9" s="157"/>
      <c r="P9" s="5"/>
      <c r="Q9" s="6"/>
    </row>
    <row r="10" spans="1:26">
      <c r="A10" s="31" t="s">
        <v>307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9"/>
    </row>
    <row r="11" spans="1:26">
      <c r="A11" s="32" t="s">
        <v>65</v>
      </c>
      <c r="B11" s="166"/>
      <c r="C11" s="166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</row>
    <row r="12" spans="1:26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13"/>
      <c r="N12" s="13"/>
      <c r="O12" s="13"/>
      <c r="P12" s="13"/>
      <c r="Q12" s="13"/>
      <c r="U12" s="161" t="s">
        <v>75</v>
      </c>
      <c r="V12" s="161"/>
      <c r="W12" s="161"/>
      <c r="X12" s="161"/>
    </row>
    <row r="13" spans="1:26">
      <c r="A13" s="33"/>
      <c r="B13" s="34"/>
      <c r="C13" s="34"/>
      <c r="D13" s="34"/>
      <c r="E13" s="34"/>
      <c r="F13" s="34"/>
      <c r="G13" s="34"/>
      <c r="H13" s="168" t="s">
        <v>12</v>
      </c>
      <c r="I13" s="168"/>
      <c r="J13" s="168" t="s">
        <v>13</v>
      </c>
      <c r="K13" s="168"/>
      <c r="L13" s="168" t="s">
        <v>14</v>
      </c>
      <c r="M13" s="168"/>
      <c r="N13" s="168" t="s">
        <v>15</v>
      </c>
      <c r="O13" s="168"/>
      <c r="P13" s="168" t="s">
        <v>16</v>
      </c>
      <c r="Q13" s="168"/>
      <c r="U13" s="161"/>
      <c r="V13" s="161"/>
      <c r="W13" s="161"/>
      <c r="X13" s="161"/>
    </row>
    <row r="14" spans="1:26">
      <c r="A14" s="35" t="s">
        <v>1</v>
      </c>
      <c r="B14" s="167" t="s">
        <v>2</v>
      </c>
      <c r="C14" s="167"/>
      <c r="D14" s="167"/>
      <c r="E14" s="167"/>
      <c r="F14" s="167"/>
      <c r="G14" s="167"/>
      <c r="H14" s="36" t="s">
        <v>17</v>
      </c>
      <c r="I14" s="36" t="s">
        <v>18</v>
      </c>
      <c r="J14" s="36" t="s">
        <v>19</v>
      </c>
      <c r="K14" s="36" t="s">
        <v>18</v>
      </c>
      <c r="L14" s="36" t="s">
        <v>17</v>
      </c>
      <c r="M14" s="36" t="s">
        <v>18</v>
      </c>
      <c r="N14" s="36" t="s">
        <v>17</v>
      </c>
      <c r="O14" s="36" t="s">
        <v>18</v>
      </c>
      <c r="P14" s="36" t="s">
        <v>17</v>
      </c>
      <c r="Q14" s="36" t="s">
        <v>18</v>
      </c>
      <c r="U14" s="161"/>
      <c r="V14" s="161"/>
      <c r="W14" s="161"/>
      <c r="X14" s="161"/>
    </row>
    <row r="15" spans="1:26">
      <c r="A15" s="20">
        <v>1</v>
      </c>
      <c r="B15" s="165" t="str">
        <f>'Orçamento Modelo'!D15</f>
        <v>RUA DALTRO LUIZ TUZI</v>
      </c>
      <c r="C15" s="165"/>
      <c r="D15" s="165"/>
      <c r="E15" s="165"/>
      <c r="F15" s="165"/>
      <c r="G15" s="165"/>
      <c r="H15" s="23" t="e">
        <f t="shared" ref="H15:H23" si="0">(I15*100)/I$35</f>
        <v>#DIV/0!</v>
      </c>
      <c r="I15" s="46">
        <f>'Orçamento Modelo'!M$15</f>
        <v>0</v>
      </c>
      <c r="J15" s="37"/>
      <c r="K15" s="47">
        <f t="shared" ref="K15:K21" si="1">ROUND(I15*J15/100,2)</f>
        <v>0</v>
      </c>
      <c r="L15" s="37"/>
      <c r="M15" s="47">
        <f t="shared" ref="M15:M21" si="2">ROUND(I15*L15/100,2)</f>
        <v>0</v>
      </c>
      <c r="N15" s="37"/>
      <c r="O15" s="47">
        <f t="shared" ref="O15:O21" si="3">ROUND(I15*N15/100,2)</f>
        <v>0</v>
      </c>
      <c r="P15" s="37"/>
      <c r="Q15" s="47">
        <f t="shared" ref="Q15:Q21" si="4">ROUND(I15*P15/100,2)</f>
        <v>0</v>
      </c>
    </row>
    <row r="16" spans="1:26">
      <c r="A16" s="38">
        <v>2</v>
      </c>
      <c r="B16" s="165" t="str">
        <f>'Orçamento Modelo'!D27</f>
        <v>RUA ANITA TOCHETTO FRIZZO</v>
      </c>
      <c r="C16" s="165"/>
      <c r="D16" s="165"/>
      <c r="E16" s="165"/>
      <c r="F16" s="165"/>
      <c r="G16" s="165"/>
      <c r="H16" s="23" t="e">
        <f t="shared" si="0"/>
        <v>#DIV/0!</v>
      </c>
      <c r="I16" s="46">
        <f>'Orçamento Modelo'!M$27</f>
        <v>0</v>
      </c>
      <c r="J16" s="37"/>
      <c r="K16" s="47">
        <f t="shared" si="1"/>
        <v>0</v>
      </c>
      <c r="L16" s="37"/>
      <c r="M16" s="47">
        <f t="shared" si="2"/>
        <v>0</v>
      </c>
      <c r="N16" s="37"/>
      <c r="O16" s="47">
        <f t="shared" si="3"/>
        <v>0</v>
      </c>
      <c r="P16" s="37"/>
      <c r="Q16" s="47">
        <f t="shared" si="4"/>
        <v>0</v>
      </c>
    </row>
    <row r="17" spans="1:17">
      <c r="A17" s="38">
        <v>3</v>
      </c>
      <c r="B17" s="165" t="str">
        <f>'Orçamento Modelo'!D38</f>
        <v>RUA ANTONIO GUASSO</v>
      </c>
      <c r="C17" s="165"/>
      <c r="D17" s="165"/>
      <c r="E17" s="165"/>
      <c r="F17" s="165"/>
      <c r="G17" s="165"/>
      <c r="H17" s="23" t="e">
        <f t="shared" si="0"/>
        <v>#DIV/0!</v>
      </c>
      <c r="I17" s="46">
        <f>'Orçamento Modelo'!M$38</f>
        <v>0</v>
      </c>
      <c r="J17" s="37"/>
      <c r="K17" s="47">
        <f t="shared" si="1"/>
        <v>0</v>
      </c>
      <c r="L17" s="37"/>
      <c r="M17" s="47">
        <f t="shared" si="2"/>
        <v>0</v>
      </c>
      <c r="N17" s="37"/>
      <c r="O17" s="47">
        <f t="shared" si="3"/>
        <v>0</v>
      </c>
      <c r="P17" s="37"/>
      <c r="Q17" s="47">
        <f t="shared" si="4"/>
        <v>0</v>
      </c>
    </row>
    <row r="18" spans="1:17">
      <c r="A18" s="38">
        <v>4</v>
      </c>
      <c r="B18" s="165" t="str">
        <f>'Orçamento Modelo'!D49</f>
        <v>RUA ALEXANDRE MANENTI</v>
      </c>
      <c r="C18" s="165"/>
      <c r="D18" s="165"/>
      <c r="E18" s="165"/>
      <c r="F18" s="165"/>
      <c r="G18" s="165"/>
      <c r="H18" s="23" t="e">
        <f t="shared" si="0"/>
        <v>#DIV/0!</v>
      </c>
      <c r="I18" s="46">
        <f>'Orçamento Modelo'!M$49</f>
        <v>0</v>
      </c>
      <c r="J18" s="37"/>
      <c r="K18" s="47">
        <f t="shared" si="1"/>
        <v>0</v>
      </c>
      <c r="L18" s="37"/>
      <c r="M18" s="47">
        <f t="shared" si="2"/>
        <v>0</v>
      </c>
      <c r="N18" s="37"/>
      <c r="O18" s="47">
        <f t="shared" si="3"/>
        <v>0</v>
      </c>
      <c r="P18" s="37"/>
      <c r="Q18" s="47">
        <f t="shared" si="4"/>
        <v>0</v>
      </c>
    </row>
    <row r="19" spans="1:17">
      <c r="A19" s="38">
        <v>5</v>
      </c>
      <c r="B19" s="165" t="str">
        <f>'Orçamento Modelo'!D61</f>
        <v>RUA PIETRO ERCOLANI</v>
      </c>
      <c r="C19" s="165"/>
      <c r="D19" s="165"/>
      <c r="E19" s="165"/>
      <c r="F19" s="165"/>
      <c r="G19" s="165"/>
      <c r="H19" s="23" t="e">
        <f t="shared" si="0"/>
        <v>#DIV/0!</v>
      </c>
      <c r="I19" s="46">
        <f>'Orçamento Modelo'!M$61</f>
        <v>0</v>
      </c>
      <c r="J19" s="37"/>
      <c r="K19" s="47">
        <f t="shared" si="1"/>
        <v>0</v>
      </c>
      <c r="L19" s="37"/>
      <c r="M19" s="47">
        <f t="shared" si="2"/>
        <v>0</v>
      </c>
      <c r="N19" s="37"/>
      <c r="O19" s="47">
        <f t="shared" si="3"/>
        <v>0</v>
      </c>
      <c r="P19" s="37"/>
      <c r="Q19" s="47">
        <f t="shared" si="4"/>
        <v>0</v>
      </c>
    </row>
    <row r="20" spans="1:17">
      <c r="A20" s="38">
        <v>6</v>
      </c>
      <c r="B20" s="165" t="str">
        <f>'Orçamento Modelo'!D72</f>
        <v>RUA VALDENIR VICENTE GAVIOLI</v>
      </c>
      <c r="C20" s="165"/>
      <c r="D20" s="165"/>
      <c r="E20" s="165"/>
      <c r="F20" s="165"/>
      <c r="G20" s="165"/>
      <c r="H20" s="23" t="e">
        <f t="shared" si="0"/>
        <v>#DIV/0!</v>
      </c>
      <c r="I20" s="46">
        <f>'Orçamento Modelo'!M$72</f>
        <v>0</v>
      </c>
      <c r="J20" s="37"/>
      <c r="K20" s="47">
        <f t="shared" si="1"/>
        <v>0</v>
      </c>
      <c r="L20" s="37"/>
      <c r="M20" s="47">
        <f t="shared" si="2"/>
        <v>0</v>
      </c>
      <c r="N20" s="37"/>
      <c r="O20" s="47">
        <f t="shared" si="3"/>
        <v>0</v>
      </c>
      <c r="P20" s="37"/>
      <c r="Q20" s="47">
        <f t="shared" si="4"/>
        <v>0</v>
      </c>
    </row>
    <row r="21" spans="1:17">
      <c r="A21" s="39">
        <v>7</v>
      </c>
      <c r="B21" s="165" t="str">
        <f>'Orçamento Modelo'!D84</f>
        <v>RUA EMANCIPAÇÃO</v>
      </c>
      <c r="C21" s="165"/>
      <c r="D21" s="165"/>
      <c r="E21" s="165"/>
      <c r="F21" s="165"/>
      <c r="G21" s="165"/>
      <c r="H21" s="23" t="e">
        <f t="shared" si="0"/>
        <v>#DIV/0!</v>
      </c>
      <c r="I21" s="46">
        <f>'Orçamento Modelo'!M$84</f>
        <v>0</v>
      </c>
      <c r="J21" s="37"/>
      <c r="K21" s="47">
        <f t="shared" si="1"/>
        <v>0</v>
      </c>
      <c r="L21" s="37"/>
      <c r="M21" s="47">
        <f t="shared" si="2"/>
        <v>0</v>
      </c>
      <c r="N21" s="37"/>
      <c r="O21" s="47">
        <f t="shared" si="3"/>
        <v>0</v>
      </c>
      <c r="P21" s="37"/>
      <c r="Q21" s="47">
        <f t="shared" si="4"/>
        <v>0</v>
      </c>
    </row>
    <row r="22" spans="1:17">
      <c r="A22" s="39">
        <v>8</v>
      </c>
      <c r="B22" s="165" t="str">
        <f>'Orçamento Modelo'!D98</f>
        <v>RUA JOÃO GIODA</v>
      </c>
      <c r="C22" s="165"/>
      <c r="D22" s="165"/>
      <c r="E22" s="165"/>
      <c r="F22" s="165"/>
      <c r="G22" s="165"/>
      <c r="H22" s="23" t="e">
        <f t="shared" si="0"/>
        <v>#DIV/0!</v>
      </c>
      <c r="I22" s="46">
        <f>'Orçamento Modelo'!M$98</f>
        <v>0</v>
      </c>
      <c r="J22" s="37"/>
      <c r="K22" s="47">
        <f t="shared" ref="K22:K23" si="5">ROUND(I22*J22/100,2)</f>
        <v>0</v>
      </c>
      <c r="L22" s="37"/>
      <c r="M22" s="47">
        <f t="shared" ref="M22:M23" si="6">ROUND(I22*L22/100,2)</f>
        <v>0</v>
      </c>
      <c r="N22" s="37"/>
      <c r="O22" s="47">
        <f t="shared" ref="O22:O23" si="7">ROUND(I22*N22/100,2)</f>
        <v>0</v>
      </c>
      <c r="P22" s="37"/>
      <c r="Q22" s="47">
        <f t="shared" ref="Q22:Q23" si="8">ROUND(I22*P22/100,2)</f>
        <v>0</v>
      </c>
    </row>
    <row r="23" spans="1:17">
      <c r="A23" s="39">
        <v>9</v>
      </c>
      <c r="B23" s="165" t="str">
        <f>'Orçamento Modelo'!D110</f>
        <v>RUA GIOVANA LOVATO VIELMO</v>
      </c>
      <c r="C23" s="165"/>
      <c r="D23" s="165"/>
      <c r="E23" s="165"/>
      <c r="F23" s="165"/>
      <c r="G23" s="165"/>
      <c r="H23" s="23" t="e">
        <f t="shared" si="0"/>
        <v>#DIV/0!</v>
      </c>
      <c r="I23" s="46">
        <f>'Orçamento Modelo'!M$110</f>
        <v>0</v>
      </c>
      <c r="J23" s="37"/>
      <c r="K23" s="47">
        <f t="shared" si="5"/>
        <v>0</v>
      </c>
      <c r="L23" s="37"/>
      <c r="M23" s="47">
        <f t="shared" si="6"/>
        <v>0</v>
      </c>
      <c r="N23" s="37"/>
      <c r="O23" s="47">
        <f t="shared" si="7"/>
        <v>0</v>
      </c>
      <c r="P23" s="37"/>
      <c r="Q23" s="47">
        <f t="shared" si="8"/>
        <v>0</v>
      </c>
    </row>
    <row r="24" spans="1:17">
      <c r="A24" s="39">
        <v>10</v>
      </c>
      <c r="B24" s="165" t="str">
        <f>'Orçamento Modelo'!D121</f>
        <v>RUA EUCLIDES DA CUNHA</v>
      </c>
      <c r="C24" s="165"/>
      <c r="D24" s="165"/>
      <c r="E24" s="165"/>
      <c r="F24" s="165"/>
      <c r="G24" s="165"/>
      <c r="H24" s="23" t="e">
        <f t="shared" ref="H24:H33" si="9">(I24*100)/I$35</f>
        <v>#DIV/0!</v>
      </c>
      <c r="I24" s="46">
        <f>'Orçamento Modelo'!M$121</f>
        <v>0</v>
      </c>
      <c r="J24" s="37"/>
      <c r="K24" s="47">
        <f t="shared" ref="K24:K33" si="10">ROUND(I24*J24/100,2)</f>
        <v>0</v>
      </c>
      <c r="L24" s="37"/>
      <c r="M24" s="47">
        <f t="shared" ref="M24:M33" si="11">ROUND(I24*L24/100,2)</f>
        <v>0</v>
      </c>
      <c r="N24" s="37"/>
      <c r="O24" s="47">
        <f t="shared" ref="O24:O33" si="12">ROUND(I24*N24/100,2)</f>
        <v>0</v>
      </c>
      <c r="P24" s="37"/>
      <c r="Q24" s="47">
        <f t="shared" ref="Q24:Q33" si="13">ROUND(I24*P24/100,2)</f>
        <v>0</v>
      </c>
    </row>
    <row r="25" spans="1:17">
      <c r="A25" s="39">
        <v>11</v>
      </c>
      <c r="B25" s="255" t="str">
        <f>'Orçamento Modelo'!D132</f>
        <v>PEDRO DELEVATI SOBRINHO</v>
      </c>
      <c r="C25" s="256"/>
      <c r="D25" s="256"/>
      <c r="E25" s="256"/>
      <c r="F25" s="257"/>
      <c r="G25" s="123"/>
      <c r="H25" s="23" t="e">
        <f t="shared" si="9"/>
        <v>#DIV/0!</v>
      </c>
      <c r="I25" s="46">
        <f>'Orçamento Modelo'!M$132</f>
        <v>0</v>
      </c>
      <c r="J25" s="37"/>
      <c r="K25" s="47">
        <f t="shared" si="10"/>
        <v>0</v>
      </c>
      <c r="L25" s="37"/>
      <c r="M25" s="47">
        <f t="shared" si="11"/>
        <v>0</v>
      </c>
      <c r="N25" s="37"/>
      <c r="O25" s="47">
        <f t="shared" si="12"/>
        <v>0</v>
      </c>
      <c r="P25" s="37"/>
      <c r="Q25" s="47">
        <f t="shared" si="13"/>
        <v>0</v>
      </c>
    </row>
    <row r="26" spans="1:17">
      <c r="A26" s="39">
        <v>12</v>
      </c>
      <c r="B26" s="255" t="str">
        <f>'Orçamento Modelo'!D138</f>
        <v>ALADINO BUZATA</v>
      </c>
      <c r="C26" s="256"/>
      <c r="D26" s="256"/>
      <c r="E26" s="256"/>
      <c r="F26" s="257"/>
      <c r="G26" s="123"/>
      <c r="H26" s="23" t="e">
        <f t="shared" si="9"/>
        <v>#DIV/0!</v>
      </c>
      <c r="I26" s="46">
        <f>'Orçamento Modelo'!M$138</f>
        <v>0</v>
      </c>
      <c r="J26" s="37"/>
      <c r="K26" s="47">
        <f t="shared" si="10"/>
        <v>0</v>
      </c>
      <c r="L26" s="37"/>
      <c r="M26" s="47">
        <f t="shared" si="11"/>
        <v>0</v>
      </c>
      <c r="N26" s="37"/>
      <c r="O26" s="47">
        <f t="shared" si="12"/>
        <v>0</v>
      </c>
      <c r="P26" s="37"/>
      <c r="Q26" s="47">
        <f t="shared" si="13"/>
        <v>0</v>
      </c>
    </row>
    <row r="27" spans="1:17">
      <c r="A27" s="39">
        <v>13</v>
      </c>
      <c r="B27" s="255" t="str">
        <f>'Orçamento Modelo'!D150</f>
        <v>PEDRO MINOSSO</v>
      </c>
      <c r="C27" s="256"/>
      <c r="D27" s="256"/>
      <c r="E27" s="256"/>
      <c r="F27" s="257"/>
      <c r="G27" s="123"/>
      <c r="H27" s="23" t="e">
        <f t="shared" si="9"/>
        <v>#DIV/0!</v>
      </c>
      <c r="I27" s="46">
        <f>'Orçamento Modelo'!M$150</f>
        <v>0</v>
      </c>
      <c r="J27" s="37"/>
      <c r="K27" s="47">
        <f t="shared" si="10"/>
        <v>0</v>
      </c>
      <c r="L27" s="37"/>
      <c r="M27" s="47">
        <f t="shared" si="11"/>
        <v>0</v>
      </c>
      <c r="N27" s="37"/>
      <c r="O27" s="47">
        <f t="shared" si="12"/>
        <v>0</v>
      </c>
      <c r="P27" s="37"/>
      <c r="Q27" s="47">
        <f t="shared" si="13"/>
        <v>0</v>
      </c>
    </row>
    <row r="28" spans="1:17">
      <c r="A28" s="39">
        <v>14</v>
      </c>
      <c r="B28" s="255" t="str">
        <f>'Orçamento Modelo'!D156</f>
        <v>JOÃO VIELMO</v>
      </c>
      <c r="C28" s="256"/>
      <c r="D28" s="256"/>
      <c r="E28" s="256"/>
      <c r="F28" s="257"/>
      <c r="G28" s="123"/>
      <c r="H28" s="23" t="e">
        <f t="shared" si="9"/>
        <v>#DIV/0!</v>
      </c>
      <c r="I28" s="46">
        <f>'Orçamento Modelo'!M$156</f>
        <v>0</v>
      </c>
      <c r="J28" s="37"/>
      <c r="K28" s="47">
        <f t="shared" si="10"/>
        <v>0</v>
      </c>
      <c r="L28" s="37"/>
      <c r="M28" s="47">
        <f t="shared" si="11"/>
        <v>0</v>
      </c>
      <c r="N28" s="37"/>
      <c r="O28" s="47">
        <f t="shared" si="12"/>
        <v>0</v>
      </c>
      <c r="P28" s="37"/>
      <c r="Q28" s="47">
        <f t="shared" si="13"/>
        <v>0</v>
      </c>
    </row>
    <row r="29" spans="1:17">
      <c r="A29" s="39">
        <v>15</v>
      </c>
      <c r="B29" s="255" t="str">
        <f>'Orçamento Modelo'!D167</f>
        <v>JOSÉ ANGONESE</v>
      </c>
      <c r="C29" s="256"/>
      <c r="D29" s="256"/>
      <c r="E29" s="256"/>
      <c r="F29" s="257"/>
      <c r="G29" s="123"/>
      <c r="H29" s="23" t="e">
        <f t="shared" si="9"/>
        <v>#DIV/0!</v>
      </c>
      <c r="I29" s="46">
        <f>'Orçamento Modelo'!M$167</f>
        <v>0</v>
      </c>
      <c r="J29" s="37"/>
      <c r="K29" s="47">
        <f t="shared" si="10"/>
        <v>0</v>
      </c>
      <c r="L29" s="37"/>
      <c r="M29" s="47">
        <f t="shared" si="11"/>
        <v>0</v>
      </c>
      <c r="N29" s="37"/>
      <c r="O29" s="47">
        <f t="shared" si="12"/>
        <v>0</v>
      </c>
      <c r="P29" s="37"/>
      <c r="Q29" s="47">
        <f t="shared" si="13"/>
        <v>0</v>
      </c>
    </row>
    <row r="30" spans="1:17">
      <c r="A30" s="39">
        <v>16</v>
      </c>
      <c r="B30" s="255" t="str">
        <f>'Orçamento Modelo'!D178</f>
        <v>ANTONIO DELEVATI</v>
      </c>
      <c r="C30" s="256"/>
      <c r="D30" s="256"/>
      <c r="E30" s="256"/>
      <c r="F30" s="257"/>
      <c r="G30" s="123"/>
      <c r="H30" s="23" t="e">
        <f t="shared" si="9"/>
        <v>#DIV/0!</v>
      </c>
      <c r="I30" s="46">
        <f>'Orçamento Modelo'!M$178</f>
        <v>0</v>
      </c>
      <c r="J30" s="37"/>
      <c r="K30" s="47">
        <f t="shared" si="10"/>
        <v>0</v>
      </c>
      <c r="L30" s="37"/>
      <c r="M30" s="47">
        <f t="shared" si="11"/>
        <v>0</v>
      </c>
      <c r="N30" s="37"/>
      <c r="O30" s="47">
        <f t="shared" si="12"/>
        <v>0</v>
      </c>
      <c r="P30" s="37"/>
      <c r="Q30" s="47">
        <f t="shared" si="13"/>
        <v>0</v>
      </c>
    </row>
    <row r="31" spans="1:17">
      <c r="A31" s="39">
        <v>17</v>
      </c>
      <c r="B31" s="255" t="str">
        <f>'Orçamento Modelo'!D189</f>
        <v>VALDECI CAETANO GUASSO</v>
      </c>
      <c r="C31" s="256"/>
      <c r="D31" s="256"/>
      <c r="E31" s="256"/>
      <c r="F31" s="257"/>
      <c r="G31" s="123"/>
      <c r="H31" s="23" t="e">
        <f t="shared" si="9"/>
        <v>#DIV/0!</v>
      </c>
      <c r="I31" s="46">
        <f>'Orçamento Modelo'!M$189</f>
        <v>0</v>
      </c>
      <c r="J31" s="37"/>
      <c r="K31" s="47">
        <f t="shared" si="10"/>
        <v>0</v>
      </c>
      <c r="L31" s="37"/>
      <c r="M31" s="47">
        <f t="shared" si="11"/>
        <v>0</v>
      </c>
      <c r="N31" s="37"/>
      <c r="O31" s="47">
        <f t="shared" si="12"/>
        <v>0</v>
      </c>
      <c r="P31" s="37"/>
      <c r="Q31" s="47">
        <f t="shared" si="13"/>
        <v>0</v>
      </c>
    </row>
    <row r="32" spans="1:17">
      <c r="A32" s="39">
        <v>18</v>
      </c>
      <c r="B32" s="255" t="str">
        <f>'Orçamento Modelo'!D195</f>
        <v>PIETRO ERCOLANI TRECHO 2</v>
      </c>
      <c r="C32" s="256"/>
      <c r="D32" s="256"/>
      <c r="E32" s="256"/>
      <c r="F32" s="257"/>
      <c r="G32" s="123"/>
      <c r="H32" s="23" t="e">
        <f t="shared" si="9"/>
        <v>#DIV/0!</v>
      </c>
      <c r="I32" s="46">
        <f>'Orçamento Modelo'!M$195</f>
        <v>0</v>
      </c>
      <c r="J32" s="37"/>
      <c r="K32" s="47">
        <f t="shared" si="10"/>
        <v>0</v>
      </c>
      <c r="L32" s="37"/>
      <c r="M32" s="47">
        <f t="shared" si="11"/>
        <v>0</v>
      </c>
      <c r="N32" s="37"/>
      <c r="O32" s="47">
        <f t="shared" si="12"/>
        <v>0</v>
      </c>
      <c r="P32" s="37"/>
      <c r="Q32" s="47">
        <f t="shared" si="13"/>
        <v>0</v>
      </c>
    </row>
    <row r="33" spans="1:17">
      <c r="A33" s="39">
        <v>19</v>
      </c>
      <c r="B33" s="165" t="str">
        <f>'Orçamento Modelo'!D207</f>
        <v>VALDECI CAETANO GUASSO</v>
      </c>
      <c r="C33" s="165"/>
      <c r="D33" s="165"/>
      <c r="E33" s="165"/>
      <c r="F33" s="165"/>
      <c r="G33" s="165"/>
      <c r="H33" s="23" t="e">
        <f t="shared" si="9"/>
        <v>#DIV/0!</v>
      </c>
      <c r="I33" s="46">
        <f>'Orçamento Modelo'!M$207</f>
        <v>0</v>
      </c>
      <c r="J33" s="37"/>
      <c r="K33" s="47">
        <f t="shared" si="10"/>
        <v>0</v>
      </c>
      <c r="L33" s="37"/>
      <c r="M33" s="47">
        <f t="shared" si="11"/>
        <v>0</v>
      </c>
      <c r="N33" s="37"/>
      <c r="O33" s="47">
        <f t="shared" si="12"/>
        <v>0</v>
      </c>
      <c r="P33" s="37"/>
      <c r="Q33" s="47">
        <f t="shared" si="13"/>
        <v>0</v>
      </c>
    </row>
    <row r="34" spans="1:17">
      <c r="A34" s="40"/>
      <c r="B34" s="21"/>
      <c r="C34" s="21"/>
      <c r="D34" s="21"/>
      <c r="E34" s="21"/>
      <c r="F34" s="21"/>
      <c r="G34" s="21"/>
      <c r="H34" s="41"/>
      <c r="I34" s="21"/>
      <c r="J34" s="21"/>
      <c r="K34" s="21"/>
      <c r="L34" s="21"/>
      <c r="M34" s="21"/>
      <c r="N34" s="21"/>
      <c r="O34" s="21"/>
      <c r="P34" s="21"/>
      <c r="Q34" s="22"/>
    </row>
    <row r="35" spans="1:17">
      <c r="A35" s="33" t="s">
        <v>7</v>
      </c>
      <c r="B35" s="42"/>
      <c r="C35" s="43"/>
      <c r="D35" s="43"/>
      <c r="E35" s="43"/>
      <c r="F35" s="43"/>
      <c r="G35" s="43"/>
      <c r="H35" s="51" t="e">
        <f>SUM(H15:H33)</f>
        <v>#DIV/0!</v>
      </c>
      <c r="I35" s="48">
        <f>SUM(I15:I33)</f>
        <v>0</v>
      </c>
      <c r="J35" s="49" t="e">
        <f>K35*H35/I35</f>
        <v>#DIV/0!</v>
      </c>
      <c r="K35" s="48">
        <f>SUM(K15:K33)</f>
        <v>0</v>
      </c>
      <c r="L35" s="49" t="e">
        <f>M35*H35/I35</f>
        <v>#DIV/0!</v>
      </c>
      <c r="M35" s="48">
        <f>SUM(M15:M33)</f>
        <v>0</v>
      </c>
      <c r="N35" s="49" t="e">
        <f>O35*H35/I35</f>
        <v>#DIV/0!</v>
      </c>
      <c r="O35" s="48">
        <f>SUM(O15:O33)</f>
        <v>0</v>
      </c>
      <c r="P35" s="49" t="e">
        <f>Q35*H35/I35</f>
        <v>#DIV/0!</v>
      </c>
      <c r="Q35" s="48">
        <f>SUM(Q15:Q33)</f>
        <v>0</v>
      </c>
    </row>
    <row r="36" spans="1:17">
      <c r="A36" s="33" t="s">
        <v>20</v>
      </c>
      <c r="B36" s="34"/>
      <c r="C36" s="45"/>
      <c r="D36" s="45"/>
      <c r="E36" s="45"/>
      <c r="F36" s="45"/>
      <c r="G36" s="45"/>
      <c r="H36" s="44"/>
      <c r="I36" s="50"/>
      <c r="J36" s="49" t="e">
        <f>(K36*H35)/I35</f>
        <v>#DIV/0!</v>
      </c>
      <c r="K36" s="48">
        <f>K35</f>
        <v>0</v>
      </c>
      <c r="L36" s="49" t="e">
        <f>(M36*H35)/I35</f>
        <v>#DIV/0!</v>
      </c>
      <c r="M36" s="48">
        <f>K36+M35</f>
        <v>0</v>
      </c>
      <c r="N36" s="49" t="e">
        <f>(O36*H35)/I35</f>
        <v>#DIV/0!</v>
      </c>
      <c r="O36" s="48">
        <f>M36+O35</f>
        <v>0</v>
      </c>
      <c r="P36" s="49" t="e">
        <f>(Q36*H35)/I35</f>
        <v>#DIV/0!</v>
      </c>
      <c r="Q36" s="48">
        <f>O36+Q35</f>
        <v>0</v>
      </c>
    </row>
    <row r="37" spans="1:1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69"/>
      <c r="N38" s="170"/>
      <c r="O38" s="170"/>
      <c r="P38" s="170"/>
      <c r="Q38" s="170"/>
    </row>
    <row r="39" spans="1:17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spans="1:17">
      <c r="A40" s="13"/>
      <c r="B40" s="13"/>
      <c r="C40" s="13"/>
      <c r="D40" s="8"/>
      <c r="E40" s="8"/>
      <c r="F40" s="8"/>
      <c r="G40" s="8"/>
      <c r="H40" s="8"/>
      <c r="I40" s="13"/>
      <c r="J40" s="13"/>
      <c r="K40" s="11"/>
      <c r="L40" s="11"/>
      <c r="M40" s="11"/>
      <c r="N40" s="13"/>
      <c r="O40" s="13"/>
      <c r="P40" s="13"/>
      <c r="Q40" s="13"/>
    </row>
    <row r="41" spans="1:17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46" t="s">
        <v>59</v>
      </c>
      <c r="L41" s="146"/>
      <c r="M41" s="146"/>
      <c r="N41" s="146"/>
      <c r="O41" s="13"/>
      <c r="P41" s="13"/>
      <c r="Q41" s="13"/>
    </row>
    <row r="42" spans="1:17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28" t="s">
        <v>63</v>
      </c>
      <c r="L42" s="128"/>
      <c r="M42" s="128"/>
      <c r="N42" s="128"/>
      <c r="O42" s="13"/>
      <c r="P42" s="13"/>
      <c r="Q42" s="13"/>
    </row>
    <row r="43" spans="1:17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spans="1:17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</row>
    <row r="45" spans="1:17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6"/>
    </row>
    <row r="46" spans="1:17" ht="21">
      <c r="A46" s="7"/>
      <c r="B46" s="8"/>
      <c r="C46" s="8"/>
      <c r="D46" s="162" t="s">
        <v>0</v>
      </c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3"/>
      <c r="P46" s="13"/>
      <c r="Q46" s="9"/>
    </row>
    <row r="47" spans="1:17" ht="18.75">
      <c r="A47" s="7"/>
      <c r="B47" s="8"/>
      <c r="C47" s="8"/>
      <c r="D47" s="163" t="s">
        <v>10</v>
      </c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3"/>
      <c r="P47" s="13"/>
      <c r="Q47" s="9"/>
    </row>
    <row r="48" spans="1:17">
      <c r="A48" s="7"/>
      <c r="B48" s="8"/>
      <c r="C48" s="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3"/>
      <c r="P48" s="13"/>
      <c r="Q48" s="9"/>
    </row>
    <row r="49" spans="1:24">
      <c r="A49" s="10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2"/>
    </row>
    <row r="50" spans="1:24" ht="15.75" thickBot="1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U50" s="161" t="s">
        <v>76</v>
      </c>
      <c r="V50" s="161"/>
      <c r="W50" s="161"/>
      <c r="X50" s="161"/>
    </row>
    <row r="51" spans="1:24" ht="15.75" thickBot="1">
      <c r="A51" s="164" t="s">
        <v>11</v>
      </c>
      <c r="B51" s="164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U51" s="161"/>
      <c r="V51" s="161"/>
      <c r="W51" s="161"/>
      <c r="X51" s="161"/>
    </row>
    <row r="52" spans="1:24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U52" s="161"/>
      <c r="V52" s="161"/>
      <c r="W52" s="161"/>
      <c r="X52" s="161"/>
    </row>
    <row r="53" spans="1:24">
      <c r="A53" s="29" t="s">
        <v>306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157" t="s">
        <v>79</v>
      </c>
      <c r="M53" s="157"/>
      <c r="N53" s="157" t="s">
        <v>62</v>
      </c>
      <c r="O53" s="157"/>
      <c r="P53" s="5"/>
      <c r="Q53" s="6"/>
    </row>
    <row r="54" spans="1:24">
      <c r="A54" s="31" t="s">
        <v>307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9"/>
    </row>
    <row r="55" spans="1:24">
      <c r="A55" s="32" t="s">
        <v>65</v>
      </c>
      <c r="B55" s="166"/>
      <c r="C55" s="166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2"/>
    </row>
    <row r="56" spans="1:24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13"/>
      <c r="N56" s="13"/>
      <c r="O56" s="13"/>
      <c r="P56" s="13"/>
      <c r="Q56" s="13"/>
    </row>
    <row r="57" spans="1:24">
      <c r="A57" s="33"/>
      <c r="B57" s="34"/>
      <c r="C57" s="34"/>
      <c r="D57" s="34"/>
      <c r="E57" s="34"/>
      <c r="F57" s="34"/>
      <c r="G57" s="34"/>
      <c r="H57" s="168" t="s">
        <v>12</v>
      </c>
      <c r="I57" s="168"/>
      <c r="J57" s="168" t="s">
        <v>21</v>
      </c>
      <c r="K57" s="168"/>
      <c r="L57" s="168" t="s">
        <v>22</v>
      </c>
      <c r="M57" s="168"/>
      <c r="N57" s="168" t="s">
        <v>23</v>
      </c>
      <c r="O57" s="168"/>
      <c r="P57" s="168" t="s">
        <v>24</v>
      </c>
      <c r="Q57" s="168"/>
    </row>
    <row r="58" spans="1:24">
      <c r="A58" s="35" t="s">
        <v>1</v>
      </c>
      <c r="B58" s="167" t="s">
        <v>2</v>
      </c>
      <c r="C58" s="167"/>
      <c r="D58" s="167"/>
      <c r="E58" s="167"/>
      <c r="F58" s="167"/>
      <c r="G58" s="167"/>
      <c r="H58" s="36" t="s">
        <v>17</v>
      </c>
      <c r="I58" s="36" t="s">
        <v>18</v>
      </c>
      <c r="J58" s="36" t="s">
        <v>19</v>
      </c>
      <c r="K58" s="36" t="s">
        <v>18</v>
      </c>
      <c r="L58" s="36" t="s">
        <v>17</v>
      </c>
      <c r="M58" s="36" t="s">
        <v>18</v>
      </c>
      <c r="N58" s="36" t="s">
        <v>17</v>
      </c>
      <c r="O58" s="36" t="s">
        <v>18</v>
      </c>
      <c r="P58" s="36" t="s">
        <v>17</v>
      </c>
      <c r="Q58" s="36" t="s">
        <v>18</v>
      </c>
    </row>
    <row r="59" spans="1:24">
      <c r="A59" s="20">
        <v>1</v>
      </c>
      <c r="B59" s="165" t="str">
        <f>'Orçamento Modelo'!D$15</f>
        <v>RUA DALTRO LUIZ TUZI</v>
      </c>
      <c r="C59" s="165"/>
      <c r="D59" s="165"/>
      <c r="E59" s="165"/>
      <c r="F59" s="165"/>
      <c r="G59" s="165"/>
      <c r="H59" s="23" t="e">
        <f t="shared" ref="H59:H77" si="14">(I59*100)/I$35</f>
        <v>#DIV/0!</v>
      </c>
      <c r="I59" s="46">
        <f>'Orçamento Modelo'!M$15</f>
        <v>0</v>
      </c>
      <c r="J59" s="37"/>
      <c r="K59" s="47">
        <f t="shared" ref="K59:K77" si="15">ROUND(I59*J59/100,2)</f>
        <v>0</v>
      </c>
      <c r="L59" s="37"/>
      <c r="M59" s="47">
        <f t="shared" ref="M59:M77" si="16">ROUND(I59*L59/100,2)</f>
        <v>0</v>
      </c>
      <c r="N59" s="37"/>
      <c r="O59" s="47">
        <f t="shared" ref="O59:O77" si="17">ROUND(I59*N59/100,2)</f>
        <v>0</v>
      </c>
      <c r="P59" s="37"/>
      <c r="Q59" s="47">
        <f t="shared" ref="Q59:Q77" si="18">ROUND(I59*P59/100,2)</f>
        <v>0</v>
      </c>
    </row>
    <row r="60" spans="1:24">
      <c r="A60" s="38">
        <v>2</v>
      </c>
      <c r="B60" s="165" t="str">
        <f>'Orçamento Modelo'!D$27</f>
        <v>RUA ANITA TOCHETTO FRIZZO</v>
      </c>
      <c r="C60" s="165"/>
      <c r="D60" s="165"/>
      <c r="E60" s="165"/>
      <c r="F60" s="165"/>
      <c r="G60" s="165"/>
      <c r="H60" s="23" t="e">
        <f t="shared" si="14"/>
        <v>#DIV/0!</v>
      </c>
      <c r="I60" s="46">
        <f>'Orçamento Modelo'!M$27</f>
        <v>0</v>
      </c>
      <c r="J60" s="37"/>
      <c r="K60" s="47">
        <f t="shared" si="15"/>
        <v>0</v>
      </c>
      <c r="L60" s="37"/>
      <c r="M60" s="47">
        <f t="shared" si="16"/>
        <v>0</v>
      </c>
      <c r="N60" s="37"/>
      <c r="O60" s="47">
        <f t="shared" si="17"/>
        <v>0</v>
      </c>
      <c r="P60" s="37"/>
      <c r="Q60" s="47">
        <f t="shared" si="18"/>
        <v>0</v>
      </c>
    </row>
    <row r="61" spans="1:24">
      <c r="A61" s="38">
        <v>3</v>
      </c>
      <c r="B61" s="165" t="str">
        <f>'Orçamento Modelo'!D$38</f>
        <v>RUA ANTONIO GUASSO</v>
      </c>
      <c r="C61" s="165"/>
      <c r="D61" s="165"/>
      <c r="E61" s="165"/>
      <c r="F61" s="165"/>
      <c r="G61" s="165"/>
      <c r="H61" s="23" t="e">
        <f t="shared" si="14"/>
        <v>#DIV/0!</v>
      </c>
      <c r="I61" s="46">
        <f>'Orçamento Modelo'!M$38</f>
        <v>0</v>
      </c>
      <c r="J61" s="37"/>
      <c r="K61" s="47">
        <f t="shared" si="15"/>
        <v>0</v>
      </c>
      <c r="L61" s="37"/>
      <c r="M61" s="47">
        <f t="shared" si="16"/>
        <v>0</v>
      </c>
      <c r="N61" s="37"/>
      <c r="O61" s="47">
        <f t="shared" si="17"/>
        <v>0</v>
      </c>
      <c r="P61" s="37"/>
      <c r="Q61" s="47">
        <f t="shared" si="18"/>
        <v>0</v>
      </c>
    </row>
    <row r="62" spans="1:24">
      <c r="A62" s="38">
        <v>4</v>
      </c>
      <c r="B62" s="165" t="str">
        <f>'Orçamento Modelo'!D$49</f>
        <v>RUA ALEXANDRE MANENTI</v>
      </c>
      <c r="C62" s="165"/>
      <c r="D62" s="165"/>
      <c r="E62" s="165"/>
      <c r="F62" s="165"/>
      <c r="G62" s="165"/>
      <c r="H62" s="23" t="e">
        <f t="shared" si="14"/>
        <v>#DIV/0!</v>
      </c>
      <c r="I62" s="46">
        <f>'Orçamento Modelo'!M$49</f>
        <v>0</v>
      </c>
      <c r="J62" s="37"/>
      <c r="K62" s="47">
        <f t="shared" si="15"/>
        <v>0</v>
      </c>
      <c r="L62" s="37"/>
      <c r="M62" s="47">
        <f t="shared" si="16"/>
        <v>0</v>
      </c>
      <c r="N62" s="37"/>
      <c r="O62" s="47">
        <f t="shared" si="17"/>
        <v>0</v>
      </c>
      <c r="P62" s="37"/>
      <c r="Q62" s="47">
        <f t="shared" si="18"/>
        <v>0</v>
      </c>
    </row>
    <row r="63" spans="1:24">
      <c r="A63" s="38">
        <v>5</v>
      </c>
      <c r="B63" s="165" t="str">
        <f>'Orçamento Modelo'!D$61</f>
        <v>RUA PIETRO ERCOLANI</v>
      </c>
      <c r="C63" s="165"/>
      <c r="D63" s="165"/>
      <c r="E63" s="165"/>
      <c r="F63" s="165"/>
      <c r="G63" s="165"/>
      <c r="H63" s="23" t="e">
        <f t="shared" si="14"/>
        <v>#DIV/0!</v>
      </c>
      <c r="I63" s="46">
        <f>'Orçamento Modelo'!M$61</f>
        <v>0</v>
      </c>
      <c r="J63" s="37"/>
      <c r="K63" s="47">
        <f t="shared" si="15"/>
        <v>0</v>
      </c>
      <c r="L63" s="37"/>
      <c r="M63" s="47">
        <f t="shared" si="16"/>
        <v>0</v>
      </c>
      <c r="N63" s="37"/>
      <c r="O63" s="47">
        <f t="shared" si="17"/>
        <v>0</v>
      </c>
      <c r="P63" s="37"/>
      <c r="Q63" s="47">
        <f t="shared" si="18"/>
        <v>0</v>
      </c>
    </row>
    <row r="64" spans="1:24">
      <c r="A64" s="38">
        <v>6</v>
      </c>
      <c r="B64" s="165" t="str">
        <f>'Orçamento Modelo'!D$72</f>
        <v>RUA VALDENIR VICENTE GAVIOLI</v>
      </c>
      <c r="C64" s="165"/>
      <c r="D64" s="165"/>
      <c r="E64" s="165"/>
      <c r="F64" s="165"/>
      <c r="G64" s="165"/>
      <c r="H64" s="23" t="e">
        <f t="shared" si="14"/>
        <v>#DIV/0!</v>
      </c>
      <c r="I64" s="46">
        <f>'Orçamento Modelo'!M$72</f>
        <v>0</v>
      </c>
      <c r="J64" s="37"/>
      <c r="K64" s="47">
        <f t="shared" si="15"/>
        <v>0</v>
      </c>
      <c r="L64" s="37"/>
      <c r="M64" s="47">
        <f t="shared" si="16"/>
        <v>0</v>
      </c>
      <c r="N64" s="37"/>
      <c r="O64" s="47">
        <f t="shared" si="17"/>
        <v>0</v>
      </c>
      <c r="P64" s="37"/>
      <c r="Q64" s="47">
        <f t="shared" si="18"/>
        <v>0</v>
      </c>
    </row>
    <row r="65" spans="1:17">
      <c r="A65" s="39">
        <v>7</v>
      </c>
      <c r="B65" s="165" t="str">
        <f>'Orçamento Modelo'!D$84</f>
        <v>RUA EMANCIPAÇÃO</v>
      </c>
      <c r="C65" s="165"/>
      <c r="D65" s="165"/>
      <c r="E65" s="165"/>
      <c r="F65" s="165"/>
      <c r="G65" s="165"/>
      <c r="H65" s="23" t="e">
        <f t="shared" si="14"/>
        <v>#DIV/0!</v>
      </c>
      <c r="I65" s="46">
        <f>'Orçamento Modelo'!M$84</f>
        <v>0</v>
      </c>
      <c r="J65" s="37"/>
      <c r="K65" s="47">
        <f t="shared" si="15"/>
        <v>0</v>
      </c>
      <c r="L65" s="37"/>
      <c r="M65" s="47">
        <f t="shared" si="16"/>
        <v>0</v>
      </c>
      <c r="N65" s="37"/>
      <c r="O65" s="47">
        <f t="shared" si="17"/>
        <v>0</v>
      </c>
      <c r="P65" s="37"/>
      <c r="Q65" s="47">
        <f t="shared" si="18"/>
        <v>0</v>
      </c>
    </row>
    <row r="66" spans="1:17">
      <c r="A66" s="39">
        <v>8</v>
      </c>
      <c r="B66" s="165" t="str">
        <f>'Orçamento Modelo'!D$98</f>
        <v>RUA JOÃO GIODA</v>
      </c>
      <c r="C66" s="165"/>
      <c r="D66" s="165"/>
      <c r="E66" s="165"/>
      <c r="F66" s="165"/>
      <c r="G66" s="165"/>
      <c r="H66" s="23" t="e">
        <f t="shared" si="14"/>
        <v>#DIV/0!</v>
      </c>
      <c r="I66" s="46">
        <f>'Orçamento Modelo'!M$98</f>
        <v>0</v>
      </c>
      <c r="J66" s="37"/>
      <c r="K66" s="47">
        <f t="shared" si="15"/>
        <v>0</v>
      </c>
      <c r="L66" s="37"/>
      <c r="M66" s="47">
        <f t="shared" si="16"/>
        <v>0</v>
      </c>
      <c r="N66" s="37"/>
      <c r="O66" s="47">
        <f t="shared" si="17"/>
        <v>0</v>
      </c>
      <c r="P66" s="37"/>
      <c r="Q66" s="47">
        <f t="shared" si="18"/>
        <v>0</v>
      </c>
    </row>
    <row r="67" spans="1:17">
      <c r="A67" s="39">
        <v>9</v>
      </c>
      <c r="B67" s="165" t="str">
        <f>'Orçamento Modelo'!D$110</f>
        <v>RUA GIOVANA LOVATO VIELMO</v>
      </c>
      <c r="C67" s="165"/>
      <c r="D67" s="165"/>
      <c r="E67" s="165"/>
      <c r="F67" s="165"/>
      <c r="G67" s="165"/>
      <c r="H67" s="23" t="e">
        <f t="shared" si="14"/>
        <v>#DIV/0!</v>
      </c>
      <c r="I67" s="46">
        <f>'Orçamento Modelo'!M$110</f>
        <v>0</v>
      </c>
      <c r="J67" s="37"/>
      <c r="K67" s="47">
        <f t="shared" si="15"/>
        <v>0</v>
      </c>
      <c r="L67" s="37"/>
      <c r="M67" s="47">
        <f t="shared" si="16"/>
        <v>0</v>
      </c>
      <c r="N67" s="37"/>
      <c r="O67" s="47">
        <f t="shared" si="17"/>
        <v>0</v>
      </c>
      <c r="P67" s="37"/>
      <c r="Q67" s="47">
        <f t="shared" si="18"/>
        <v>0</v>
      </c>
    </row>
    <row r="68" spans="1:17">
      <c r="A68" s="39">
        <v>10</v>
      </c>
      <c r="B68" s="165" t="str">
        <f>'Orçamento Modelo'!D$121</f>
        <v>RUA EUCLIDES DA CUNHA</v>
      </c>
      <c r="C68" s="165"/>
      <c r="D68" s="165"/>
      <c r="E68" s="165"/>
      <c r="F68" s="165"/>
      <c r="G68" s="165"/>
      <c r="H68" s="23" t="e">
        <f t="shared" si="14"/>
        <v>#DIV/0!</v>
      </c>
      <c r="I68" s="46">
        <f>'Orçamento Modelo'!M$121</f>
        <v>0</v>
      </c>
      <c r="J68" s="37"/>
      <c r="K68" s="47">
        <f t="shared" si="15"/>
        <v>0</v>
      </c>
      <c r="L68" s="37"/>
      <c r="M68" s="47">
        <f t="shared" si="16"/>
        <v>0</v>
      </c>
      <c r="N68" s="37"/>
      <c r="O68" s="47">
        <f t="shared" si="17"/>
        <v>0</v>
      </c>
      <c r="P68" s="37"/>
      <c r="Q68" s="47">
        <f t="shared" si="18"/>
        <v>0</v>
      </c>
    </row>
    <row r="69" spans="1:17">
      <c r="A69" s="39">
        <v>11</v>
      </c>
      <c r="B69" s="255" t="str">
        <f>'Orçamento Modelo'!D$132</f>
        <v>PEDRO DELEVATI SOBRINHO</v>
      </c>
      <c r="C69" s="256"/>
      <c r="D69" s="256"/>
      <c r="E69" s="256"/>
      <c r="F69" s="257"/>
      <c r="G69" s="123"/>
      <c r="H69" s="23" t="e">
        <f t="shared" si="14"/>
        <v>#DIV/0!</v>
      </c>
      <c r="I69" s="46">
        <f>'Orçamento Modelo'!M$132</f>
        <v>0</v>
      </c>
      <c r="J69" s="37"/>
      <c r="K69" s="47">
        <f t="shared" si="15"/>
        <v>0</v>
      </c>
      <c r="L69" s="37"/>
      <c r="M69" s="47">
        <f t="shared" si="16"/>
        <v>0</v>
      </c>
      <c r="N69" s="37"/>
      <c r="O69" s="47">
        <f t="shared" si="17"/>
        <v>0</v>
      </c>
      <c r="P69" s="37"/>
      <c r="Q69" s="47">
        <f t="shared" si="18"/>
        <v>0</v>
      </c>
    </row>
    <row r="70" spans="1:17">
      <c r="A70" s="39">
        <v>12</v>
      </c>
      <c r="B70" s="255" t="str">
        <f>'Orçamento Modelo'!D$138</f>
        <v>ALADINO BUZATA</v>
      </c>
      <c r="C70" s="256"/>
      <c r="D70" s="256"/>
      <c r="E70" s="256"/>
      <c r="F70" s="257"/>
      <c r="G70" s="123"/>
      <c r="H70" s="23" t="e">
        <f t="shared" si="14"/>
        <v>#DIV/0!</v>
      </c>
      <c r="I70" s="46">
        <f>'Orçamento Modelo'!M$138</f>
        <v>0</v>
      </c>
      <c r="J70" s="37"/>
      <c r="K70" s="47">
        <f t="shared" si="15"/>
        <v>0</v>
      </c>
      <c r="L70" s="37"/>
      <c r="M70" s="47">
        <f t="shared" si="16"/>
        <v>0</v>
      </c>
      <c r="N70" s="37"/>
      <c r="O70" s="47">
        <f t="shared" si="17"/>
        <v>0</v>
      </c>
      <c r="P70" s="37"/>
      <c r="Q70" s="47">
        <f t="shared" si="18"/>
        <v>0</v>
      </c>
    </row>
    <row r="71" spans="1:17">
      <c r="A71" s="39">
        <v>13</v>
      </c>
      <c r="B71" s="255" t="str">
        <f>'Orçamento Modelo'!D$150</f>
        <v>PEDRO MINOSSO</v>
      </c>
      <c r="C71" s="256"/>
      <c r="D71" s="256"/>
      <c r="E71" s="256"/>
      <c r="F71" s="257"/>
      <c r="G71" s="123"/>
      <c r="H71" s="23" t="e">
        <f t="shared" si="14"/>
        <v>#DIV/0!</v>
      </c>
      <c r="I71" s="46">
        <f>'Orçamento Modelo'!M$150</f>
        <v>0</v>
      </c>
      <c r="J71" s="37"/>
      <c r="K71" s="47">
        <f t="shared" si="15"/>
        <v>0</v>
      </c>
      <c r="L71" s="37"/>
      <c r="M71" s="47">
        <f t="shared" si="16"/>
        <v>0</v>
      </c>
      <c r="N71" s="37"/>
      <c r="O71" s="47">
        <f t="shared" si="17"/>
        <v>0</v>
      </c>
      <c r="P71" s="37"/>
      <c r="Q71" s="47">
        <f t="shared" si="18"/>
        <v>0</v>
      </c>
    </row>
    <row r="72" spans="1:17">
      <c r="A72" s="39">
        <v>14</v>
      </c>
      <c r="B72" s="255" t="str">
        <f>'Orçamento Modelo'!D$156</f>
        <v>JOÃO VIELMO</v>
      </c>
      <c r="C72" s="256"/>
      <c r="D72" s="256"/>
      <c r="E72" s="256"/>
      <c r="F72" s="257"/>
      <c r="G72" s="123"/>
      <c r="H72" s="23" t="e">
        <f t="shared" si="14"/>
        <v>#DIV/0!</v>
      </c>
      <c r="I72" s="46">
        <f>'Orçamento Modelo'!M$156</f>
        <v>0</v>
      </c>
      <c r="J72" s="37"/>
      <c r="K72" s="47">
        <f t="shared" si="15"/>
        <v>0</v>
      </c>
      <c r="L72" s="37"/>
      <c r="M72" s="47">
        <f t="shared" si="16"/>
        <v>0</v>
      </c>
      <c r="N72" s="37"/>
      <c r="O72" s="47">
        <f t="shared" si="17"/>
        <v>0</v>
      </c>
      <c r="P72" s="37"/>
      <c r="Q72" s="47">
        <f t="shared" si="18"/>
        <v>0</v>
      </c>
    </row>
    <row r="73" spans="1:17">
      <c r="A73" s="39">
        <v>15</v>
      </c>
      <c r="B73" s="255" t="str">
        <f>'Orçamento Modelo'!D$167</f>
        <v>JOSÉ ANGONESE</v>
      </c>
      <c r="C73" s="256"/>
      <c r="D73" s="256"/>
      <c r="E73" s="256"/>
      <c r="F73" s="257"/>
      <c r="G73" s="123"/>
      <c r="H73" s="23" t="e">
        <f t="shared" si="14"/>
        <v>#DIV/0!</v>
      </c>
      <c r="I73" s="46">
        <f>'Orçamento Modelo'!M$167</f>
        <v>0</v>
      </c>
      <c r="J73" s="37"/>
      <c r="K73" s="47">
        <f t="shared" si="15"/>
        <v>0</v>
      </c>
      <c r="L73" s="37"/>
      <c r="M73" s="47">
        <f t="shared" si="16"/>
        <v>0</v>
      </c>
      <c r="N73" s="37"/>
      <c r="O73" s="47">
        <f t="shared" si="17"/>
        <v>0</v>
      </c>
      <c r="P73" s="37"/>
      <c r="Q73" s="47">
        <f t="shared" si="18"/>
        <v>0</v>
      </c>
    </row>
    <row r="74" spans="1:17">
      <c r="A74" s="39">
        <v>16</v>
      </c>
      <c r="B74" s="255" t="str">
        <f>'Orçamento Modelo'!D$178</f>
        <v>ANTONIO DELEVATI</v>
      </c>
      <c r="C74" s="256"/>
      <c r="D74" s="256"/>
      <c r="E74" s="256"/>
      <c r="F74" s="257"/>
      <c r="G74" s="123"/>
      <c r="H74" s="23" t="e">
        <f t="shared" si="14"/>
        <v>#DIV/0!</v>
      </c>
      <c r="I74" s="46">
        <f>'Orçamento Modelo'!M$178</f>
        <v>0</v>
      </c>
      <c r="J74" s="37"/>
      <c r="K74" s="47">
        <f t="shared" si="15"/>
        <v>0</v>
      </c>
      <c r="L74" s="37"/>
      <c r="M74" s="47">
        <f t="shared" si="16"/>
        <v>0</v>
      </c>
      <c r="N74" s="37"/>
      <c r="O74" s="47">
        <f t="shared" si="17"/>
        <v>0</v>
      </c>
      <c r="P74" s="37"/>
      <c r="Q74" s="47">
        <f t="shared" si="18"/>
        <v>0</v>
      </c>
    </row>
    <row r="75" spans="1:17">
      <c r="A75" s="39">
        <v>17</v>
      </c>
      <c r="B75" s="255" t="str">
        <f>'Orçamento Modelo'!D$189</f>
        <v>VALDECI CAETANO GUASSO</v>
      </c>
      <c r="C75" s="256"/>
      <c r="D75" s="256"/>
      <c r="E75" s="256"/>
      <c r="F75" s="257"/>
      <c r="G75" s="123"/>
      <c r="H75" s="23" t="e">
        <f t="shared" si="14"/>
        <v>#DIV/0!</v>
      </c>
      <c r="I75" s="46">
        <f>'Orçamento Modelo'!M$189</f>
        <v>0</v>
      </c>
      <c r="J75" s="37"/>
      <c r="K75" s="47">
        <f t="shared" si="15"/>
        <v>0</v>
      </c>
      <c r="L75" s="37"/>
      <c r="M75" s="47">
        <f t="shared" si="16"/>
        <v>0</v>
      </c>
      <c r="N75" s="37"/>
      <c r="O75" s="47">
        <f t="shared" si="17"/>
        <v>0</v>
      </c>
      <c r="P75" s="37"/>
      <c r="Q75" s="47">
        <f t="shared" si="18"/>
        <v>0</v>
      </c>
    </row>
    <row r="76" spans="1:17">
      <c r="A76" s="39">
        <v>18</v>
      </c>
      <c r="B76" s="255" t="str">
        <f>'Orçamento Modelo'!D$195</f>
        <v>PIETRO ERCOLANI TRECHO 2</v>
      </c>
      <c r="C76" s="256"/>
      <c r="D76" s="256"/>
      <c r="E76" s="256"/>
      <c r="F76" s="257"/>
      <c r="G76" s="123"/>
      <c r="H76" s="23" t="e">
        <f t="shared" si="14"/>
        <v>#DIV/0!</v>
      </c>
      <c r="I76" s="46">
        <f>'Orçamento Modelo'!M$195</f>
        <v>0</v>
      </c>
      <c r="J76" s="37"/>
      <c r="K76" s="47">
        <f t="shared" si="15"/>
        <v>0</v>
      </c>
      <c r="L76" s="37"/>
      <c r="M76" s="47">
        <f t="shared" si="16"/>
        <v>0</v>
      </c>
      <c r="N76" s="37"/>
      <c r="O76" s="47">
        <f t="shared" si="17"/>
        <v>0</v>
      </c>
      <c r="P76" s="37"/>
      <c r="Q76" s="47">
        <f t="shared" si="18"/>
        <v>0</v>
      </c>
    </row>
    <row r="77" spans="1:17">
      <c r="A77" s="39">
        <v>19</v>
      </c>
      <c r="B77" s="165" t="str">
        <f>'Orçamento Modelo'!D$207</f>
        <v>VALDECI CAETANO GUASSO</v>
      </c>
      <c r="C77" s="165"/>
      <c r="D77" s="165"/>
      <c r="E77" s="165"/>
      <c r="F77" s="165"/>
      <c r="G77" s="165"/>
      <c r="H77" s="23" t="e">
        <f t="shared" si="14"/>
        <v>#DIV/0!</v>
      </c>
      <c r="I77" s="46">
        <f>'Orçamento Modelo'!M$207</f>
        <v>0</v>
      </c>
      <c r="J77" s="37"/>
      <c r="K77" s="47">
        <f t="shared" si="15"/>
        <v>0</v>
      </c>
      <c r="L77" s="37"/>
      <c r="M77" s="47">
        <f t="shared" si="16"/>
        <v>0</v>
      </c>
      <c r="N77" s="37"/>
      <c r="O77" s="47">
        <f t="shared" si="17"/>
        <v>0</v>
      </c>
      <c r="P77" s="37"/>
      <c r="Q77" s="47">
        <f t="shared" si="18"/>
        <v>0</v>
      </c>
    </row>
    <row r="78" spans="1:17">
      <c r="A78" s="40"/>
      <c r="B78" s="21"/>
      <c r="C78" s="21"/>
      <c r="D78" s="21"/>
      <c r="E78" s="21"/>
      <c r="F78" s="21"/>
      <c r="G78" s="21"/>
      <c r="H78" s="41"/>
      <c r="I78" s="21"/>
      <c r="J78" s="21"/>
      <c r="K78" s="21"/>
      <c r="L78" s="21"/>
      <c r="M78" s="21"/>
      <c r="N78" s="21"/>
      <c r="O78" s="21"/>
      <c r="P78" s="21"/>
      <c r="Q78" s="22"/>
    </row>
    <row r="79" spans="1:17">
      <c r="A79" s="33" t="s">
        <v>7</v>
      </c>
      <c r="B79" s="42"/>
      <c r="C79" s="43"/>
      <c r="D79" s="43"/>
      <c r="E79" s="43"/>
      <c r="F79" s="43"/>
      <c r="G79" s="43"/>
      <c r="H79" s="51" t="e">
        <f>SUM(H59:H75)</f>
        <v>#DIV/0!</v>
      </c>
      <c r="I79" s="48">
        <f>SUM(I59:I77)</f>
        <v>0</v>
      </c>
      <c r="J79" s="49" t="e">
        <f>K79*H79/I79</f>
        <v>#DIV/0!</v>
      </c>
      <c r="K79" s="48">
        <f>SUM(K59:K77)</f>
        <v>0</v>
      </c>
      <c r="L79" s="49" t="e">
        <f>M79*H79/I79</f>
        <v>#DIV/0!</v>
      </c>
      <c r="M79" s="48">
        <f>SUM(M59:M77)</f>
        <v>0</v>
      </c>
      <c r="N79" s="49" t="e">
        <f>O79*H79/I79</f>
        <v>#DIV/0!</v>
      </c>
      <c r="O79" s="48">
        <f>SUM(O59:O77)</f>
        <v>0</v>
      </c>
      <c r="P79" s="49" t="e">
        <f>Q79*H79/I79</f>
        <v>#DIV/0!</v>
      </c>
      <c r="Q79" s="48">
        <f>SUM(Q59:Q77)</f>
        <v>0</v>
      </c>
    </row>
    <row r="80" spans="1:17">
      <c r="A80" s="33" t="s">
        <v>20</v>
      </c>
      <c r="B80" s="34"/>
      <c r="C80" s="45"/>
      <c r="D80" s="45"/>
      <c r="E80" s="45"/>
      <c r="F80" s="45"/>
      <c r="G80" s="45"/>
      <c r="H80" s="44"/>
      <c r="I80" s="50"/>
      <c r="J80" s="49" t="e">
        <f>(K80*H79)/I79</f>
        <v>#DIV/0!</v>
      </c>
      <c r="K80" s="48">
        <f>K79+Q36</f>
        <v>0</v>
      </c>
      <c r="L80" s="49" t="e">
        <f>(M80*H79)/I79</f>
        <v>#DIV/0!</v>
      </c>
      <c r="M80" s="48">
        <f>K80+M79</f>
        <v>0</v>
      </c>
      <c r="N80" s="49" t="e">
        <f>(O80*H79)/I79</f>
        <v>#DIV/0!</v>
      </c>
      <c r="O80" s="48">
        <f>M80+O79</f>
        <v>0</v>
      </c>
      <c r="P80" s="49" t="e">
        <f>(Q80*H79)/I79</f>
        <v>#DIV/0!</v>
      </c>
      <c r="Q80" s="48">
        <f>O80+Q79</f>
        <v>0</v>
      </c>
    </row>
    <row r="81" spans="1:24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spans="1:24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69"/>
      <c r="N82" s="170"/>
      <c r="O82" s="170"/>
      <c r="P82" s="170"/>
      <c r="Q82" s="170"/>
    </row>
    <row r="83" spans="1:24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spans="1:24">
      <c r="A84" s="13"/>
      <c r="B84" s="13"/>
      <c r="C84" s="13"/>
      <c r="D84" s="8"/>
      <c r="E84" s="8"/>
      <c r="F84" s="8"/>
      <c r="G84" s="8"/>
      <c r="H84" s="8"/>
      <c r="I84" s="13"/>
      <c r="J84" s="13"/>
      <c r="K84" s="11"/>
      <c r="L84" s="11"/>
      <c r="M84" s="11"/>
      <c r="N84" s="13"/>
      <c r="O84" s="13"/>
      <c r="P84" s="13"/>
      <c r="Q84" s="13"/>
    </row>
    <row r="85" spans="1:24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46" t="s">
        <v>59</v>
      </c>
      <c r="L85" s="146"/>
      <c r="M85" s="146"/>
      <c r="N85" s="146"/>
      <c r="O85" s="13"/>
      <c r="P85" s="13"/>
      <c r="Q85" s="13"/>
    </row>
    <row r="86" spans="1:24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28" t="s">
        <v>63</v>
      </c>
      <c r="L86" s="128"/>
      <c r="M86" s="128"/>
      <c r="N86" s="128"/>
      <c r="O86" s="13"/>
      <c r="P86" s="13"/>
      <c r="Q86" s="13"/>
    </row>
    <row r="87" spans="1:24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spans="1:24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spans="1:24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6"/>
    </row>
    <row r="90" spans="1:24" ht="21">
      <c r="A90" s="7"/>
      <c r="B90" s="8"/>
      <c r="C90" s="8"/>
      <c r="D90" s="162" t="s">
        <v>0</v>
      </c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3"/>
      <c r="P90" s="13"/>
      <c r="Q90" s="9"/>
    </row>
    <row r="91" spans="1:24" ht="18.75">
      <c r="A91" s="7"/>
      <c r="B91" s="8"/>
      <c r="C91" s="8"/>
      <c r="D91" s="163" t="s">
        <v>10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63"/>
      <c r="O91" s="13"/>
      <c r="P91" s="13"/>
      <c r="Q91" s="9"/>
    </row>
    <row r="92" spans="1:24">
      <c r="A92" s="7"/>
      <c r="B92" s="8"/>
      <c r="C92" s="8"/>
      <c r="D92" s="128"/>
      <c r="E92" s="128"/>
      <c r="F92" s="128"/>
      <c r="G92" s="128"/>
      <c r="H92" s="128"/>
      <c r="I92" s="128"/>
      <c r="J92" s="128"/>
      <c r="K92" s="128"/>
      <c r="L92" s="128"/>
      <c r="M92" s="128"/>
      <c r="N92" s="128"/>
      <c r="O92" s="13"/>
      <c r="P92" s="13"/>
      <c r="Q92" s="9"/>
    </row>
    <row r="93" spans="1:24">
      <c r="A93" s="10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2"/>
    </row>
    <row r="94" spans="1:24" ht="15.75" thickBot="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U94" s="161" t="s">
        <v>77</v>
      </c>
      <c r="V94" s="161"/>
      <c r="W94" s="161"/>
      <c r="X94" s="161"/>
    </row>
    <row r="95" spans="1:24" ht="15.75" thickBot="1">
      <c r="A95" s="164" t="s">
        <v>11</v>
      </c>
      <c r="B95" s="164"/>
      <c r="C95" s="164"/>
      <c r="D95" s="164"/>
      <c r="E95" s="164"/>
      <c r="F95" s="164"/>
      <c r="G95" s="164"/>
      <c r="H95" s="164"/>
      <c r="I95" s="164"/>
      <c r="J95" s="164"/>
      <c r="K95" s="164"/>
      <c r="L95" s="164"/>
      <c r="M95" s="164"/>
      <c r="N95" s="164"/>
      <c r="O95" s="164"/>
      <c r="P95" s="164"/>
      <c r="Q95" s="164"/>
      <c r="U95" s="161"/>
      <c r="V95" s="161"/>
      <c r="W95" s="161"/>
      <c r="X95" s="161"/>
    </row>
    <row r="96" spans="1:24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U96" s="161"/>
      <c r="V96" s="161"/>
      <c r="W96" s="161"/>
      <c r="X96" s="161"/>
    </row>
    <row r="97" spans="1:17">
      <c r="A97" s="29" t="s">
        <v>306</v>
      </c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157" t="s">
        <v>79</v>
      </c>
      <c r="M97" s="157"/>
      <c r="N97" s="157" t="s">
        <v>62</v>
      </c>
      <c r="O97" s="157"/>
      <c r="P97" s="5"/>
      <c r="Q97" s="6"/>
    </row>
    <row r="98" spans="1:17">
      <c r="A98" s="31" t="s">
        <v>307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9"/>
    </row>
    <row r="99" spans="1:17">
      <c r="A99" s="32" t="s">
        <v>65</v>
      </c>
      <c r="B99" s="166"/>
      <c r="C99" s="166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2"/>
    </row>
    <row r="100" spans="1:17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13"/>
      <c r="N100" s="13"/>
      <c r="O100" s="13"/>
      <c r="P100" s="13"/>
      <c r="Q100" s="13"/>
    </row>
    <row r="101" spans="1:17">
      <c r="A101" s="33"/>
      <c r="B101" s="34"/>
      <c r="C101" s="34"/>
      <c r="D101" s="34"/>
      <c r="E101" s="34"/>
      <c r="F101" s="34"/>
      <c r="G101" s="34"/>
      <c r="H101" s="168" t="s">
        <v>12</v>
      </c>
      <c r="I101" s="168"/>
      <c r="J101" s="168" t="s">
        <v>52</v>
      </c>
      <c r="K101" s="168"/>
      <c r="L101" s="168" t="s">
        <v>53</v>
      </c>
      <c r="M101" s="168"/>
      <c r="N101" s="168" t="s">
        <v>54</v>
      </c>
      <c r="O101" s="168"/>
      <c r="P101" s="168" t="s">
        <v>55</v>
      </c>
      <c r="Q101" s="168"/>
    </row>
    <row r="102" spans="1:17">
      <c r="A102" s="35" t="s">
        <v>1</v>
      </c>
      <c r="B102" s="167" t="s">
        <v>2</v>
      </c>
      <c r="C102" s="167"/>
      <c r="D102" s="167"/>
      <c r="E102" s="167"/>
      <c r="F102" s="167"/>
      <c r="G102" s="167"/>
      <c r="H102" s="36" t="s">
        <v>17</v>
      </c>
      <c r="I102" s="36" t="s">
        <v>18</v>
      </c>
      <c r="J102" s="36" t="s">
        <v>19</v>
      </c>
      <c r="K102" s="36" t="s">
        <v>18</v>
      </c>
      <c r="L102" s="36" t="s">
        <v>17</v>
      </c>
      <c r="M102" s="36" t="s">
        <v>18</v>
      </c>
      <c r="N102" s="36" t="s">
        <v>17</v>
      </c>
      <c r="O102" s="36" t="s">
        <v>18</v>
      </c>
      <c r="P102" s="36" t="s">
        <v>17</v>
      </c>
      <c r="Q102" s="36" t="s">
        <v>18</v>
      </c>
    </row>
    <row r="103" spans="1:17">
      <c r="A103" s="20">
        <v>1</v>
      </c>
      <c r="B103" s="165" t="str">
        <f>'Orçamento Modelo'!D$15</f>
        <v>RUA DALTRO LUIZ TUZI</v>
      </c>
      <c r="C103" s="165"/>
      <c r="D103" s="165"/>
      <c r="E103" s="165"/>
      <c r="F103" s="165"/>
      <c r="G103" s="165"/>
      <c r="H103" s="23" t="e">
        <f t="shared" ref="H103:H121" si="19">(I103*100)/I$35</f>
        <v>#DIV/0!</v>
      </c>
      <c r="I103" s="46">
        <f>'Orçamento Modelo'!M$15</f>
        <v>0</v>
      </c>
      <c r="J103" s="37"/>
      <c r="K103" s="47">
        <f t="shared" ref="K103:K121" si="20">ROUND(I103*J103/100,2)</f>
        <v>0</v>
      </c>
      <c r="L103" s="37"/>
      <c r="M103" s="47">
        <f t="shared" ref="M103:M121" si="21">ROUND(I103*L103/100,2)</f>
        <v>0</v>
      </c>
      <c r="N103" s="37"/>
      <c r="O103" s="47">
        <f t="shared" ref="O103:O121" si="22">ROUND(I103*N103/100,2)</f>
        <v>0</v>
      </c>
      <c r="P103" s="37"/>
      <c r="Q103" s="47">
        <f t="shared" ref="Q103:Q121" si="23">ROUND(I103*P103/100,2)</f>
        <v>0</v>
      </c>
    </row>
    <row r="104" spans="1:17">
      <c r="A104" s="38">
        <v>2</v>
      </c>
      <c r="B104" s="165" t="str">
        <f>'Orçamento Modelo'!D$27</f>
        <v>RUA ANITA TOCHETTO FRIZZO</v>
      </c>
      <c r="C104" s="165"/>
      <c r="D104" s="165"/>
      <c r="E104" s="165"/>
      <c r="F104" s="165"/>
      <c r="G104" s="165"/>
      <c r="H104" s="23" t="e">
        <f t="shared" si="19"/>
        <v>#DIV/0!</v>
      </c>
      <c r="I104" s="46">
        <f>'Orçamento Modelo'!M$27</f>
        <v>0</v>
      </c>
      <c r="J104" s="37"/>
      <c r="K104" s="47">
        <f t="shared" si="20"/>
        <v>0</v>
      </c>
      <c r="L104" s="37"/>
      <c r="M104" s="47">
        <f t="shared" si="21"/>
        <v>0</v>
      </c>
      <c r="N104" s="37"/>
      <c r="O104" s="47">
        <f t="shared" si="22"/>
        <v>0</v>
      </c>
      <c r="P104" s="37"/>
      <c r="Q104" s="47">
        <f t="shared" si="23"/>
        <v>0</v>
      </c>
    </row>
    <row r="105" spans="1:17">
      <c r="A105" s="38">
        <v>3</v>
      </c>
      <c r="B105" s="165" t="str">
        <f>'Orçamento Modelo'!D$38</f>
        <v>RUA ANTONIO GUASSO</v>
      </c>
      <c r="C105" s="165"/>
      <c r="D105" s="165"/>
      <c r="E105" s="165"/>
      <c r="F105" s="165"/>
      <c r="G105" s="165"/>
      <c r="H105" s="23" t="e">
        <f t="shared" si="19"/>
        <v>#DIV/0!</v>
      </c>
      <c r="I105" s="46">
        <f>'Orçamento Modelo'!M$38</f>
        <v>0</v>
      </c>
      <c r="J105" s="37"/>
      <c r="K105" s="47">
        <f t="shared" si="20"/>
        <v>0</v>
      </c>
      <c r="L105" s="37"/>
      <c r="M105" s="47">
        <f t="shared" si="21"/>
        <v>0</v>
      </c>
      <c r="N105" s="37"/>
      <c r="O105" s="47">
        <f t="shared" si="22"/>
        <v>0</v>
      </c>
      <c r="P105" s="37"/>
      <c r="Q105" s="47">
        <f t="shared" si="23"/>
        <v>0</v>
      </c>
    </row>
    <row r="106" spans="1:17">
      <c r="A106" s="38">
        <v>4</v>
      </c>
      <c r="B106" s="165" t="str">
        <f>'Orçamento Modelo'!D$49</f>
        <v>RUA ALEXANDRE MANENTI</v>
      </c>
      <c r="C106" s="165"/>
      <c r="D106" s="165"/>
      <c r="E106" s="165"/>
      <c r="F106" s="165"/>
      <c r="G106" s="165"/>
      <c r="H106" s="23" t="e">
        <f t="shared" si="19"/>
        <v>#DIV/0!</v>
      </c>
      <c r="I106" s="46">
        <f>'Orçamento Modelo'!M$49</f>
        <v>0</v>
      </c>
      <c r="J106" s="37"/>
      <c r="K106" s="47">
        <f t="shared" si="20"/>
        <v>0</v>
      </c>
      <c r="L106" s="37"/>
      <c r="M106" s="47">
        <f t="shared" si="21"/>
        <v>0</v>
      </c>
      <c r="N106" s="37"/>
      <c r="O106" s="47">
        <f t="shared" si="22"/>
        <v>0</v>
      </c>
      <c r="P106" s="37"/>
      <c r="Q106" s="47">
        <f t="shared" si="23"/>
        <v>0</v>
      </c>
    </row>
    <row r="107" spans="1:17">
      <c r="A107" s="38">
        <v>5</v>
      </c>
      <c r="B107" s="165" t="str">
        <f>'Orçamento Modelo'!D$61</f>
        <v>RUA PIETRO ERCOLANI</v>
      </c>
      <c r="C107" s="165"/>
      <c r="D107" s="165"/>
      <c r="E107" s="165"/>
      <c r="F107" s="165"/>
      <c r="G107" s="165"/>
      <c r="H107" s="23" t="e">
        <f t="shared" si="19"/>
        <v>#DIV/0!</v>
      </c>
      <c r="I107" s="46">
        <f>'Orçamento Modelo'!M$61</f>
        <v>0</v>
      </c>
      <c r="J107" s="37"/>
      <c r="K107" s="47">
        <f t="shared" si="20"/>
        <v>0</v>
      </c>
      <c r="L107" s="37"/>
      <c r="M107" s="47">
        <f t="shared" si="21"/>
        <v>0</v>
      </c>
      <c r="N107" s="37"/>
      <c r="O107" s="47">
        <f t="shared" si="22"/>
        <v>0</v>
      </c>
      <c r="P107" s="37"/>
      <c r="Q107" s="47">
        <f t="shared" si="23"/>
        <v>0</v>
      </c>
    </row>
    <row r="108" spans="1:17">
      <c r="A108" s="38">
        <v>6</v>
      </c>
      <c r="B108" s="165" t="str">
        <f>'Orçamento Modelo'!D$72</f>
        <v>RUA VALDENIR VICENTE GAVIOLI</v>
      </c>
      <c r="C108" s="165"/>
      <c r="D108" s="165"/>
      <c r="E108" s="165"/>
      <c r="F108" s="165"/>
      <c r="G108" s="165"/>
      <c r="H108" s="23" t="e">
        <f t="shared" si="19"/>
        <v>#DIV/0!</v>
      </c>
      <c r="I108" s="46">
        <f>'Orçamento Modelo'!M$72</f>
        <v>0</v>
      </c>
      <c r="J108" s="37"/>
      <c r="K108" s="47">
        <f t="shared" si="20"/>
        <v>0</v>
      </c>
      <c r="L108" s="37"/>
      <c r="M108" s="47">
        <f t="shared" si="21"/>
        <v>0</v>
      </c>
      <c r="N108" s="37"/>
      <c r="O108" s="47">
        <f t="shared" si="22"/>
        <v>0</v>
      </c>
      <c r="P108" s="37"/>
      <c r="Q108" s="47">
        <f t="shared" si="23"/>
        <v>0</v>
      </c>
    </row>
    <row r="109" spans="1:17">
      <c r="A109" s="39">
        <v>7</v>
      </c>
      <c r="B109" s="165" t="str">
        <f>'Orçamento Modelo'!D$84</f>
        <v>RUA EMANCIPAÇÃO</v>
      </c>
      <c r="C109" s="165"/>
      <c r="D109" s="165"/>
      <c r="E109" s="165"/>
      <c r="F109" s="165"/>
      <c r="G109" s="165"/>
      <c r="H109" s="23" t="e">
        <f t="shared" si="19"/>
        <v>#DIV/0!</v>
      </c>
      <c r="I109" s="46">
        <f>'Orçamento Modelo'!M$84</f>
        <v>0</v>
      </c>
      <c r="J109" s="37"/>
      <c r="K109" s="47">
        <f t="shared" si="20"/>
        <v>0</v>
      </c>
      <c r="L109" s="37"/>
      <c r="M109" s="47">
        <f t="shared" si="21"/>
        <v>0</v>
      </c>
      <c r="N109" s="37"/>
      <c r="O109" s="47">
        <f t="shared" si="22"/>
        <v>0</v>
      </c>
      <c r="P109" s="37"/>
      <c r="Q109" s="47">
        <f t="shared" si="23"/>
        <v>0</v>
      </c>
    </row>
    <row r="110" spans="1:17">
      <c r="A110" s="39">
        <v>8</v>
      </c>
      <c r="B110" s="165" t="str">
        <f>'Orçamento Modelo'!D$98</f>
        <v>RUA JOÃO GIODA</v>
      </c>
      <c r="C110" s="165"/>
      <c r="D110" s="165"/>
      <c r="E110" s="165"/>
      <c r="F110" s="165"/>
      <c r="G110" s="165"/>
      <c r="H110" s="23" t="e">
        <f t="shared" si="19"/>
        <v>#DIV/0!</v>
      </c>
      <c r="I110" s="46">
        <f>'Orçamento Modelo'!M$98</f>
        <v>0</v>
      </c>
      <c r="J110" s="37"/>
      <c r="K110" s="47">
        <f t="shared" si="20"/>
        <v>0</v>
      </c>
      <c r="L110" s="37"/>
      <c r="M110" s="47">
        <f t="shared" si="21"/>
        <v>0</v>
      </c>
      <c r="N110" s="37"/>
      <c r="O110" s="47">
        <f t="shared" si="22"/>
        <v>0</v>
      </c>
      <c r="P110" s="37"/>
      <c r="Q110" s="47">
        <f t="shared" si="23"/>
        <v>0</v>
      </c>
    </row>
    <row r="111" spans="1:17">
      <c r="A111" s="39">
        <v>9</v>
      </c>
      <c r="B111" s="165" t="str">
        <f>'Orçamento Modelo'!D$110</f>
        <v>RUA GIOVANA LOVATO VIELMO</v>
      </c>
      <c r="C111" s="165"/>
      <c r="D111" s="165"/>
      <c r="E111" s="165"/>
      <c r="F111" s="165"/>
      <c r="G111" s="165"/>
      <c r="H111" s="23" t="e">
        <f t="shared" si="19"/>
        <v>#DIV/0!</v>
      </c>
      <c r="I111" s="46">
        <f>'Orçamento Modelo'!M$110</f>
        <v>0</v>
      </c>
      <c r="J111" s="37"/>
      <c r="K111" s="47">
        <f t="shared" si="20"/>
        <v>0</v>
      </c>
      <c r="L111" s="37"/>
      <c r="M111" s="47">
        <f t="shared" si="21"/>
        <v>0</v>
      </c>
      <c r="N111" s="37"/>
      <c r="O111" s="47">
        <f t="shared" si="22"/>
        <v>0</v>
      </c>
      <c r="P111" s="37"/>
      <c r="Q111" s="47">
        <f t="shared" si="23"/>
        <v>0</v>
      </c>
    </row>
    <row r="112" spans="1:17">
      <c r="A112" s="39">
        <v>10</v>
      </c>
      <c r="B112" s="165" t="str">
        <f>'Orçamento Modelo'!D$121</f>
        <v>RUA EUCLIDES DA CUNHA</v>
      </c>
      <c r="C112" s="165"/>
      <c r="D112" s="165"/>
      <c r="E112" s="165"/>
      <c r="F112" s="165"/>
      <c r="G112" s="165"/>
      <c r="H112" s="23" t="e">
        <f t="shared" si="19"/>
        <v>#DIV/0!</v>
      </c>
      <c r="I112" s="46">
        <f>'Orçamento Modelo'!M$121</f>
        <v>0</v>
      </c>
      <c r="J112" s="37"/>
      <c r="K112" s="47">
        <f t="shared" si="20"/>
        <v>0</v>
      </c>
      <c r="L112" s="37"/>
      <c r="M112" s="47">
        <f t="shared" si="21"/>
        <v>0</v>
      </c>
      <c r="N112" s="37"/>
      <c r="O112" s="47">
        <f t="shared" si="22"/>
        <v>0</v>
      </c>
      <c r="P112" s="37"/>
      <c r="Q112" s="47">
        <f t="shared" si="23"/>
        <v>0</v>
      </c>
    </row>
    <row r="113" spans="1:17">
      <c r="A113" s="39">
        <v>11</v>
      </c>
      <c r="B113" s="255" t="str">
        <f>'Orçamento Modelo'!D$132</f>
        <v>PEDRO DELEVATI SOBRINHO</v>
      </c>
      <c r="C113" s="256"/>
      <c r="D113" s="256"/>
      <c r="E113" s="256"/>
      <c r="F113" s="257"/>
      <c r="G113" s="123"/>
      <c r="H113" s="23" t="e">
        <f t="shared" si="19"/>
        <v>#DIV/0!</v>
      </c>
      <c r="I113" s="46">
        <f>'Orçamento Modelo'!M$132</f>
        <v>0</v>
      </c>
      <c r="J113" s="37"/>
      <c r="K113" s="47">
        <f t="shared" si="20"/>
        <v>0</v>
      </c>
      <c r="L113" s="37"/>
      <c r="M113" s="47">
        <f t="shared" si="21"/>
        <v>0</v>
      </c>
      <c r="N113" s="37"/>
      <c r="O113" s="47">
        <f t="shared" si="22"/>
        <v>0</v>
      </c>
      <c r="P113" s="37"/>
      <c r="Q113" s="47">
        <f t="shared" si="23"/>
        <v>0</v>
      </c>
    </row>
    <row r="114" spans="1:17">
      <c r="A114" s="39">
        <v>12</v>
      </c>
      <c r="B114" s="255" t="str">
        <f>'Orçamento Modelo'!D$138</f>
        <v>ALADINO BUZATA</v>
      </c>
      <c r="C114" s="256"/>
      <c r="D114" s="256"/>
      <c r="E114" s="256"/>
      <c r="F114" s="257"/>
      <c r="G114" s="123"/>
      <c r="H114" s="23" t="e">
        <f t="shared" si="19"/>
        <v>#DIV/0!</v>
      </c>
      <c r="I114" s="46">
        <f>'Orçamento Modelo'!M$138</f>
        <v>0</v>
      </c>
      <c r="J114" s="37"/>
      <c r="K114" s="47">
        <f t="shared" si="20"/>
        <v>0</v>
      </c>
      <c r="L114" s="37"/>
      <c r="M114" s="47">
        <f t="shared" si="21"/>
        <v>0</v>
      </c>
      <c r="N114" s="37"/>
      <c r="O114" s="47">
        <f t="shared" si="22"/>
        <v>0</v>
      </c>
      <c r="P114" s="37"/>
      <c r="Q114" s="47">
        <f t="shared" si="23"/>
        <v>0</v>
      </c>
    </row>
    <row r="115" spans="1:17">
      <c r="A115" s="39">
        <v>13</v>
      </c>
      <c r="B115" s="255" t="str">
        <f>'Orçamento Modelo'!D$150</f>
        <v>PEDRO MINOSSO</v>
      </c>
      <c r="C115" s="256"/>
      <c r="D115" s="256"/>
      <c r="E115" s="256"/>
      <c r="F115" s="257"/>
      <c r="G115" s="123"/>
      <c r="H115" s="23" t="e">
        <f t="shared" si="19"/>
        <v>#DIV/0!</v>
      </c>
      <c r="I115" s="46">
        <f>'Orçamento Modelo'!M$150</f>
        <v>0</v>
      </c>
      <c r="J115" s="37"/>
      <c r="K115" s="47">
        <f t="shared" si="20"/>
        <v>0</v>
      </c>
      <c r="L115" s="37"/>
      <c r="M115" s="47">
        <f t="shared" si="21"/>
        <v>0</v>
      </c>
      <c r="N115" s="37"/>
      <c r="O115" s="47">
        <f t="shared" si="22"/>
        <v>0</v>
      </c>
      <c r="P115" s="37"/>
      <c r="Q115" s="47">
        <f t="shared" si="23"/>
        <v>0</v>
      </c>
    </row>
    <row r="116" spans="1:17">
      <c r="A116" s="39">
        <v>14</v>
      </c>
      <c r="B116" s="255" t="str">
        <f>'Orçamento Modelo'!D$156</f>
        <v>JOÃO VIELMO</v>
      </c>
      <c r="C116" s="256"/>
      <c r="D116" s="256"/>
      <c r="E116" s="256"/>
      <c r="F116" s="257"/>
      <c r="G116" s="123"/>
      <c r="H116" s="23" t="e">
        <f t="shared" si="19"/>
        <v>#DIV/0!</v>
      </c>
      <c r="I116" s="46">
        <f>'Orçamento Modelo'!M$156</f>
        <v>0</v>
      </c>
      <c r="J116" s="37"/>
      <c r="K116" s="47">
        <f t="shared" si="20"/>
        <v>0</v>
      </c>
      <c r="L116" s="37"/>
      <c r="M116" s="47">
        <f t="shared" si="21"/>
        <v>0</v>
      </c>
      <c r="N116" s="37"/>
      <c r="O116" s="47">
        <f t="shared" si="22"/>
        <v>0</v>
      </c>
      <c r="P116" s="37"/>
      <c r="Q116" s="47">
        <f t="shared" si="23"/>
        <v>0</v>
      </c>
    </row>
    <row r="117" spans="1:17">
      <c r="A117" s="39">
        <v>15</v>
      </c>
      <c r="B117" s="255" t="str">
        <f>'Orçamento Modelo'!D$167</f>
        <v>JOSÉ ANGONESE</v>
      </c>
      <c r="C117" s="256"/>
      <c r="D117" s="256"/>
      <c r="E117" s="256"/>
      <c r="F117" s="257"/>
      <c r="G117" s="123"/>
      <c r="H117" s="23" t="e">
        <f t="shared" si="19"/>
        <v>#DIV/0!</v>
      </c>
      <c r="I117" s="46">
        <f>'Orçamento Modelo'!M$167</f>
        <v>0</v>
      </c>
      <c r="J117" s="37"/>
      <c r="K117" s="47">
        <f t="shared" si="20"/>
        <v>0</v>
      </c>
      <c r="L117" s="37"/>
      <c r="M117" s="47">
        <f t="shared" si="21"/>
        <v>0</v>
      </c>
      <c r="N117" s="37"/>
      <c r="O117" s="47">
        <f t="shared" si="22"/>
        <v>0</v>
      </c>
      <c r="P117" s="37"/>
      <c r="Q117" s="47">
        <f t="shared" si="23"/>
        <v>0</v>
      </c>
    </row>
    <row r="118" spans="1:17">
      <c r="A118" s="39">
        <v>16</v>
      </c>
      <c r="B118" s="255" t="str">
        <f>'Orçamento Modelo'!D$178</f>
        <v>ANTONIO DELEVATI</v>
      </c>
      <c r="C118" s="256"/>
      <c r="D118" s="256"/>
      <c r="E118" s="256"/>
      <c r="F118" s="257"/>
      <c r="G118" s="123"/>
      <c r="H118" s="23" t="e">
        <f t="shared" si="19"/>
        <v>#DIV/0!</v>
      </c>
      <c r="I118" s="46">
        <f>'Orçamento Modelo'!M$178</f>
        <v>0</v>
      </c>
      <c r="J118" s="37"/>
      <c r="K118" s="47">
        <f t="shared" si="20"/>
        <v>0</v>
      </c>
      <c r="L118" s="37"/>
      <c r="M118" s="47">
        <f t="shared" si="21"/>
        <v>0</v>
      </c>
      <c r="N118" s="37"/>
      <c r="O118" s="47">
        <f t="shared" si="22"/>
        <v>0</v>
      </c>
      <c r="P118" s="37"/>
      <c r="Q118" s="47">
        <f t="shared" si="23"/>
        <v>0</v>
      </c>
    </row>
    <row r="119" spans="1:17">
      <c r="A119" s="39">
        <v>17</v>
      </c>
      <c r="B119" s="255" t="str">
        <f>'Orçamento Modelo'!D$189</f>
        <v>VALDECI CAETANO GUASSO</v>
      </c>
      <c r="C119" s="256"/>
      <c r="D119" s="256"/>
      <c r="E119" s="256"/>
      <c r="F119" s="257"/>
      <c r="G119" s="123"/>
      <c r="H119" s="23" t="e">
        <f t="shared" si="19"/>
        <v>#DIV/0!</v>
      </c>
      <c r="I119" s="46">
        <f>'Orçamento Modelo'!M$189</f>
        <v>0</v>
      </c>
      <c r="J119" s="37"/>
      <c r="K119" s="47">
        <f t="shared" si="20"/>
        <v>0</v>
      </c>
      <c r="L119" s="37"/>
      <c r="M119" s="47">
        <f t="shared" si="21"/>
        <v>0</v>
      </c>
      <c r="N119" s="37"/>
      <c r="O119" s="47">
        <f t="shared" si="22"/>
        <v>0</v>
      </c>
      <c r="P119" s="37"/>
      <c r="Q119" s="47">
        <f t="shared" si="23"/>
        <v>0</v>
      </c>
    </row>
    <row r="120" spans="1:17">
      <c r="A120" s="39">
        <v>18</v>
      </c>
      <c r="B120" s="255" t="str">
        <f>'Orçamento Modelo'!D$195</f>
        <v>PIETRO ERCOLANI TRECHO 2</v>
      </c>
      <c r="C120" s="256"/>
      <c r="D120" s="256"/>
      <c r="E120" s="256"/>
      <c r="F120" s="257"/>
      <c r="G120" s="123"/>
      <c r="H120" s="23" t="e">
        <f t="shared" si="19"/>
        <v>#DIV/0!</v>
      </c>
      <c r="I120" s="46">
        <f>'Orçamento Modelo'!M$195</f>
        <v>0</v>
      </c>
      <c r="J120" s="37"/>
      <c r="K120" s="47">
        <f t="shared" si="20"/>
        <v>0</v>
      </c>
      <c r="L120" s="37"/>
      <c r="M120" s="47">
        <f t="shared" si="21"/>
        <v>0</v>
      </c>
      <c r="N120" s="37"/>
      <c r="O120" s="47">
        <f t="shared" si="22"/>
        <v>0</v>
      </c>
      <c r="P120" s="37"/>
      <c r="Q120" s="47">
        <f t="shared" si="23"/>
        <v>0</v>
      </c>
    </row>
    <row r="121" spans="1:17">
      <c r="A121" s="39">
        <v>19</v>
      </c>
      <c r="B121" s="165" t="str">
        <f>'Orçamento Modelo'!D$207</f>
        <v>VALDECI CAETANO GUASSO</v>
      </c>
      <c r="C121" s="165"/>
      <c r="D121" s="165"/>
      <c r="E121" s="165"/>
      <c r="F121" s="165"/>
      <c r="G121" s="165"/>
      <c r="H121" s="23" t="e">
        <f t="shared" si="19"/>
        <v>#DIV/0!</v>
      </c>
      <c r="I121" s="46">
        <f>'Orçamento Modelo'!M$207</f>
        <v>0</v>
      </c>
      <c r="J121" s="37"/>
      <c r="K121" s="47">
        <f t="shared" si="20"/>
        <v>0</v>
      </c>
      <c r="L121" s="37"/>
      <c r="M121" s="47">
        <f t="shared" si="21"/>
        <v>0</v>
      </c>
      <c r="N121" s="37"/>
      <c r="O121" s="47">
        <f t="shared" si="22"/>
        <v>0</v>
      </c>
      <c r="P121" s="37"/>
      <c r="Q121" s="47">
        <f t="shared" si="23"/>
        <v>0</v>
      </c>
    </row>
    <row r="122" spans="1:17">
      <c r="A122" s="40"/>
      <c r="B122" s="21"/>
      <c r="C122" s="21"/>
      <c r="D122" s="21"/>
      <c r="E122" s="21"/>
      <c r="F122" s="21"/>
      <c r="G122" s="21"/>
      <c r="H122" s="41"/>
      <c r="I122" s="21"/>
      <c r="J122" s="21"/>
      <c r="K122" s="21"/>
      <c r="L122" s="21"/>
      <c r="M122" s="21"/>
      <c r="N122" s="21"/>
      <c r="O122" s="21"/>
      <c r="P122" s="21"/>
      <c r="Q122" s="22"/>
    </row>
    <row r="123" spans="1:17">
      <c r="A123" s="33" t="s">
        <v>7</v>
      </c>
      <c r="B123" s="42"/>
      <c r="C123" s="43"/>
      <c r="D123" s="43"/>
      <c r="E123" s="43"/>
      <c r="F123" s="43"/>
      <c r="G123" s="43"/>
      <c r="H123" s="51" t="e">
        <f>SUM(H103:H121)</f>
        <v>#DIV/0!</v>
      </c>
      <c r="I123" s="48">
        <f>SUM(I103:I121)</f>
        <v>0</v>
      </c>
      <c r="J123" s="49" t="e">
        <f>K123*H123/I123</f>
        <v>#DIV/0!</v>
      </c>
      <c r="K123" s="48">
        <f>SUM(K103:K121)</f>
        <v>0</v>
      </c>
      <c r="L123" s="49" t="e">
        <f>M123*H123/I123</f>
        <v>#DIV/0!</v>
      </c>
      <c r="M123" s="48">
        <f>SUM(M103:M121)</f>
        <v>0</v>
      </c>
      <c r="N123" s="49" t="e">
        <f>O123*H123/I123</f>
        <v>#DIV/0!</v>
      </c>
      <c r="O123" s="48">
        <f>SUM(O103:O121)</f>
        <v>0</v>
      </c>
      <c r="P123" s="49" t="e">
        <f>Q123*H123/I123</f>
        <v>#DIV/0!</v>
      </c>
      <c r="Q123" s="48">
        <f>SUM(Q103:Q121)</f>
        <v>0</v>
      </c>
    </row>
    <row r="124" spans="1:17">
      <c r="A124" s="33" t="s">
        <v>20</v>
      </c>
      <c r="B124" s="34"/>
      <c r="C124" s="45"/>
      <c r="D124" s="45"/>
      <c r="E124" s="45"/>
      <c r="F124" s="45"/>
      <c r="G124" s="45"/>
      <c r="H124" s="44"/>
      <c r="I124" s="50"/>
      <c r="J124" s="49" t="e">
        <f>(K124*H123)/I123</f>
        <v>#DIV/0!</v>
      </c>
      <c r="K124" s="48">
        <f>K123+Q80</f>
        <v>0</v>
      </c>
      <c r="L124" s="49" t="e">
        <f>(M124*H123)/I123</f>
        <v>#DIV/0!</v>
      </c>
      <c r="M124" s="48">
        <f>K124+M123</f>
        <v>0</v>
      </c>
      <c r="N124" s="49" t="e">
        <f>(O124*H123)/I123</f>
        <v>#DIV/0!</v>
      </c>
      <c r="O124" s="48">
        <f>M124+O123</f>
        <v>0</v>
      </c>
      <c r="P124" s="49" t="e">
        <f>(Q124*H123)/I123</f>
        <v>#DIV/0!</v>
      </c>
      <c r="Q124" s="48">
        <f>O124+Q123</f>
        <v>0</v>
      </c>
    </row>
    <row r="125" spans="1:17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 spans="1:17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69"/>
      <c r="N126" s="170"/>
      <c r="O126" s="170"/>
      <c r="P126" s="170"/>
      <c r="Q126" s="170"/>
    </row>
    <row r="127" spans="1:1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 spans="1:17">
      <c r="A128" s="13"/>
      <c r="B128" s="13"/>
      <c r="C128" s="13"/>
      <c r="D128" s="8"/>
      <c r="E128" s="8"/>
      <c r="F128" s="8"/>
      <c r="G128" s="8"/>
      <c r="H128" s="8"/>
      <c r="I128" s="13"/>
      <c r="J128" s="13"/>
      <c r="K128" s="11"/>
      <c r="L128" s="11"/>
      <c r="M128" s="11"/>
      <c r="N128" s="13"/>
      <c r="O128" s="13"/>
      <c r="P128" s="13"/>
      <c r="Q128" s="13"/>
    </row>
    <row r="129" spans="1:17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46" t="s">
        <v>59</v>
      </c>
      <c r="L129" s="146"/>
      <c r="M129" s="146"/>
      <c r="N129" s="146"/>
      <c r="O129" s="13"/>
      <c r="P129" s="13"/>
      <c r="Q129" s="13"/>
    </row>
    <row r="130" spans="1:17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28" t="s">
        <v>63</v>
      </c>
      <c r="L130" s="128"/>
      <c r="M130" s="128"/>
      <c r="N130" s="128"/>
      <c r="O130" s="13"/>
      <c r="P130" s="13"/>
      <c r="Q130" s="13"/>
    </row>
  </sheetData>
  <mergeCells count="109">
    <mergeCell ref="B119:F119"/>
    <mergeCell ref="B120:F120"/>
    <mergeCell ref="B77:G77"/>
    <mergeCell ref="B75:F75"/>
    <mergeCell ref="B76:F76"/>
    <mergeCell ref="B113:F113"/>
    <mergeCell ref="B114:F114"/>
    <mergeCell ref="B71:F71"/>
    <mergeCell ref="B72:F72"/>
    <mergeCell ref="B73:F73"/>
    <mergeCell ref="B74:F74"/>
    <mergeCell ref="B67:G67"/>
    <mergeCell ref="A95:Q95"/>
    <mergeCell ref="M82:Q82"/>
    <mergeCell ref="B58:G58"/>
    <mergeCell ref="B59:G59"/>
    <mergeCell ref="B60:G60"/>
    <mergeCell ref="B61:G61"/>
    <mergeCell ref="B62:G62"/>
    <mergeCell ref="B63:G63"/>
    <mergeCell ref="B66:G66"/>
    <mergeCell ref="B64:G64"/>
    <mergeCell ref="B65:G65"/>
    <mergeCell ref="B68:G68"/>
    <mergeCell ref="B69:F69"/>
    <mergeCell ref="B70:F70"/>
    <mergeCell ref="P57:Q57"/>
    <mergeCell ref="B55:C55"/>
    <mergeCell ref="B22:G22"/>
    <mergeCell ref="B23:G23"/>
    <mergeCell ref="M38:Q38"/>
    <mergeCell ref="L53:M53"/>
    <mergeCell ref="B25:F25"/>
    <mergeCell ref="B26:F26"/>
    <mergeCell ref="B27:F27"/>
    <mergeCell ref="B28:F28"/>
    <mergeCell ref="B29:F29"/>
    <mergeCell ref="B30:F30"/>
    <mergeCell ref="B31:F31"/>
    <mergeCell ref="B32:F32"/>
    <mergeCell ref="B19:G19"/>
    <mergeCell ref="H57:I57"/>
    <mergeCell ref="J57:K57"/>
    <mergeCell ref="L57:M57"/>
    <mergeCell ref="N57:O57"/>
    <mergeCell ref="D2:N2"/>
    <mergeCell ref="D3:N3"/>
    <mergeCell ref="D4:N4"/>
    <mergeCell ref="N9:O9"/>
    <mergeCell ref="K41:N41"/>
    <mergeCell ref="B20:G20"/>
    <mergeCell ref="B24:G24"/>
    <mergeCell ref="B33:G33"/>
    <mergeCell ref="A7:Q7"/>
    <mergeCell ref="H13:I13"/>
    <mergeCell ref="J13:K13"/>
    <mergeCell ref="L13:M13"/>
    <mergeCell ref="N13:O13"/>
    <mergeCell ref="P13:Q13"/>
    <mergeCell ref="B11:C11"/>
    <mergeCell ref="B14:G14"/>
    <mergeCell ref="K130:N130"/>
    <mergeCell ref="D90:N90"/>
    <mergeCell ref="D91:N91"/>
    <mergeCell ref="D92:N92"/>
    <mergeCell ref="H101:I101"/>
    <mergeCell ref="J101:K101"/>
    <mergeCell ref="L101:M101"/>
    <mergeCell ref="N101:O101"/>
    <mergeCell ref="B106:G106"/>
    <mergeCell ref="M126:Q126"/>
    <mergeCell ref="B107:G107"/>
    <mergeCell ref="B108:G108"/>
    <mergeCell ref="B109:G109"/>
    <mergeCell ref="B110:G110"/>
    <mergeCell ref="B121:G121"/>
    <mergeCell ref="P101:Q101"/>
    <mergeCell ref="N97:O97"/>
    <mergeCell ref="B99:C99"/>
    <mergeCell ref="K129:N129"/>
    <mergeCell ref="K85:N85"/>
    <mergeCell ref="K86:N86"/>
    <mergeCell ref="B102:G102"/>
    <mergeCell ref="B103:G103"/>
    <mergeCell ref="B104:G104"/>
    <mergeCell ref="B105:G105"/>
    <mergeCell ref="B111:G111"/>
    <mergeCell ref="B112:G112"/>
    <mergeCell ref="L97:M97"/>
    <mergeCell ref="B115:F115"/>
    <mergeCell ref="B116:F116"/>
    <mergeCell ref="B117:F117"/>
    <mergeCell ref="B118:F118"/>
    <mergeCell ref="L9:M9"/>
    <mergeCell ref="V6:Z6"/>
    <mergeCell ref="U12:X14"/>
    <mergeCell ref="U50:X52"/>
    <mergeCell ref="U94:X96"/>
    <mergeCell ref="K42:N42"/>
    <mergeCell ref="D46:N46"/>
    <mergeCell ref="D47:N47"/>
    <mergeCell ref="D48:N48"/>
    <mergeCell ref="N53:O53"/>
    <mergeCell ref="A51:Q51"/>
    <mergeCell ref="B15:G15"/>
    <mergeCell ref="B21:G21"/>
    <mergeCell ref="B16:G16"/>
    <mergeCell ref="B17:G17"/>
    <mergeCell ref="B18:G18"/>
  </mergeCells>
  <pageMargins left="0.51181102362204722" right="0.51181102362204722" top="0.78740157480314965" bottom="0.78740157480314965" header="0.51181102362204722" footer="0.51181102362204722"/>
  <pageSetup paperSize="9" scale="75" firstPageNumber="0" fitToHeight="3" orientation="landscape" horizontalDpi="300" verticalDpi="300" r:id="rId1"/>
  <rowBreaks count="2" manualBreakCount="2">
    <brk id="42" max="16383" man="1"/>
    <brk id="86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AN39"/>
  <sheetViews>
    <sheetView workbookViewId="0">
      <selection activeCell="B13" sqref="B13:F13"/>
    </sheetView>
  </sheetViews>
  <sheetFormatPr defaultRowHeight="15"/>
  <cols>
    <col min="1" max="1" width="2.42578125" customWidth="1"/>
    <col min="2" max="2" width="22.140625" customWidth="1"/>
    <col min="4" max="4" width="18" customWidth="1"/>
    <col min="5" max="7" width="13.7109375" customWidth="1"/>
    <col min="8" max="8" width="2.42578125" customWidth="1"/>
    <col min="9" max="9" width="4.85546875" customWidth="1"/>
    <col min="10" max="13" width="0" hidden="1" customWidth="1"/>
    <col min="14" max="14" width="105.28515625" hidden="1" customWidth="1"/>
    <col min="15" max="32" width="7" hidden="1" customWidth="1"/>
    <col min="33" max="36" width="0" hidden="1" customWidth="1"/>
    <col min="37" max="37" width="20.85546875" customWidth="1"/>
    <col min="257" max="257" width="2.42578125" customWidth="1"/>
    <col min="258" max="258" width="22.140625" customWidth="1"/>
    <col min="260" max="260" width="18" customWidth="1"/>
    <col min="261" max="263" width="13.7109375" customWidth="1"/>
    <col min="264" max="264" width="2.42578125" customWidth="1"/>
    <col min="265" max="265" width="4.85546875" customWidth="1"/>
    <col min="266" max="292" width="0" hidden="1" customWidth="1"/>
    <col min="293" max="293" width="20.85546875" customWidth="1"/>
    <col min="513" max="513" width="2.42578125" customWidth="1"/>
    <col min="514" max="514" width="22.140625" customWidth="1"/>
    <col min="516" max="516" width="18" customWidth="1"/>
    <col min="517" max="519" width="13.7109375" customWidth="1"/>
    <col min="520" max="520" width="2.42578125" customWidth="1"/>
    <col min="521" max="521" width="4.85546875" customWidth="1"/>
    <col min="522" max="548" width="0" hidden="1" customWidth="1"/>
    <col min="549" max="549" width="20.85546875" customWidth="1"/>
    <col min="769" max="769" width="2.42578125" customWidth="1"/>
    <col min="770" max="770" width="22.140625" customWidth="1"/>
    <col min="772" max="772" width="18" customWidth="1"/>
    <col min="773" max="775" width="13.7109375" customWidth="1"/>
    <col min="776" max="776" width="2.42578125" customWidth="1"/>
    <col min="777" max="777" width="4.85546875" customWidth="1"/>
    <col min="778" max="804" width="0" hidden="1" customWidth="1"/>
    <col min="805" max="805" width="20.85546875" customWidth="1"/>
    <col min="1025" max="1025" width="2.42578125" customWidth="1"/>
    <col min="1026" max="1026" width="22.140625" customWidth="1"/>
    <col min="1028" max="1028" width="18" customWidth="1"/>
    <col min="1029" max="1031" width="13.7109375" customWidth="1"/>
    <col min="1032" max="1032" width="2.42578125" customWidth="1"/>
    <col min="1033" max="1033" width="4.85546875" customWidth="1"/>
    <col min="1034" max="1060" width="0" hidden="1" customWidth="1"/>
    <col min="1061" max="1061" width="20.85546875" customWidth="1"/>
    <col min="1281" max="1281" width="2.42578125" customWidth="1"/>
    <col min="1282" max="1282" width="22.140625" customWidth="1"/>
    <col min="1284" max="1284" width="18" customWidth="1"/>
    <col min="1285" max="1287" width="13.7109375" customWidth="1"/>
    <col min="1288" max="1288" width="2.42578125" customWidth="1"/>
    <col min="1289" max="1289" width="4.85546875" customWidth="1"/>
    <col min="1290" max="1316" width="0" hidden="1" customWidth="1"/>
    <col min="1317" max="1317" width="20.85546875" customWidth="1"/>
    <col min="1537" max="1537" width="2.42578125" customWidth="1"/>
    <col min="1538" max="1538" width="22.140625" customWidth="1"/>
    <col min="1540" max="1540" width="18" customWidth="1"/>
    <col min="1541" max="1543" width="13.7109375" customWidth="1"/>
    <col min="1544" max="1544" width="2.42578125" customWidth="1"/>
    <col min="1545" max="1545" width="4.85546875" customWidth="1"/>
    <col min="1546" max="1572" width="0" hidden="1" customWidth="1"/>
    <col min="1573" max="1573" width="20.85546875" customWidth="1"/>
    <col min="1793" max="1793" width="2.42578125" customWidth="1"/>
    <col min="1794" max="1794" width="22.140625" customWidth="1"/>
    <col min="1796" max="1796" width="18" customWidth="1"/>
    <col min="1797" max="1799" width="13.7109375" customWidth="1"/>
    <col min="1800" max="1800" width="2.42578125" customWidth="1"/>
    <col min="1801" max="1801" width="4.85546875" customWidth="1"/>
    <col min="1802" max="1828" width="0" hidden="1" customWidth="1"/>
    <col min="1829" max="1829" width="20.85546875" customWidth="1"/>
    <col min="2049" max="2049" width="2.42578125" customWidth="1"/>
    <col min="2050" max="2050" width="22.140625" customWidth="1"/>
    <col min="2052" max="2052" width="18" customWidth="1"/>
    <col min="2053" max="2055" width="13.7109375" customWidth="1"/>
    <col min="2056" max="2056" width="2.42578125" customWidth="1"/>
    <col min="2057" max="2057" width="4.85546875" customWidth="1"/>
    <col min="2058" max="2084" width="0" hidden="1" customWidth="1"/>
    <col min="2085" max="2085" width="20.85546875" customWidth="1"/>
    <col min="2305" max="2305" width="2.42578125" customWidth="1"/>
    <col min="2306" max="2306" width="22.140625" customWidth="1"/>
    <col min="2308" max="2308" width="18" customWidth="1"/>
    <col min="2309" max="2311" width="13.7109375" customWidth="1"/>
    <col min="2312" max="2312" width="2.42578125" customWidth="1"/>
    <col min="2313" max="2313" width="4.85546875" customWidth="1"/>
    <col min="2314" max="2340" width="0" hidden="1" customWidth="1"/>
    <col min="2341" max="2341" width="20.85546875" customWidth="1"/>
    <col min="2561" max="2561" width="2.42578125" customWidth="1"/>
    <col min="2562" max="2562" width="22.140625" customWidth="1"/>
    <col min="2564" max="2564" width="18" customWidth="1"/>
    <col min="2565" max="2567" width="13.7109375" customWidth="1"/>
    <col min="2568" max="2568" width="2.42578125" customWidth="1"/>
    <col min="2569" max="2569" width="4.85546875" customWidth="1"/>
    <col min="2570" max="2596" width="0" hidden="1" customWidth="1"/>
    <col min="2597" max="2597" width="20.85546875" customWidth="1"/>
    <col min="2817" max="2817" width="2.42578125" customWidth="1"/>
    <col min="2818" max="2818" width="22.140625" customWidth="1"/>
    <col min="2820" max="2820" width="18" customWidth="1"/>
    <col min="2821" max="2823" width="13.7109375" customWidth="1"/>
    <col min="2824" max="2824" width="2.42578125" customWidth="1"/>
    <col min="2825" max="2825" width="4.85546875" customWidth="1"/>
    <col min="2826" max="2852" width="0" hidden="1" customWidth="1"/>
    <col min="2853" max="2853" width="20.85546875" customWidth="1"/>
    <col min="3073" max="3073" width="2.42578125" customWidth="1"/>
    <col min="3074" max="3074" width="22.140625" customWidth="1"/>
    <col min="3076" max="3076" width="18" customWidth="1"/>
    <col min="3077" max="3079" width="13.7109375" customWidth="1"/>
    <col min="3080" max="3080" width="2.42578125" customWidth="1"/>
    <col min="3081" max="3081" width="4.85546875" customWidth="1"/>
    <col min="3082" max="3108" width="0" hidden="1" customWidth="1"/>
    <col min="3109" max="3109" width="20.85546875" customWidth="1"/>
    <col min="3329" max="3329" width="2.42578125" customWidth="1"/>
    <col min="3330" max="3330" width="22.140625" customWidth="1"/>
    <col min="3332" max="3332" width="18" customWidth="1"/>
    <col min="3333" max="3335" width="13.7109375" customWidth="1"/>
    <col min="3336" max="3336" width="2.42578125" customWidth="1"/>
    <col min="3337" max="3337" width="4.85546875" customWidth="1"/>
    <col min="3338" max="3364" width="0" hidden="1" customWidth="1"/>
    <col min="3365" max="3365" width="20.85546875" customWidth="1"/>
    <col min="3585" max="3585" width="2.42578125" customWidth="1"/>
    <col min="3586" max="3586" width="22.140625" customWidth="1"/>
    <col min="3588" max="3588" width="18" customWidth="1"/>
    <col min="3589" max="3591" width="13.7109375" customWidth="1"/>
    <col min="3592" max="3592" width="2.42578125" customWidth="1"/>
    <col min="3593" max="3593" width="4.85546875" customWidth="1"/>
    <col min="3594" max="3620" width="0" hidden="1" customWidth="1"/>
    <col min="3621" max="3621" width="20.85546875" customWidth="1"/>
    <col min="3841" max="3841" width="2.42578125" customWidth="1"/>
    <col min="3842" max="3842" width="22.140625" customWidth="1"/>
    <col min="3844" max="3844" width="18" customWidth="1"/>
    <col min="3845" max="3847" width="13.7109375" customWidth="1"/>
    <col min="3848" max="3848" width="2.42578125" customWidth="1"/>
    <col min="3849" max="3849" width="4.85546875" customWidth="1"/>
    <col min="3850" max="3876" width="0" hidden="1" customWidth="1"/>
    <col min="3877" max="3877" width="20.85546875" customWidth="1"/>
    <col min="4097" max="4097" width="2.42578125" customWidth="1"/>
    <col min="4098" max="4098" width="22.140625" customWidth="1"/>
    <col min="4100" max="4100" width="18" customWidth="1"/>
    <col min="4101" max="4103" width="13.7109375" customWidth="1"/>
    <col min="4104" max="4104" width="2.42578125" customWidth="1"/>
    <col min="4105" max="4105" width="4.85546875" customWidth="1"/>
    <col min="4106" max="4132" width="0" hidden="1" customWidth="1"/>
    <col min="4133" max="4133" width="20.85546875" customWidth="1"/>
    <col min="4353" max="4353" width="2.42578125" customWidth="1"/>
    <col min="4354" max="4354" width="22.140625" customWidth="1"/>
    <col min="4356" max="4356" width="18" customWidth="1"/>
    <col min="4357" max="4359" width="13.7109375" customWidth="1"/>
    <col min="4360" max="4360" width="2.42578125" customWidth="1"/>
    <col min="4361" max="4361" width="4.85546875" customWidth="1"/>
    <col min="4362" max="4388" width="0" hidden="1" customWidth="1"/>
    <col min="4389" max="4389" width="20.85546875" customWidth="1"/>
    <col min="4609" max="4609" width="2.42578125" customWidth="1"/>
    <col min="4610" max="4610" width="22.140625" customWidth="1"/>
    <col min="4612" max="4612" width="18" customWidth="1"/>
    <col min="4613" max="4615" width="13.7109375" customWidth="1"/>
    <col min="4616" max="4616" width="2.42578125" customWidth="1"/>
    <col min="4617" max="4617" width="4.85546875" customWidth="1"/>
    <col min="4618" max="4644" width="0" hidden="1" customWidth="1"/>
    <col min="4645" max="4645" width="20.85546875" customWidth="1"/>
    <col min="4865" max="4865" width="2.42578125" customWidth="1"/>
    <col min="4866" max="4866" width="22.140625" customWidth="1"/>
    <col min="4868" max="4868" width="18" customWidth="1"/>
    <col min="4869" max="4871" width="13.7109375" customWidth="1"/>
    <col min="4872" max="4872" width="2.42578125" customWidth="1"/>
    <col min="4873" max="4873" width="4.85546875" customWidth="1"/>
    <col min="4874" max="4900" width="0" hidden="1" customWidth="1"/>
    <col min="4901" max="4901" width="20.85546875" customWidth="1"/>
    <col min="5121" max="5121" width="2.42578125" customWidth="1"/>
    <col min="5122" max="5122" width="22.140625" customWidth="1"/>
    <col min="5124" max="5124" width="18" customWidth="1"/>
    <col min="5125" max="5127" width="13.7109375" customWidth="1"/>
    <col min="5128" max="5128" width="2.42578125" customWidth="1"/>
    <col min="5129" max="5129" width="4.85546875" customWidth="1"/>
    <col min="5130" max="5156" width="0" hidden="1" customWidth="1"/>
    <col min="5157" max="5157" width="20.85546875" customWidth="1"/>
    <col min="5377" max="5377" width="2.42578125" customWidth="1"/>
    <col min="5378" max="5378" width="22.140625" customWidth="1"/>
    <col min="5380" max="5380" width="18" customWidth="1"/>
    <col min="5381" max="5383" width="13.7109375" customWidth="1"/>
    <col min="5384" max="5384" width="2.42578125" customWidth="1"/>
    <col min="5385" max="5385" width="4.85546875" customWidth="1"/>
    <col min="5386" max="5412" width="0" hidden="1" customWidth="1"/>
    <col min="5413" max="5413" width="20.85546875" customWidth="1"/>
    <col min="5633" max="5633" width="2.42578125" customWidth="1"/>
    <col min="5634" max="5634" width="22.140625" customWidth="1"/>
    <col min="5636" max="5636" width="18" customWidth="1"/>
    <col min="5637" max="5639" width="13.7109375" customWidth="1"/>
    <col min="5640" max="5640" width="2.42578125" customWidth="1"/>
    <col min="5641" max="5641" width="4.85546875" customWidth="1"/>
    <col min="5642" max="5668" width="0" hidden="1" customWidth="1"/>
    <col min="5669" max="5669" width="20.85546875" customWidth="1"/>
    <col min="5889" max="5889" width="2.42578125" customWidth="1"/>
    <col min="5890" max="5890" width="22.140625" customWidth="1"/>
    <col min="5892" max="5892" width="18" customWidth="1"/>
    <col min="5893" max="5895" width="13.7109375" customWidth="1"/>
    <col min="5896" max="5896" width="2.42578125" customWidth="1"/>
    <col min="5897" max="5897" width="4.85546875" customWidth="1"/>
    <col min="5898" max="5924" width="0" hidden="1" customWidth="1"/>
    <col min="5925" max="5925" width="20.85546875" customWidth="1"/>
    <col min="6145" max="6145" width="2.42578125" customWidth="1"/>
    <col min="6146" max="6146" width="22.140625" customWidth="1"/>
    <col min="6148" max="6148" width="18" customWidth="1"/>
    <col min="6149" max="6151" width="13.7109375" customWidth="1"/>
    <col min="6152" max="6152" width="2.42578125" customWidth="1"/>
    <col min="6153" max="6153" width="4.85546875" customWidth="1"/>
    <col min="6154" max="6180" width="0" hidden="1" customWidth="1"/>
    <col min="6181" max="6181" width="20.85546875" customWidth="1"/>
    <col min="6401" max="6401" width="2.42578125" customWidth="1"/>
    <col min="6402" max="6402" width="22.140625" customWidth="1"/>
    <col min="6404" max="6404" width="18" customWidth="1"/>
    <col min="6405" max="6407" width="13.7109375" customWidth="1"/>
    <col min="6408" max="6408" width="2.42578125" customWidth="1"/>
    <col min="6409" max="6409" width="4.85546875" customWidth="1"/>
    <col min="6410" max="6436" width="0" hidden="1" customWidth="1"/>
    <col min="6437" max="6437" width="20.85546875" customWidth="1"/>
    <col min="6657" max="6657" width="2.42578125" customWidth="1"/>
    <col min="6658" max="6658" width="22.140625" customWidth="1"/>
    <col min="6660" max="6660" width="18" customWidth="1"/>
    <col min="6661" max="6663" width="13.7109375" customWidth="1"/>
    <col min="6664" max="6664" width="2.42578125" customWidth="1"/>
    <col min="6665" max="6665" width="4.85546875" customWidth="1"/>
    <col min="6666" max="6692" width="0" hidden="1" customWidth="1"/>
    <col min="6693" max="6693" width="20.85546875" customWidth="1"/>
    <col min="6913" max="6913" width="2.42578125" customWidth="1"/>
    <col min="6914" max="6914" width="22.140625" customWidth="1"/>
    <col min="6916" max="6916" width="18" customWidth="1"/>
    <col min="6917" max="6919" width="13.7109375" customWidth="1"/>
    <col min="6920" max="6920" width="2.42578125" customWidth="1"/>
    <col min="6921" max="6921" width="4.85546875" customWidth="1"/>
    <col min="6922" max="6948" width="0" hidden="1" customWidth="1"/>
    <col min="6949" max="6949" width="20.85546875" customWidth="1"/>
    <col min="7169" max="7169" width="2.42578125" customWidth="1"/>
    <col min="7170" max="7170" width="22.140625" customWidth="1"/>
    <col min="7172" max="7172" width="18" customWidth="1"/>
    <col min="7173" max="7175" width="13.7109375" customWidth="1"/>
    <col min="7176" max="7176" width="2.42578125" customWidth="1"/>
    <col min="7177" max="7177" width="4.85546875" customWidth="1"/>
    <col min="7178" max="7204" width="0" hidden="1" customWidth="1"/>
    <col min="7205" max="7205" width="20.85546875" customWidth="1"/>
    <col min="7425" max="7425" width="2.42578125" customWidth="1"/>
    <col min="7426" max="7426" width="22.140625" customWidth="1"/>
    <col min="7428" max="7428" width="18" customWidth="1"/>
    <col min="7429" max="7431" width="13.7109375" customWidth="1"/>
    <col min="7432" max="7432" width="2.42578125" customWidth="1"/>
    <col min="7433" max="7433" width="4.85546875" customWidth="1"/>
    <col min="7434" max="7460" width="0" hidden="1" customWidth="1"/>
    <col min="7461" max="7461" width="20.85546875" customWidth="1"/>
    <col min="7681" max="7681" width="2.42578125" customWidth="1"/>
    <col min="7682" max="7682" width="22.140625" customWidth="1"/>
    <col min="7684" max="7684" width="18" customWidth="1"/>
    <col min="7685" max="7687" width="13.7109375" customWidth="1"/>
    <col min="7688" max="7688" width="2.42578125" customWidth="1"/>
    <col min="7689" max="7689" width="4.85546875" customWidth="1"/>
    <col min="7690" max="7716" width="0" hidden="1" customWidth="1"/>
    <col min="7717" max="7717" width="20.85546875" customWidth="1"/>
    <col min="7937" max="7937" width="2.42578125" customWidth="1"/>
    <col min="7938" max="7938" width="22.140625" customWidth="1"/>
    <col min="7940" max="7940" width="18" customWidth="1"/>
    <col min="7941" max="7943" width="13.7109375" customWidth="1"/>
    <col min="7944" max="7944" width="2.42578125" customWidth="1"/>
    <col min="7945" max="7945" width="4.85546875" customWidth="1"/>
    <col min="7946" max="7972" width="0" hidden="1" customWidth="1"/>
    <col min="7973" max="7973" width="20.85546875" customWidth="1"/>
    <col min="8193" max="8193" width="2.42578125" customWidth="1"/>
    <col min="8194" max="8194" width="22.140625" customWidth="1"/>
    <col min="8196" max="8196" width="18" customWidth="1"/>
    <col min="8197" max="8199" width="13.7109375" customWidth="1"/>
    <col min="8200" max="8200" width="2.42578125" customWidth="1"/>
    <col min="8201" max="8201" width="4.85546875" customWidth="1"/>
    <col min="8202" max="8228" width="0" hidden="1" customWidth="1"/>
    <col min="8229" max="8229" width="20.85546875" customWidth="1"/>
    <col min="8449" max="8449" width="2.42578125" customWidth="1"/>
    <col min="8450" max="8450" width="22.140625" customWidth="1"/>
    <col min="8452" max="8452" width="18" customWidth="1"/>
    <col min="8453" max="8455" width="13.7109375" customWidth="1"/>
    <col min="8456" max="8456" width="2.42578125" customWidth="1"/>
    <col min="8457" max="8457" width="4.85546875" customWidth="1"/>
    <col min="8458" max="8484" width="0" hidden="1" customWidth="1"/>
    <col min="8485" max="8485" width="20.85546875" customWidth="1"/>
    <col min="8705" max="8705" width="2.42578125" customWidth="1"/>
    <col min="8706" max="8706" width="22.140625" customWidth="1"/>
    <col min="8708" max="8708" width="18" customWidth="1"/>
    <col min="8709" max="8711" width="13.7109375" customWidth="1"/>
    <col min="8712" max="8712" width="2.42578125" customWidth="1"/>
    <col min="8713" max="8713" width="4.85546875" customWidth="1"/>
    <col min="8714" max="8740" width="0" hidden="1" customWidth="1"/>
    <col min="8741" max="8741" width="20.85546875" customWidth="1"/>
    <col min="8961" max="8961" width="2.42578125" customWidth="1"/>
    <col min="8962" max="8962" width="22.140625" customWidth="1"/>
    <col min="8964" max="8964" width="18" customWidth="1"/>
    <col min="8965" max="8967" width="13.7109375" customWidth="1"/>
    <col min="8968" max="8968" width="2.42578125" customWidth="1"/>
    <col min="8969" max="8969" width="4.85546875" customWidth="1"/>
    <col min="8970" max="8996" width="0" hidden="1" customWidth="1"/>
    <col min="8997" max="8997" width="20.85546875" customWidth="1"/>
    <col min="9217" max="9217" width="2.42578125" customWidth="1"/>
    <col min="9218" max="9218" width="22.140625" customWidth="1"/>
    <col min="9220" max="9220" width="18" customWidth="1"/>
    <col min="9221" max="9223" width="13.7109375" customWidth="1"/>
    <col min="9224" max="9224" width="2.42578125" customWidth="1"/>
    <col min="9225" max="9225" width="4.85546875" customWidth="1"/>
    <col min="9226" max="9252" width="0" hidden="1" customWidth="1"/>
    <col min="9253" max="9253" width="20.85546875" customWidth="1"/>
    <col min="9473" max="9473" width="2.42578125" customWidth="1"/>
    <col min="9474" max="9474" width="22.140625" customWidth="1"/>
    <col min="9476" max="9476" width="18" customWidth="1"/>
    <col min="9477" max="9479" width="13.7109375" customWidth="1"/>
    <col min="9480" max="9480" width="2.42578125" customWidth="1"/>
    <col min="9481" max="9481" width="4.85546875" customWidth="1"/>
    <col min="9482" max="9508" width="0" hidden="1" customWidth="1"/>
    <col min="9509" max="9509" width="20.85546875" customWidth="1"/>
    <col min="9729" max="9729" width="2.42578125" customWidth="1"/>
    <col min="9730" max="9730" width="22.140625" customWidth="1"/>
    <col min="9732" max="9732" width="18" customWidth="1"/>
    <col min="9733" max="9735" width="13.7109375" customWidth="1"/>
    <col min="9736" max="9736" width="2.42578125" customWidth="1"/>
    <col min="9737" max="9737" width="4.85546875" customWidth="1"/>
    <col min="9738" max="9764" width="0" hidden="1" customWidth="1"/>
    <col min="9765" max="9765" width="20.85546875" customWidth="1"/>
    <col min="9985" max="9985" width="2.42578125" customWidth="1"/>
    <col min="9986" max="9986" width="22.140625" customWidth="1"/>
    <col min="9988" max="9988" width="18" customWidth="1"/>
    <col min="9989" max="9991" width="13.7109375" customWidth="1"/>
    <col min="9992" max="9992" width="2.42578125" customWidth="1"/>
    <col min="9993" max="9993" width="4.85546875" customWidth="1"/>
    <col min="9994" max="10020" width="0" hidden="1" customWidth="1"/>
    <col min="10021" max="10021" width="20.85546875" customWidth="1"/>
    <col min="10241" max="10241" width="2.42578125" customWidth="1"/>
    <col min="10242" max="10242" width="22.140625" customWidth="1"/>
    <col min="10244" max="10244" width="18" customWidth="1"/>
    <col min="10245" max="10247" width="13.7109375" customWidth="1"/>
    <col min="10248" max="10248" width="2.42578125" customWidth="1"/>
    <col min="10249" max="10249" width="4.85546875" customWidth="1"/>
    <col min="10250" max="10276" width="0" hidden="1" customWidth="1"/>
    <col min="10277" max="10277" width="20.85546875" customWidth="1"/>
    <col min="10497" max="10497" width="2.42578125" customWidth="1"/>
    <col min="10498" max="10498" width="22.140625" customWidth="1"/>
    <col min="10500" max="10500" width="18" customWidth="1"/>
    <col min="10501" max="10503" width="13.7109375" customWidth="1"/>
    <col min="10504" max="10504" width="2.42578125" customWidth="1"/>
    <col min="10505" max="10505" width="4.85546875" customWidth="1"/>
    <col min="10506" max="10532" width="0" hidden="1" customWidth="1"/>
    <col min="10533" max="10533" width="20.85546875" customWidth="1"/>
    <col min="10753" max="10753" width="2.42578125" customWidth="1"/>
    <col min="10754" max="10754" width="22.140625" customWidth="1"/>
    <col min="10756" max="10756" width="18" customWidth="1"/>
    <col min="10757" max="10759" width="13.7109375" customWidth="1"/>
    <col min="10760" max="10760" width="2.42578125" customWidth="1"/>
    <col min="10761" max="10761" width="4.85546875" customWidth="1"/>
    <col min="10762" max="10788" width="0" hidden="1" customWidth="1"/>
    <col min="10789" max="10789" width="20.85546875" customWidth="1"/>
    <col min="11009" max="11009" width="2.42578125" customWidth="1"/>
    <col min="11010" max="11010" width="22.140625" customWidth="1"/>
    <col min="11012" max="11012" width="18" customWidth="1"/>
    <col min="11013" max="11015" width="13.7109375" customWidth="1"/>
    <col min="11016" max="11016" width="2.42578125" customWidth="1"/>
    <col min="11017" max="11017" width="4.85546875" customWidth="1"/>
    <col min="11018" max="11044" width="0" hidden="1" customWidth="1"/>
    <col min="11045" max="11045" width="20.85546875" customWidth="1"/>
    <col min="11265" max="11265" width="2.42578125" customWidth="1"/>
    <col min="11266" max="11266" width="22.140625" customWidth="1"/>
    <col min="11268" max="11268" width="18" customWidth="1"/>
    <col min="11269" max="11271" width="13.7109375" customWidth="1"/>
    <col min="11272" max="11272" width="2.42578125" customWidth="1"/>
    <col min="11273" max="11273" width="4.85546875" customWidth="1"/>
    <col min="11274" max="11300" width="0" hidden="1" customWidth="1"/>
    <col min="11301" max="11301" width="20.85546875" customWidth="1"/>
    <col min="11521" max="11521" width="2.42578125" customWidth="1"/>
    <col min="11522" max="11522" width="22.140625" customWidth="1"/>
    <col min="11524" max="11524" width="18" customWidth="1"/>
    <col min="11525" max="11527" width="13.7109375" customWidth="1"/>
    <col min="11528" max="11528" width="2.42578125" customWidth="1"/>
    <col min="11529" max="11529" width="4.85546875" customWidth="1"/>
    <col min="11530" max="11556" width="0" hidden="1" customWidth="1"/>
    <col min="11557" max="11557" width="20.85546875" customWidth="1"/>
    <col min="11777" max="11777" width="2.42578125" customWidth="1"/>
    <col min="11778" max="11778" width="22.140625" customWidth="1"/>
    <col min="11780" max="11780" width="18" customWidth="1"/>
    <col min="11781" max="11783" width="13.7109375" customWidth="1"/>
    <col min="11784" max="11784" width="2.42578125" customWidth="1"/>
    <col min="11785" max="11785" width="4.85546875" customWidth="1"/>
    <col min="11786" max="11812" width="0" hidden="1" customWidth="1"/>
    <col min="11813" max="11813" width="20.85546875" customWidth="1"/>
    <col min="12033" max="12033" width="2.42578125" customWidth="1"/>
    <col min="12034" max="12034" width="22.140625" customWidth="1"/>
    <col min="12036" max="12036" width="18" customWidth="1"/>
    <col min="12037" max="12039" width="13.7109375" customWidth="1"/>
    <col min="12040" max="12040" width="2.42578125" customWidth="1"/>
    <col min="12041" max="12041" width="4.85546875" customWidth="1"/>
    <col min="12042" max="12068" width="0" hidden="1" customWidth="1"/>
    <col min="12069" max="12069" width="20.85546875" customWidth="1"/>
    <col min="12289" max="12289" width="2.42578125" customWidth="1"/>
    <col min="12290" max="12290" width="22.140625" customWidth="1"/>
    <col min="12292" max="12292" width="18" customWidth="1"/>
    <col min="12293" max="12295" width="13.7109375" customWidth="1"/>
    <col min="12296" max="12296" width="2.42578125" customWidth="1"/>
    <col min="12297" max="12297" width="4.85546875" customWidth="1"/>
    <col min="12298" max="12324" width="0" hidden="1" customWidth="1"/>
    <col min="12325" max="12325" width="20.85546875" customWidth="1"/>
    <col min="12545" max="12545" width="2.42578125" customWidth="1"/>
    <col min="12546" max="12546" width="22.140625" customWidth="1"/>
    <col min="12548" max="12548" width="18" customWidth="1"/>
    <col min="12549" max="12551" width="13.7109375" customWidth="1"/>
    <col min="12552" max="12552" width="2.42578125" customWidth="1"/>
    <col min="12553" max="12553" width="4.85546875" customWidth="1"/>
    <col min="12554" max="12580" width="0" hidden="1" customWidth="1"/>
    <col min="12581" max="12581" width="20.85546875" customWidth="1"/>
    <col min="12801" max="12801" width="2.42578125" customWidth="1"/>
    <col min="12802" max="12802" width="22.140625" customWidth="1"/>
    <col min="12804" max="12804" width="18" customWidth="1"/>
    <col min="12805" max="12807" width="13.7109375" customWidth="1"/>
    <col min="12808" max="12808" width="2.42578125" customWidth="1"/>
    <col min="12809" max="12809" width="4.85546875" customWidth="1"/>
    <col min="12810" max="12836" width="0" hidden="1" customWidth="1"/>
    <col min="12837" max="12837" width="20.85546875" customWidth="1"/>
    <col min="13057" max="13057" width="2.42578125" customWidth="1"/>
    <col min="13058" max="13058" width="22.140625" customWidth="1"/>
    <col min="13060" max="13060" width="18" customWidth="1"/>
    <col min="13061" max="13063" width="13.7109375" customWidth="1"/>
    <col min="13064" max="13064" width="2.42578125" customWidth="1"/>
    <col min="13065" max="13065" width="4.85546875" customWidth="1"/>
    <col min="13066" max="13092" width="0" hidden="1" customWidth="1"/>
    <col min="13093" max="13093" width="20.85546875" customWidth="1"/>
    <col min="13313" max="13313" width="2.42578125" customWidth="1"/>
    <col min="13314" max="13314" width="22.140625" customWidth="1"/>
    <col min="13316" max="13316" width="18" customWidth="1"/>
    <col min="13317" max="13319" width="13.7109375" customWidth="1"/>
    <col min="13320" max="13320" width="2.42578125" customWidth="1"/>
    <col min="13321" max="13321" width="4.85546875" customWidth="1"/>
    <col min="13322" max="13348" width="0" hidden="1" customWidth="1"/>
    <col min="13349" max="13349" width="20.85546875" customWidth="1"/>
    <col min="13569" max="13569" width="2.42578125" customWidth="1"/>
    <col min="13570" max="13570" width="22.140625" customWidth="1"/>
    <col min="13572" max="13572" width="18" customWidth="1"/>
    <col min="13573" max="13575" width="13.7109375" customWidth="1"/>
    <col min="13576" max="13576" width="2.42578125" customWidth="1"/>
    <col min="13577" max="13577" width="4.85546875" customWidth="1"/>
    <col min="13578" max="13604" width="0" hidden="1" customWidth="1"/>
    <col min="13605" max="13605" width="20.85546875" customWidth="1"/>
    <col min="13825" max="13825" width="2.42578125" customWidth="1"/>
    <col min="13826" max="13826" width="22.140625" customWidth="1"/>
    <col min="13828" max="13828" width="18" customWidth="1"/>
    <col min="13829" max="13831" width="13.7109375" customWidth="1"/>
    <col min="13832" max="13832" width="2.42578125" customWidth="1"/>
    <col min="13833" max="13833" width="4.85546875" customWidth="1"/>
    <col min="13834" max="13860" width="0" hidden="1" customWidth="1"/>
    <col min="13861" max="13861" width="20.85546875" customWidth="1"/>
    <col min="14081" max="14081" width="2.42578125" customWidth="1"/>
    <col min="14082" max="14082" width="22.140625" customWidth="1"/>
    <col min="14084" max="14084" width="18" customWidth="1"/>
    <col min="14085" max="14087" width="13.7109375" customWidth="1"/>
    <col min="14088" max="14088" width="2.42578125" customWidth="1"/>
    <col min="14089" max="14089" width="4.85546875" customWidth="1"/>
    <col min="14090" max="14116" width="0" hidden="1" customWidth="1"/>
    <col min="14117" max="14117" width="20.85546875" customWidth="1"/>
    <col min="14337" max="14337" width="2.42578125" customWidth="1"/>
    <col min="14338" max="14338" width="22.140625" customWidth="1"/>
    <col min="14340" max="14340" width="18" customWidth="1"/>
    <col min="14341" max="14343" width="13.7109375" customWidth="1"/>
    <col min="14344" max="14344" width="2.42578125" customWidth="1"/>
    <col min="14345" max="14345" width="4.85546875" customWidth="1"/>
    <col min="14346" max="14372" width="0" hidden="1" customWidth="1"/>
    <col min="14373" max="14373" width="20.85546875" customWidth="1"/>
    <col min="14593" max="14593" width="2.42578125" customWidth="1"/>
    <col min="14594" max="14594" width="22.140625" customWidth="1"/>
    <col min="14596" max="14596" width="18" customWidth="1"/>
    <col min="14597" max="14599" width="13.7109375" customWidth="1"/>
    <col min="14600" max="14600" width="2.42578125" customWidth="1"/>
    <col min="14601" max="14601" width="4.85546875" customWidth="1"/>
    <col min="14602" max="14628" width="0" hidden="1" customWidth="1"/>
    <col min="14629" max="14629" width="20.85546875" customWidth="1"/>
    <col min="14849" max="14849" width="2.42578125" customWidth="1"/>
    <col min="14850" max="14850" width="22.140625" customWidth="1"/>
    <col min="14852" max="14852" width="18" customWidth="1"/>
    <col min="14853" max="14855" width="13.7109375" customWidth="1"/>
    <col min="14856" max="14856" width="2.42578125" customWidth="1"/>
    <col min="14857" max="14857" width="4.85546875" customWidth="1"/>
    <col min="14858" max="14884" width="0" hidden="1" customWidth="1"/>
    <col min="14885" max="14885" width="20.85546875" customWidth="1"/>
    <col min="15105" max="15105" width="2.42578125" customWidth="1"/>
    <col min="15106" max="15106" width="22.140625" customWidth="1"/>
    <col min="15108" max="15108" width="18" customWidth="1"/>
    <col min="15109" max="15111" width="13.7109375" customWidth="1"/>
    <col min="15112" max="15112" width="2.42578125" customWidth="1"/>
    <col min="15113" max="15113" width="4.85546875" customWidth="1"/>
    <col min="15114" max="15140" width="0" hidden="1" customWidth="1"/>
    <col min="15141" max="15141" width="20.85546875" customWidth="1"/>
    <col min="15361" max="15361" width="2.42578125" customWidth="1"/>
    <col min="15362" max="15362" width="22.140625" customWidth="1"/>
    <col min="15364" max="15364" width="18" customWidth="1"/>
    <col min="15365" max="15367" width="13.7109375" customWidth="1"/>
    <col min="15368" max="15368" width="2.42578125" customWidth="1"/>
    <col min="15369" max="15369" width="4.85546875" customWidth="1"/>
    <col min="15370" max="15396" width="0" hidden="1" customWidth="1"/>
    <col min="15397" max="15397" width="20.85546875" customWidth="1"/>
    <col min="15617" max="15617" width="2.42578125" customWidth="1"/>
    <col min="15618" max="15618" width="22.140625" customWidth="1"/>
    <col min="15620" max="15620" width="18" customWidth="1"/>
    <col min="15621" max="15623" width="13.7109375" customWidth="1"/>
    <col min="15624" max="15624" width="2.42578125" customWidth="1"/>
    <col min="15625" max="15625" width="4.85546875" customWidth="1"/>
    <col min="15626" max="15652" width="0" hidden="1" customWidth="1"/>
    <col min="15653" max="15653" width="20.85546875" customWidth="1"/>
    <col min="15873" max="15873" width="2.42578125" customWidth="1"/>
    <col min="15874" max="15874" width="22.140625" customWidth="1"/>
    <col min="15876" max="15876" width="18" customWidth="1"/>
    <col min="15877" max="15879" width="13.7109375" customWidth="1"/>
    <col min="15880" max="15880" width="2.42578125" customWidth="1"/>
    <col min="15881" max="15881" width="4.85546875" customWidth="1"/>
    <col min="15882" max="15908" width="0" hidden="1" customWidth="1"/>
    <col min="15909" max="15909" width="20.85546875" customWidth="1"/>
    <col min="16129" max="16129" width="2.42578125" customWidth="1"/>
    <col min="16130" max="16130" width="22.140625" customWidth="1"/>
    <col min="16132" max="16132" width="18" customWidth="1"/>
    <col min="16133" max="16135" width="13.7109375" customWidth="1"/>
    <col min="16136" max="16136" width="2.42578125" customWidth="1"/>
    <col min="16137" max="16137" width="4.85546875" customWidth="1"/>
    <col min="16138" max="16164" width="0" hidden="1" customWidth="1"/>
    <col min="16165" max="16165" width="20.85546875" customWidth="1"/>
  </cols>
  <sheetData>
    <row r="1" spans="1:40" ht="12.6" customHeight="1">
      <c r="B1" s="54" t="s">
        <v>80</v>
      </c>
      <c r="C1" s="219" t="s">
        <v>81</v>
      </c>
      <c r="D1" s="219"/>
      <c r="E1" s="219"/>
      <c r="F1" s="219"/>
      <c r="G1" s="220"/>
    </row>
    <row r="2" spans="1:40" ht="12.6" customHeight="1" thickBot="1">
      <c r="B2" s="55" t="s">
        <v>82</v>
      </c>
      <c r="C2" s="221" t="s">
        <v>308</v>
      </c>
      <c r="D2" s="221"/>
      <c r="E2" s="221"/>
      <c r="F2" s="221"/>
      <c r="G2" s="222"/>
    </row>
    <row r="3" spans="1:40" ht="5.25" customHeight="1" thickBot="1"/>
    <row r="4" spans="1:40" ht="9.9499999999999993" customHeight="1">
      <c r="A4" s="223" t="s">
        <v>83</v>
      </c>
      <c r="B4" s="224"/>
      <c r="C4" s="224"/>
      <c r="D4" s="224"/>
      <c r="E4" s="224"/>
      <c r="F4" s="224"/>
      <c r="G4" s="224"/>
      <c r="H4" s="225"/>
      <c r="O4" s="161" t="s">
        <v>84</v>
      </c>
      <c r="P4" s="161"/>
      <c r="Q4" s="161"/>
      <c r="R4" s="161" t="s">
        <v>85</v>
      </c>
      <c r="S4" s="161"/>
      <c r="T4" s="161"/>
      <c r="U4" s="161" t="s">
        <v>86</v>
      </c>
      <c r="V4" s="161"/>
      <c r="W4" s="161"/>
      <c r="X4" s="161" t="s">
        <v>87</v>
      </c>
      <c r="Y4" s="161"/>
      <c r="Z4" s="161"/>
      <c r="AA4" s="161" t="s">
        <v>88</v>
      </c>
      <c r="AB4" s="161"/>
      <c r="AC4" s="161"/>
      <c r="AD4" s="161" t="s">
        <v>89</v>
      </c>
      <c r="AE4" s="161"/>
      <c r="AF4" s="161"/>
    </row>
    <row r="5" spans="1:40" ht="9.9499999999999993" customHeight="1" thickBot="1">
      <c r="A5" s="226"/>
      <c r="B5" s="227"/>
      <c r="C5" s="227"/>
      <c r="D5" s="227"/>
      <c r="E5" s="227"/>
      <c r="F5" s="227"/>
      <c r="G5" s="227"/>
      <c r="H5" s="228"/>
      <c r="O5" t="s">
        <v>90</v>
      </c>
      <c r="P5" t="s">
        <v>91</v>
      </c>
      <c r="Q5" t="s">
        <v>92</v>
      </c>
      <c r="R5" t="s">
        <v>90</v>
      </c>
      <c r="S5" t="s">
        <v>91</v>
      </c>
      <c r="T5" t="s">
        <v>92</v>
      </c>
      <c r="U5" t="s">
        <v>90</v>
      </c>
      <c r="V5" t="s">
        <v>91</v>
      </c>
      <c r="W5" t="s">
        <v>92</v>
      </c>
      <c r="X5" t="s">
        <v>90</v>
      </c>
      <c r="Y5" t="s">
        <v>91</v>
      </c>
      <c r="Z5" t="s">
        <v>92</v>
      </c>
      <c r="AA5" t="s">
        <v>90</v>
      </c>
      <c r="AB5" t="s">
        <v>91</v>
      </c>
      <c r="AC5" t="s">
        <v>92</v>
      </c>
      <c r="AD5" t="s">
        <v>90</v>
      </c>
      <c r="AE5" t="s">
        <v>91</v>
      </c>
      <c r="AF5" t="s">
        <v>92</v>
      </c>
    </row>
    <row r="6" spans="1:40" ht="12.95" customHeight="1">
      <c r="A6" s="215" t="s">
        <v>93</v>
      </c>
      <c r="B6" s="216"/>
      <c r="C6" s="216"/>
      <c r="D6" s="56" t="s">
        <v>96</v>
      </c>
      <c r="E6" s="57" t="s">
        <v>94</v>
      </c>
      <c r="F6" s="58"/>
      <c r="G6" s="59"/>
      <c r="H6" s="60"/>
    </row>
    <row r="7" spans="1:40" ht="12.95" customHeight="1" thickBot="1">
      <c r="A7" s="217" t="s">
        <v>95</v>
      </c>
      <c r="B7" s="218"/>
      <c r="C7" s="218"/>
      <c r="D7" s="61"/>
      <c r="E7" s="62" t="s">
        <v>97</v>
      </c>
      <c r="F7" s="63"/>
      <c r="G7" s="64"/>
      <c r="H7" s="65"/>
    </row>
    <row r="8" spans="1:40" ht="8.1" customHeight="1" thickBot="1">
      <c r="A8" s="66"/>
      <c r="B8" s="67"/>
      <c r="C8" s="67"/>
      <c r="D8" s="67"/>
      <c r="E8" s="67"/>
      <c r="F8" s="67"/>
      <c r="G8" s="67"/>
      <c r="H8" s="68"/>
      <c r="N8" t="s">
        <v>98</v>
      </c>
      <c r="O8">
        <v>0.2034</v>
      </c>
      <c r="P8">
        <v>0.22120000000000001</v>
      </c>
      <c r="Q8">
        <v>0.25</v>
      </c>
      <c r="R8">
        <v>0.03</v>
      </c>
      <c r="S8">
        <v>0.04</v>
      </c>
      <c r="T8">
        <v>5.5E-2</v>
      </c>
      <c r="U8">
        <v>8.0000000000000002E-3</v>
      </c>
      <c r="V8">
        <v>8.0000000000000002E-3</v>
      </c>
      <c r="W8">
        <v>0.01</v>
      </c>
      <c r="X8">
        <v>9.7000000000000003E-3</v>
      </c>
      <c r="Y8">
        <v>1.2699999999999999E-2</v>
      </c>
      <c r="Z8">
        <v>1.2699999999999999E-2</v>
      </c>
      <c r="AA8">
        <v>5.8999999999999999E-3</v>
      </c>
      <c r="AB8">
        <v>1.23E-2</v>
      </c>
      <c r="AC8">
        <v>1.3899999999999999E-2</v>
      </c>
      <c r="AD8">
        <v>6.1600000000000002E-2</v>
      </c>
      <c r="AE8">
        <v>7.400000000000001E-2</v>
      </c>
      <c r="AF8">
        <v>8.9600000000000013E-2</v>
      </c>
      <c r="AM8" s="69"/>
    </row>
    <row r="9" spans="1:40" ht="16.5" thickBot="1">
      <c r="A9" s="70"/>
      <c r="B9" s="185" t="s">
        <v>99</v>
      </c>
      <c r="C9" s="186"/>
      <c r="D9" s="186"/>
      <c r="E9" s="186"/>
      <c r="F9" s="186"/>
      <c r="G9" s="187"/>
      <c r="H9" s="71"/>
      <c r="AM9" s="3"/>
    </row>
    <row r="10" spans="1:40" ht="15" customHeight="1">
      <c r="A10" s="70"/>
      <c r="B10" s="200" t="s">
        <v>98</v>
      </c>
      <c r="C10" s="201"/>
      <c r="D10" s="201"/>
      <c r="E10" s="201"/>
      <c r="F10" s="201"/>
      <c r="G10" s="72"/>
      <c r="H10" s="71"/>
      <c r="N10" t="s">
        <v>100</v>
      </c>
      <c r="O10">
        <v>0.19600000000000001</v>
      </c>
      <c r="P10">
        <v>0.2097</v>
      </c>
      <c r="Q10">
        <v>0.24230000000000002</v>
      </c>
      <c r="R10">
        <v>3.7999999999999999E-2</v>
      </c>
      <c r="S10">
        <v>4.0099999999999997E-2</v>
      </c>
      <c r="T10">
        <v>4.6699999999999998E-2</v>
      </c>
      <c r="U10">
        <v>3.2000000000000002E-3</v>
      </c>
      <c r="V10">
        <v>4.0000000000000001E-3</v>
      </c>
      <c r="W10">
        <v>7.4000000000000003E-3</v>
      </c>
      <c r="X10">
        <v>5.0000000000000001E-3</v>
      </c>
      <c r="Y10">
        <v>5.6000000000000008E-3</v>
      </c>
      <c r="Z10">
        <v>9.7000000000000003E-3</v>
      </c>
      <c r="AA10">
        <v>1.0200000000000001E-2</v>
      </c>
      <c r="AB10">
        <v>1.11E-2</v>
      </c>
      <c r="AC10">
        <v>1.21E-2</v>
      </c>
      <c r="AD10">
        <v>6.6400000000000001E-2</v>
      </c>
      <c r="AE10">
        <v>7.2999999999999995E-2</v>
      </c>
      <c r="AF10">
        <v>8.6899999999999991E-2</v>
      </c>
    </row>
    <row r="11" spans="1:40" ht="15" customHeight="1">
      <c r="A11" s="70"/>
      <c r="B11" s="193" t="s">
        <v>100</v>
      </c>
      <c r="C11" s="194"/>
      <c r="D11" s="194"/>
      <c r="E11" s="194"/>
      <c r="F11" s="194"/>
      <c r="G11" s="73" t="s">
        <v>96</v>
      </c>
      <c r="H11" s="71"/>
      <c r="N11" t="s">
        <v>101</v>
      </c>
      <c r="O11">
        <v>0.20760000000000001</v>
      </c>
      <c r="P11">
        <v>0.24179999999999999</v>
      </c>
      <c r="Q11">
        <v>0.26440000000000002</v>
      </c>
      <c r="R11">
        <v>3.4300000000000004E-2</v>
      </c>
      <c r="S11">
        <v>4.9299999999999997E-2</v>
      </c>
      <c r="T11">
        <v>6.7099999999999993E-2</v>
      </c>
      <c r="U11">
        <v>2.8000000000000004E-3</v>
      </c>
      <c r="V11">
        <v>4.8999999999999998E-3</v>
      </c>
      <c r="W11">
        <v>7.4999999999999997E-3</v>
      </c>
      <c r="X11">
        <v>0.01</v>
      </c>
      <c r="Y11">
        <v>1.3899999999999999E-2</v>
      </c>
      <c r="Z11">
        <v>1.7399999999999999E-2</v>
      </c>
      <c r="AA11">
        <v>9.3999999999999986E-3</v>
      </c>
      <c r="AB11">
        <v>9.8999999999999991E-3</v>
      </c>
      <c r="AC11">
        <v>1.1699999999999999E-2</v>
      </c>
      <c r="AD11">
        <v>6.7400000000000002E-2</v>
      </c>
      <c r="AE11">
        <v>8.0399999999999985E-2</v>
      </c>
      <c r="AF11">
        <v>9.4E-2</v>
      </c>
      <c r="AM11" s="74"/>
      <c r="AN11" s="74"/>
    </row>
    <row r="12" spans="1:40" ht="30" customHeight="1">
      <c r="A12" s="70"/>
      <c r="B12" s="202" t="s">
        <v>101</v>
      </c>
      <c r="C12" s="203"/>
      <c r="D12" s="203"/>
      <c r="E12" s="203"/>
      <c r="F12" s="203"/>
      <c r="G12" s="75"/>
      <c r="H12" s="71"/>
      <c r="N12" t="s">
        <v>102</v>
      </c>
      <c r="O12">
        <v>0.24</v>
      </c>
      <c r="P12">
        <v>0.25840000000000002</v>
      </c>
      <c r="Q12">
        <v>0.27860000000000001</v>
      </c>
      <c r="R12">
        <v>5.2900000000000003E-2</v>
      </c>
      <c r="S12">
        <v>5.9200000000000003E-2</v>
      </c>
      <c r="T12">
        <v>7.9299999999999995E-2</v>
      </c>
      <c r="U12">
        <v>2.5000000000000001E-3</v>
      </c>
      <c r="V12">
        <v>5.1000000000000004E-3</v>
      </c>
      <c r="W12">
        <v>5.6000000000000008E-3</v>
      </c>
      <c r="X12">
        <v>0.01</v>
      </c>
      <c r="Y12">
        <v>1.4800000000000001E-2</v>
      </c>
      <c r="Z12">
        <v>1.9699999999999999E-2</v>
      </c>
      <c r="AA12">
        <v>1.01E-2</v>
      </c>
      <c r="AB12">
        <v>1.0700000000000001E-2</v>
      </c>
      <c r="AC12">
        <v>1.11E-2</v>
      </c>
      <c r="AD12">
        <v>0.08</v>
      </c>
      <c r="AE12">
        <v>8.3100000000000007E-2</v>
      </c>
      <c r="AF12">
        <v>9.5100000000000004E-2</v>
      </c>
    </row>
    <row r="13" spans="1:40" ht="30" customHeight="1">
      <c r="A13" s="70"/>
      <c r="B13" s="202" t="s">
        <v>102</v>
      </c>
      <c r="C13" s="203"/>
      <c r="D13" s="203"/>
      <c r="E13" s="203"/>
      <c r="F13" s="203"/>
      <c r="G13" s="73"/>
      <c r="H13" s="71"/>
      <c r="N13" t="s">
        <v>103</v>
      </c>
      <c r="O13">
        <v>0.22800000000000001</v>
      </c>
      <c r="P13">
        <v>0.27479999999999999</v>
      </c>
      <c r="Q13">
        <v>0.3095</v>
      </c>
      <c r="R13">
        <v>0.04</v>
      </c>
      <c r="S13">
        <v>5.5199999999999999E-2</v>
      </c>
      <c r="T13">
        <v>7.85E-2</v>
      </c>
      <c r="U13">
        <v>8.1000000000000013E-3</v>
      </c>
      <c r="V13">
        <v>1.2199999999999999E-2</v>
      </c>
      <c r="W13">
        <v>1.9900000000000001E-2</v>
      </c>
      <c r="X13">
        <v>1.46E-2</v>
      </c>
      <c r="Y13">
        <v>2.3199999999999998E-2</v>
      </c>
      <c r="Z13">
        <v>3.1600000000000003E-2</v>
      </c>
      <c r="AA13">
        <v>9.3999999999999986E-3</v>
      </c>
      <c r="AB13">
        <v>1.0200000000000001E-2</v>
      </c>
      <c r="AC13">
        <v>1.3300000000000001E-2</v>
      </c>
      <c r="AD13">
        <v>7.1399999999999991E-2</v>
      </c>
      <c r="AE13">
        <v>8.4000000000000005E-2</v>
      </c>
      <c r="AF13">
        <v>0.1043</v>
      </c>
    </row>
    <row r="14" spans="1:40" ht="15" customHeight="1">
      <c r="A14" s="70"/>
      <c r="B14" s="193" t="s">
        <v>103</v>
      </c>
      <c r="C14" s="194"/>
      <c r="D14" s="194"/>
      <c r="E14" s="194"/>
      <c r="F14" s="194"/>
      <c r="G14" s="73"/>
      <c r="H14" s="71"/>
      <c r="N14" t="s">
        <v>104</v>
      </c>
      <c r="O14">
        <v>0.111</v>
      </c>
      <c r="P14">
        <v>0.14019999999999999</v>
      </c>
      <c r="Q14">
        <v>0.16800000000000001</v>
      </c>
      <c r="R14">
        <v>1.4999999999999999E-2</v>
      </c>
      <c r="S14">
        <v>3.4500000000000003E-2</v>
      </c>
      <c r="T14">
        <v>4.4900000000000002E-2</v>
      </c>
      <c r="U14">
        <v>3.0000000000000001E-3</v>
      </c>
      <c r="V14">
        <v>4.7999999999999996E-3</v>
      </c>
      <c r="W14">
        <v>8.199999999999999E-3</v>
      </c>
      <c r="X14">
        <v>5.6000000000000008E-3</v>
      </c>
      <c r="Y14">
        <v>8.5000000000000006E-3</v>
      </c>
      <c r="Z14">
        <v>8.8999999999999999E-3</v>
      </c>
      <c r="AA14">
        <v>8.5000000000000006E-3</v>
      </c>
      <c r="AB14">
        <v>8.5000000000000006E-3</v>
      </c>
      <c r="AC14">
        <v>1.11E-2</v>
      </c>
      <c r="AD14">
        <v>3.5000000000000003E-2</v>
      </c>
      <c r="AE14">
        <v>5.1100000000000007E-2</v>
      </c>
      <c r="AF14">
        <v>6.2199999999999998E-2</v>
      </c>
      <c r="AN14" s="76"/>
    </row>
    <row r="15" spans="1:40" ht="15" customHeight="1" thickBot="1">
      <c r="A15" s="70"/>
      <c r="B15" s="204" t="s">
        <v>104</v>
      </c>
      <c r="C15" s="205"/>
      <c r="D15" s="205"/>
      <c r="E15" s="205"/>
      <c r="F15" s="205"/>
      <c r="G15" s="77"/>
      <c r="H15" s="71"/>
    </row>
    <row r="16" spans="1:40" ht="8.1" customHeight="1" thickBot="1">
      <c r="A16" s="78"/>
      <c r="B16" s="79"/>
      <c r="C16" s="79"/>
      <c r="D16" s="79"/>
      <c r="E16" s="79"/>
      <c r="F16" s="79"/>
      <c r="G16" s="80"/>
      <c r="H16" s="81"/>
    </row>
    <row r="17" spans="1:38" ht="8.1" customHeight="1" thickBot="1">
      <c r="A17" s="66"/>
      <c r="B17" s="67"/>
      <c r="C17" s="67"/>
      <c r="D17" s="67"/>
      <c r="E17" s="67"/>
      <c r="F17" s="67"/>
      <c r="G17" s="67"/>
      <c r="H17" s="68"/>
    </row>
    <row r="18" spans="1:38">
      <c r="A18" s="70"/>
      <c r="B18" s="206" t="s">
        <v>105</v>
      </c>
      <c r="C18" s="207"/>
      <c r="D18" s="208"/>
      <c r="E18" s="212" t="s">
        <v>106</v>
      </c>
      <c r="F18" s="213"/>
      <c r="G18" s="214"/>
      <c r="H18" s="71"/>
    </row>
    <row r="19" spans="1:38" ht="15.75" thickBot="1">
      <c r="A19" s="70"/>
      <c r="B19" s="209"/>
      <c r="C19" s="210"/>
      <c r="D19" s="211"/>
      <c r="E19" s="82" t="s">
        <v>107</v>
      </c>
      <c r="F19" s="83" t="s">
        <v>108</v>
      </c>
      <c r="G19" s="84" t="s">
        <v>109</v>
      </c>
      <c r="H19" s="71"/>
    </row>
    <row r="20" spans="1:38" ht="15" customHeight="1" thickBot="1">
      <c r="A20" s="70"/>
      <c r="B20" s="200" t="s">
        <v>110</v>
      </c>
      <c r="C20" s="201"/>
      <c r="D20" s="85">
        <v>0.04</v>
      </c>
      <c r="E20" s="86">
        <f>IF($C$30="","",(VLOOKUP($C$30,$N$8:$AF$14,5,0)))</f>
        <v>3.7999999999999999E-2</v>
      </c>
      <c r="F20" s="87">
        <f>IF($C$30="","",VLOOKUP($C$30,$N$8:$AF$14,6,0))</f>
        <v>4.0099999999999997E-2</v>
      </c>
      <c r="G20" s="88">
        <f>IF($C$30="","",VLOOKUP($C$30,$N$8:$AF$14,7,0))</f>
        <v>4.6699999999999998E-2</v>
      </c>
      <c r="H20" s="71"/>
      <c r="N20">
        <f>IF(D20&lt;E20,1,IF(D20&gt;G20,1,0))</f>
        <v>0</v>
      </c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</row>
    <row r="21" spans="1:38" ht="15" customHeight="1">
      <c r="A21" s="70"/>
      <c r="B21" s="193" t="s">
        <v>111</v>
      </c>
      <c r="C21" s="194"/>
      <c r="D21" s="90">
        <v>5.1999999999999998E-3</v>
      </c>
      <c r="E21" s="91">
        <f>IF($C$30="","",VLOOKUP($C$30,$N$8:$AF$14,8,0))</f>
        <v>3.2000000000000002E-3</v>
      </c>
      <c r="F21" s="92">
        <f>IF($C$30="","",VLOOKUP($C$30,$N$8:$AF$14,9,0))</f>
        <v>4.0000000000000001E-3</v>
      </c>
      <c r="G21" s="93">
        <f>IF($C$30="","",VLOOKUP($C$30,$N$8:$AF$14,10,0))</f>
        <v>7.4000000000000003E-3</v>
      </c>
      <c r="H21" s="71"/>
      <c r="N21">
        <f>IF(D21&lt;E21,1,IF(D21&gt;G21,1,0))</f>
        <v>0</v>
      </c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K21" s="191" t="s">
        <v>112</v>
      </c>
      <c r="AL21" s="192"/>
    </row>
    <row r="22" spans="1:38" ht="15" customHeight="1">
      <c r="A22" s="70"/>
      <c r="B22" s="193" t="s">
        <v>113</v>
      </c>
      <c r="C22" s="194"/>
      <c r="D22" s="90">
        <v>5.0000000000000001E-3</v>
      </c>
      <c r="E22" s="91">
        <f>IF($C$30="","",VLOOKUP($C$30,$N$8:$AF$14,11,0))</f>
        <v>5.0000000000000001E-3</v>
      </c>
      <c r="F22" s="92">
        <f>IF($C$30="","",VLOOKUP($C$30,$N$8:$AF$14,12,0))</f>
        <v>5.6000000000000008E-3</v>
      </c>
      <c r="G22" s="93">
        <f>IF($C$30="","",VLOOKUP($C$30,$N$8:$AF$14,13,0))</f>
        <v>9.7000000000000003E-3</v>
      </c>
      <c r="H22" s="71"/>
      <c r="N22">
        <f>IF(D22&lt;E22,1,IF(D22&gt;G22,1,0))</f>
        <v>0</v>
      </c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K22" s="94" t="s">
        <v>114</v>
      </c>
      <c r="AL22" s="95">
        <v>0.65</v>
      </c>
    </row>
    <row r="23" spans="1:38" ht="15" customHeight="1">
      <c r="A23" s="70"/>
      <c r="B23" s="193" t="s">
        <v>115</v>
      </c>
      <c r="C23" s="194"/>
      <c r="D23" s="90">
        <v>1.0999999999999999E-2</v>
      </c>
      <c r="E23" s="91">
        <f>IF($C$30="","",VLOOKUP($C$30,$N$8:$AF$14,14,0))</f>
        <v>1.0200000000000001E-2</v>
      </c>
      <c r="F23" s="92">
        <f>IF($C$30="","",VLOOKUP($C$30,$N$8:$AF$14,15,0))</f>
        <v>1.11E-2</v>
      </c>
      <c r="G23" s="93">
        <f>IF($C$30="","",VLOOKUP($C$30,$N$8:$AF$14,16,0))</f>
        <v>1.21E-2</v>
      </c>
      <c r="H23" s="71"/>
      <c r="N23">
        <f>IF(D23&lt;E23,1,IF(D23&gt;G23,1,0))</f>
        <v>0</v>
      </c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K23" s="94" t="s">
        <v>116</v>
      </c>
      <c r="AL23" s="95">
        <v>3</v>
      </c>
    </row>
    <row r="24" spans="1:38" ht="15" customHeight="1" thickBot="1">
      <c r="A24" s="70"/>
      <c r="B24" s="193" t="s">
        <v>117</v>
      </c>
      <c r="C24" s="194"/>
      <c r="D24" s="90">
        <v>7.85E-2</v>
      </c>
      <c r="E24" s="96">
        <f>IF($C$30="","",VLOOKUP($C$30,$N$8:$AF$14,17,0))</f>
        <v>6.6400000000000001E-2</v>
      </c>
      <c r="F24" s="97">
        <f>IF($C$30="","",VLOOKUP($C$30,$N$8:$AF$14,18,0))</f>
        <v>7.2999999999999995E-2</v>
      </c>
      <c r="G24" s="98">
        <f>IF($C$30="","",VLOOKUP($C$30,$N$8:$AF$14,19,0))</f>
        <v>8.6899999999999991E-2</v>
      </c>
      <c r="H24" s="71"/>
      <c r="N24">
        <f>IF(D24&lt;E24,1,IF(D24&gt;G24,1,0))</f>
        <v>0</v>
      </c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K24" s="99" t="s">
        <v>118</v>
      </c>
      <c r="AL24" s="95">
        <v>4</v>
      </c>
    </row>
    <row r="25" spans="1:38" ht="15" customHeight="1">
      <c r="A25" s="70"/>
      <c r="B25" s="193" t="s">
        <v>119</v>
      </c>
      <c r="C25" s="194"/>
      <c r="D25" s="100">
        <f>AL27</f>
        <v>7.6499999999999999E-2</v>
      </c>
      <c r="E25" s="101" t="str">
        <f>IF(D7="X","Tributos -2%","")</f>
        <v/>
      </c>
      <c r="F25" s="102"/>
      <c r="G25" s="103" t="str">
        <f>IF(D7="X",D25-0.02,"")</f>
        <v/>
      </c>
      <c r="H25" s="71"/>
      <c r="N25">
        <f>SUM(N20:N24)</f>
        <v>0</v>
      </c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K25" s="195" t="s">
        <v>120</v>
      </c>
      <c r="AL25" s="196">
        <f>IF(D7="X",2,0)</f>
        <v>0</v>
      </c>
    </row>
    <row r="26" spans="1:38" ht="15" customHeight="1" thickBot="1">
      <c r="A26" s="70"/>
      <c r="B26" s="198" t="s">
        <v>84</v>
      </c>
      <c r="C26" s="199"/>
      <c r="D26" s="104">
        <f>((((1+$D$20+$D$21+$D$22)*(1+$D$23)*(1+$D$24))/(1-$D$25))-1)</f>
        <v>0.23995641331889561</v>
      </c>
      <c r="E26" s="105" t="str">
        <f>IF(D7="X","BDI de enquadramento","")</f>
        <v/>
      </c>
      <c r="F26" s="106"/>
      <c r="G26" s="107" t="str">
        <f>IF(D7="X",((((1+$D$20+$D$21+$D$22)*(1+$D$23)*(1+$D$24))/(1-$G$25))-1),"")</f>
        <v/>
      </c>
      <c r="H26" s="71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K26" s="195"/>
      <c r="AL26" s="197"/>
    </row>
    <row r="27" spans="1:38" ht="8.1" customHeight="1" thickBot="1">
      <c r="A27" s="78"/>
      <c r="B27" s="108"/>
      <c r="C27" s="108"/>
      <c r="D27" s="108"/>
      <c r="E27" s="108"/>
      <c r="F27" s="108"/>
      <c r="G27" s="108"/>
      <c r="H27" s="81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K27" s="181" t="s">
        <v>7</v>
      </c>
      <c r="AL27" s="183">
        <f>(AL25+AL24+AL23+AL22)/100</f>
        <v>7.6499999999999999E-2</v>
      </c>
    </row>
    <row r="28" spans="1:38" ht="8.1" customHeight="1" thickBot="1">
      <c r="A28" s="66"/>
      <c r="B28" s="67"/>
      <c r="C28" s="67"/>
      <c r="D28" s="67"/>
      <c r="E28" s="67"/>
      <c r="F28" s="67"/>
      <c r="G28" s="67"/>
      <c r="H28" s="68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K28" s="182"/>
      <c r="AL28" s="184"/>
    </row>
    <row r="29" spans="1:38" ht="16.5" thickBot="1">
      <c r="A29" s="70"/>
      <c r="B29" s="185" t="s">
        <v>121</v>
      </c>
      <c r="C29" s="186"/>
      <c r="D29" s="186"/>
      <c r="E29" s="186"/>
      <c r="F29" s="186"/>
      <c r="G29" s="187"/>
      <c r="H29" s="71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</row>
    <row r="30" spans="1:38" ht="30" customHeight="1">
      <c r="A30" s="70"/>
      <c r="B30" s="109" t="s">
        <v>99</v>
      </c>
      <c r="C30" s="188" t="str">
        <f>IF(G10="x",B10,IF(G11="x",B11,IF(G12="x",B12,IF(G13="x",B13,IF(G14="x",B14,IF(G15="x",B15,""))))))</f>
        <v>CONSTRUÇÃO DE RODOVIAS E FERROVIAS</v>
      </c>
      <c r="D30" s="189"/>
      <c r="E30" s="189"/>
      <c r="F30" s="189"/>
      <c r="G30" s="190"/>
      <c r="H30" s="71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</row>
    <row r="31" spans="1:38" ht="15" customHeight="1">
      <c r="A31" s="70"/>
      <c r="B31" s="110" t="s">
        <v>122</v>
      </c>
      <c r="C31" s="171">
        <f>J31</f>
        <v>0.19600000000000001</v>
      </c>
      <c r="D31" s="171"/>
      <c r="E31" s="171"/>
      <c r="F31" s="171"/>
      <c r="G31" s="172"/>
      <c r="H31" s="71"/>
      <c r="J31" s="171">
        <f>IF($C$30="","",VLOOKUP($C$30,N8:Q14,2,0))</f>
        <v>0.19600000000000001</v>
      </c>
      <c r="K31" s="171"/>
      <c r="L31" s="171"/>
      <c r="M31" s="171"/>
      <c r="N31" s="172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</row>
    <row r="32" spans="1:38" ht="15" customHeight="1">
      <c r="A32" s="70"/>
      <c r="B32" s="110" t="s">
        <v>123</v>
      </c>
      <c r="C32" s="171">
        <f>IF($C$30="","",VLOOKUP($C$30,N8:Q14,4,0))</f>
        <v>0.24230000000000002</v>
      </c>
      <c r="D32" s="171"/>
      <c r="E32" s="171"/>
      <c r="F32" s="171"/>
      <c r="G32" s="172"/>
      <c r="H32" s="71"/>
      <c r="J32" s="171">
        <f>IF($C$30="","",VLOOKUP($C$30,N8:Q14,4,0))</f>
        <v>0.24230000000000002</v>
      </c>
      <c r="K32" s="171"/>
      <c r="L32" s="171"/>
      <c r="M32" s="171"/>
      <c r="N32" s="172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</row>
    <row r="33" spans="1:32" ht="15" customHeight="1">
      <c r="A33" s="70"/>
      <c r="B33" s="110" t="s">
        <v>124</v>
      </c>
      <c r="C33" s="171">
        <f>D26</f>
        <v>0.23995641331889561</v>
      </c>
      <c r="D33" s="171"/>
      <c r="E33" s="171"/>
      <c r="F33" s="171"/>
      <c r="G33" s="172"/>
      <c r="H33" s="71"/>
      <c r="N33" t="str">
        <f>IF(AND(C33&gt;=C31,C33&lt;=C32),"BDI ACEITO","BDI NÃO ACEITO")</f>
        <v>BDI ACEITO</v>
      </c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</row>
    <row r="34" spans="1:32" ht="15" customHeight="1" thickBot="1">
      <c r="A34" s="70"/>
      <c r="B34" s="111" t="s">
        <v>121</v>
      </c>
      <c r="C34" s="173" t="str">
        <f>IF(D6="x",N33,IF(D7="x",N34,""))</f>
        <v>BDI ACEITO</v>
      </c>
      <c r="D34" s="173"/>
      <c r="E34" s="173"/>
      <c r="F34" s="173"/>
      <c r="G34" s="174"/>
      <c r="H34" s="71"/>
      <c r="N34" t="str">
        <f>IF(AND(G26&gt;=C31,G26&lt;=C32),"BDI ACEITO","BDI NÃO ACEITO")</f>
        <v>BDI NÃO ACEITO</v>
      </c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</row>
    <row r="35" spans="1:32" ht="8.1" customHeight="1" thickBot="1">
      <c r="A35" s="78"/>
      <c r="B35" s="108"/>
      <c r="C35" s="108"/>
      <c r="D35" s="108"/>
      <c r="E35" s="108"/>
      <c r="F35" s="108"/>
      <c r="G35" s="108"/>
      <c r="H35" s="81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</row>
    <row r="36" spans="1:32" ht="7.5" customHeight="1" thickBot="1"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</row>
    <row r="37" spans="1:32" ht="11.1" customHeight="1" thickTop="1">
      <c r="B37" s="175" t="s">
        <v>125</v>
      </c>
      <c r="C37" s="176"/>
      <c r="D37" s="176"/>
      <c r="E37" s="176"/>
      <c r="F37" s="176"/>
      <c r="G37" s="177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</row>
    <row r="38" spans="1:32" ht="11.1" customHeight="1" thickBot="1">
      <c r="B38" s="178"/>
      <c r="C38" s="179"/>
      <c r="D38" s="179"/>
      <c r="E38" s="179"/>
      <c r="F38" s="179"/>
      <c r="G38" s="180"/>
    </row>
    <row r="39" spans="1:32" ht="15.75" thickTop="1"/>
  </sheetData>
  <protectedRanges>
    <protectedRange sqref="D20:D24" name="Intervalo2"/>
    <protectedRange sqref="G10:G15" name="Intervalo1"/>
    <protectedRange sqref="D6:D7" name="Intervalo3"/>
  </protectedRanges>
  <mergeCells count="41">
    <mergeCell ref="B9:G9"/>
    <mergeCell ref="C1:G1"/>
    <mergeCell ref="C2:G2"/>
    <mergeCell ref="A4:H5"/>
    <mergeCell ref="O4:Q4"/>
    <mergeCell ref="X4:Z4"/>
    <mergeCell ref="AA4:AC4"/>
    <mergeCell ref="AD4:AF4"/>
    <mergeCell ref="A6:C6"/>
    <mergeCell ref="A7:C7"/>
    <mergeCell ref="R4:T4"/>
    <mergeCell ref="U4:W4"/>
    <mergeCell ref="B15:F15"/>
    <mergeCell ref="B18:D19"/>
    <mergeCell ref="E18:G18"/>
    <mergeCell ref="B20:C20"/>
    <mergeCell ref="B21:C21"/>
    <mergeCell ref="B10:F10"/>
    <mergeCell ref="B11:F11"/>
    <mergeCell ref="B12:F12"/>
    <mergeCell ref="B13:F13"/>
    <mergeCell ref="B14:F14"/>
    <mergeCell ref="AK21:AL21"/>
    <mergeCell ref="B23:C23"/>
    <mergeCell ref="B24:C24"/>
    <mergeCell ref="B25:C25"/>
    <mergeCell ref="AK25:AK26"/>
    <mergeCell ref="AL25:AL26"/>
    <mergeCell ref="B26:C26"/>
    <mergeCell ref="B22:C22"/>
    <mergeCell ref="AK27:AK28"/>
    <mergeCell ref="AL27:AL28"/>
    <mergeCell ref="B29:G29"/>
    <mergeCell ref="C30:G30"/>
    <mergeCell ref="C31:G31"/>
    <mergeCell ref="J31:N31"/>
    <mergeCell ref="C32:G32"/>
    <mergeCell ref="J32:N32"/>
    <mergeCell ref="C33:G33"/>
    <mergeCell ref="C34:G34"/>
    <mergeCell ref="B37:G38"/>
  </mergeCells>
  <conditionalFormatting sqref="D20:D24">
    <cfRule type="cellIs" dxfId="11" priority="10" stopIfTrue="1" operator="equal">
      <formula>""</formula>
    </cfRule>
    <cfRule type="cellIs" dxfId="10" priority="11" stopIfTrue="1" operator="between">
      <formula>$E20</formula>
      <formula>$G20</formula>
    </cfRule>
    <cfRule type="cellIs" dxfId="9" priority="12" stopIfTrue="1" operator="notBetween">
      <formula>$E20</formula>
      <formula>$G20</formula>
    </cfRule>
  </conditionalFormatting>
  <conditionalFormatting sqref="G25">
    <cfRule type="expression" dxfId="8" priority="9" stopIfTrue="1">
      <formula>D7="x"</formula>
    </cfRule>
  </conditionalFormatting>
  <conditionalFormatting sqref="G26">
    <cfRule type="expression" dxfId="7" priority="8" stopIfTrue="1">
      <formula>D7="x"</formula>
    </cfRule>
  </conditionalFormatting>
  <conditionalFormatting sqref="F25">
    <cfRule type="expression" dxfId="6" priority="7" stopIfTrue="1">
      <formula>D7="x"</formula>
    </cfRule>
  </conditionalFormatting>
  <conditionalFormatting sqref="E26">
    <cfRule type="expression" dxfId="5" priority="6" stopIfTrue="1">
      <formula>D7="X"</formula>
    </cfRule>
  </conditionalFormatting>
  <conditionalFormatting sqref="F26">
    <cfRule type="expression" dxfId="4" priority="5" stopIfTrue="1">
      <formula>D7="x"</formula>
    </cfRule>
  </conditionalFormatting>
  <conditionalFormatting sqref="C34:G34">
    <cfRule type="cellIs" dxfId="3" priority="2" stopIfTrue="1" operator="equal">
      <formula>"BDI ACEITO"</formula>
    </cfRule>
    <cfRule type="cellIs" dxfId="2" priority="3" stopIfTrue="1" operator="equal">
      <formula>"BDI NÃO ACEITO"</formula>
    </cfRule>
    <cfRule type="cellIs" dxfId="1" priority="4" stopIfTrue="1" operator="equal">
      <formula>"ÍTEM DO BDI FORA DOS LIMITES"</formula>
    </cfRule>
  </conditionalFormatting>
  <conditionalFormatting sqref="E25">
    <cfRule type="cellIs" dxfId="0" priority="1" stopIfTrue="1" operator="notEqual">
      <formula>""</formula>
    </cfRule>
  </conditionalFormatting>
  <pageMargins left="0.511811024" right="0.511811024" top="0.78740157499999996" bottom="0.78740157499999996" header="0.31496062000000002" footer="0.31496062000000002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F33"/>
  <sheetViews>
    <sheetView workbookViewId="0">
      <selection activeCell="J22" sqref="J22"/>
    </sheetView>
  </sheetViews>
  <sheetFormatPr defaultRowHeight="15"/>
  <cols>
    <col min="1" max="1" width="13.42578125" customWidth="1"/>
    <col min="2" max="2" width="26.7109375" customWidth="1"/>
    <col min="3" max="3" width="10.7109375" customWidth="1"/>
    <col min="4" max="4" width="13.7109375" customWidth="1"/>
    <col min="5" max="5" width="13.42578125" customWidth="1"/>
    <col min="257" max="257" width="13.42578125" customWidth="1"/>
    <col min="258" max="258" width="26.7109375" customWidth="1"/>
    <col min="259" max="259" width="10.7109375" customWidth="1"/>
    <col min="260" max="260" width="13.7109375" customWidth="1"/>
    <col min="261" max="261" width="13.42578125" customWidth="1"/>
    <col min="513" max="513" width="13.42578125" customWidth="1"/>
    <col min="514" max="514" width="26.7109375" customWidth="1"/>
    <col min="515" max="515" width="10.7109375" customWidth="1"/>
    <col min="516" max="516" width="13.7109375" customWidth="1"/>
    <col min="517" max="517" width="13.42578125" customWidth="1"/>
    <col min="769" max="769" width="13.42578125" customWidth="1"/>
    <col min="770" max="770" width="26.7109375" customWidth="1"/>
    <col min="771" max="771" width="10.7109375" customWidth="1"/>
    <col min="772" max="772" width="13.7109375" customWidth="1"/>
    <col min="773" max="773" width="13.42578125" customWidth="1"/>
    <col min="1025" max="1025" width="13.42578125" customWidth="1"/>
    <col min="1026" max="1026" width="26.7109375" customWidth="1"/>
    <col min="1027" max="1027" width="10.7109375" customWidth="1"/>
    <col min="1028" max="1028" width="13.7109375" customWidth="1"/>
    <col min="1029" max="1029" width="13.42578125" customWidth="1"/>
    <col min="1281" max="1281" width="13.42578125" customWidth="1"/>
    <col min="1282" max="1282" width="26.7109375" customWidth="1"/>
    <col min="1283" max="1283" width="10.7109375" customWidth="1"/>
    <col min="1284" max="1284" width="13.7109375" customWidth="1"/>
    <col min="1285" max="1285" width="13.42578125" customWidth="1"/>
    <col min="1537" max="1537" width="13.42578125" customWidth="1"/>
    <col min="1538" max="1538" width="26.7109375" customWidth="1"/>
    <col min="1539" max="1539" width="10.7109375" customWidth="1"/>
    <col min="1540" max="1540" width="13.7109375" customWidth="1"/>
    <col min="1541" max="1541" width="13.42578125" customWidth="1"/>
    <col min="1793" max="1793" width="13.42578125" customWidth="1"/>
    <col min="1794" max="1794" width="26.7109375" customWidth="1"/>
    <col min="1795" max="1795" width="10.7109375" customWidth="1"/>
    <col min="1796" max="1796" width="13.7109375" customWidth="1"/>
    <col min="1797" max="1797" width="13.42578125" customWidth="1"/>
    <col min="2049" max="2049" width="13.42578125" customWidth="1"/>
    <col min="2050" max="2050" width="26.7109375" customWidth="1"/>
    <col min="2051" max="2051" width="10.7109375" customWidth="1"/>
    <col min="2052" max="2052" width="13.7109375" customWidth="1"/>
    <col min="2053" max="2053" width="13.42578125" customWidth="1"/>
    <col min="2305" max="2305" width="13.42578125" customWidth="1"/>
    <col min="2306" max="2306" width="26.7109375" customWidth="1"/>
    <col min="2307" max="2307" width="10.7109375" customWidth="1"/>
    <col min="2308" max="2308" width="13.7109375" customWidth="1"/>
    <col min="2309" max="2309" width="13.42578125" customWidth="1"/>
    <col min="2561" max="2561" width="13.42578125" customWidth="1"/>
    <col min="2562" max="2562" width="26.7109375" customWidth="1"/>
    <col min="2563" max="2563" width="10.7109375" customWidth="1"/>
    <col min="2564" max="2564" width="13.7109375" customWidth="1"/>
    <col min="2565" max="2565" width="13.42578125" customWidth="1"/>
    <col min="2817" max="2817" width="13.42578125" customWidth="1"/>
    <col min="2818" max="2818" width="26.7109375" customWidth="1"/>
    <col min="2819" max="2819" width="10.7109375" customWidth="1"/>
    <col min="2820" max="2820" width="13.7109375" customWidth="1"/>
    <col min="2821" max="2821" width="13.42578125" customWidth="1"/>
    <col min="3073" max="3073" width="13.42578125" customWidth="1"/>
    <col min="3074" max="3074" width="26.7109375" customWidth="1"/>
    <col min="3075" max="3075" width="10.7109375" customWidth="1"/>
    <col min="3076" max="3076" width="13.7109375" customWidth="1"/>
    <col min="3077" max="3077" width="13.42578125" customWidth="1"/>
    <col min="3329" max="3329" width="13.42578125" customWidth="1"/>
    <col min="3330" max="3330" width="26.7109375" customWidth="1"/>
    <col min="3331" max="3331" width="10.7109375" customWidth="1"/>
    <col min="3332" max="3332" width="13.7109375" customWidth="1"/>
    <col min="3333" max="3333" width="13.42578125" customWidth="1"/>
    <col min="3585" max="3585" width="13.42578125" customWidth="1"/>
    <col min="3586" max="3586" width="26.7109375" customWidth="1"/>
    <col min="3587" max="3587" width="10.7109375" customWidth="1"/>
    <col min="3588" max="3588" width="13.7109375" customWidth="1"/>
    <col min="3589" max="3589" width="13.42578125" customWidth="1"/>
    <col min="3841" max="3841" width="13.42578125" customWidth="1"/>
    <col min="3842" max="3842" width="26.7109375" customWidth="1"/>
    <col min="3843" max="3843" width="10.7109375" customWidth="1"/>
    <col min="3844" max="3844" width="13.7109375" customWidth="1"/>
    <col min="3845" max="3845" width="13.42578125" customWidth="1"/>
    <col min="4097" max="4097" width="13.42578125" customWidth="1"/>
    <col min="4098" max="4098" width="26.7109375" customWidth="1"/>
    <col min="4099" max="4099" width="10.7109375" customWidth="1"/>
    <col min="4100" max="4100" width="13.7109375" customWidth="1"/>
    <col min="4101" max="4101" width="13.42578125" customWidth="1"/>
    <col min="4353" max="4353" width="13.42578125" customWidth="1"/>
    <col min="4354" max="4354" width="26.7109375" customWidth="1"/>
    <col min="4355" max="4355" width="10.7109375" customWidth="1"/>
    <col min="4356" max="4356" width="13.7109375" customWidth="1"/>
    <col min="4357" max="4357" width="13.42578125" customWidth="1"/>
    <col min="4609" max="4609" width="13.42578125" customWidth="1"/>
    <col min="4610" max="4610" width="26.7109375" customWidth="1"/>
    <col min="4611" max="4611" width="10.7109375" customWidth="1"/>
    <col min="4612" max="4612" width="13.7109375" customWidth="1"/>
    <col min="4613" max="4613" width="13.42578125" customWidth="1"/>
    <col min="4865" max="4865" width="13.42578125" customWidth="1"/>
    <col min="4866" max="4866" width="26.7109375" customWidth="1"/>
    <col min="4867" max="4867" width="10.7109375" customWidth="1"/>
    <col min="4868" max="4868" width="13.7109375" customWidth="1"/>
    <col min="4869" max="4869" width="13.42578125" customWidth="1"/>
    <col min="5121" max="5121" width="13.42578125" customWidth="1"/>
    <col min="5122" max="5122" width="26.7109375" customWidth="1"/>
    <col min="5123" max="5123" width="10.7109375" customWidth="1"/>
    <col min="5124" max="5124" width="13.7109375" customWidth="1"/>
    <col min="5125" max="5125" width="13.42578125" customWidth="1"/>
    <col min="5377" max="5377" width="13.42578125" customWidth="1"/>
    <col min="5378" max="5378" width="26.7109375" customWidth="1"/>
    <col min="5379" max="5379" width="10.7109375" customWidth="1"/>
    <col min="5380" max="5380" width="13.7109375" customWidth="1"/>
    <col min="5381" max="5381" width="13.42578125" customWidth="1"/>
    <col min="5633" max="5633" width="13.42578125" customWidth="1"/>
    <col min="5634" max="5634" width="26.7109375" customWidth="1"/>
    <col min="5635" max="5635" width="10.7109375" customWidth="1"/>
    <col min="5636" max="5636" width="13.7109375" customWidth="1"/>
    <col min="5637" max="5637" width="13.42578125" customWidth="1"/>
    <col min="5889" max="5889" width="13.42578125" customWidth="1"/>
    <col min="5890" max="5890" width="26.7109375" customWidth="1"/>
    <col min="5891" max="5891" width="10.7109375" customWidth="1"/>
    <col min="5892" max="5892" width="13.7109375" customWidth="1"/>
    <col min="5893" max="5893" width="13.42578125" customWidth="1"/>
    <col min="6145" max="6145" width="13.42578125" customWidth="1"/>
    <col min="6146" max="6146" width="26.7109375" customWidth="1"/>
    <col min="6147" max="6147" width="10.7109375" customWidth="1"/>
    <col min="6148" max="6148" width="13.7109375" customWidth="1"/>
    <col min="6149" max="6149" width="13.42578125" customWidth="1"/>
    <col min="6401" max="6401" width="13.42578125" customWidth="1"/>
    <col min="6402" max="6402" width="26.7109375" customWidth="1"/>
    <col min="6403" max="6403" width="10.7109375" customWidth="1"/>
    <col min="6404" max="6404" width="13.7109375" customWidth="1"/>
    <col min="6405" max="6405" width="13.42578125" customWidth="1"/>
    <col min="6657" max="6657" width="13.42578125" customWidth="1"/>
    <col min="6658" max="6658" width="26.7109375" customWidth="1"/>
    <col min="6659" max="6659" width="10.7109375" customWidth="1"/>
    <col min="6660" max="6660" width="13.7109375" customWidth="1"/>
    <col min="6661" max="6661" width="13.42578125" customWidth="1"/>
    <col min="6913" max="6913" width="13.42578125" customWidth="1"/>
    <col min="6914" max="6914" width="26.7109375" customWidth="1"/>
    <col min="6915" max="6915" width="10.7109375" customWidth="1"/>
    <col min="6916" max="6916" width="13.7109375" customWidth="1"/>
    <col min="6917" max="6917" width="13.42578125" customWidth="1"/>
    <col min="7169" max="7169" width="13.42578125" customWidth="1"/>
    <col min="7170" max="7170" width="26.7109375" customWidth="1"/>
    <col min="7171" max="7171" width="10.7109375" customWidth="1"/>
    <col min="7172" max="7172" width="13.7109375" customWidth="1"/>
    <col min="7173" max="7173" width="13.42578125" customWidth="1"/>
    <col min="7425" max="7425" width="13.42578125" customWidth="1"/>
    <col min="7426" max="7426" width="26.7109375" customWidth="1"/>
    <col min="7427" max="7427" width="10.7109375" customWidth="1"/>
    <col min="7428" max="7428" width="13.7109375" customWidth="1"/>
    <col min="7429" max="7429" width="13.42578125" customWidth="1"/>
    <col min="7681" max="7681" width="13.42578125" customWidth="1"/>
    <col min="7682" max="7682" width="26.7109375" customWidth="1"/>
    <col min="7683" max="7683" width="10.7109375" customWidth="1"/>
    <col min="7684" max="7684" width="13.7109375" customWidth="1"/>
    <col min="7685" max="7685" width="13.42578125" customWidth="1"/>
    <col min="7937" max="7937" width="13.42578125" customWidth="1"/>
    <col min="7938" max="7938" width="26.7109375" customWidth="1"/>
    <col min="7939" max="7939" width="10.7109375" customWidth="1"/>
    <col min="7940" max="7940" width="13.7109375" customWidth="1"/>
    <col min="7941" max="7941" width="13.42578125" customWidth="1"/>
    <col min="8193" max="8193" width="13.42578125" customWidth="1"/>
    <col min="8194" max="8194" width="26.7109375" customWidth="1"/>
    <col min="8195" max="8195" width="10.7109375" customWidth="1"/>
    <col min="8196" max="8196" width="13.7109375" customWidth="1"/>
    <col min="8197" max="8197" width="13.42578125" customWidth="1"/>
    <col min="8449" max="8449" width="13.42578125" customWidth="1"/>
    <col min="8450" max="8450" width="26.7109375" customWidth="1"/>
    <col min="8451" max="8451" width="10.7109375" customWidth="1"/>
    <col min="8452" max="8452" width="13.7109375" customWidth="1"/>
    <col min="8453" max="8453" width="13.42578125" customWidth="1"/>
    <col min="8705" max="8705" width="13.42578125" customWidth="1"/>
    <col min="8706" max="8706" width="26.7109375" customWidth="1"/>
    <col min="8707" max="8707" width="10.7109375" customWidth="1"/>
    <col min="8708" max="8708" width="13.7109375" customWidth="1"/>
    <col min="8709" max="8709" width="13.42578125" customWidth="1"/>
    <col min="8961" max="8961" width="13.42578125" customWidth="1"/>
    <col min="8962" max="8962" width="26.7109375" customWidth="1"/>
    <col min="8963" max="8963" width="10.7109375" customWidth="1"/>
    <col min="8964" max="8964" width="13.7109375" customWidth="1"/>
    <col min="8965" max="8965" width="13.42578125" customWidth="1"/>
    <col min="9217" max="9217" width="13.42578125" customWidth="1"/>
    <col min="9218" max="9218" width="26.7109375" customWidth="1"/>
    <col min="9219" max="9219" width="10.7109375" customWidth="1"/>
    <col min="9220" max="9220" width="13.7109375" customWidth="1"/>
    <col min="9221" max="9221" width="13.42578125" customWidth="1"/>
    <col min="9473" max="9473" width="13.42578125" customWidth="1"/>
    <col min="9474" max="9474" width="26.7109375" customWidth="1"/>
    <col min="9475" max="9475" width="10.7109375" customWidth="1"/>
    <col min="9476" max="9476" width="13.7109375" customWidth="1"/>
    <col min="9477" max="9477" width="13.42578125" customWidth="1"/>
    <col min="9729" max="9729" width="13.42578125" customWidth="1"/>
    <col min="9730" max="9730" width="26.7109375" customWidth="1"/>
    <col min="9731" max="9731" width="10.7109375" customWidth="1"/>
    <col min="9732" max="9732" width="13.7109375" customWidth="1"/>
    <col min="9733" max="9733" width="13.42578125" customWidth="1"/>
    <col min="9985" max="9985" width="13.42578125" customWidth="1"/>
    <col min="9986" max="9986" width="26.7109375" customWidth="1"/>
    <col min="9987" max="9987" width="10.7109375" customWidth="1"/>
    <col min="9988" max="9988" width="13.7109375" customWidth="1"/>
    <col min="9989" max="9989" width="13.42578125" customWidth="1"/>
    <col min="10241" max="10241" width="13.42578125" customWidth="1"/>
    <col min="10242" max="10242" width="26.7109375" customWidth="1"/>
    <col min="10243" max="10243" width="10.7109375" customWidth="1"/>
    <col min="10244" max="10244" width="13.7109375" customWidth="1"/>
    <col min="10245" max="10245" width="13.42578125" customWidth="1"/>
    <col min="10497" max="10497" width="13.42578125" customWidth="1"/>
    <col min="10498" max="10498" width="26.7109375" customWidth="1"/>
    <col min="10499" max="10499" width="10.7109375" customWidth="1"/>
    <col min="10500" max="10500" width="13.7109375" customWidth="1"/>
    <col min="10501" max="10501" width="13.42578125" customWidth="1"/>
    <col min="10753" max="10753" width="13.42578125" customWidth="1"/>
    <col min="10754" max="10754" width="26.7109375" customWidth="1"/>
    <col min="10755" max="10755" width="10.7109375" customWidth="1"/>
    <col min="10756" max="10756" width="13.7109375" customWidth="1"/>
    <col min="10757" max="10757" width="13.42578125" customWidth="1"/>
    <col min="11009" max="11009" width="13.42578125" customWidth="1"/>
    <col min="11010" max="11010" width="26.7109375" customWidth="1"/>
    <col min="11011" max="11011" width="10.7109375" customWidth="1"/>
    <col min="11012" max="11012" width="13.7109375" customWidth="1"/>
    <col min="11013" max="11013" width="13.42578125" customWidth="1"/>
    <col min="11265" max="11265" width="13.42578125" customWidth="1"/>
    <col min="11266" max="11266" width="26.7109375" customWidth="1"/>
    <col min="11267" max="11267" width="10.7109375" customWidth="1"/>
    <col min="11268" max="11268" width="13.7109375" customWidth="1"/>
    <col min="11269" max="11269" width="13.42578125" customWidth="1"/>
    <col min="11521" max="11521" width="13.42578125" customWidth="1"/>
    <col min="11522" max="11522" width="26.7109375" customWidth="1"/>
    <col min="11523" max="11523" width="10.7109375" customWidth="1"/>
    <col min="11524" max="11524" width="13.7109375" customWidth="1"/>
    <col min="11525" max="11525" width="13.42578125" customWidth="1"/>
    <col min="11777" max="11777" width="13.42578125" customWidth="1"/>
    <col min="11778" max="11778" width="26.7109375" customWidth="1"/>
    <col min="11779" max="11779" width="10.7109375" customWidth="1"/>
    <col min="11780" max="11780" width="13.7109375" customWidth="1"/>
    <col min="11781" max="11781" width="13.42578125" customWidth="1"/>
    <col min="12033" max="12033" width="13.42578125" customWidth="1"/>
    <col min="12034" max="12034" width="26.7109375" customWidth="1"/>
    <col min="12035" max="12035" width="10.7109375" customWidth="1"/>
    <col min="12036" max="12036" width="13.7109375" customWidth="1"/>
    <col min="12037" max="12037" width="13.42578125" customWidth="1"/>
    <col min="12289" max="12289" width="13.42578125" customWidth="1"/>
    <col min="12290" max="12290" width="26.7109375" customWidth="1"/>
    <col min="12291" max="12291" width="10.7109375" customWidth="1"/>
    <col min="12292" max="12292" width="13.7109375" customWidth="1"/>
    <col min="12293" max="12293" width="13.42578125" customWidth="1"/>
    <col min="12545" max="12545" width="13.42578125" customWidth="1"/>
    <col min="12546" max="12546" width="26.7109375" customWidth="1"/>
    <col min="12547" max="12547" width="10.7109375" customWidth="1"/>
    <col min="12548" max="12548" width="13.7109375" customWidth="1"/>
    <col min="12549" max="12549" width="13.42578125" customWidth="1"/>
    <col min="12801" max="12801" width="13.42578125" customWidth="1"/>
    <col min="12802" max="12802" width="26.7109375" customWidth="1"/>
    <col min="12803" max="12803" width="10.7109375" customWidth="1"/>
    <col min="12804" max="12804" width="13.7109375" customWidth="1"/>
    <col min="12805" max="12805" width="13.42578125" customWidth="1"/>
    <col min="13057" max="13057" width="13.42578125" customWidth="1"/>
    <col min="13058" max="13058" width="26.7109375" customWidth="1"/>
    <col min="13059" max="13059" width="10.7109375" customWidth="1"/>
    <col min="13060" max="13060" width="13.7109375" customWidth="1"/>
    <col min="13061" max="13061" width="13.42578125" customWidth="1"/>
    <col min="13313" max="13313" width="13.42578125" customWidth="1"/>
    <col min="13314" max="13314" width="26.7109375" customWidth="1"/>
    <col min="13315" max="13315" width="10.7109375" customWidth="1"/>
    <col min="13316" max="13316" width="13.7109375" customWidth="1"/>
    <col min="13317" max="13317" width="13.42578125" customWidth="1"/>
    <col min="13569" max="13569" width="13.42578125" customWidth="1"/>
    <col min="13570" max="13570" width="26.7109375" customWidth="1"/>
    <col min="13571" max="13571" width="10.7109375" customWidth="1"/>
    <col min="13572" max="13572" width="13.7109375" customWidth="1"/>
    <col min="13573" max="13573" width="13.42578125" customWidth="1"/>
    <col min="13825" max="13825" width="13.42578125" customWidth="1"/>
    <col min="13826" max="13826" width="26.7109375" customWidth="1"/>
    <col min="13827" max="13827" width="10.7109375" customWidth="1"/>
    <col min="13828" max="13828" width="13.7109375" customWidth="1"/>
    <col min="13829" max="13829" width="13.42578125" customWidth="1"/>
    <col min="14081" max="14081" width="13.42578125" customWidth="1"/>
    <col min="14082" max="14082" width="26.7109375" customWidth="1"/>
    <col min="14083" max="14083" width="10.7109375" customWidth="1"/>
    <col min="14084" max="14084" width="13.7109375" customWidth="1"/>
    <col min="14085" max="14085" width="13.42578125" customWidth="1"/>
    <col min="14337" max="14337" width="13.42578125" customWidth="1"/>
    <col min="14338" max="14338" width="26.7109375" customWidth="1"/>
    <col min="14339" max="14339" width="10.7109375" customWidth="1"/>
    <col min="14340" max="14340" width="13.7109375" customWidth="1"/>
    <col min="14341" max="14341" width="13.42578125" customWidth="1"/>
    <col min="14593" max="14593" width="13.42578125" customWidth="1"/>
    <col min="14594" max="14594" width="26.7109375" customWidth="1"/>
    <col min="14595" max="14595" width="10.7109375" customWidth="1"/>
    <col min="14596" max="14596" width="13.7109375" customWidth="1"/>
    <col min="14597" max="14597" width="13.42578125" customWidth="1"/>
    <col min="14849" max="14849" width="13.42578125" customWidth="1"/>
    <col min="14850" max="14850" width="26.7109375" customWidth="1"/>
    <col min="14851" max="14851" width="10.7109375" customWidth="1"/>
    <col min="14852" max="14852" width="13.7109375" customWidth="1"/>
    <col min="14853" max="14853" width="13.42578125" customWidth="1"/>
    <col min="15105" max="15105" width="13.42578125" customWidth="1"/>
    <col min="15106" max="15106" width="26.7109375" customWidth="1"/>
    <col min="15107" max="15107" width="10.7109375" customWidth="1"/>
    <col min="15108" max="15108" width="13.7109375" customWidth="1"/>
    <col min="15109" max="15109" width="13.42578125" customWidth="1"/>
    <col min="15361" max="15361" width="13.42578125" customWidth="1"/>
    <col min="15362" max="15362" width="26.7109375" customWidth="1"/>
    <col min="15363" max="15363" width="10.7109375" customWidth="1"/>
    <col min="15364" max="15364" width="13.7109375" customWidth="1"/>
    <col min="15365" max="15365" width="13.42578125" customWidth="1"/>
    <col min="15617" max="15617" width="13.42578125" customWidth="1"/>
    <col min="15618" max="15618" width="26.7109375" customWidth="1"/>
    <col min="15619" max="15619" width="10.7109375" customWidth="1"/>
    <col min="15620" max="15620" width="13.7109375" customWidth="1"/>
    <col min="15621" max="15621" width="13.42578125" customWidth="1"/>
    <col min="15873" max="15873" width="13.42578125" customWidth="1"/>
    <col min="15874" max="15874" width="26.7109375" customWidth="1"/>
    <col min="15875" max="15875" width="10.7109375" customWidth="1"/>
    <col min="15876" max="15876" width="13.7109375" customWidth="1"/>
    <col min="15877" max="15877" width="13.42578125" customWidth="1"/>
    <col min="16129" max="16129" width="13.42578125" customWidth="1"/>
    <col min="16130" max="16130" width="26.7109375" customWidth="1"/>
    <col min="16131" max="16131" width="10.7109375" customWidth="1"/>
    <col min="16132" max="16132" width="13.7109375" customWidth="1"/>
    <col min="16133" max="16133" width="13.42578125" customWidth="1"/>
  </cols>
  <sheetData>
    <row r="1" spans="1:6">
      <c r="A1" s="13"/>
      <c r="B1" s="13"/>
      <c r="C1" s="13"/>
      <c r="D1" s="13"/>
      <c r="E1" s="13"/>
    </row>
    <row r="2" spans="1:6">
      <c r="A2" s="121"/>
      <c r="B2" s="13"/>
      <c r="C2" s="13"/>
      <c r="D2" s="13"/>
      <c r="E2" s="13"/>
    </row>
    <row r="3" spans="1:6">
      <c r="A3" s="13"/>
      <c r="B3" s="13"/>
      <c r="C3" s="13"/>
      <c r="D3" s="13"/>
      <c r="E3" s="13"/>
    </row>
    <row r="4" spans="1:6">
      <c r="A4" s="13"/>
      <c r="B4" s="13"/>
      <c r="C4" s="13"/>
      <c r="D4" s="13"/>
      <c r="E4" s="13"/>
    </row>
    <row r="5" spans="1:6" ht="14.1" customHeight="1">
      <c r="A5" s="112" t="s">
        <v>126</v>
      </c>
    </row>
    <row r="6" spans="1:6" ht="14.1" customHeight="1">
      <c r="A6" s="112" t="s">
        <v>127</v>
      </c>
      <c r="C6" s="169" t="str">
        <f>'BDI - PREENCHIMENTO'!C2:G2</f>
        <v>Pavimentação com blocos intertravados de concreto</v>
      </c>
      <c r="D6" s="169"/>
      <c r="E6" s="169"/>
      <c r="F6" s="169"/>
    </row>
    <row r="7" spans="1:6" s="115" customFormat="1" ht="14.1" customHeight="1">
      <c r="A7" s="113" t="s">
        <v>128</v>
      </c>
      <c r="B7" s="114" t="str">
        <f>'BDI - PREENCHIMENTO'!C1</f>
        <v>Nova Esperança do Sul</v>
      </c>
      <c r="C7" s="115" t="s">
        <v>129</v>
      </c>
    </row>
    <row r="8" spans="1:6" ht="9.9499999999999993" customHeight="1"/>
    <row r="9" spans="1:6" ht="9.9499999999999993" customHeight="1" thickBot="1"/>
    <row r="10" spans="1:6" s="116" customFormat="1" ht="22.5" customHeight="1">
      <c r="B10" s="238" t="s">
        <v>130</v>
      </c>
      <c r="C10" s="239"/>
      <c r="D10" s="240"/>
    </row>
    <row r="11" spans="1:6" s="116" customFormat="1" ht="18" customHeight="1">
      <c r="B11" s="231" t="s">
        <v>131</v>
      </c>
      <c r="C11" s="232"/>
      <c r="D11" s="117">
        <f>'BDI - PREENCHIMENTO'!D20</f>
        <v>0.04</v>
      </c>
    </row>
    <row r="12" spans="1:6" s="116" customFormat="1" ht="18" customHeight="1">
      <c r="B12" s="231" t="s">
        <v>132</v>
      </c>
      <c r="C12" s="232"/>
      <c r="D12" s="117">
        <f>'BDI - PREENCHIMENTO'!D21</f>
        <v>5.1999999999999998E-3</v>
      </c>
    </row>
    <row r="13" spans="1:6" s="116" customFormat="1" ht="18" customHeight="1">
      <c r="B13" s="231" t="s">
        <v>133</v>
      </c>
      <c r="C13" s="232"/>
      <c r="D13" s="117">
        <f>'BDI - PREENCHIMENTO'!D22</f>
        <v>5.0000000000000001E-3</v>
      </c>
    </row>
    <row r="14" spans="1:6" s="116" customFormat="1" ht="18" customHeight="1">
      <c r="B14" s="231" t="s">
        <v>134</v>
      </c>
      <c r="C14" s="232"/>
      <c r="D14" s="117">
        <f>'BDI - PREENCHIMENTO'!D23</f>
        <v>1.0999999999999999E-2</v>
      </c>
    </row>
    <row r="15" spans="1:6" s="116" customFormat="1" ht="18" customHeight="1">
      <c r="B15" s="231" t="s">
        <v>135</v>
      </c>
      <c r="C15" s="232"/>
      <c r="D15" s="117">
        <f>'BDI - PREENCHIMENTO'!D24</f>
        <v>7.85E-2</v>
      </c>
    </row>
    <row r="16" spans="1:6" s="116" customFormat="1" ht="18" customHeight="1">
      <c r="B16" s="231" t="s">
        <v>136</v>
      </c>
      <c r="C16" s="232"/>
      <c r="D16" s="233">
        <f>'BDI - PREENCHIMENTO'!AL27</f>
        <v>7.6499999999999999E-2</v>
      </c>
    </row>
    <row r="17" spans="1:4" s="116" customFormat="1" ht="18" customHeight="1">
      <c r="B17" s="118" t="s">
        <v>114</v>
      </c>
      <c r="C17" s="119">
        <f>'BDI - PREENCHIMENTO'!AL22</f>
        <v>0.65</v>
      </c>
      <c r="D17" s="234"/>
    </row>
    <row r="18" spans="1:4" s="116" customFormat="1" ht="18" customHeight="1">
      <c r="B18" s="118" t="s">
        <v>116</v>
      </c>
      <c r="C18" s="119">
        <f>'BDI - PREENCHIMENTO'!AL23</f>
        <v>3</v>
      </c>
      <c r="D18" s="234"/>
    </row>
    <row r="19" spans="1:4" s="116" customFormat="1" ht="18" customHeight="1">
      <c r="B19" s="118" t="str">
        <f>[1]Verificação!AK24</f>
        <v>ISSQN Lei Municipal 811/2003 (Código Tributário Municipal)</v>
      </c>
      <c r="C19" s="119">
        <f>'BDI - PREENCHIMENTO'!AL24</f>
        <v>4</v>
      </c>
      <c r="D19" s="234"/>
    </row>
    <row r="20" spans="1:4" s="116" customFormat="1" ht="28.5" customHeight="1">
      <c r="B20" s="118" t="s">
        <v>120</v>
      </c>
      <c r="C20" s="119">
        <f>'BDI - PREENCHIMENTO'!AL25</f>
        <v>0</v>
      </c>
      <c r="D20" s="235"/>
    </row>
    <row r="21" spans="1:4" s="116" customFormat="1" ht="20.100000000000001" customHeight="1" thickBot="1">
      <c r="B21" s="236" t="s">
        <v>137</v>
      </c>
      <c r="C21" s="237"/>
      <c r="D21" s="120">
        <f>'BDI - PREENCHIMENTO'!C33</f>
        <v>0.23995641331889561</v>
      </c>
    </row>
    <row r="22" spans="1:4" ht="9.9499999999999993" customHeight="1"/>
    <row r="23" spans="1:4" ht="9.9499999999999993" customHeight="1"/>
    <row r="24" spans="1:4">
      <c r="B24" t="s">
        <v>138</v>
      </c>
    </row>
    <row r="30" spans="1:4" ht="12.75" customHeight="1">
      <c r="A30" s="229" t="s">
        <v>139</v>
      </c>
      <c r="B30" s="230" t="s">
        <v>140</v>
      </c>
      <c r="C30" s="230"/>
      <c r="D30" s="230"/>
    </row>
    <row r="31" spans="1:4">
      <c r="A31" s="229"/>
      <c r="B31" s="230"/>
      <c r="C31" s="230"/>
      <c r="D31" s="230"/>
    </row>
    <row r="32" spans="1:4" ht="18.75" customHeight="1">
      <c r="B32" s="230"/>
      <c r="C32" s="230"/>
      <c r="D32" s="230"/>
    </row>
    <row r="33" ht="9.9499999999999993" customHeight="1"/>
  </sheetData>
  <mergeCells count="12">
    <mergeCell ref="C6:F6"/>
    <mergeCell ref="B10:D10"/>
    <mergeCell ref="B11:C11"/>
    <mergeCell ref="B12:C12"/>
    <mergeCell ref="B13:C13"/>
    <mergeCell ref="A30:A31"/>
    <mergeCell ref="B30:D32"/>
    <mergeCell ref="B14:C14"/>
    <mergeCell ref="B15:C15"/>
    <mergeCell ref="B16:C16"/>
    <mergeCell ref="D16:D20"/>
    <mergeCell ref="B21:C21"/>
  </mergeCells>
  <pageMargins left="0.511811024" right="0.511811024" top="0.78740157499999996" bottom="0.78740157499999996" header="0.31496062000000002" footer="0.31496062000000002"/>
  <pageSetup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Orçamento Modelo</vt:lpstr>
      <vt:lpstr>Cronograma</vt:lpstr>
      <vt:lpstr>BDI - PREENCHIMENTO</vt:lpstr>
      <vt:lpstr>BDI - Declaração modelo - imp.</vt:lpstr>
      <vt:lpstr>'Orçamento Modelo'!Area_de_impressao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ENGENHEIRO01  - Alan Pasini</cp:lastModifiedBy>
  <cp:revision>7</cp:revision>
  <cp:lastPrinted>2023-10-20T15:42:49Z</cp:lastPrinted>
  <dcterms:created xsi:type="dcterms:W3CDTF">2017-03-17T13:49:11Z</dcterms:created>
  <dcterms:modified xsi:type="dcterms:W3CDTF">2024-05-06T19:35:26Z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