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ções\Downloads\"/>
    </mc:Choice>
  </mc:AlternateContent>
  <xr:revisionPtr revIDLastSave="0" documentId="13_ncr:1_{D77A91B7-5926-4F15-B083-CD947599C4B3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ORÇAMENTO" sheetId="1" r:id="rId1"/>
    <sheet name="cotação" sheetId="16" r:id="rId2"/>
    <sheet name="BDI 1" sheetId="4" r:id="rId3"/>
    <sheet name="BDI 2 indireto" sheetId="12" r:id="rId4"/>
    <sheet name="Cronograma" sheetId="9" r:id="rId5"/>
  </sheets>
  <externalReferences>
    <externalReference r:id="rId6"/>
  </externalReferences>
  <definedNames>
    <definedName name="_xlnm.Print_Area" localSheetId="0">ORÇAMENTO!$B$2:$K$46</definedName>
    <definedName name="CONCATENAR" localSheetId="4">CONCATENATE(#REF!," ",#REF!)</definedName>
    <definedName name="CONCATENAR">CONCATENATE(#REF!," ",#REF!)</definedName>
    <definedName name="DATABASE" localSheetId="4">#REF!</definedName>
    <definedName name="DATABASE">#REF!</definedName>
    <definedName name="DATAEMISSAO" localSheetId="4">#REF!</definedName>
    <definedName name="DATAEMISSAO">#REF!</definedName>
    <definedName name="DATART">#REF!</definedName>
    <definedName name="EMPRESAS">OFFSET([1]Cotações!$B$25,1,0):OFFSET([1]Cotações!$H$41,-1,0)</definedName>
    <definedName name="INDICES">OFFSET([1]Cotações!$B$20,1,0):OFFSET([1]Cotações!$I$24,-1,0)</definedName>
    <definedName name="LOCALIDADE">#REF!</definedName>
    <definedName name="NCOMPOSICOES">15</definedName>
    <definedName name="NCOTACOES">15</definedName>
    <definedName name="NEMPRESAS">15</definedName>
    <definedName name="NINDICES">3</definedName>
    <definedName name="NRELATORIOS">COUNTA([1]Relatórios!$A$1:$A$65536)-2</definedName>
    <definedName name="NumerEmpresa">15</definedName>
    <definedName name="NumerIndice">3</definedName>
    <definedName name="Objeto">"Referência"</definedName>
    <definedName name="RelatoriosFontes" localSheetId="4">OFFSET([1]Relatórios!$A$5,1,0,NRELATORIOS)</definedName>
    <definedName name="RelatoriosFontes">OFFSET([1]Relatórios!$A$5,1,0,NRELATORIOS)</definedName>
    <definedName name="SENHAGT" hidden="1">"PM2CAIXA"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6" l="1"/>
  <c r="H4" i="16" s="1"/>
  <c r="G3" i="16"/>
  <c r="H3" i="16" s="1"/>
  <c r="B4" i="16"/>
  <c r="B3" i="16"/>
  <c r="H15" i="1" l="1"/>
  <c r="H29" i="1"/>
  <c r="H31" i="1"/>
  <c r="H17" i="1"/>
  <c r="G30" i="1" l="1"/>
  <c r="G16" i="1"/>
  <c r="D14" i="9" l="1"/>
  <c r="D13" i="9"/>
  <c r="D12" i="9"/>
  <c r="D11" i="9"/>
  <c r="G31" i="1"/>
  <c r="G33" i="1" s="1"/>
  <c r="G29" i="1"/>
  <c r="G32" i="1" l="1"/>
  <c r="G17" i="1"/>
  <c r="G19" i="1" s="1"/>
  <c r="G15" i="1"/>
  <c r="G18" i="1" l="1"/>
  <c r="F6" i="9"/>
  <c r="F5" i="9"/>
  <c r="H6" i="12"/>
  <c r="H5" i="12"/>
  <c r="H6" i="4" l="1"/>
  <c r="H5" i="4"/>
  <c r="D6" i="12" l="1"/>
  <c r="D6" i="4"/>
  <c r="F7" i="9"/>
  <c r="E20" i="12"/>
  <c r="D8" i="12" s="1"/>
  <c r="K5" i="1" s="1"/>
  <c r="I35" i="1" s="1"/>
  <c r="D19" i="12"/>
  <c r="D17" i="12"/>
  <c r="D16" i="12"/>
  <c r="D15" i="12"/>
  <c r="D14" i="12"/>
  <c r="D13" i="12"/>
  <c r="D12" i="12"/>
  <c r="E4" i="12"/>
  <c r="D4" i="9"/>
  <c r="E4" i="4"/>
  <c r="I26" i="1" l="1"/>
  <c r="I24" i="1"/>
  <c r="I33" i="1"/>
  <c r="I19" i="1"/>
  <c r="I18" i="1"/>
  <c r="I32" i="1"/>
  <c r="I9" i="1"/>
  <c r="D20" i="12"/>
  <c r="D18" i="12"/>
  <c r="D15" i="9" l="1"/>
  <c r="E20" i="4" l="1"/>
  <c r="J5" i="1" s="1"/>
  <c r="I21" i="1" l="1"/>
  <c r="J21" i="1" s="1"/>
  <c r="I29" i="1"/>
  <c r="J29" i="1" s="1"/>
  <c r="I17" i="1"/>
  <c r="I15" i="1"/>
  <c r="I31" i="1"/>
  <c r="J31" i="1" s="1"/>
  <c r="I16" i="1"/>
  <c r="J16" i="1" s="1"/>
  <c r="J24" i="1"/>
  <c r="I25" i="1"/>
  <c r="J25" i="1" s="1"/>
  <c r="I23" i="1"/>
  <c r="J23" i="1" s="1"/>
  <c r="J26" i="1"/>
  <c r="I22" i="1"/>
  <c r="J22" i="1" s="1"/>
  <c r="J35" i="1"/>
  <c r="K34" i="1" s="1"/>
  <c r="I28" i="1"/>
  <c r="J28" i="1" s="1"/>
  <c r="I30" i="1"/>
  <c r="J30" i="1" s="1"/>
  <c r="J33" i="1"/>
  <c r="J32" i="1"/>
  <c r="J19" i="1"/>
  <c r="I10" i="1"/>
  <c r="J10" i="1" s="1"/>
  <c r="J17" i="1"/>
  <c r="J18" i="1"/>
  <c r="D13" i="4"/>
  <c r="D14" i="4"/>
  <c r="D15" i="4"/>
  <c r="D16" i="4"/>
  <c r="D17" i="4"/>
  <c r="D19" i="4"/>
  <c r="D12" i="4"/>
  <c r="K20" i="1" l="1"/>
  <c r="E13" i="9" s="1"/>
  <c r="K13" i="9" s="1"/>
  <c r="K27" i="1"/>
  <c r="E14" i="9" s="1"/>
  <c r="K14" i="9" s="1"/>
  <c r="D8" i="4"/>
  <c r="D18" i="4"/>
  <c r="D20" i="4"/>
  <c r="I13" i="1"/>
  <c r="J13" i="1" s="1"/>
  <c r="I14" i="1"/>
  <c r="J14" i="1" s="1"/>
  <c r="I11" i="1"/>
  <c r="J11" i="1" s="1"/>
  <c r="J9" i="1"/>
  <c r="K8" i="1" l="1"/>
  <c r="E11" i="9" s="1"/>
  <c r="E15" i="9" l="1"/>
  <c r="K11" i="9"/>
  <c r="K15" i="9" l="1"/>
  <c r="J15" i="1"/>
  <c r="K12" i="1" s="1"/>
  <c r="K36" i="1" s="1"/>
  <c r="K38" i="1" l="1"/>
  <c r="E12" i="9"/>
  <c r="G16" i="9" s="1" a="1"/>
  <c r="G16" i="9" s="1"/>
  <c r="H16" i="9" l="1" a="1"/>
  <c r="H16" i="9" s="1"/>
  <c r="I16" i="9" a="1"/>
  <c r="I16" i="9" s="1"/>
  <c r="J16" i="9" a="1"/>
  <c r="J16" i="9" s="1"/>
  <c r="F16" i="9" a="1"/>
  <c r="F16" i="9" s="1"/>
  <c r="K12" i="9"/>
  <c r="E16" i="9"/>
  <c r="L14" i="9" l="1"/>
  <c r="L13" i="9"/>
  <c r="L15" i="9"/>
  <c r="J18" i="9"/>
  <c r="I18" i="9"/>
  <c r="L11" i="9"/>
  <c r="M11" i="9" s="1"/>
  <c r="L12" i="9"/>
  <c r="G18" i="9"/>
  <c r="F18" i="9"/>
  <c r="F19" i="9" s="1"/>
  <c r="F17" i="9"/>
  <c r="G17" i="9" s="1"/>
  <c r="H17" i="9" s="1"/>
  <c r="I17" i="9" s="1"/>
  <c r="J17" i="9" s="1"/>
  <c r="H18" i="9"/>
  <c r="G19" i="9" l="1"/>
  <c r="H19" i="9" s="1"/>
  <c r="I19" i="9" s="1"/>
  <c r="J19" i="9" s="1"/>
  <c r="M12" i="9"/>
  <c r="M13" i="9" s="1"/>
  <c r="M14" i="9" s="1"/>
  <c r="M15" i="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<sst xmlns="http://schemas.openxmlformats.org/spreadsheetml/2006/main" count="254" uniqueCount="148">
  <si>
    <t>PREFEITURA MUNCIPAL DE ALEGRIA/RS</t>
  </si>
  <si>
    <t>OBRA:</t>
  </si>
  <si>
    <t>REFERÊNCIA TÉCNICA:</t>
  </si>
  <si>
    <t>Fonte</t>
  </si>
  <si>
    <t>Código</t>
  </si>
  <si>
    <t>Item</t>
  </si>
  <si>
    <t>RESPONSÁVEL TÉCNICO PLANILHA ORÇAMENTÁRIA:</t>
  </si>
  <si>
    <t>Descrição Serviço</t>
  </si>
  <si>
    <t>Unid.</t>
  </si>
  <si>
    <t>Valor Unit.</t>
  </si>
  <si>
    <t>Valor c/BDI</t>
  </si>
  <si>
    <t>Total Subitem</t>
  </si>
  <si>
    <t>REPONSÁVEL MUNICÍPIO DE ALEGRIA:</t>
  </si>
  <si>
    <t>1.00</t>
  </si>
  <si>
    <t>1.01</t>
  </si>
  <si>
    <t>Quant.</t>
  </si>
  <si>
    <t>DATA ORÇAMENTO:</t>
  </si>
  <si>
    <t>2.00</t>
  </si>
  <si>
    <t>2.01</t>
  </si>
  <si>
    <t>3.00</t>
  </si>
  <si>
    <t>TOTAL</t>
  </si>
  <si>
    <t>Comp.</t>
  </si>
  <si>
    <t>2.02</t>
  </si>
  <si>
    <t>2.03</t>
  </si>
  <si>
    <t>2.04</t>
  </si>
  <si>
    <t>3.01</t>
  </si>
  <si>
    <t>TIPO DE OBRA:</t>
  </si>
  <si>
    <t>NÃO</t>
  </si>
  <si>
    <t>ISS:</t>
  </si>
  <si>
    <t>ITENS</t>
  </si>
  <si>
    <t>SIGLA</t>
  </si>
  <si>
    <t>AC</t>
  </si>
  <si>
    <t>SG</t>
  </si>
  <si>
    <t>R</t>
  </si>
  <si>
    <t>DF</t>
  </si>
  <si>
    <t>L</t>
  </si>
  <si>
    <t>CP</t>
  </si>
  <si>
    <t>ISS</t>
  </si>
  <si>
    <t>CPRB</t>
  </si>
  <si>
    <t>BDI PAD</t>
  </si>
  <si>
    <t>BDI SEM desenoração (Fórmula Acórdão TCU)</t>
  </si>
  <si>
    <t>1°Quartil</t>
  </si>
  <si>
    <t>Médio</t>
  </si>
  <si>
    <t>3ºQuartil</t>
  </si>
  <si>
    <t>Adminstração Central</t>
  </si>
  <si>
    <t>Seguro e Garantia</t>
  </si>
  <si>
    <t>Risco</t>
  </si>
  <si>
    <t>Despesas Financeiras</t>
  </si>
  <si>
    <t>Lucro</t>
  </si>
  <si>
    <t>Tributos (impostos COFINS 3%, e PIS 0,65%)</t>
  </si>
  <si>
    <t>Tributos (ISS do município)</t>
  </si>
  <si>
    <t>Tributos (Contribuição Previdenciária sobre a Receita Bruta)</t>
  </si>
  <si>
    <t>BDI</t>
  </si>
  <si>
    <t>DESONERADO</t>
  </si>
  <si>
    <t>ADOT.</t>
  </si>
  <si>
    <t>SIT.</t>
  </si>
  <si>
    <t>Responsável Técnico:</t>
  </si>
  <si>
    <t>Município de Alegria/RS:</t>
  </si>
  <si>
    <t xml:space="preserve">Construções de pavimentação de ruas </t>
  </si>
  <si>
    <t>Estimativa de percentual da base de cálculo para o ISS:</t>
  </si>
  <si>
    <t>km</t>
  </si>
  <si>
    <t>m²</t>
  </si>
  <si>
    <t>1.02</t>
  </si>
  <si>
    <t>1.03</t>
  </si>
  <si>
    <t>RESP. TÉCNICO CRONOGRAMA:</t>
  </si>
  <si>
    <t>RESP. MUNICÍPIO DE ALEGRIA:</t>
  </si>
  <si>
    <t>DATA:</t>
  </si>
  <si>
    <t>ITEM</t>
  </si>
  <si>
    <t>DESCRIÇÃO</t>
  </si>
  <si>
    <t>ORÇAMENTO</t>
  </si>
  <si>
    <t>CRONOGRAMA FÍSICO</t>
  </si>
  <si>
    <t>CRONOGRAMA FINANCEIRO</t>
  </si>
  <si>
    <t>mês 1</t>
  </si>
  <si>
    <t>mês 2</t>
  </si>
  <si>
    <t>Valor Acumulado</t>
  </si>
  <si>
    <t>% Item</t>
  </si>
  <si>
    <t>% Acum.</t>
  </si>
  <si>
    <t>ACUM. MÊS</t>
  </si>
  <si>
    <t>% MÊS</t>
  </si>
  <si>
    <t>% ACUM. MÊS</t>
  </si>
  <si>
    <t>mês 3</t>
  </si>
  <si>
    <t>BDI 1</t>
  </si>
  <si>
    <t>BDI 2</t>
  </si>
  <si>
    <t>mês 4</t>
  </si>
  <si>
    <t xml:space="preserve">Contrapartida Municipal TOTAL </t>
  </si>
  <si>
    <t>Repassa Estado</t>
  </si>
  <si>
    <t>RESPONSÁVEL TÉCNICO ESTIMATIVA DE VALORES:</t>
  </si>
  <si>
    <t>mês 5</t>
  </si>
  <si>
    <t>PLANILHA ORÇAMENTÁRIA PREFEITURA MUNCIPAL DE ALEGRIA/RS</t>
  </si>
  <si>
    <t>ADMINISTRAÇÃO LOCAL E LIMPEZA DE OBRA</t>
  </si>
  <si>
    <t>FÁBIO LUCIANO SCHAKOFSKI</t>
  </si>
  <si>
    <t>MARIANA A. R. FERREIRA</t>
  </si>
  <si>
    <t>PAVIMENTAÇÃO ASFÁLTICA PARA A REVITALIZAÇÃO DAS ESTRADAS NO PERÍMETRO URBANO</t>
  </si>
  <si>
    <t>SERVIÇOS INICIAIS</t>
  </si>
  <si>
    <t>Mobilização de maquinários - Pav. sobre Calçamento</t>
  </si>
  <si>
    <t>Administração local</t>
  </si>
  <si>
    <t>%</t>
  </si>
  <si>
    <t>REPERFILAGEM SOB. CALÇAMENTO</t>
  </si>
  <si>
    <t>SICRO3</t>
  </si>
  <si>
    <t>Pintura de ligação</t>
  </si>
  <si>
    <t>Concreto asfáltico - faixa C-12,5 - areia e brita comerciais</t>
  </si>
  <si>
    <t>Transporte de material betuminoso com caminhão tanque distribuidor - rodovia pavimentada</t>
  </si>
  <si>
    <t>Transporte com caminhão basculante de 10 m³ - rodovia pavimentada</t>
  </si>
  <si>
    <t>2.05</t>
  </si>
  <si>
    <t>2.06</t>
  </si>
  <si>
    <t>2.07</t>
  </si>
  <si>
    <t>t</t>
  </si>
  <si>
    <t>tkm</t>
  </si>
  <si>
    <t>4.00</t>
  </si>
  <si>
    <t>4.01</t>
  </si>
  <si>
    <t>Desmobilização de maquinários - Pav. sobre Calçamento</t>
  </si>
  <si>
    <t>CAPA SOB. CALÇAMENTO</t>
  </si>
  <si>
    <t>Escavação manual de vala em material de 1ª categoria</t>
  </si>
  <si>
    <t>5.00</t>
  </si>
  <si>
    <t>4.02</t>
  </si>
  <si>
    <t>4.03</t>
  </si>
  <si>
    <t>4.04</t>
  </si>
  <si>
    <t>4.05</t>
  </si>
  <si>
    <t>4.06</t>
  </si>
  <si>
    <t>5.01</t>
  </si>
  <si>
    <t>DETERIORAÇÃO LOCALIZADA EM PAVIMENTO DE PEDRA IRREGULAR</t>
  </si>
  <si>
    <t>M³</t>
  </si>
  <si>
    <t>3.02</t>
  </si>
  <si>
    <t>3.03</t>
  </si>
  <si>
    <t>3.04</t>
  </si>
  <si>
    <t>3.05</t>
  </si>
  <si>
    <t>3.06</t>
  </si>
  <si>
    <t>LIMPEZA MANUAL DE VEGETAÇÃO EM TERRENO COM ENXADA. Executado pelo município</t>
  </si>
  <si>
    <t>TRANSPORTE COM CAMINHÃO BASCULANTE DE 10 M³, EM VIA URBANA PAVIMENTADA -  Executado pelo município</t>
  </si>
  <si>
    <t>Base ou sub-base de brita graduada com brita produzida - 100% Proctor modificado</t>
  </si>
  <si>
    <t>Base ou sub-base de macadame seco com brita produzida - 100% Proctor modificado</t>
  </si>
  <si>
    <t>SICRO 3</t>
  </si>
  <si>
    <t>Regularização do subleito - 100% Proctor intermediário</t>
  </si>
  <si>
    <t>Placa em aço, modulada - 3,00 x 1,50 m - película retrorrefletiva tipo I + I - fornecimento e implantação</t>
  </si>
  <si>
    <t xml:space="preserve">SICRO 1/2026 </t>
  </si>
  <si>
    <t>PRODUTO</t>
  </si>
  <si>
    <t>UNIDADE</t>
  </si>
  <si>
    <t>FONTE</t>
  </si>
  <si>
    <t>DATA</t>
  </si>
  <si>
    <t>SEM PIS E CONFINS E ICMS</t>
  </si>
  <si>
    <t>COM PIS E CONFINS E ICMS</t>
  </si>
  <si>
    <t>PREÇO DA TONELADA</t>
  </si>
  <si>
    <t>Kg</t>
  </si>
  <si>
    <t>Agência Nacional do Petróleo, Gás Natural e Biocombustíveis</t>
  </si>
  <si>
    <t xml:space="preserve">PREÇO MÉDIO MENSAL PONDERADO PRATICADO PELOS DISTRIBUIDORES DE PRODUTOS ASFÁLTICOS </t>
  </si>
  <si>
    <t>https://www.gov.br/anp/pt-br/assuntos/precos-e-defesa-da-concorrencia/precos/precos-de-distribuicao-de-produtos-asfalticos</t>
  </si>
  <si>
    <t>Emulsões asfálticas RR-2C (acrescido de 17% de ICMS + PIS/CONFIS). JAN_2026</t>
  </si>
  <si>
    <t>Cimentos asfálticos CAP 50/70 (acrescido de 17% de ICMS + PIS/CONFIS). JAN_2026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</si>
</sst>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R$&quot;* #,##0.00_-;\-&quot;R$&quot;* #,##0.00_-;_-&quot;R$&quot;* &quot;-&quot;??_-;_-@_-"/>
    <numFmt numFmtId="165" formatCode="_-[$R$-416]\ * #,##0.00_-;\-[$R$-416]\ * #,##0.00_-;_-[$R$-416]\ * &quot;-&quot;??_-;_-@_-"/>
    <numFmt numFmtId="166" formatCode="_-&quot;R$&quot;* #,##0.00000_-;\-&quot;R$&quot;* #,##0.00000_-;_-&quot;R$&quot;* &quot;-&quot;??_-;_-@_-"/>
    <numFmt numFmtId="167" formatCode="_-&quot;R$&quot;* #,##0.000_-;\-&quot;R$&quot;* #,##0.000_-;_-&quot;R$&quot;* &quot;-&quot;??_-;_-@_-"/>
    <numFmt numFmtId="168" formatCode="_-&quot;R$&quot;* #,##0.0000_-;\-&quot;R$&quot;* #,##0.0000_-;_-&quot;R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Arial Narrow"/>
      <family val="2"/>
    </font>
    <font>
      <b/>
      <sz val="20"/>
      <color rgb="FFFF0000"/>
      <name val="Arial Narrow"/>
      <family val="2"/>
    </font>
    <font>
      <sz val="8"/>
      <name val="Calibri"/>
      <family val="2"/>
      <scheme val="minor"/>
    </font>
    <font>
      <sz val="14"/>
      <name val="Arial Narrow"/>
      <family val="2"/>
    </font>
    <font>
      <b/>
      <sz val="16"/>
      <name val="Arial Narrow"/>
      <family val="2"/>
    </font>
    <font>
      <b/>
      <sz val="15"/>
      <color theme="1"/>
      <name val="Arial Narrow"/>
      <family val="2"/>
    </font>
    <font>
      <sz val="15"/>
      <color theme="1"/>
      <name val="Arial Narrow"/>
      <family val="2"/>
    </font>
    <font>
      <sz val="11"/>
      <color theme="1"/>
      <name val="Arial Narrow"/>
      <family val="2"/>
    </font>
    <font>
      <sz val="13.5"/>
      <color theme="1"/>
      <name val="Arial Narrow"/>
      <family val="2"/>
    </font>
    <font>
      <sz val="10"/>
      <name val="Arial"/>
      <family val="2"/>
    </font>
    <font>
      <sz val="11"/>
      <name val="Arial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3" fillId="0" borderId="0"/>
    <xf numFmtId="9" fontId="13" fillId="0" borderId="0" applyFont="0" applyFill="0" applyBorder="0" applyAlignment="0" applyProtection="0"/>
    <xf numFmtId="0" fontId="14" fillId="0" borderId="0"/>
  </cellStyleXfs>
  <cellXfs count="221">
    <xf numFmtId="0" fontId="0" fillId="0" borderId="0" xfId="0"/>
    <xf numFmtId="0" fontId="2" fillId="0" borderId="0" xfId="0" applyFont="1"/>
    <xf numFmtId="0" fontId="3" fillId="0" borderId="9" xfId="0" applyFont="1" applyBorder="1" applyAlignment="1">
      <alignment horizontal="left" vertical="top"/>
    </xf>
    <xf numFmtId="0" fontId="3" fillId="0" borderId="15" xfId="0" applyFont="1" applyBorder="1" applyAlignment="1">
      <alignment horizontal="right"/>
    </xf>
    <xf numFmtId="0" fontId="2" fillId="0" borderId="1" xfId="0" applyFont="1" applyBorder="1"/>
    <xf numFmtId="0" fontId="2" fillId="0" borderId="19" xfId="0" applyFont="1" applyBorder="1"/>
    <xf numFmtId="0" fontId="3" fillId="0" borderId="20" xfId="0" applyFont="1" applyBorder="1" applyAlignment="1">
      <alignment horizontal="right"/>
    </xf>
    <xf numFmtId="0" fontId="2" fillId="0" borderId="2" xfId="0" applyFont="1" applyBorder="1"/>
    <xf numFmtId="0" fontId="2" fillId="0" borderId="3" xfId="0" applyFont="1" applyBorder="1"/>
    <xf numFmtId="0" fontId="3" fillId="0" borderId="14" xfId="0" applyFont="1" applyBorder="1" applyAlignment="1">
      <alignment horizontal="right"/>
    </xf>
    <xf numFmtId="0" fontId="3" fillId="2" borderId="23" xfId="0" applyFont="1" applyFill="1" applyBorder="1"/>
    <xf numFmtId="0" fontId="7" fillId="0" borderId="23" xfId="0" applyFont="1" applyBorder="1" applyAlignment="1">
      <alignment vertical="top" wrapText="1"/>
    </xf>
    <xf numFmtId="0" fontId="7" fillId="0" borderId="23" xfId="0" applyFont="1" applyBorder="1" applyAlignment="1">
      <alignment horizontal="right" vertical="top" wrapText="1"/>
    </xf>
    <xf numFmtId="2" fontId="7" fillId="0" borderId="23" xfId="0" applyNumberFormat="1" applyFont="1" applyBorder="1" applyAlignment="1">
      <alignment horizontal="right" vertical="top" wrapText="1"/>
    </xf>
    <xf numFmtId="165" fontId="7" fillId="0" borderId="23" xfId="0" applyNumberFormat="1" applyFont="1" applyBorder="1" applyAlignment="1">
      <alignment vertical="top" wrapText="1"/>
    </xf>
    <xf numFmtId="0" fontId="7" fillId="0" borderId="23" xfId="0" applyFont="1" applyBorder="1" applyAlignment="1">
      <alignment horizontal="right" vertical="top"/>
    </xf>
    <xf numFmtId="0" fontId="7" fillId="0" borderId="23" xfId="0" applyFont="1" applyBorder="1" applyAlignment="1">
      <alignment horizontal="left" vertical="top"/>
    </xf>
    <xf numFmtId="0" fontId="3" fillId="2" borderId="27" xfId="0" applyFont="1" applyFill="1" applyBorder="1"/>
    <xf numFmtId="164" fontId="3" fillId="2" borderId="28" xfId="0" applyNumberFormat="1" applyFont="1" applyFill="1" applyBorder="1"/>
    <xf numFmtId="0" fontId="7" fillId="0" borderId="27" xfId="0" applyFont="1" applyBorder="1"/>
    <xf numFmtId="0" fontId="7" fillId="0" borderId="27" xfId="0" applyFont="1" applyBorder="1" applyAlignment="1">
      <alignment vertical="top"/>
    </xf>
    <xf numFmtId="0" fontId="3" fillId="0" borderId="23" xfId="0" applyFont="1" applyBorder="1" applyAlignment="1">
      <alignment horizontal="right"/>
    </xf>
    <xf numFmtId="0" fontId="3" fillId="2" borderId="23" xfId="0" applyFont="1" applyFill="1" applyBorder="1" applyAlignment="1">
      <alignment horizontal="center"/>
    </xf>
    <xf numFmtId="0" fontId="7" fillId="0" borderId="23" xfId="0" applyFont="1" applyBorder="1" applyAlignment="1">
      <alignment horizontal="center"/>
    </xf>
    <xf numFmtId="10" fontId="7" fillId="0" borderId="23" xfId="2" applyNumberFormat="1" applyFont="1" applyBorder="1" applyAlignment="1">
      <alignment horizontal="right" vertical="top" wrapText="1"/>
    </xf>
    <xf numFmtId="0" fontId="8" fillId="0" borderId="23" xfId="0" applyFont="1" applyBorder="1" applyAlignment="1">
      <alignment horizontal="center"/>
    </xf>
    <xf numFmtId="0" fontId="8" fillId="0" borderId="23" xfId="0" applyFont="1" applyBorder="1" applyAlignment="1">
      <alignment vertical="top" wrapText="1"/>
    </xf>
    <xf numFmtId="10" fontId="8" fillId="0" borderId="23" xfId="2" applyNumberFormat="1" applyFont="1" applyBorder="1" applyAlignment="1">
      <alignment horizontal="right" vertical="top" wrapText="1"/>
    </xf>
    <xf numFmtId="0" fontId="3" fillId="0" borderId="27" xfId="0" applyFont="1" applyBorder="1" applyAlignment="1">
      <alignment horizontal="left" vertical="top"/>
    </xf>
    <xf numFmtId="10" fontId="3" fillId="0" borderId="28" xfId="2" applyNumberFormat="1" applyFont="1" applyBorder="1"/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7" fillId="0" borderId="27" xfId="0" applyFont="1" applyBorder="1" applyAlignment="1">
      <alignment horizontal="center"/>
    </xf>
    <xf numFmtId="10" fontId="7" fillId="0" borderId="28" xfId="2" applyNumberFormat="1" applyFont="1" applyBorder="1" applyAlignment="1">
      <alignment vertical="top" wrapText="1"/>
    </xf>
    <xf numFmtId="0" fontId="8" fillId="0" borderId="27" xfId="0" applyFont="1" applyBorder="1" applyAlignment="1">
      <alignment horizontal="center"/>
    </xf>
    <xf numFmtId="10" fontId="8" fillId="0" borderId="28" xfId="2" applyNumberFormat="1" applyFont="1" applyBorder="1" applyAlignment="1">
      <alignment vertical="top" wrapText="1"/>
    </xf>
    <xf numFmtId="0" fontId="2" fillId="0" borderId="22" xfId="0" applyFont="1" applyBorder="1"/>
    <xf numFmtId="10" fontId="7" fillId="0" borderId="23" xfId="2" applyNumberFormat="1" applyFont="1" applyBorder="1" applyAlignment="1">
      <alignment horizontal="center"/>
    </xf>
    <xf numFmtId="10" fontId="8" fillId="0" borderId="23" xfId="2" applyNumberFormat="1" applyFont="1" applyBorder="1" applyAlignment="1">
      <alignment horizontal="center"/>
    </xf>
    <xf numFmtId="0" fontId="10" fillId="0" borderId="3" xfId="0" applyFont="1" applyBorder="1"/>
    <xf numFmtId="0" fontId="2" fillId="0" borderId="4" xfId="0" applyFont="1" applyBorder="1"/>
    <xf numFmtId="0" fontId="9" fillId="0" borderId="0" xfId="0" applyFont="1"/>
    <xf numFmtId="0" fontId="9" fillId="0" borderId="1" xfId="0" applyFont="1" applyBorder="1"/>
    <xf numFmtId="0" fontId="9" fillId="0" borderId="0" xfId="0" applyFont="1" applyAlignment="1">
      <alignment horizontal="right"/>
    </xf>
    <xf numFmtId="0" fontId="9" fillId="0" borderId="3" xfId="0" applyFont="1" applyBorder="1"/>
    <xf numFmtId="0" fontId="9" fillId="0" borderId="4" xfId="0" applyFont="1" applyBorder="1"/>
    <xf numFmtId="0" fontId="9" fillId="0" borderId="22" xfId="0" applyFont="1" applyBorder="1"/>
    <xf numFmtId="0" fontId="3" fillId="0" borderId="27" xfId="0" applyFont="1" applyBorder="1"/>
    <xf numFmtId="0" fontId="3" fillId="0" borderId="23" xfId="0" applyFont="1" applyBorder="1"/>
    <xf numFmtId="0" fontId="3" fillId="0" borderId="28" xfId="0" applyFont="1" applyBorder="1"/>
    <xf numFmtId="0" fontId="3" fillId="2" borderId="23" xfId="0" applyFont="1" applyFill="1" applyBorder="1" applyAlignment="1">
      <alignment wrapText="1"/>
    </xf>
    <xf numFmtId="0" fontId="11" fillId="0" borderId="0" xfId="0" applyFont="1"/>
    <xf numFmtId="0" fontId="4" fillId="0" borderId="0" xfId="0" applyFont="1"/>
    <xf numFmtId="0" fontId="3" fillId="0" borderId="0" xfId="0" applyFont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22" xfId="0" applyFont="1" applyBorder="1" applyAlignment="1">
      <alignment horizontal="right"/>
    </xf>
    <xf numFmtId="14" fontId="2" fillId="0" borderId="0" xfId="0" applyNumberFormat="1" applyFont="1" applyAlignment="1">
      <alignment horizontal="left"/>
    </xf>
    <xf numFmtId="0" fontId="3" fillId="0" borderId="2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2" fillId="0" borderId="27" xfId="0" applyFont="1" applyBorder="1"/>
    <xf numFmtId="0" fontId="2" fillId="0" borderId="23" xfId="0" applyFont="1" applyBorder="1"/>
    <xf numFmtId="164" fontId="12" fillId="0" borderId="23" xfId="0" applyNumberFormat="1" applyFont="1" applyBorder="1"/>
    <xf numFmtId="164" fontId="12" fillId="0" borderId="23" xfId="0" applyNumberFormat="1" applyFont="1" applyBorder="1" applyAlignment="1">
      <alignment horizontal="center"/>
    </xf>
    <xf numFmtId="10" fontId="2" fillId="0" borderId="23" xfId="2" applyNumberFormat="1" applyFont="1" applyBorder="1" applyAlignment="1">
      <alignment horizontal="center" vertical="center"/>
    </xf>
    <xf numFmtId="10" fontId="2" fillId="0" borderId="2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right"/>
    </xf>
    <xf numFmtId="164" fontId="3" fillId="0" borderId="23" xfId="0" applyNumberFormat="1" applyFont="1" applyBorder="1"/>
    <xf numFmtId="164" fontId="3" fillId="0" borderId="23" xfId="1" applyFont="1" applyBorder="1"/>
    <xf numFmtId="164" fontId="12" fillId="0" borderId="0" xfId="0" applyNumberFormat="1" applyFont="1"/>
    <xf numFmtId="0" fontId="2" fillId="0" borderId="23" xfId="0" applyFont="1" applyBorder="1" applyAlignment="1">
      <alignment horizontal="right"/>
    </xf>
    <xf numFmtId="164" fontId="2" fillId="0" borderId="23" xfId="0" applyNumberFormat="1" applyFont="1" applyBorder="1"/>
    <xf numFmtId="10" fontId="2" fillId="0" borderId="23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3" xfId="0" applyFont="1" applyBorder="1" applyAlignment="1">
      <alignment horizontal="right" vertical="center"/>
    </xf>
    <xf numFmtId="10" fontId="2" fillId="0" borderId="0" xfId="2" applyNumberFormat="1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1" applyFont="1" applyBorder="1"/>
    <xf numFmtId="164" fontId="2" fillId="0" borderId="22" xfId="1" applyFont="1" applyBorder="1"/>
    <xf numFmtId="164" fontId="2" fillId="0" borderId="0" xfId="1" applyFont="1"/>
    <xf numFmtId="10" fontId="2" fillId="0" borderId="0" xfId="2" applyNumberFormat="1" applyFont="1" applyBorder="1" applyAlignment="1">
      <alignment horizontal="center"/>
    </xf>
    <xf numFmtId="10" fontId="2" fillId="0" borderId="22" xfId="2" applyNumberFormat="1" applyFont="1" applyBorder="1" applyAlignment="1">
      <alignment horizontal="center"/>
    </xf>
    <xf numFmtId="0" fontId="3" fillId="0" borderId="3" xfId="0" applyFont="1" applyBorder="1"/>
    <xf numFmtId="0" fontId="3" fillId="0" borderId="11" xfId="0" applyFont="1" applyBorder="1"/>
    <xf numFmtId="0" fontId="3" fillId="0" borderId="12" xfId="0" applyFont="1" applyBorder="1"/>
    <xf numFmtId="0" fontId="2" fillId="0" borderId="11" xfId="0" applyFont="1" applyBorder="1" applyAlignment="1">
      <alignment horizontal="centerContinuous" vertical="top" wrapText="1"/>
    </xf>
    <xf numFmtId="0" fontId="2" fillId="0" borderId="12" xfId="0" applyFont="1" applyBorder="1" applyAlignment="1">
      <alignment horizontal="centerContinuous" vertical="top" wrapText="1"/>
    </xf>
    <xf numFmtId="10" fontId="5" fillId="0" borderId="27" xfId="0" applyNumberFormat="1" applyFont="1" applyBorder="1" applyAlignment="1">
      <alignment horizontal="centerContinuous" vertical="center"/>
    </xf>
    <xf numFmtId="14" fontId="5" fillId="0" borderId="23" xfId="0" applyNumberFormat="1" applyFont="1" applyBorder="1" applyAlignment="1">
      <alignment horizontal="centerContinuous" vertical="center"/>
    </xf>
    <xf numFmtId="14" fontId="5" fillId="0" borderId="9" xfId="0" applyNumberFormat="1" applyFont="1" applyBorder="1" applyAlignment="1">
      <alignment horizontal="centerContinuous" vertical="center"/>
    </xf>
    <xf numFmtId="14" fontId="5" fillId="0" borderId="8" xfId="0" applyNumberFormat="1" applyFont="1" applyBorder="1" applyAlignment="1">
      <alignment horizontal="centerContinuous" vertical="center"/>
    </xf>
    <xf numFmtId="14" fontId="5" fillId="0" borderId="13" xfId="0" applyNumberFormat="1" applyFont="1" applyBorder="1" applyAlignment="1">
      <alignment horizontal="centerContinuous" vertical="center"/>
    </xf>
    <xf numFmtId="14" fontId="5" fillId="0" borderId="2" xfId="0" applyNumberFormat="1" applyFont="1" applyBorder="1" applyAlignment="1">
      <alignment horizontal="centerContinuous" vertical="center"/>
    </xf>
    <xf numFmtId="14" fontId="5" fillId="0" borderId="3" xfId="0" applyNumberFormat="1" applyFont="1" applyBorder="1" applyAlignment="1">
      <alignment horizontal="centerContinuous" vertical="center"/>
    </xf>
    <xf numFmtId="14" fontId="5" fillId="0" borderId="14" xfId="0" applyNumberFormat="1" applyFont="1" applyBorder="1" applyAlignment="1">
      <alignment horizontal="centerContinuous" vertical="center"/>
    </xf>
    <xf numFmtId="14" fontId="5" fillId="0" borderId="27" xfId="0" applyNumberFormat="1" applyFont="1" applyBorder="1" applyAlignment="1">
      <alignment horizontal="centerContinuous" vertical="center"/>
    </xf>
    <xf numFmtId="14" fontId="2" fillId="0" borderId="10" xfId="0" applyNumberFormat="1" applyFont="1" applyBorder="1" applyAlignment="1">
      <alignment horizontal="left" wrapText="1"/>
    </xf>
    <xf numFmtId="14" fontId="2" fillId="0" borderId="11" xfId="0" applyNumberFormat="1" applyFont="1" applyBorder="1" applyAlignment="1">
      <alignment wrapText="1"/>
    </xf>
    <xf numFmtId="14" fontId="2" fillId="0" borderId="12" xfId="0" applyNumberFormat="1" applyFont="1" applyBorder="1" applyAlignment="1">
      <alignment wrapText="1"/>
    </xf>
    <xf numFmtId="0" fontId="3" fillId="0" borderId="39" xfId="0" applyFont="1" applyBorder="1"/>
    <xf numFmtId="0" fontId="7" fillId="3" borderId="23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164" fontId="3" fillId="2" borderId="22" xfId="0" applyNumberFormat="1" applyFont="1" applyFill="1" applyBorder="1"/>
    <xf numFmtId="164" fontId="4" fillId="2" borderId="29" xfId="0" applyNumberFormat="1" applyFont="1" applyFill="1" applyBorder="1"/>
    <xf numFmtId="0" fontId="7" fillId="3" borderId="23" xfId="0" applyFont="1" applyFill="1" applyBorder="1" applyAlignment="1">
      <alignment horizontal="right" vertical="top"/>
    </xf>
    <xf numFmtId="0" fontId="7" fillId="3" borderId="23" xfId="0" applyFont="1" applyFill="1" applyBorder="1" applyAlignment="1">
      <alignment horizontal="right" vertical="top" wrapText="1"/>
    </xf>
    <xf numFmtId="2" fontId="7" fillId="3" borderId="23" xfId="0" applyNumberFormat="1" applyFont="1" applyFill="1" applyBorder="1" applyAlignment="1">
      <alignment horizontal="right" vertical="top" wrapText="1"/>
    </xf>
    <xf numFmtId="2" fontId="3" fillId="2" borderId="23" xfId="0" applyNumberFormat="1" applyFont="1" applyFill="1" applyBorder="1"/>
    <xf numFmtId="165" fontId="7" fillId="0" borderId="23" xfId="1" applyNumberFormat="1" applyFont="1" applyBorder="1" applyAlignment="1">
      <alignment vertical="top" wrapText="1"/>
    </xf>
    <xf numFmtId="165" fontId="3" fillId="2" borderId="23" xfId="0" applyNumberFormat="1" applyFont="1" applyFill="1" applyBorder="1"/>
    <xf numFmtId="14" fontId="2" fillId="0" borderId="11" xfId="0" applyNumberFormat="1" applyFont="1" applyBorder="1" applyAlignment="1">
      <alignment horizontal="left" wrapText="1"/>
    </xf>
    <xf numFmtId="0" fontId="2" fillId="0" borderId="23" xfId="0" applyFont="1" applyBorder="1" applyAlignment="1">
      <alignment wrapText="1"/>
    </xf>
    <xf numFmtId="10" fontId="2" fillId="0" borderId="23" xfId="2" applyNumberFormat="1" applyFont="1" applyFill="1" applyBorder="1" applyAlignment="1">
      <alignment horizontal="center" vertical="center"/>
    </xf>
    <xf numFmtId="166" fontId="2" fillId="0" borderId="0" xfId="1" applyNumberFormat="1" applyFont="1"/>
    <xf numFmtId="0" fontId="7" fillId="0" borderId="23" xfId="0" applyFont="1" applyBorder="1" applyAlignment="1">
      <alignment horizontal="left" vertical="center"/>
    </xf>
    <xf numFmtId="0" fontId="2" fillId="0" borderId="41" xfId="0" applyFont="1" applyBorder="1" applyAlignment="1">
      <alignment horizontal="center"/>
    </xf>
    <xf numFmtId="0" fontId="2" fillId="0" borderId="23" xfId="0" applyFont="1" applyBorder="1" applyAlignment="1">
      <alignment horizontal="left" vertical="center"/>
    </xf>
    <xf numFmtId="165" fontId="2" fillId="0" borderId="23" xfId="0" applyNumberFormat="1" applyFont="1" applyBorder="1"/>
    <xf numFmtId="165" fontId="7" fillId="0" borderId="23" xfId="1" applyNumberFormat="1" applyFont="1" applyFill="1" applyBorder="1" applyAlignment="1">
      <alignment vertical="top" wrapText="1"/>
    </xf>
    <xf numFmtId="2" fontId="2" fillId="0" borderId="23" xfId="0" applyNumberFormat="1" applyFont="1" applyBorder="1"/>
    <xf numFmtId="0" fontId="2" fillId="0" borderId="23" xfId="0" applyFont="1" applyBorder="1" applyAlignment="1">
      <alignment horizontal="left"/>
    </xf>
    <xf numFmtId="0" fontId="7" fillId="0" borderId="15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right" vertical="center" wrapText="1"/>
    </xf>
    <xf numFmtId="0" fontId="2" fillId="0" borderId="23" xfId="0" applyFont="1" applyBorder="1" applyAlignment="1">
      <alignment horizontal="left" vertical="center" wrapText="1"/>
    </xf>
    <xf numFmtId="0" fontId="7" fillId="4" borderId="27" xfId="0" applyFont="1" applyFill="1" applyBorder="1"/>
    <xf numFmtId="0" fontId="7" fillId="4" borderId="15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left" vertical="center" wrapText="1"/>
    </xf>
    <xf numFmtId="0" fontId="2" fillId="4" borderId="23" xfId="0" applyFont="1" applyFill="1" applyBorder="1" applyAlignment="1">
      <alignment horizontal="right" vertical="center"/>
    </xf>
    <xf numFmtId="2" fontId="7" fillId="4" borderId="23" xfId="0" applyNumberFormat="1" applyFont="1" applyFill="1" applyBorder="1" applyAlignment="1">
      <alignment horizontal="right" vertical="top" wrapText="1"/>
    </xf>
    <xf numFmtId="165" fontId="7" fillId="4" borderId="23" xfId="0" applyNumberFormat="1" applyFont="1" applyFill="1" applyBorder="1" applyAlignment="1">
      <alignment vertical="top" wrapText="1"/>
    </xf>
    <xf numFmtId="165" fontId="7" fillId="4" borderId="23" xfId="1" applyNumberFormat="1" applyFont="1" applyFill="1" applyBorder="1" applyAlignment="1">
      <alignment vertical="top" wrapText="1"/>
    </xf>
    <xf numFmtId="0" fontId="7" fillId="4" borderId="23" xfId="0" applyFont="1" applyFill="1" applyBorder="1" applyAlignment="1">
      <alignment horizontal="left" vertical="center"/>
    </xf>
    <xf numFmtId="0" fontId="7" fillId="4" borderId="23" xfId="0" applyFont="1" applyFill="1" applyBorder="1" applyAlignment="1">
      <alignment horizontal="right" vertical="top"/>
    </xf>
    <xf numFmtId="0" fontId="7" fillId="4" borderId="23" xfId="0" applyFont="1" applyFill="1" applyBorder="1" applyAlignment="1">
      <alignment vertical="top" wrapText="1"/>
    </xf>
    <xf numFmtId="0" fontId="7" fillId="4" borderId="23" xfId="0" applyFont="1" applyFill="1" applyBorder="1" applyAlignment="1">
      <alignment horizontal="right" vertical="top" wrapText="1"/>
    </xf>
    <xf numFmtId="0" fontId="7" fillId="5" borderId="27" xfId="0" applyFont="1" applyFill="1" applyBorder="1"/>
    <xf numFmtId="0" fontId="7" fillId="5" borderId="23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5" fillId="6" borderId="23" xfId="0" applyFont="1" applyFill="1" applyBorder="1" applyAlignment="1">
      <alignment horizontal="center" vertical="center" wrapText="1"/>
    </xf>
    <xf numFmtId="0" fontId="0" fillId="0" borderId="23" xfId="0" applyBorder="1" applyAlignment="1">
      <alignment wrapText="1"/>
    </xf>
    <xf numFmtId="0" fontId="0" fillId="0" borderId="23" xfId="0" applyBorder="1"/>
    <xf numFmtId="17" fontId="0" fillId="0" borderId="23" xfId="0" applyNumberFormat="1" applyBorder="1"/>
    <xf numFmtId="166" fontId="0" fillId="0" borderId="23" xfId="1" applyNumberFormat="1" applyFont="1" applyBorder="1"/>
    <xf numFmtId="167" fontId="0" fillId="0" borderId="23" xfId="1" applyNumberFormat="1" applyFont="1" applyBorder="1"/>
    <xf numFmtId="164" fontId="0" fillId="0" borderId="23" xfId="1" applyFont="1" applyBorder="1"/>
    <xf numFmtId="168" fontId="0" fillId="0" borderId="23" xfId="1" applyNumberFormat="1" applyFont="1" applyBorder="1"/>
    <xf numFmtId="0" fontId="3" fillId="2" borderId="30" xfId="0" applyFont="1" applyFill="1" applyBorder="1" applyAlignment="1">
      <alignment horizontal="right"/>
    </xf>
    <xf numFmtId="0" fontId="3" fillId="2" borderId="31" xfId="0" applyFont="1" applyFill="1" applyBorder="1" applyAlignment="1">
      <alignment horizontal="right"/>
    </xf>
    <xf numFmtId="0" fontId="3" fillId="2" borderId="32" xfId="0" applyFont="1" applyFill="1" applyBorder="1" applyAlignment="1">
      <alignment horizontal="right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2" fillId="0" borderId="28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14" fontId="2" fillId="0" borderId="16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10" fontId="5" fillId="0" borderId="23" xfId="2" applyNumberFormat="1" applyFont="1" applyBorder="1" applyAlignment="1">
      <alignment horizontal="center" vertical="center"/>
    </xf>
    <xf numFmtId="10" fontId="5" fillId="0" borderId="40" xfId="2" applyNumberFormat="1" applyFont="1" applyBorder="1" applyAlignment="1">
      <alignment horizontal="center" vertical="center"/>
    </xf>
    <xf numFmtId="10" fontId="5" fillId="0" borderId="17" xfId="2" applyNumberFormat="1" applyFont="1" applyBorder="1" applyAlignment="1">
      <alignment horizontal="center" vertical="center"/>
    </xf>
    <xf numFmtId="10" fontId="5" fillId="0" borderId="4" xfId="2" applyNumberFormat="1" applyFont="1" applyBorder="1" applyAlignment="1">
      <alignment horizontal="center" vertical="center"/>
    </xf>
    <xf numFmtId="164" fontId="3" fillId="3" borderId="41" xfId="0" applyNumberFormat="1" applyFont="1" applyFill="1" applyBorder="1" applyAlignment="1">
      <alignment horizontal="center"/>
    </xf>
    <xf numFmtId="164" fontId="3" fillId="3" borderId="42" xfId="0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164" fontId="3" fillId="0" borderId="41" xfId="0" applyNumberFormat="1" applyFont="1" applyBorder="1" applyAlignment="1">
      <alignment horizontal="center"/>
    </xf>
    <xf numFmtId="164" fontId="3" fillId="0" borderId="42" xfId="0" applyNumberFormat="1" applyFont="1" applyBorder="1" applyAlignment="1">
      <alignment horizontal="center"/>
    </xf>
    <xf numFmtId="164" fontId="3" fillId="0" borderId="43" xfId="0" applyNumberFormat="1" applyFont="1" applyBorder="1" applyAlignment="1">
      <alignment horizontal="center"/>
    </xf>
    <xf numFmtId="0" fontId="3" fillId="0" borderId="27" xfId="0" applyFont="1" applyBorder="1" applyAlignment="1">
      <alignment horizontal="right"/>
    </xf>
    <xf numFmtId="0" fontId="3" fillId="0" borderId="23" xfId="0" applyFont="1" applyBorder="1" applyAlignment="1">
      <alignment horizontal="right"/>
    </xf>
    <xf numFmtId="0" fontId="3" fillId="0" borderId="27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14" fontId="2" fillId="0" borderId="23" xfId="0" applyNumberFormat="1" applyFont="1" applyBorder="1" applyAlignment="1">
      <alignment horizontal="left"/>
    </xf>
    <xf numFmtId="14" fontId="2" fillId="0" borderId="28" xfId="0" applyNumberFormat="1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28" xfId="0" applyFont="1" applyBorder="1" applyAlignment="1">
      <alignment horizontal="left"/>
    </xf>
    <xf numFmtId="0" fontId="3" fillId="0" borderId="21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2" fillId="0" borderId="23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/>
    </xf>
    <xf numFmtId="0" fontId="3" fillId="0" borderId="23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164" fontId="3" fillId="0" borderId="33" xfId="1" applyFont="1" applyBorder="1" applyAlignment="1">
      <alignment horizontal="center"/>
    </xf>
    <xf numFmtId="164" fontId="3" fillId="0" borderId="8" xfId="1" applyFont="1" applyBorder="1" applyAlignment="1">
      <alignment horizontal="center"/>
    </xf>
    <xf numFmtId="164" fontId="3" fillId="0" borderId="17" xfId="1" applyFont="1" applyBorder="1" applyAlignment="1">
      <alignment horizontal="center"/>
    </xf>
    <xf numFmtId="164" fontId="3" fillId="0" borderId="34" xfId="1" applyFont="1" applyBorder="1" applyAlignment="1">
      <alignment horizontal="center"/>
    </xf>
    <xf numFmtId="164" fontId="3" fillId="0" borderId="0" xfId="1" applyFont="1" applyBorder="1" applyAlignment="1">
      <alignment horizontal="center"/>
    </xf>
    <xf numFmtId="164" fontId="3" fillId="0" borderId="22" xfId="1" applyFont="1" applyBorder="1" applyAlignment="1">
      <alignment horizontal="center"/>
    </xf>
    <xf numFmtId="164" fontId="3" fillId="0" borderId="35" xfId="1" applyFont="1" applyBorder="1" applyAlignment="1">
      <alignment horizontal="center"/>
    </xf>
    <xf numFmtId="164" fontId="3" fillId="0" borderId="36" xfId="1" applyFont="1" applyBorder="1" applyAlignment="1">
      <alignment horizontal="center"/>
    </xf>
    <xf numFmtId="164" fontId="3" fillId="0" borderId="38" xfId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37" xfId="0" applyFont="1" applyBorder="1" applyAlignment="1">
      <alignment horizontal="center"/>
    </xf>
  </cellXfs>
  <cellStyles count="7">
    <cellStyle name="Moeda" xfId="1" builtinId="4"/>
    <cellStyle name="Normal" xfId="0" builtinId="0"/>
    <cellStyle name="Normal 2" xfId="3" xr:uid="{00000000-0005-0000-0000-000002000000}"/>
    <cellStyle name="Normal 3" xfId="4" xr:uid="{00000000-0005-0000-0000-000003000000}"/>
    <cellStyle name="Normal 4" xfId="6" xr:uid="{00000000-0005-0000-0000-000004000000}"/>
    <cellStyle name="Porcentagem" xfId="2" builtinId="5"/>
    <cellStyle name="Porcentagem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161925</xdr:rowOff>
    </xdr:from>
    <xdr:to>
      <xdr:col>2</xdr:col>
      <xdr:colOff>11837</xdr:colOff>
      <xdr:row>15</xdr:row>
      <xdr:rowOff>124006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9F08670-FA5A-4708-A379-8BC8355463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990725"/>
          <a:ext cx="2998877" cy="12422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394608</xdr:colOff>
      <xdr:row>21</xdr:row>
      <xdr:rowOff>27216</xdr:rowOff>
    </xdr:from>
    <xdr:to>
      <xdr:col>9</xdr:col>
      <xdr:colOff>322762</xdr:colOff>
      <xdr:row>34</xdr:row>
      <xdr:rowOff>151449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1AB8B87-E577-4C5E-A4BC-979180599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1572" y="5184323"/>
          <a:ext cx="9443357" cy="31314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394608</xdr:colOff>
      <xdr:row>21</xdr:row>
      <xdr:rowOff>27216</xdr:rowOff>
    </xdr:from>
    <xdr:to>
      <xdr:col>9</xdr:col>
      <xdr:colOff>326572</xdr:colOff>
      <xdr:row>34</xdr:row>
      <xdr:rowOff>151449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D77D502-080F-4A24-A09F-9AF34531E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408" y="5313591"/>
          <a:ext cx="9447439" cy="30960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beb323842d1bb3b/ARQUIVOS%20JONATHAN/PROGRAMA%20PAVIMENTA/REFORMA%20PADU/licita&#231;&#227;o%20reforma/tabela%20SINAPI/n&#227;o%20desonerado/Refer&#234;ncia%2007-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  <sheetName val="Referência 07-2018"/>
    </sheetNames>
    <sheetDataSet>
      <sheetData sheetId="0"/>
      <sheetData sheetId="1"/>
      <sheetData sheetId="2"/>
      <sheetData sheetId="3">
        <row r="20">
          <cell r="B20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</sheetData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46"/>
  <sheetViews>
    <sheetView zoomScale="60" zoomScaleNormal="60" workbookViewId="0">
      <selection activeCell="A36" sqref="A36"/>
    </sheetView>
  </sheetViews>
  <sheetFormatPr defaultColWidth="9.140625" defaultRowHeight="18" x14ac:dyDescent="0.25"/>
  <cols>
    <col min="1" max="1" width="35.42578125" style="1" customWidth="1"/>
    <col min="2" max="2" width="9.5703125" style="1" bestFit="1" customWidth="1"/>
    <col min="3" max="3" width="19.5703125" style="1" customWidth="1"/>
    <col min="4" max="4" width="9.140625" style="1"/>
    <col min="5" max="5" width="86.28515625" style="1" customWidth="1"/>
    <col min="6" max="6" width="11.85546875" style="1" customWidth="1"/>
    <col min="7" max="7" width="17" style="1" customWidth="1"/>
    <col min="8" max="9" width="16.140625" style="1" bestFit="1" customWidth="1"/>
    <col min="10" max="10" width="19.140625" style="1" customWidth="1"/>
    <col min="11" max="11" width="26.7109375" style="1" customWidth="1"/>
    <col min="12" max="12" width="9.140625" style="1"/>
    <col min="13" max="13" width="20.140625" style="1" customWidth="1"/>
    <col min="14" max="16384" width="9.140625" style="1"/>
  </cols>
  <sheetData>
    <row r="1" spans="2:13" ht="27.75" customHeight="1" thickBot="1" x14ac:dyDescent="0.3"/>
    <row r="2" spans="2:13" ht="20.25" x14ac:dyDescent="0.3">
      <c r="B2" s="163" t="s">
        <v>88</v>
      </c>
      <c r="C2" s="164"/>
      <c r="D2" s="164"/>
      <c r="E2" s="164"/>
      <c r="F2" s="164"/>
      <c r="G2" s="164"/>
      <c r="H2" s="164"/>
      <c r="I2" s="164"/>
      <c r="J2" s="164"/>
      <c r="K2" s="165"/>
    </row>
    <row r="3" spans="2:13" ht="36" customHeight="1" x14ac:dyDescent="0.25">
      <c r="B3" s="2" t="s">
        <v>1</v>
      </c>
      <c r="C3" s="179" t="s">
        <v>92</v>
      </c>
      <c r="D3" s="180"/>
      <c r="E3" s="180"/>
      <c r="F3" s="180"/>
      <c r="G3" s="180"/>
      <c r="H3" s="94"/>
      <c r="I3" s="94"/>
      <c r="J3" s="94"/>
      <c r="K3" s="95"/>
      <c r="M3" s="123"/>
    </row>
    <row r="4" spans="2:13" x14ac:dyDescent="0.25">
      <c r="B4" s="168" t="s">
        <v>16</v>
      </c>
      <c r="C4" s="169"/>
      <c r="D4" s="169"/>
      <c r="E4" s="3" t="s">
        <v>86</v>
      </c>
      <c r="F4" s="170" t="s">
        <v>91</v>
      </c>
      <c r="G4" s="171"/>
      <c r="H4" s="171"/>
      <c r="I4" s="172"/>
      <c r="J4" s="92" t="s">
        <v>81</v>
      </c>
      <c r="K4" s="93" t="s">
        <v>82</v>
      </c>
    </row>
    <row r="5" spans="2:13" ht="18" customHeight="1" x14ac:dyDescent="0.25">
      <c r="B5" s="98">
        <v>46163</v>
      </c>
      <c r="C5" s="99"/>
      <c r="D5" s="100"/>
      <c r="E5" s="6" t="s">
        <v>12</v>
      </c>
      <c r="F5" s="170" t="s">
        <v>90</v>
      </c>
      <c r="G5" s="171"/>
      <c r="H5" s="171"/>
      <c r="I5" s="172"/>
      <c r="J5" s="173">
        <f>'BDI 1'!E20</f>
        <v>0.20880000000000001</v>
      </c>
      <c r="K5" s="175">
        <f>'BDI 2 indireto'!D8</f>
        <v>0.15</v>
      </c>
    </row>
    <row r="6" spans="2:13" ht="18" customHeight="1" thickBot="1" x14ac:dyDescent="0.3">
      <c r="B6" s="101"/>
      <c r="C6" s="102"/>
      <c r="D6" s="103"/>
      <c r="E6" s="9" t="s">
        <v>2</v>
      </c>
      <c r="F6" s="166" t="s">
        <v>134</v>
      </c>
      <c r="G6" s="167"/>
      <c r="H6" s="167"/>
      <c r="I6" s="5"/>
      <c r="J6" s="174"/>
      <c r="K6" s="176"/>
    </row>
    <row r="7" spans="2:13" x14ac:dyDescent="0.25">
      <c r="B7" s="47" t="s">
        <v>3</v>
      </c>
      <c r="C7" s="48" t="s">
        <v>4</v>
      </c>
      <c r="D7" s="48" t="s">
        <v>5</v>
      </c>
      <c r="E7" s="48" t="s">
        <v>7</v>
      </c>
      <c r="F7" s="48" t="s">
        <v>8</v>
      </c>
      <c r="G7" s="48" t="s">
        <v>15</v>
      </c>
      <c r="H7" s="48" t="s">
        <v>9</v>
      </c>
      <c r="I7" s="48" t="s">
        <v>10</v>
      </c>
      <c r="J7" s="108" t="s">
        <v>11</v>
      </c>
      <c r="K7" s="49" t="s">
        <v>5</v>
      </c>
    </row>
    <row r="8" spans="2:13" x14ac:dyDescent="0.25">
      <c r="B8" s="17"/>
      <c r="C8" s="10"/>
      <c r="D8" s="10" t="s">
        <v>13</v>
      </c>
      <c r="E8" s="10" t="s">
        <v>93</v>
      </c>
      <c r="F8" s="10"/>
      <c r="G8" s="10"/>
      <c r="H8" s="10"/>
      <c r="I8" s="10"/>
      <c r="J8" s="10"/>
      <c r="K8" s="18">
        <f>ROUND(SUM(J9:J11),2)</f>
        <v>55798.69</v>
      </c>
    </row>
    <row r="9" spans="2:13" x14ac:dyDescent="0.25">
      <c r="B9" s="19" t="s">
        <v>21</v>
      </c>
      <c r="C9" s="16">
        <v>1</v>
      </c>
      <c r="D9" s="114" t="s">
        <v>14</v>
      </c>
      <c r="E9" s="109" t="s">
        <v>94</v>
      </c>
      <c r="F9" s="115" t="s">
        <v>60</v>
      </c>
      <c r="G9" s="116">
        <v>71.400000000000006</v>
      </c>
      <c r="H9" s="14">
        <v>57.52</v>
      </c>
      <c r="I9" s="128">
        <f>ROUND(H9*(1+$K$5),2)</f>
        <v>66.150000000000006</v>
      </c>
      <c r="J9" s="118">
        <f>ROUND(I9*G9,2)</f>
        <v>4723.1099999999997</v>
      </c>
      <c r="K9" s="177"/>
    </row>
    <row r="10" spans="2:13" x14ac:dyDescent="0.25">
      <c r="B10" s="19" t="s">
        <v>21</v>
      </c>
      <c r="C10" s="16">
        <v>2</v>
      </c>
      <c r="D10" s="114" t="s">
        <v>62</v>
      </c>
      <c r="E10" s="11" t="s">
        <v>95</v>
      </c>
      <c r="F10" s="12" t="s">
        <v>96</v>
      </c>
      <c r="G10" s="13">
        <v>100</v>
      </c>
      <c r="H10" s="14">
        <v>415.23</v>
      </c>
      <c r="I10" s="128">
        <f>ROUND(H10*(1+$J$5),2)</f>
        <v>501.93</v>
      </c>
      <c r="J10" s="118">
        <f>ROUND(I10*G10,2)</f>
        <v>50193</v>
      </c>
      <c r="K10" s="178"/>
    </row>
    <row r="11" spans="2:13" ht="36" x14ac:dyDescent="0.25">
      <c r="B11" s="19" t="s">
        <v>98</v>
      </c>
      <c r="C11" s="124">
        <v>5213544</v>
      </c>
      <c r="D11" s="114" t="s">
        <v>63</v>
      </c>
      <c r="E11" s="11" t="s">
        <v>133</v>
      </c>
      <c r="F11" s="12" t="s">
        <v>8</v>
      </c>
      <c r="G11" s="13">
        <v>1</v>
      </c>
      <c r="H11" s="14">
        <v>730.13</v>
      </c>
      <c r="I11" s="128">
        <f>ROUND(H11*(1+$J$5),2)</f>
        <v>882.58</v>
      </c>
      <c r="J11" s="118">
        <f>ROUND(I11*G11,2)</f>
        <v>882.58</v>
      </c>
      <c r="K11" s="178"/>
    </row>
    <row r="12" spans="2:13" x14ac:dyDescent="0.25">
      <c r="B12" s="17"/>
      <c r="C12" s="10"/>
      <c r="D12" s="10" t="s">
        <v>17</v>
      </c>
      <c r="E12" s="10" t="s">
        <v>97</v>
      </c>
      <c r="F12" s="10"/>
      <c r="G12" s="117"/>
      <c r="H12" s="119"/>
      <c r="I12" s="119"/>
      <c r="J12" s="119"/>
      <c r="K12" s="18">
        <f>ROUND(SUM(J13:J19),2)</f>
        <v>673217.81</v>
      </c>
    </row>
    <row r="13" spans="2:13" ht="36" x14ac:dyDescent="0.25">
      <c r="B13" s="135" t="s">
        <v>21</v>
      </c>
      <c r="C13" s="142">
        <v>4</v>
      </c>
      <c r="D13" s="143" t="s">
        <v>18</v>
      </c>
      <c r="E13" s="144" t="s">
        <v>127</v>
      </c>
      <c r="F13" s="145" t="s">
        <v>61</v>
      </c>
      <c r="G13" s="139">
        <v>12672.64</v>
      </c>
      <c r="H13" s="140">
        <v>0</v>
      </c>
      <c r="I13" s="141">
        <f>ROUND(H13*(1+$J$5),2)</f>
        <v>0</v>
      </c>
      <c r="J13" s="141">
        <f>ROUND(I13*G13,2)</f>
        <v>0</v>
      </c>
      <c r="K13" s="162"/>
    </row>
    <row r="14" spans="2:13" x14ac:dyDescent="0.25">
      <c r="B14" s="19" t="s">
        <v>98</v>
      </c>
      <c r="C14" s="124">
        <v>4011353</v>
      </c>
      <c r="D14" s="15" t="s">
        <v>22</v>
      </c>
      <c r="E14" s="11" t="s">
        <v>99</v>
      </c>
      <c r="F14" s="12" t="s">
        <v>61</v>
      </c>
      <c r="G14" s="13">
        <v>12672.64</v>
      </c>
      <c r="H14" s="14">
        <v>0.42</v>
      </c>
      <c r="I14" s="128">
        <f t="shared" ref="I14" si="0">ROUND(H14*(1+$J$5),2)</f>
        <v>0.51</v>
      </c>
      <c r="J14" s="118">
        <f t="shared" ref="J14:J15" si="1">ROUND(I14*G14,2)</f>
        <v>6463.05</v>
      </c>
      <c r="K14" s="162"/>
    </row>
    <row r="15" spans="2:13" ht="36" x14ac:dyDescent="0.25">
      <c r="B15" s="19" t="s">
        <v>21</v>
      </c>
      <c r="C15" s="124">
        <v>5</v>
      </c>
      <c r="D15" s="15" t="s">
        <v>23</v>
      </c>
      <c r="E15" s="11" t="s">
        <v>146</v>
      </c>
      <c r="F15" s="12" t="s">
        <v>106</v>
      </c>
      <c r="G15" s="13">
        <f>ROUND((G14*0.45)/1000,2)</f>
        <v>5.7</v>
      </c>
      <c r="H15" s="14">
        <f>cotação!H3</f>
        <v>3475.5542168674701</v>
      </c>
      <c r="I15" s="128">
        <f>ROUND(H15*(1+$J$5),2)</f>
        <v>4201.25</v>
      </c>
      <c r="J15" s="118">
        <f t="shared" si="1"/>
        <v>23947.13</v>
      </c>
      <c r="K15" s="162"/>
    </row>
    <row r="16" spans="2:13" x14ac:dyDescent="0.25">
      <c r="B16" s="19" t="s">
        <v>98</v>
      </c>
      <c r="C16" s="124">
        <v>4011463</v>
      </c>
      <c r="D16" s="15" t="s">
        <v>24</v>
      </c>
      <c r="E16" s="11" t="s">
        <v>100</v>
      </c>
      <c r="F16" s="12" t="s">
        <v>106</v>
      </c>
      <c r="G16" s="13">
        <f>ROUND(G14*0.03*2.5548,2)</f>
        <v>971.28</v>
      </c>
      <c r="H16" s="14">
        <v>191.74</v>
      </c>
      <c r="I16" s="128">
        <f>ROUND(H16*(1+$J$5),2)</f>
        <v>231.78</v>
      </c>
      <c r="J16" s="118">
        <f t="shared" ref="J16:J17" si="2">ROUND(I16*G16,2)</f>
        <v>225123.28</v>
      </c>
      <c r="K16" s="162"/>
    </row>
    <row r="17" spans="2:11" ht="36" x14ac:dyDescent="0.25">
      <c r="B17" s="19" t="s">
        <v>21</v>
      </c>
      <c r="C17" s="124">
        <v>6</v>
      </c>
      <c r="D17" s="15" t="s">
        <v>103</v>
      </c>
      <c r="E17" s="11" t="s">
        <v>147</v>
      </c>
      <c r="F17" s="12" t="s">
        <v>106</v>
      </c>
      <c r="G17" s="13">
        <f>ROUND(G16*0.0566,2)</f>
        <v>54.97</v>
      </c>
      <c r="H17" s="14">
        <f>cotação!H4</f>
        <v>4173.2530120481933</v>
      </c>
      <c r="I17" s="128">
        <f>ROUND(H17*(1+$J$5),2)</f>
        <v>5044.63</v>
      </c>
      <c r="J17" s="118">
        <f t="shared" si="2"/>
        <v>277303.31</v>
      </c>
      <c r="K17" s="162"/>
    </row>
    <row r="18" spans="2:11" ht="36" x14ac:dyDescent="0.25">
      <c r="B18" s="19" t="s">
        <v>98</v>
      </c>
      <c r="C18" s="124">
        <v>5914622</v>
      </c>
      <c r="D18" s="15" t="s">
        <v>104</v>
      </c>
      <c r="E18" s="11" t="s">
        <v>101</v>
      </c>
      <c r="F18" s="12" t="s">
        <v>107</v>
      </c>
      <c r="G18" s="13">
        <f>ROUND((G17+G15)*464,2)</f>
        <v>28150.880000000001</v>
      </c>
      <c r="H18" s="14">
        <v>2.21</v>
      </c>
      <c r="I18" s="128">
        <f>ROUND(H18*(1+$K$5),2)</f>
        <v>2.54</v>
      </c>
      <c r="J18" s="118">
        <f>ROUND(I18*G18,2)</f>
        <v>71503.240000000005</v>
      </c>
      <c r="K18" s="162"/>
    </row>
    <row r="19" spans="2:11" x14ac:dyDescent="0.25">
      <c r="B19" s="19" t="s">
        <v>98</v>
      </c>
      <c r="C19" s="124">
        <v>5914389</v>
      </c>
      <c r="D19" s="15" t="s">
        <v>105</v>
      </c>
      <c r="E19" s="11" t="s">
        <v>102</v>
      </c>
      <c r="F19" s="12" t="s">
        <v>107</v>
      </c>
      <c r="G19" s="13">
        <f>ROUND((G17+G16)*71.4,2)</f>
        <v>73274.25</v>
      </c>
      <c r="H19" s="14">
        <v>0.82</v>
      </c>
      <c r="I19" s="128">
        <f>ROUND(H19*(1+$K$5),2)</f>
        <v>0.94</v>
      </c>
      <c r="J19" s="118">
        <f>ROUND(I19*G19,2)</f>
        <v>68877.8</v>
      </c>
      <c r="K19" s="162"/>
    </row>
    <row r="20" spans="2:11" x14ac:dyDescent="0.25">
      <c r="B20" s="17"/>
      <c r="C20" s="10"/>
      <c r="D20" s="10" t="s">
        <v>19</v>
      </c>
      <c r="E20" s="50" t="s">
        <v>120</v>
      </c>
      <c r="F20" s="10"/>
      <c r="G20" s="117"/>
      <c r="H20" s="119"/>
      <c r="I20" s="119"/>
      <c r="J20" s="119"/>
      <c r="K20" s="18">
        <f>ROUND(SUM(J21:J26),2)</f>
        <v>8282.83</v>
      </c>
    </row>
    <row r="21" spans="2:11" ht="26.25" customHeight="1" x14ac:dyDescent="0.25">
      <c r="B21" s="19" t="s">
        <v>98</v>
      </c>
      <c r="C21" s="130">
        <v>4805749</v>
      </c>
      <c r="D21" s="131" t="s">
        <v>25</v>
      </c>
      <c r="E21" s="148" t="s">
        <v>112</v>
      </c>
      <c r="F21" s="133" t="s">
        <v>121</v>
      </c>
      <c r="G21" s="129">
        <v>59.4</v>
      </c>
      <c r="H21" s="127">
        <v>0.42</v>
      </c>
      <c r="I21" s="128">
        <f>ROUND(H21*(1+$J$5),2)</f>
        <v>0.51</v>
      </c>
      <c r="J21" s="118">
        <f>ROUND(I21*G21,2)</f>
        <v>30.29</v>
      </c>
      <c r="K21" s="181"/>
    </row>
    <row r="22" spans="2:11" ht="24" customHeight="1" x14ac:dyDescent="0.25">
      <c r="B22" s="19" t="s">
        <v>98</v>
      </c>
      <c r="C22" s="132">
        <v>4011209</v>
      </c>
      <c r="D22" s="131" t="s">
        <v>122</v>
      </c>
      <c r="E22" s="134" t="s">
        <v>132</v>
      </c>
      <c r="F22" s="133" t="s">
        <v>61</v>
      </c>
      <c r="G22" s="13">
        <v>198</v>
      </c>
      <c r="H22" s="14">
        <v>1.85</v>
      </c>
      <c r="I22" s="128">
        <f>ROUND(H22*(1+$J$5),2)</f>
        <v>2.2400000000000002</v>
      </c>
      <c r="J22" s="118">
        <f>ROUND(I22*G22,2)</f>
        <v>443.52</v>
      </c>
      <c r="K22" s="182"/>
    </row>
    <row r="23" spans="2:11" ht="27" customHeight="1" x14ac:dyDescent="0.25">
      <c r="B23" s="19" t="s">
        <v>98</v>
      </c>
      <c r="C23" s="132">
        <v>4011280</v>
      </c>
      <c r="D23" s="131" t="s">
        <v>123</v>
      </c>
      <c r="E23" s="134" t="s">
        <v>130</v>
      </c>
      <c r="F23" s="133" t="s">
        <v>121</v>
      </c>
      <c r="G23" s="13">
        <v>29.7</v>
      </c>
      <c r="H23" s="14">
        <v>96.96</v>
      </c>
      <c r="I23" s="128">
        <f t="shared" ref="I23:I25" si="3">ROUND(H23*(1+$J$5),2)</f>
        <v>117.21</v>
      </c>
      <c r="J23" s="118">
        <f t="shared" ref="J23:J26" si="4">ROUND(I23*G23,2)</f>
        <v>3481.14</v>
      </c>
      <c r="K23" s="182"/>
    </row>
    <row r="24" spans="2:11" ht="55.5" customHeight="1" x14ac:dyDescent="0.25">
      <c r="B24" s="146" t="s">
        <v>98</v>
      </c>
      <c r="C24" s="147">
        <v>5914389</v>
      </c>
      <c r="D24" s="136" t="s">
        <v>124</v>
      </c>
      <c r="E24" s="137" t="s">
        <v>128</v>
      </c>
      <c r="F24" s="138" t="s">
        <v>107</v>
      </c>
      <c r="G24" s="139">
        <v>887.04</v>
      </c>
      <c r="H24" s="140">
        <v>0</v>
      </c>
      <c r="I24" s="141">
        <f>ROUND(H24*(1+$K$5),2)</f>
        <v>0</v>
      </c>
      <c r="J24" s="141">
        <f t="shared" si="4"/>
        <v>0</v>
      </c>
      <c r="K24" s="182"/>
    </row>
    <row r="25" spans="2:11" ht="32.25" customHeight="1" x14ac:dyDescent="0.25">
      <c r="B25" s="19" t="s">
        <v>98</v>
      </c>
      <c r="C25" s="132">
        <v>4011275</v>
      </c>
      <c r="D25" s="131" t="s">
        <v>125</v>
      </c>
      <c r="E25" s="148" t="s">
        <v>129</v>
      </c>
      <c r="F25" s="133" t="s">
        <v>121</v>
      </c>
      <c r="G25" s="13">
        <v>29.7</v>
      </c>
      <c r="H25" s="14">
        <v>120.55</v>
      </c>
      <c r="I25" s="128">
        <f t="shared" si="3"/>
        <v>145.72</v>
      </c>
      <c r="J25" s="118">
        <f t="shared" si="4"/>
        <v>4327.88</v>
      </c>
      <c r="K25" s="182"/>
    </row>
    <row r="26" spans="2:11" ht="50.25" customHeight="1" x14ac:dyDescent="0.25">
      <c r="B26" s="146" t="s">
        <v>98</v>
      </c>
      <c r="C26" s="147">
        <v>5914389</v>
      </c>
      <c r="D26" s="136" t="s">
        <v>126</v>
      </c>
      <c r="E26" s="137" t="s">
        <v>128</v>
      </c>
      <c r="F26" s="138" t="s">
        <v>107</v>
      </c>
      <c r="G26" s="139">
        <v>246.51</v>
      </c>
      <c r="H26" s="140">
        <v>0</v>
      </c>
      <c r="I26" s="141">
        <f>ROUND(H26*(1+$K$5),2)</f>
        <v>0</v>
      </c>
      <c r="J26" s="141">
        <f t="shared" si="4"/>
        <v>0</v>
      </c>
      <c r="K26" s="182"/>
    </row>
    <row r="27" spans="2:11" x14ac:dyDescent="0.25">
      <c r="B27" s="17"/>
      <c r="C27" s="10"/>
      <c r="D27" s="10" t="s">
        <v>108</v>
      </c>
      <c r="E27" s="50" t="s">
        <v>111</v>
      </c>
      <c r="F27" s="10"/>
      <c r="G27" s="117"/>
      <c r="H27" s="119"/>
      <c r="I27" s="119"/>
      <c r="J27" s="119"/>
      <c r="K27" s="18">
        <f>ROUND(SUM(J28:J33),2)</f>
        <v>600992.25</v>
      </c>
    </row>
    <row r="28" spans="2:11" x14ac:dyDescent="0.25">
      <c r="B28" s="19" t="s">
        <v>98</v>
      </c>
      <c r="C28" s="126">
        <v>4011353</v>
      </c>
      <c r="D28" s="68" t="s">
        <v>109</v>
      </c>
      <c r="E28" s="121" t="s">
        <v>99</v>
      </c>
      <c r="F28" s="12" t="s">
        <v>61</v>
      </c>
      <c r="G28" s="129">
        <v>12672.64</v>
      </c>
      <c r="H28" s="127">
        <v>0.42</v>
      </c>
      <c r="I28" s="128">
        <f t="shared" ref="I28" si="5">ROUND(H28*(1+$J$5),2)</f>
        <v>0.51</v>
      </c>
      <c r="J28" s="118">
        <f t="shared" ref="J28:J29" si="6">ROUND(I28*G28,2)</f>
        <v>6463.05</v>
      </c>
      <c r="K28" s="181"/>
    </row>
    <row r="29" spans="2:11" ht="24.75" customHeight="1" x14ac:dyDescent="0.25">
      <c r="B29" s="19" t="s">
        <v>21</v>
      </c>
      <c r="C29" s="126">
        <v>7</v>
      </c>
      <c r="D29" s="68" t="s">
        <v>114</v>
      </c>
      <c r="E29" s="121" t="s">
        <v>146</v>
      </c>
      <c r="F29" s="81" t="s">
        <v>106</v>
      </c>
      <c r="G29" s="129">
        <f>ROUND((G28*0.45)/1000,2)</f>
        <v>5.7</v>
      </c>
      <c r="H29" s="127">
        <f>cotação!H3</f>
        <v>3475.5542168674701</v>
      </c>
      <c r="I29" s="128">
        <f>ROUND(H29*(1+$J$5),2)</f>
        <v>4201.25</v>
      </c>
      <c r="J29" s="118">
        <f t="shared" si="6"/>
        <v>23947.13</v>
      </c>
      <c r="K29" s="182"/>
    </row>
    <row r="30" spans="2:11" x14ac:dyDescent="0.25">
      <c r="B30" s="19" t="s">
        <v>98</v>
      </c>
      <c r="C30" s="126">
        <v>4011463</v>
      </c>
      <c r="D30" s="68" t="s">
        <v>115</v>
      </c>
      <c r="E30" s="121" t="s">
        <v>100</v>
      </c>
      <c r="F30" s="81" t="s">
        <v>106</v>
      </c>
      <c r="G30" s="1">
        <f>ROUND(G28*0.025*2.5548,2)</f>
        <v>809.4</v>
      </c>
      <c r="H30" s="127">
        <v>191.74</v>
      </c>
      <c r="I30" s="128">
        <f t="shared" ref="I30" si="7">ROUND(H30*(1+$J$5),2)</f>
        <v>231.78</v>
      </c>
      <c r="J30" s="118">
        <f>ROUND(I30*G30,2)</f>
        <v>187602.73</v>
      </c>
      <c r="K30" s="182"/>
    </row>
    <row r="31" spans="2:11" ht="36" x14ac:dyDescent="0.25">
      <c r="B31" s="19" t="s">
        <v>21</v>
      </c>
      <c r="C31" s="126">
        <v>8</v>
      </c>
      <c r="D31" s="68" t="s">
        <v>116</v>
      </c>
      <c r="E31" s="121" t="s">
        <v>147</v>
      </c>
      <c r="F31" s="81" t="s">
        <v>106</v>
      </c>
      <c r="G31" s="129">
        <f>ROUND(G30*0.06323,2)</f>
        <v>51.18</v>
      </c>
      <c r="H31" s="127">
        <f>cotação!H4</f>
        <v>4173.2530120481933</v>
      </c>
      <c r="I31" s="128">
        <f>ROUND(H31*(1+$J$5),2)</f>
        <v>5044.63</v>
      </c>
      <c r="J31" s="118">
        <f t="shared" ref="J31:J33" si="8">ROUND(I31*G31,2)</f>
        <v>258184.16</v>
      </c>
      <c r="K31" s="182"/>
    </row>
    <row r="32" spans="2:11" ht="36" x14ac:dyDescent="0.25">
      <c r="B32" s="19" t="s">
        <v>98</v>
      </c>
      <c r="C32" s="126">
        <v>5914622</v>
      </c>
      <c r="D32" s="68" t="s">
        <v>117</v>
      </c>
      <c r="E32" s="121" t="s">
        <v>101</v>
      </c>
      <c r="F32" s="12" t="s">
        <v>107</v>
      </c>
      <c r="G32" s="129">
        <f>ROUND((G29+G31)*464,2)</f>
        <v>26392.32</v>
      </c>
      <c r="H32" s="127">
        <v>2.21</v>
      </c>
      <c r="I32" s="128">
        <f>ROUND(H32*(1+$K$5),2)</f>
        <v>2.54</v>
      </c>
      <c r="J32" s="118">
        <f t="shared" si="8"/>
        <v>67036.490000000005</v>
      </c>
      <c r="K32" s="182"/>
    </row>
    <row r="33" spans="2:11" x14ac:dyDescent="0.25">
      <c r="B33" s="19" t="s">
        <v>98</v>
      </c>
      <c r="C33" s="126">
        <v>5914389</v>
      </c>
      <c r="D33" s="68" t="s">
        <v>118</v>
      </c>
      <c r="E33" s="121" t="s">
        <v>102</v>
      </c>
      <c r="F33" s="12" t="s">
        <v>107</v>
      </c>
      <c r="G33" s="129">
        <f>ROUND((G30+G31)*71.4,2)</f>
        <v>61445.41</v>
      </c>
      <c r="H33" s="127">
        <v>0.82</v>
      </c>
      <c r="I33" s="128">
        <f>ROUND(H33*(1+$K$5),2)</f>
        <v>0.94</v>
      </c>
      <c r="J33" s="118">
        <f t="shared" si="8"/>
        <v>57758.69</v>
      </c>
      <c r="K33" s="183"/>
    </row>
    <row r="34" spans="2:11" x14ac:dyDescent="0.25">
      <c r="B34" s="17"/>
      <c r="C34" s="10"/>
      <c r="D34" s="10" t="s">
        <v>113</v>
      </c>
      <c r="E34" s="50" t="s">
        <v>89</v>
      </c>
      <c r="F34" s="10"/>
      <c r="G34" s="117"/>
      <c r="H34" s="119"/>
      <c r="I34" s="119"/>
      <c r="J34" s="119"/>
      <c r="K34" s="18">
        <f>ROUND(SUM(J35:J35),2)</f>
        <v>4723.1099999999997</v>
      </c>
    </row>
    <row r="35" spans="2:11" ht="18.75" thickBot="1" x14ac:dyDescent="0.3">
      <c r="B35" s="20" t="s">
        <v>21</v>
      </c>
      <c r="C35" s="16">
        <v>9</v>
      </c>
      <c r="D35" s="124" t="s">
        <v>119</v>
      </c>
      <c r="E35" s="11" t="s">
        <v>110</v>
      </c>
      <c r="F35" s="12" t="s">
        <v>60</v>
      </c>
      <c r="G35" s="13">
        <v>71.400000000000006</v>
      </c>
      <c r="H35" s="14">
        <v>57.52</v>
      </c>
      <c r="I35" s="128">
        <f>ROUND(H35*(1+$K$5),2)</f>
        <v>66.150000000000006</v>
      </c>
      <c r="J35" s="118">
        <f t="shared" ref="J35" si="9">ROUND(I35*G35,2)</f>
        <v>4723.1099999999997</v>
      </c>
      <c r="K35" s="125"/>
    </row>
    <row r="36" spans="2:11" ht="21" thickBot="1" x14ac:dyDescent="0.35">
      <c r="B36" s="157" t="s">
        <v>20</v>
      </c>
      <c r="C36" s="158"/>
      <c r="D36" s="158"/>
      <c r="E36" s="158"/>
      <c r="F36" s="158"/>
      <c r="G36" s="158"/>
      <c r="H36" s="158"/>
      <c r="I36" s="158"/>
      <c r="J36" s="159"/>
      <c r="K36" s="113">
        <f>ROUND(SUM(K8:K35),2)</f>
        <v>1343014.69</v>
      </c>
    </row>
    <row r="37" spans="2:11" x14ac:dyDescent="0.25">
      <c r="B37" s="110"/>
      <c r="C37" s="111"/>
      <c r="D37" s="111"/>
      <c r="E37" s="111"/>
      <c r="F37" s="111"/>
      <c r="G37" s="111"/>
      <c r="H37" s="111"/>
      <c r="I37" s="111"/>
      <c r="J37" s="111" t="s">
        <v>85</v>
      </c>
      <c r="K37" s="112">
        <v>1000000</v>
      </c>
    </row>
    <row r="38" spans="2:11" x14ac:dyDescent="0.25">
      <c r="B38" s="110"/>
      <c r="C38" s="111"/>
      <c r="D38" s="111"/>
      <c r="E38" s="111"/>
      <c r="F38" s="111"/>
      <c r="G38" s="111"/>
      <c r="H38" s="111"/>
      <c r="I38" s="111"/>
      <c r="J38" s="111" t="s">
        <v>84</v>
      </c>
      <c r="K38" s="112">
        <f>K36-K37</f>
        <v>343014.68999999994</v>
      </c>
    </row>
    <row r="39" spans="2:11" x14ac:dyDescent="0.25">
      <c r="B39" s="4"/>
      <c r="K39" s="36"/>
    </row>
    <row r="40" spans="2:11" x14ac:dyDescent="0.25">
      <c r="B40" s="4"/>
      <c r="K40" s="36"/>
    </row>
    <row r="41" spans="2:11" ht="19.5" customHeight="1" thickBot="1" x14ac:dyDescent="0.35">
      <c r="B41" s="42"/>
      <c r="C41" s="41"/>
      <c r="D41" s="41"/>
      <c r="E41" s="43" t="s">
        <v>56</v>
      </c>
      <c r="F41" s="44"/>
      <c r="G41" s="44"/>
      <c r="H41" s="44"/>
      <c r="I41" s="44"/>
      <c r="J41" s="44"/>
      <c r="K41" s="36"/>
    </row>
    <row r="42" spans="2:11" ht="19.5" customHeight="1" x14ac:dyDescent="0.3">
      <c r="B42" s="42"/>
      <c r="C42" s="41"/>
      <c r="D42" s="41"/>
      <c r="E42" s="43"/>
      <c r="F42" s="41"/>
      <c r="G42" s="41"/>
      <c r="H42" s="41"/>
      <c r="I42" s="41"/>
      <c r="J42" s="41"/>
      <c r="K42" s="36"/>
    </row>
    <row r="43" spans="2:11" ht="18" customHeight="1" x14ac:dyDescent="0.3">
      <c r="B43" s="42"/>
      <c r="C43" s="41"/>
      <c r="D43" s="41"/>
      <c r="E43" s="43"/>
      <c r="F43" s="41"/>
      <c r="G43" s="41"/>
      <c r="H43" s="41"/>
      <c r="I43" s="41"/>
      <c r="J43" s="41"/>
      <c r="K43" s="36"/>
    </row>
    <row r="44" spans="2:11" ht="18" customHeight="1" thickBot="1" x14ac:dyDescent="0.35">
      <c r="B44" s="42"/>
      <c r="C44" s="41"/>
      <c r="D44" s="41"/>
      <c r="E44" s="43" t="s">
        <v>57</v>
      </c>
      <c r="F44" s="44"/>
      <c r="G44" s="44"/>
      <c r="H44" s="44"/>
      <c r="I44" s="44"/>
      <c r="J44" s="44"/>
      <c r="K44" s="36"/>
    </row>
    <row r="45" spans="2:11" ht="18" customHeight="1" x14ac:dyDescent="0.3">
      <c r="B45" s="42"/>
      <c r="C45" s="41"/>
      <c r="D45" s="41"/>
      <c r="E45" s="41"/>
      <c r="F45" s="41"/>
      <c r="G45" s="41"/>
      <c r="H45" s="41"/>
      <c r="I45" s="41"/>
      <c r="J45" s="41"/>
      <c r="K45" s="36"/>
    </row>
    <row r="46" spans="2:11" ht="20.25" thickBot="1" x14ac:dyDescent="0.35">
      <c r="B46" s="160"/>
      <c r="C46" s="161"/>
      <c r="D46" s="161"/>
      <c r="E46" s="8"/>
      <c r="F46" s="8"/>
      <c r="G46" s="8"/>
      <c r="H46" s="39"/>
      <c r="I46" s="39"/>
      <c r="J46" s="8"/>
      <c r="K46" s="40"/>
    </row>
  </sheetData>
  <mergeCells count="14">
    <mergeCell ref="B36:J36"/>
    <mergeCell ref="B46:D46"/>
    <mergeCell ref="K13:K19"/>
    <mergeCell ref="B2:K2"/>
    <mergeCell ref="F6:H6"/>
    <mergeCell ref="B4:D4"/>
    <mergeCell ref="F4:I4"/>
    <mergeCell ref="F5:I5"/>
    <mergeCell ref="J5:J6"/>
    <mergeCell ref="K5:K6"/>
    <mergeCell ref="K9:K11"/>
    <mergeCell ref="C3:G3"/>
    <mergeCell ref="K28:K33"/>
    <mergeCell ref="K21:K26"/>
  </mergeCells>
  <phoneticPr fontId="6" type="noConversion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FA11-B335-4733-A662-84BF533B8F22}">
  <sheetPr>
    <pageSetUpPr fitToPage="1"/>
  </sheetPr>
  <dimension ref="B2:J8"/>
  <sheetViews>
    <sheetView workbookViewId="0">
      <selection activeCell="B2" sqref="B2:H16"/>
    </sheetView>
  </sheetViews>
  <sheetFormatPr defaultRowHeight="15" x14ac:dyDescent="0.25"/>
  <cols>
    <col min="2" max="2" width="44.7109375" customWidth="1"/>
    <col min="4" max="4" width="26.7109375" customWidth="1"/>
    <col min="6" max="6" width="17.42578125" customWidth="1"/>
    <col min="7" max="7" width="18.7109375" customWidth="1"/>
    <col min="8" max="8" width="21.5703125" customWidth="1"/>
  </cols>
  <sheetData>
    <row r="2" spans="2:10" ht="30" x14ac:dyDescent="0.25">
      <c r="B2" s="149" t="s">
        <v>135</v>
      </c>
      <c r="C2" s="149" t="s">
        <v>136</v>
      </c>
      <c r="D2" s="149" t="s">
        <v>137</v>
      </c>
      <c r="E2" s="149" t="s">
        <v>138</v>
      </c>
      <c r="F2" s="149" t="s">
        <v>139</v>
      </c>
      <c r="G2" s="149" t="s">
        <v>140</v>
      </c>
      <c r="H2" s="149" t="s">
        <v>141</v>
      </c>
    </row>
    <row r="3" spans="2:10" ht="34.15" customHeight="1" x14ac:dyDescent="0.25">
      <c r="B3" s="150" t="str">
        <f>ORÇAMENTO!E15</f>
        <v>Emulsões asfálticas RR-2C (acrescido de 17% de ICMS + PIS/CONFIS). JAN_2026</v>
      </c>
      <c r="C3" s="151" t="s">
        <v>142</v>
      </c>
      <c r="D3" s="150" t="s">
        <v>143</v>
      </c>
      <c r="E3" s="152">
        <v>46023</v>
      </c>
      <c r="F3" s="153">
        <v>2.7922099999999999</v>
      </c>
      <c r="G3" s="154">
        <f>(F3+1.65%+7.6%)/(1-0.17)</f>
        <v>3.47555421686747</v>
      </c>
      <c r="H3" s="155">
        <f>G3*1000</f>
        <v>3475.5542168674701</v>
      </c>
      <c r="J3" t="s">
        <v>144</v>
      </c>
    </row>
    <row r="4" spans="2:10" ht="53.45" customHeight="1" x14ac:dyDescent="0.25">
      <c r="B4" s="150" t="str">
        <f>ORÇAMENTO!E17</f>
        <v>Cimentos asfálticos CAP 50/70 (acrescido de 17% de ICMS + PIS/CONFIS). JAN_2026</v>
      </c>
      <c r="C4" s="151" t="s">
        <v>142</v>
      </c>
      <c r="D4" s="150" t="s">
        <v>143</v>
      </c>
      <c r="E4" s="152">
        <v>46023</v>
      </c>
      <c r="F4" s="153">
        <v>3.3713000000000002</v>
      </c>
      <c r="G4" s="156">
        <f>(F4+1.65%+7.6%)/(1-0.17)</f>
        <v>4.1732530120481934</v>
      </c>
      <c r="H4" s="155">
        <f>G4*1000</f>
        <v>4173.2530120481933</v>
      </c>
      <c r="J4" t="s">
        <v>144</v>
      </c>
    </row>
    <row r="5" spans="2:10" x14ac:dyDescent="0.25">
      <c r="B5" s="151"/>
      <c r="C5" s="151"/>
      <c r="D5" s="151"/>
      <c r="E5" s="151"/>
      <c r="F5" s="153"/>
      <c r="G5" s="153"/>
      <c r="H5" s="155"/>
    </row>
    <row r="6" spans="2:10" x14ac:dyDescent="0.25">
      <c r="B6" s="151"/>
      <c r="C6" s="151"/>
      <c r="D6" s="151"/>
      <c r="E6" s="151"/>
      <c r="F6" s="153"/>
      <c r="G6" s="153"/>
      <c r="H6" s="155"/>
    </row>
    <row r="8" spans="2:10" x14ac:dyDescent="0.25">
      <c r="B8" t="s">
        <v>145</v>
      </c>
    </row>
  </sheetData>
  <pageMargins left="0.511811024" right="0.511811024" top="0.78740157499999996" bottom="0.78740157499999996" header="0.31496062000000002" footer="0.31496062000000002"/>
  <pageSetup paperSize="9" scale="5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D2:L43"/>
  <sheetViews>
    <sheetView zoomScale="70" zoomScaleNormal="70" workbookViewId="0">
      <selection activeCell="A25" sqref="A25"/>
    </sheetView>
  </sheetViews>
  <sheetFormatPr defaultColWidth="9.140625" defaultRowHeight="18" x14ac:dyDescent="0.25"/>
  <cols>
    <col min="1" max="3" width="9.140625" style="1"/>
    <col min="4" max="4" width="9.5703125" style="1" bestFit="1" customWidth="1"/>
    <col min="5" max="5" width="11.42578125" style="1" bestFit="1" customWidth="1"/>
    <col min="6" max="6" width="11.7109375" style="1" bestFit="1" customWidth="1"/>
    <col min="7" max="7" width="86.28515625" style="1" customWidth="1"/>
    <col min="8" max="8" width="10.85546875" style="1" bestFit="1" customWidth="1"/>
    <col min="9" max="9" width="12.85546875" style="1" customWidth="1"/>
    <col min="10" max="10" width="12.140625" style="1" customWidth="1"/>
    <col min="11" max="16384" width="9.140625" style="1"/>
  </cols>
  <sheetData>
    <row r="2" spans="4:10" ht="18.75" thickBot="1" x14ac:dyDescent="0.3"/>
    <row r="3" spans="4:10" ht="20.25" x14ac:dyDescent="0.3">
      <c r="D3" s="199" t="s">
        <v>0</v>
      </c>
      <c r="E3" s="200"/>
      <c r="F3" s="200"/>
      <c r="G3" s="200"/>
      <c r="H3" s="200"/>
      <c r="I3" s="200"/>
      <c r="J3" s="201"/>
    </row>
    <row r="4" spans="4:10" ht="36" customHeight="1" x14ac:dyDescent="0.25">
      <c r="D4" s="28" t="s">
        <v>1</v>
      </c>
      <c r="E4" s="197" t="str">
        <f>ORÇAMENTO!C3</f>
        <v>PAVIMENTAÇÃO ASFÁLTICA PARA A REVITALIZAÇÃO DAS ESTRADAS NO PERÍMETRO URBANO</v>
      </c>
      <c r="F4" s="197"/>
      <c r="G4" s="197"/>
      <c r="H4" s="197"/>
      <c r="I4" s="197"/>
      <c r="J4" s="198"/>
    </row>
    <row r="5" spans="4:10" x14ac:dyDescent="0.25">
      <c r="D5" s="186" t="s">
        <v>16</v>
      </c>
      <c r="E5" s="187"/>
      <c r="F5" s="187"/>
      <c r="G5" s="21" t="s">
        <v>6</v>
      </c>
      <c r="H5" s="192" t="str">
        <f>ORÇAMENTO!F4</f>
        <v>MARIANA A. R. FERREIRA</v>
      </c>
      <c r="I5" s="192"/>
      <c r="J5" s="193"/>
    </row>
    <row r="6" spans="4:10" ht="25.5" x14ac:dyDescent="0.25">
      <c r="D6" s="104">
        <f>ORÇAMENTO!B5</f>
        <v>46163</v>
      </c>
      <c r="E6" s="97"/>
      <c r="F6" s="97"/>
      <c r="G6" s="21" t="s">
        <v>12</v>
      </c>
      <c r="H6" s="192" t="str">
        <f>ORÇAMENTO!F5</f>
        <v>FÁBIO LUCIANO SCHAKOFSKI</v>
      </c>
      <c r="I6" s="192"/>
      <c r="J6" s="193"/>
    </row>
    <row r="7" spans="4:10" ht="18" customHeight="1" x14ac:dyDescent="0.25">
      <c r="D7" s="186" t="s">
        <v>52</v>
      </c>
      <c r="E7" s="187"/>
      <c r="F7" s="187"/>
      <c r="G7" s="21" t="s">
        <v>53</v>
      </c>
      <c r="H7" s="192" t="s">
        <v>27</v>
      </c>
      <c r="I7" s="192"/>
      <c r="J7" s="193"/>
    </row>
    <row r="8" spans="4:10" ht="25.5" x14ac:dyDescent="0.25">
      <c r="D8" s="96">
        <f>E20</f>
        <v>0.20880000000000001</v>
      </c>
      <c r="E8" s="97"/>
      <c r="F8" s="97"/>
      <c r="G8" s="21" t="s">
        <v>2</v>
      </c>
      <c r="H8" s="190" t="s">
        <v>131</v>
      </c>
      <c r="I8" s="190"/>
      <c r="J8" s="191"/>
    </row>
    <row r="9" spans="4:10" ht="18" customHeight="1" x14ac:dyDescent="0.25">
      <c r="D9" s="194" t="s">
        <v>59</v>
      </c>
      <c r="E9" s="195"/>
      <c r="F9" s="195"/>
      <c r="G9" s="195"/>
      <c r="H9" s="195"/>
      <c r="I9" s="196"/>
      <c r="J9" s="29">
        <v>0.3</v>
      </c>
    </row>
    <row r="10" spans="4:10" x14ac:dyDescent="0.25">
      <c r="D10" s="184" t="s">
        <v>26</v>
      </c>
      <c r="E10" s="185"/>
      <c r="F10" s="185"/>
      <c r="G10" s="188" t="s">
        <v>58</v>
      </c>
      <c r="H10" s="189"/>
      <c r="I10" s="21" t="s">
        <v>28</v>
      </c>
      <c r="J10" s="29">
        <v>0.03</v>
      </c>
    </row>
    <row r="11" spans="4:10" x14ac:dyDescent="0.25">
      <c r="D11" s="30" t="s">
        <v>55</v>
      </c>
      <c r="E11" s="22" t="s">
        <v>54</v>
      </c>
      <c r="F11" s="22" t="s">
        <v>30</v>
      </c>
      <c r="G11" s="10" t="s">
        <v>29</v>
      </c>
      <c r="H11" s="22" t="s">
        <v>41</v>
      </c>
      <c r="I11" s="22" t="s">
        <v>42</v>
      </c>
      <c r="J11" s="31" t="s">
        <v>43</v>
      </c>
    </row>
    <row r="12" spans="4:10" x14ac:dyDescent="0.25">
      <c r="D12" s="32" t="str">
        <f>IF(OR(E12&lt;H12,E12&gt;J12),"ERRO","OK")</f>
        <v>OK</v>
      </c>
      <c r="E12" s="37">
        <v>4.0099999999999997E-2</v>
      </c>
      <c r="F12" s="23" t="s">
        <v>31</v>
      </c>
      <c r="G12" s="11" t="s">
        <v>44</v>
      </c>
      <c r="H12" s="24">
        <v>3.7999999999999999E-2</v>
      </c>
      <c r="I12" s="24">
        <v>4.0099999999999997E-2</v>
      </c>
      <c r="J12" s="33">
        <v>4.6699999999999998E-2</v>
      </c>
    </row>
    <row r="13" spans="4:10" x14ac:dyDescent="0.25">
      <c r="D13" s="32" t="str">
        <f t="shared" ref="D13:D20" si="0">IF(OR(E13&lt;H13,E13&gt;J13),"ERRO","OK")</f>
        <v>OK</v>
      </c>
      <c r="E13" s="37">
        <v>4.0000000000000001E-3</v>
      </c>
      <c r="F13" s="23" t="s">
        <v>32</v>
      </c>
      <c r="G13" s="11" t="s">
        <v>45</v>
      </c>
      <c r="H13" s="24">
        <v>3.2000000000000002E-3</v>
      </c>
      <c r="I13" s="24">
        <v>4.0000000000000001E-3</v>
      </c>
      <c r="J13" s="33">
        <v>7.4000000000000003E-3</v>
      </c>
    </row>
    <row r="14" spans="4:10" x14ac:dyDescent="0.25">
      <c r="D14" s="32" t="str">
        <f t="shared" si="0"/>
        <v>OK</v>
      </c>
      <c r="E14" s="37">
        <v>5.5999999999999999E-3</v>
      </c>
      <c r="F14" s="23" t="s">
        <v>33</v>
      </c>
      <c r="G14" s="11" t="s">
        <v>46</v>
      </c>
      <c r="H14" s="24">
        <v>5.0000000000000001E-3</v>
      </c>
      <c r="I14" s="24">
        <v>5.5999999999999999E-3</v>
      </c>
      <c r="J14" s="33">
        <v>9.7000000000000003E-3</v>
      </c>
    </row>
    <row r="15" spans="4:10" x14ac:dyDescent="0.25">
      <c r="D15" s="32" t="str">
        <f t="shared" si="0"/>
        <v>OK</v>
      </c>
      <c r="E15" s="37">
        <v>1.11E-2</v>
      </c>
      <c r="F15" s="23" t="s">
        <v>34</v>
      </c>
      <c r="G15" s="11" t="s">
        <v>47</v>
      </c>
      <c r="H15" s="24">
        <v>1.0200000000000001E-2</v>
      </c>
      <c r="I15" s="24">
        <v>1.11E-2</v>
      </c>
      <c r="J15" s="33">
        <v>1.21E-2</v>
      </c>
    </row>
    <row r="16" spans="4:10" x14ac:dyDescent="0.25">
      <c r="D16" s="32" t="str">
        <f t="shared" si="0"/>
        <v>OK</v>
      </c>
      <c r="E16" s="37">
        <v>8.0299999999999996E-2</v>
      </c>
      <c r="F16" s="23" t="s">
        <v>35</v>
      </c>
      <c r="G16" s="11" t="s">
        <v>48</v>
      </c>
      <c r="H16" s="24">
        <v>6.6400000000000001E-2</v>
      </c>
      <c r="I16" s="24">
        <v>7.2999999999999995E-2</v>
      </c>
      <c r="J16" s="33">
        <v>8.6900000000000005E-2</v>
      </c>
    </row>
    <row r="17" spans="4:10" x14ac:dyDescent="0.25">
      <c r="D17" s="32" t="str">
        <f t="shared" si="0"/>
        <v>OK</v>
      </c>
      <c r="E17" s="37">
        <v>3.6499999999999998E-2</v>
      </c>
      <c r="F17" s="23" t="s">
        <v>36</v>
      </c>
      <c r="G17" s="11" t="s">
        <v>49</v>
      </c>
      <c r="H17" s="24">
        <v>3.6499999999999998E-2</v>
      </c>
      <c r="I17" s="24">
        <v>3.6499999999999998E-2</v>
      </c>
      <c r="J17" s="33">
        <v>3.6499999999999998E-2</v>
      </c>
    </row>
    <row r="18" spans="4:10" x14ac:dyDescent="0.25">
      <c r="D18" s="32" t="str">
        <f t="shared" si="0"/>
        <v>OK</v>
      </c>
      <c r="E18" s="37">
        <v>1.4999999999999999E-2</v>
      </c>
      <c r="F18" s="23" t="s">
        <v>37</v>
      </c>
      <c r="G18" s="11" t="s">
        <v>50</v>
      </c>
      <c r="H18" s="24">
        <v>0</v>
      </c>
      <c r="I18" s="24">
        <v>2.5000000000000001E-2</v>
      </c>
      <c r="J18" s="33">
        <v>0.05</v>
      </c>
    </row>
    <row r="19" spans="4:10" x14ac:dyDescent="0.25">
      <c r="D19" s="32" t="str">
        <f t="shared" si="0"/>
        <v>OK</v>
      </c>
      <c r="E19" s="37">
        <v>0</v>
      </c>
      <c r="F19" s="23" t="s">
        <v>38</v>
      </c>
      <c r="G19" s="11" t="s">
        <v>51</v>
      </c>
      <c r="H19" s="24">
        <v>0</v>
      </c>
      <c r="I19" s="24">
        <v>4.4999999999999998E-2</v>
      </c>
      <c r="J19" s="33">
        <v>4.4999999999999998E-2</v>
      </c>
    </row>
    <row r="20" spans="4:10" ht="20.25" x14ac:dyDescent="0.3">
      <c r="D20" s="34" t="str">
        <f t="shared" si="0"/>
        <v>OK</v>
      </c>
      <c r="E20" s="38">
        <f>ROUND((((1+E12+E13+E14)*(1+E15)*(1+E16))/(1-E17-E18))-1,4)</f>
        <v>0.20880000000000001</v>
      </c>
      <c r="F20" s="25" t="s">
        <v>39</v>
      </c>
      <c r="G20" s="26" t="s">
        <v>40</v>
      </c>
      <c r="H20" s="27">
        <v>0.19600000000000001</v>
      </c>
      <c r="I20" s="27">
        <v>0.2097</v>
      </c>
      <c r="J20" s="35">
        <v>0.24229999999999999</v>
      </c>
    </row>
    <row r="21" spans="4:10" x14ac:dyDescent="0.25">
      <c r="D21" s="4"/>
      <c r="J21" s="36"/>
    </row>
    <row r="22" spans="4:10" x14ac:dyDescent="0.25">
      <c r="D22" s="4"/>
      <c r="J22" s="36"/>
    </row>
    <row r="23" spans="4:10" x14ac:dyDescent="0.25">
      <c r="D23" s="4"/>
      <c r="J23" s="36"/>
    </row>
    <row r="24" spans="4:10" x14ac:dyDescent="0.25">
      <c r="D24" s="4"/>
      <c r="J24" s="36"/>
    </row>
    <row r="25" spans="4:10" x14ac:dyDescent="0.25">
      <c r="D25" s="4"/>
      <c r="J25" s="36"/>
    </row>
    <row r="26" spans="4:10" x14ac:dyDescent="0.25">
      <c r="D26" s="4"/>
      <c r="J26" s="36"/>
    </row>
    <row r="27" spans="4:10" x14ac:dyDescent="0.25">
      <c r="D27" s="4"/>
      <c r="J27" s="36"/>
    </row>
    <row r="28" spans="4:10" x14ac:dyDescent="0.25">
      <c r="D28" s="4"/>
      <c r="J28" s="36"/>
    </row>
    <row r="29" spans="4:10" x14ac:dyDescent="0.25">
      <c r="D29" s="4"/>
      <c r="J29" s="36"/>
    </row>
    <row r="30" spans="4:10" x14ac:dyDescent="0.25">
      <c r="D30" s="4"/>
      <c r="J30" s="36"/>
    </row>
    <row r="31" spans="4:10" x14ac:dyDescent="0.25">
      <c r="D31" s="4"/>
      <c r="J31" s="36"/>
    </row>
    <row r="32" spans="4:10" x14ac:dyDescent="0.25">
      <c r="D32" s="4"/>
      <c r="J32" s="36"/>
    </row>
    <row r="33" spans="4:12" x14ac:dyDescent="0.25">
      <c r="D33" s="4"/>
      <c r="J33" s="36"/>
    </row>
    <row r="34" spans="4:12" x14ac:dyDescent="0.25">
      <c r="D34" s="4"/>
      <c r="J34" s="36"/>
    </row>
    <row r="35" spans="4:12" x14ac:dyDescent="0.25">
      <c r="D35" s="4"/>
      <c r="J35" s="36"/>
    </row>
    <row r="36" spans="4:12" x14ac:dyDescent="0.25">
      <c r="D36" s="4"/>
      <c r="J36" s="36"/>
    </row>
    <row r="37" spans="4:12" x14ac:dyDescent="0.25">
      <c r="D37" s="4"/>
      <c r="J37" s="36"/>
    </row>
    <row r="38" spans="4:12" ht="20.25" thickBot="1" x14ac:dyDescent="0.35">
      <c r="D38" s="4"/>
      <c r="G38" s="43" t="s">
        <v>56</v>
      </c>
      <c r="H38" s="44"/>
      <c r="I38" s="44"/>
      <c r="J38" s="45"/>
      <c r="K38" s="41"/>
      <c r="L38" s="41"/>
    </row>
    <row r="39" spans="4:12" ht="19.5" x14ac:dyDescent="0.3">
      <c r="D39" s="4"/>
      <c r="G39" s="43"/>
      <c r="H39" s="41"/>
      <c r="I39" s="41"/>
      <c r="J39" s="46"/>
      <c r="K39" s="41"/>
      <c r="L39" s="41"/>
    </row>
    <row r="40" spans="4:12" ht="19.5" x14ac:dyDescent="0.3">
      <c r="D40" s="4"/>
      <c r="G40" s="43"/>
      <c r="H40" s="41"/>
      <c r="I40" s="41"/>
      <c r="J40" s="46"/>
      <c r="K40" s="41"/>
      <c r="L40" s="41"/>
    </row>
    <row r="41" spans="4:12" ht="20.25" thickBot="1" x14ac:dyDescent="0.35">
      <c r="D41" s="4"/>
      <c r="G41" s="43" t="s">
        <v>57</v>
      </c>
      <c r="H41" s="44"/>
      <c r="I41" s="44"/>
      <c r="J41" s="45"/>
      <c r="K41" s="41"/>
      <c r="L41" s="41"/>
    </row>
    <row r="42" spans="4:12" x14ac:dyDescent="0.25">
      <c r="D42" s="4"/>
      <c r="J42" s="36"/>
    </row>
    <row r="43" spans="4:12" ht="18.75" thickBot="1" x14ac:dyDescent="0.3">
      <c r="D43" s="7"/>
      <c r="E43" s="8"/>
      <c r="F43" s="8"/>
      <c r="G43" s="8"/>
      <c r="H43" s="8"/>
      <c r="I43" s="8"/>
      <c r="J43" s="40"/>
    </row>
  </sheetData>
  <mergeCells count="11">
    <mergeCell ref="E4:J4"/>
    <mergeCell ref="D3:J3"/>
    <mergeCell ref="H5:J5"/>
    <mergeCell ref="H7:J7"/>
    <mergeCell ref="D5:F5"/>
    <mergeCell ref="D10:F10"/>
    <mergeCell ref="D7:F7"/>
    <mergeCell ref="G10:H10"/>
    <mergeCell ref="H8:J8"/>
    <mergeCell ref="H6:J6"/>
    <mergeCell ref="D9:I9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D2:L43"/>
  <sheetViews>
    <sheetView tabSelected="1" zoomScale="70" zoomScaleNormal="70" workbookViewId="0">
      <selection activeCell="D9" sqref="D9:I9"/>
    </sheetView>
  </sheetViews>
  <sheetFormatPr defaultColWidth="9.140625" defaultRowHeight="18" x14ac:dyDescent="0.25"/>
  <cols>
    <col min="1" max="3" width="9.140625" style="1"/>
    <col min="4" max="4" width="9.5703125" style="1" bestFit="1" customWidth="1"/>
    <col min="5" max="5" width="11.42578125" style="1" bestFit="1" customWidth="1"/>
    <col min="6" max="6" width="11.7109375" style="1" bestFit="1" customWidth="1"/>
    <col min="7" max="7" width="86.28515625" style="1" customWidth="1"/>
    <col min="8" max="8" width="10.85546875" style="1" bestFit="1" customWidth="1"/>
    <col min="9" max="9" width="12.85546875" style="1" customWidth="1"/>
    <col min="10" max="10" width="12.140625" style="1" customWidth="1"/>
    <col min="11" max="16384" width="9.140625" style="1"/>
  </cols>
  <sheetData>
    <row r="2" spans="4:10" ht="18.75" thickBot="1" x14ac:dyDescent="0.3"/>
    <row r="3" spans="4:10" ht="20.25" x14ac:dyDescent="0.3">
      <c r="D3" s="199" t="s">
        <v>0</v>
      </c>
      <c r="E3" s="200"/>
      <c r="F3" s="200"/>
      <c r="G3" s="200"/>
      <c r="H3" s="200"/>
      <c r="I3" s="200"/>
      <c r="J3" s="201"/>
    </row>
    <row r="4" spans="4:10" ht="36" customHeight="1" x14ac:dyDescent="0.25">
      <c r="D4" s="28" t="s">
        <v>1</v>
      </c>
      <c r="E4" s="197" t="str">
        <f>ORÇAMENTO!C3</f>
        <v>PAVIMENTAÇÃO ASFÁLTICA PARA A REVITALIZAÇÃO DAS ESTRADAS NO PERÍMETRO URBANO</v>
      </c>
      <c r="F4" s="197"/>
      <c r="G4" s="197"/>
      <c r="H4" s="197"/>
      <c r="I4" s="197"/>
      <c r="J4" s="198"/>
    </row>
    <row r="5" spans="4:10" x14ac:dyDescent="0.25">
      <c r="D5" s="186" t="s">
        <v>16</v>
      </c>
      <c r="E5" s="187"/>
      <c r="F5" s="187"/>
      <c r="G5" s="21" t="s">
        <v>6</v>
      </c>
      <c r="H5" s="192" t="str">
        <f>ORÇAMENTO!F4</f>
        <v>MARIANA A. R. FERREIRA</v>
      </c>
      <c r="I5" s="192"/>
      <c r="J5" s="193"/>
    </row>
    <row r="6" spans="4:10" ht="25.5" x14ac:dyDescent="0.25">
      <c r="D6" s="104">
        <f>ORÇAMENTO!B5</f>
        <v>46163</v>
      </c>
      <c r="E6" s="97"/>
      <c r="F6" s="97"/>
      <c r="G6" s="21" t="s">
        <v>12</v>
      </c>
      <c r="H6" s="192" t="str">
        <f>ORÇAMENTO!F5</f>
        <v>FÁBIO LUCIANO SCHAKOFSKI</v>
      </c>
      <c r="I6" s="192"/>
      <c r="J6" s="193"/>
    </row>
    <row r="7" spans="4:10" ht="18" customHeight="1" x14ac:dyDescent="0.25">
      <c r="D7" s="186" t="s">
        <v>52</v>
      </c>
      <c r="E7" s="187"/>
      <c r="F7" s="187"/>
      <c r="G7" s="21" t="s">
        <v>53</v>
      </c>
      <c r="H7" s="192" t="s">
        <v>27</v>
      </c>
      <c r="I7" s="192"/>
      <c r="J7" s="193"/>
    </row>
    <row r="8" spans="4:10" ht="25.5" x14ac:dyDescent="0.25">
      <c r="D8" s="96">
        <f>E20</f>
        <v>0.15</v>
      </c>
      <c r="E8" s="97"/>
      <c r="F8" s="97"/>
      <c r="G8" s="21" t="s">
        <v>2</v>
      </c>
      <c r="H8" s="190" t="s">
        <v>131</v>
      </c>
      <c r="I8" s="190"/>
      <c r="J8" s="191"/>
    </row>
    <row r="9" spans="4:10" ht="18" customHeight="1" x14ac:dyDescent="0.25">
      <c r="D9" s="194" t="s">
        <v>59</v>
      </c>
      <c r="E9" s="195"/>
      <c r="F9" s="195"/>
      <c r="G9" s="195"/>
      <c r="H9" s="195"/>
      <c r="I9" s="196"/>
      <c r="J9" s="29">
        <v>0.3</v>
      </c>
    </row>
    <row r="10" spans="4:10" x14ac:dyDescent="0.25">
      <c r="D10" s="184" t="s">
        <v>26</v>
      </c>
      <c r="E10" s="185"/>
      <c r="F10" s="185"/>
      <c r="G10" s="188" t="s">
        <v>58</v>
      </c>
      <c r="H10" s="189"/>
      <c r="I10" s="21" t="s">
        <v>28</v>
      </c>
      <c r="J10" s="29">
        <v>0.03</v>
      </c>
    </row>
    <row r="11" spans="4:10" x14ac:dyDescent="0.25">
      <c r="D11" s="30" t="s">
        <v>55</v>
      </c>
      <c r="E11" s="22" t="s">
        <v>54</v>
      </c>
      <c r="F11" s="22" t="s">
        <v>30</v>
      </c>
      <c r="G11" s="10" t="s">
        <v>29</v>
      </c>
      <c r="H11" s="22" t="s">
        <v>41</v>
      </c>
      <c r="I11" s="22" t="s">
        <v>42</v>
      </c>
      <c r="J11" s="31" t="s">
        <v>43</v>
      </c>
    </row>
    <row r="12" spans="4:10" x14ac:dyDescent="0.25">
      <c r="D12" s="32" t="str">
        <f>IF(OR(E12&lt;H12,E12&gt;J12),"ERRO","OK")</f>
        <v>OK</v>
      </c>
      <c r="E12" s="37">
        <v>1.9900000000000001E-2</v>
      </c>
      <c r="F12" s="23" t="s">
        <v>31</v>
      </c>
      <c r="G12" s="11" t="s">
        <v>44</v>
      </c>
      <c r="H12" s="24">
        <v>1.4999999999999999E-2</v>
      </c>
      <c r="I12" s="24">
        <v>3.4500000000000003E-2</v>
      </c>
      <c r="J12" s="33">
        <v>4.4900000000000002E-2</v>
      </c>
    </row>
    <row r="13" spans="4:10" x14ac:dyDescent="0.25">
      <c r="D13" s="32" t="str">
        <f t="shared" ref="D13:D20" si="0">IF(OR(E13&lt;H13,E13&gt;J13),"ERRO","OK")</f>
        <v>OK</v>
      </c>
      <c r="E13" s="37">
        <v>3.0000000000000001E-3</v>
      </c>
      <c r="F13" s="23" t="s">
        <v>32</v>
      </c>
      <c r="G13" s="11" t="s">
        <v>45</v>
      </c>
      <c r="H13" s="24">
        <v>3.0000000000000001E-3</v>
      </c>
      <c r="I13" s="24">
        <v>4.7999999999999996E-3</v>
      </c>
      <c r="J13" s="33">
        <v>8.2000000000000007E-3</v>
      </c>
    </row>
    <row r="14" spans="4:10" x14ac:dyDescent="0.25">
      <c r="D14" s="32" t="str">
        <f t="shared" si="0"/>
        <v>OK</v>
      </c>
      <c r="E14" s="37">
        <v>5.5999999999999999E-3</v>
      </c>
      <c r="F14" s="23" t="s">
        <v>33</v>
      </c>
      <c r="G14" s="11" t="s">
        <v>46</v>
      </c>
      <c r="H14" s="24">
        <v>5.5999999999999999E-3</v>
      </c>
      <c r="I14" s="24">
        <v>8.5000000000000006E-3</v>
      </c>
      <c r="J14" s="33">
        <v>8.8999999999999999E-3</v>
      </c>
    </row>
    <row r="15" spans="4:10" x14ac:dyDescent="0.25">
      <c r="D15" s="32" t="str">
        <f t="shared" si="0"/>
        <v>OK</v>
      </c>
      <c r="E15" s="37">
        <v>8.5000000000000006E-3</v>
      </c>
      <c r="F15" s="23" t="s">
        <v>34</v>
      </c>
      <c r="G15" s="11" t="s">
        <v>47</v>
      </c>
      <c r="H15" s="24">
        <v>8.5000000000000006E-3</v>
      </c>
      <c r="I15" s="24">
        <v>8.5000000000000006E-3</v>
      </c>
      <c r="J15" s="33">
        <v>1.11E-2</v>
      </c>
    </row>
    <row r="16" spans="4:10" x14ac:dyDescent="0.25">
      <c r="D16" s="32" t="str">
        <f t="shared" si="0"/>
        <v>OK</v>
      </c>
      <c r="E16" s="37">
        <v>3.5000000000000003E-2</v>
      </c>
      <c r="F16" s="23" t="s">
        <v>35</v>
      </c>
      <c r="G16" s="11" t="s">
        <v>48</v>
      </c>
      <c r="H16" s="24">
        <v>3.5000000000000003E-2</v>
      </c>
      <c r="I16" s="24">
        <v>5.11E-2</v>
      </c>
      <c r="J16" s="33">
        <v>6.2199999999999998E-2</v>
      </c>
    </row>
    <row r="17" spans="4:10" x14ac:dyDescent="0.25">
      <c r="D17" s="32" t="str">
        <f t="shared" si="0"/>
        <v>OK</v>
      </c>
      <c r="E17" s="37">
        <v>3.6499999999999998E-2</v>
      </c>
      <c r="F17" s="23" t="s">
        <v>36</v>
      </c>
      <c r="G17" s="11" t="s">
        <v>49</v>
      </c>
      <c r="H17" s="24">
        <v>3.6499999999999998E-2</v>
      </c>
      <c r="I17" s="24">
        <v>3.6499999999999998E-2</v>
      </c>
      <c r="J17" s="33">
        <v>3.6499999999999998E-2</v>
      </c>
    </row>
    <row r="18" spans="4:10" x14ac:dyDescent="0.25">
      <c r="D18" s="32" t="str">
        <f t="shared" si="0"/>
        <v>OK</v>
      </c>
      <c r="E18" s="37">
        <v>0.03</v>
      </c>
      <c r="F18" s="23" t="s">
        <v>37</v>
      </c>
      <c r="G18" s="11" t="s">
        <v>50</v>
      </c>
      <c r="H18" s="24">
        <v>0</v>
      </c>
      <c r="I18" s="24">
        <v>2.5000000000000001E-2</v>
      </c>
      <c r="J18" s="33">
        <v>0.05</v>
      </c>
    </row>
    <row r="19" spans="4:10" x14ac:dyDescent="0.25">
      <c r="D19" s="32" t="str">
        <f t="shared" si="0"/>
        <v>OK</v>
      </c>
      <c r="E19" s="37">
        <v>0</v>
      </c>
      <c r="F19" s="23" t="s">
        <v>38</v>
      </c>
      <c r="G19" s="11" t="s">
        <v>51</v>
      </c>
      <c r="H19" s="24">
        <v>0</v>
      </c>
      <c r="I19" s="24">
        <v>4.4999999999999998E-2</v>
      </c>
      <c r="J19" s="33">
        <v>4.4999999999999998E-2</v>
      </c>
    </row>
    <row r="20" spans="4:10" ht="20.25" x14ac:dyDescent="0.3">
      <c r="D20" s="34" t="str">
        <f t="shared" si="0"/>
        <v>OK</v>
      </c>
      <c r="E20" s="38">
        <f>ROUND((((1+E12+E13+E14)*(1+E15)*(1+E16))/(1-E17-E18))-1,4)</f>
        <v>0.15</v>
      </c>
      <c r="F20" s="25" t="s">
        <v>39</v>
      </c>
      <c r="G20" s="26" t="s">
        <v>40</v>
      </c>
      <c r="H20" s="27">
        <v>0.111</v>
      </c>
      <c r="I20" s="27">
        <v>0.14019999999999999</v>
      </c>
      <c r="J20" s="35">
        <v>0.16800000000000001</v>
      </c>
    </row>
    <row r="21" spans="4:10" x14ac:dyDescent="0.25">
      <c r="D21" s="4"/>
      <c r="J21" s="36"/>
    </row>
    <row r="22" spans="4:10" x14ac:dyDescent="0.25">
      <c r="D22" s="4"/>
      <c r="J22" s="36"/>
    </row>
    <row r="23" spans="4:10" x14ac:dyDescent="0.25">
      <c r="D23" s="4"/>
      <c r="J23" s="36"/>
    </row>
    <row r="24" spans="4:10" x14ac:dyDescent="0.25">
      <c r="D24" s="4"/>
      <c r="J24" s="36"/>
    </row>
    <row r="25" spans="4:10" x14ac:dyDescent="0.25">
      <c r="D25" s="4"/>
      <c r="J25" s="36"/>
    </row>
    <row r="26" spans="4:10" x14ac:dyDescent="0.25">
      <c r="D26" s="4"/>
      <c r="J26" s="36"/>
    </row>
    <row r="27" spans="4:10" x14ac:dyDescent="0.25">
      <c r="D27" s="4"/>
      <c r="J27" s="36"/>
    </row>
    <row r="28" spans="4:10" x14ac:dyDescent="0.25">
      <c r="D28" s="4"/>
      <c r="J28" s="36"/>
    </row>
    <row r="29" spans="4:10" x14ac:dyDescent="0.25">
      <c r="D29" s="4"/>
      <c r="J29" s="36"/>
    </row>
    <row r="30" spans="4:10" x14ac:dyDescent="0.25">
      <c r="D30" s="4"/>
      <c r="J30" s="36"/>
    </row>
    <row r="31" spans="4:10" x14ac:dyDescent="0.25">
      <c r="D31" s="4"/>
      <c r="J31" s="36"/>
    </row>
    <row r="32" spans="4:10" x14ac:dyDescent="0.25">
      <c r="D32" s="4"/>
      <c r="J32" s="36"/>
    </row>
    <row r="33" spans="4:12" x14ac:dyDescent="0.25">
      <c r="D33" s="4"/>
      <c r="J33" s="36"/>
    </row>
    <row r="34" spans="4:12" x14ac:dyDescent="0.25">
      <c r="D34" s="4"/>
      <c r="J34" s="36"/>
    </row>
    <row r="35" spans="4:12" x14ac:dyDescent="0.25">
      <c r="D35" s="4"/>
      <c r="J35" s="36"/>
    </row>
    <row r="36" spans="4:12" x14ac:dyDescent="0.25">
      <c r="D36" s="4"/>
      <c r="J36" s="36"/>
    </row>
    <row r="37" spans="4:12" x14ac:dyDescent="0.25">
      <c r="D37" s="4"/>
      <c r="J37" s="36"/>
    </row>
    <row r="38" spans="4:12" ht="20.25" thickBot="1" x14ac:dyDescent="0.35">
      <c r="D38" s="4"/>
      <c r="G38" s="43" t="s">
        <v>56</v>
      </c>
      <c r="H38" s="44"/>
      <c r="I38" s="44"/>
      <c r="J38" s="45"/>
      <c r="K38" s="41"/>
      <c r="L38" s="41"/>
    </row>
    <row r="39" spans="4:12" ht="19.5" x14ac:dyDescent="0.3">
      <c r="D39" s="4"/>
      <c r="G39" s="43"/>
      <c r="H39" s="41"/>
      <c r="I39" s="41"/>
      <c r="J39" s="46"/>
      <c r="K39" s="41"/>
      <c r="L39" s="41"/>
    </row>
    <row r="40" spans="4:12" ht="19.5" x14ac:dyDescent="0.3">
      <c r="D40" s="4"/>
      <c r="G40" s="43"/>
      <c r="H40" s="41"/>
      <c r="I40" s="41"/>
      <c r="J40" s="46"/>
      <c r="K40" s="41"/>
      <c r="L40" s="41"/>
    </row>
    <row r="41" spans="4:12" ht="20.25" thickBot="1" x14ac:dyDescent="0.35">
      <c r="D41" s="4"/>
      <c r="G41" s="43" t="s">
        <v>57</v>
      </c>
      <c r="H41" s="44"/>
      <c r="I41" s="44"/>
      <c r="J41" s="45"/>
      <c r="K41" s="41"/>
      <c r="L41" s="41"/>
    </row>
    <row r="42" spans="4:12" x14ac:dyDescent="0.25">
      <c r="D42" s="4"/>
      <c r="J42" s="36"/>
    </row>
    <row r="43" spans="4:12" ht="18.75" thickBot="1" x14ac:dyDescent="0.3">
      <c r="D43" s="7"/>
      <c r="E43" s="8"/>
      <c r="F43" s="8"/>
      <c r="G43" s="8"/>
      <c r="H43" s="8"/>
      <c r="I43" s="8"/>
      <c r="J43" s="40"/>
    </row>
  </sheetData>
  <mergeCells count="11">
    <mergeCell ref="H8:J8"/>
    <mergeCell ref="D9:I9"/>
    <mergeCell ref="D10:F10"/>
    <mergeCell ref="G10:H10"/>
    <mergeCell ref="D3:J3"/>
    <mergeCell ref="E4:J4"/>
    <mergeCell ref="D5:F5"/>
    <mergeCell ref="H5:J5"/>
    <mergeCell ref="H6:J6"/>
    <mergeCell ref="D7:F7"/>
    <mergeCell ref="H7:J7"/>
  </mergeCells>
  <pageMargins left="0.511811024" right="0.511811024" top="0.78740157499999996" bottom="0.78740157499999996" header="0.31496062000000002" footer="0.31496062000000002"/>
  <pageSetup paperSize="9" scale="5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C2:T45"/>
  <sheetViews>
    <sheetView zoomScale="70" zoomScaleNormal="70" workbookViewId="0">
      <selection activeCell="K40" sqref="K40"/>
    </sheetView>
  </sheetViews>
  <sheetFormatPr defaultColWidth="9.140625" defaultRowHeight="16.5" x14ac:dyDescent="0.3"/>
  <cols>
    <col min="1" max="2" width="9.140625" style="51"/>
    <col min="3" max="3" width="8.5703125" style="51" bestFit="1" customWidth="1"/>
    <col min="4" max="4" width="76.140625" style="51" customWidth="1"/>
    <col min="5" max="5" width="19.140625" style="51" bestFit="1" customWidth="1"/>
    <col min="6" max="9" width="19.5703125" style="51" customWidth="1"/>
    <col min="10" max="10" width="20.42578125" style="51" bestFit="1" customWidth="1"/>
    <col min="11" max="11" width="20.140625" style="51" bestFit="1" customWidth="1"/>
    <col min="12" max="12" width="9.140625" style="51" bestFit="1" customWidth="1"/>
    <col min="13" max="13" width="10.7109375" style="51" bestFit="1" customWidth="1"/>
    <col min="14" max="14" width="20.140625" style="51" bestFit="1" customWidth="1"/>
    <col min="15" max="15" width="9.140625" style="51" bestFit="1" customWidth="1"/>
    <col min="16" max="16" width="10.7109375" style="51" bestFit="1" customWidth="1"/>
    <col min="17" max="19" width="17.140625" style="51" bestFit="1" customWidth="1"/>
    <col min="20" max="16384" width="9.140625" style="51"/>
  </cols>
  <sheetData>
    <row r="2" spans="3:20" ht="17.25" thickBot="1" x14ac:dyDescent="0.35"/>
    <row r="3" spans="3:20" ht="20.25" x14ac:dyDescent="0.3">
      <c r="C3" s="199" t="s">
        <v>0</v>
      </c>
      <c r="D3" s="200"/>
      <c r="E3" s="200"/>
      <c r="F3" s="200"/>
      <c r="G3" s="200"/>
      <c r="H3" s="200"/>
      <c r="I3" s="200"/>
      <c r="J3" s="200"/>
      <c r="K3" s="200"/>
      <c r="L3" s="200"/>
      <c r="M3" s="201"/>
      <c r="N3" s="52"/>
      <c r="O3" s="52"/>
      <c r="P3" s="52"/>
      <c r="Q3" s="52"/>
      <c r="R3" s="52"/>
      <c r="S3" s="53"/>
      <c r="T3" s="53"/>
    </row>
    <row r="4" spans="3:20" ht="36.75" customHeight="1" x14ac:dyDescent="0.3">
      <c r="C4" s="28" t="s">
        <v>1</v>
      </c>
      <c r="D4" s="197" t="str">
        <f>ORÇAMENTO!C3</f>
        <v>PAVIMENTAÇÃO ASFÁLTICA PARA A REVITALIZAÇÃO DAS ESTRADAS NO PERÍMETRO URBANO</v>
      </c>
      <c r="E4" s="197"/>
      <c r="F4" s="197"/>
      <c r="G4" s="197"/>
      <c r="H4" s="197"/>
      <c r="I4" s="197"/>
      <c r="J4" s="197"/>
      <c r="K4" s="197"/>
      <c r="L4" s="197"/>
      <c r="M4" s="198"/>
      <c r="N4" s="52"/>
      <c r="O4" s="52"/>
      <c r="P4" s="52"/>
      <c r="Q4" s="52"/>
      <c r="R4" s="52"/>
      <c r="S4" s="53"/>
      <c r="T4" s="53"/>
    </row>
    <row r="5" spans="3:20" ht="18.75" customHeight="1" x14ac:dyDescent="0.3">
      <c r="C5" s="184" t="s">
        <v>64</v>
      </c>
      <c r="D5" s="185"/>
      <c r="E5" s="185"/>
      <c r="F5" s="54" t="str">
        <f>ORÇAMENTO!F4:I4</f>
        <v>MARIANA A. R. FERREIRA</v>
      </c>
      <c r="G5" s="55"/>
      <c r="H5" s="55"/>
      <c r="I5" s="55"/>
      <c r="J5" s="55"/>
      <c r="K5" s="55"/>
      <c r="L5" s="55"/>
      <c r="M5" s="56"/>
      <c r="N5" s="52"/>
      <c r="O5" s="52"/>
      <c r="P5" s="52"/>
      <c r="Q5" s="52"/>
      <c r="R5" s="52"/>
      <c r="S5" s="53"/>
      <c r="T5" s="53"/>
    </row>
    <row r="6" spans="3:20" ht="18.75" customHeight="1" x14ac:dyDescent="0.3">
      <c r="C6" s="184" t="s">
        <v>65</v>
      </c>
      <c r="D6" s="185"/>
      <c r="E6" s="185"/>
      <c r="F6" s="170" t="str">
        <f>ORÇAMENTO!F5:I5</f>
        <v>FÁBIO LUCIANO SCHAKOFSKI</v>
      </c>
      <c r="G6" s="171"/>
      <c r="H6" s="171"/>
      <c r="I6" s="171"/>
      <c r="J6" s="171"/>
      <c r="K6" s="171"/>
      <c r="L6" s="171"/>
      <c r="M6" s="205"/>
      <c r="N6" s="52"/>
      <c r="O6" s="52"/>
      <c r="P6" s="52"/>
      <c r="Q6" s="52"/>
      <c r="R6" s="52"/>
      <c r="S6" s="53"/>
      <c r="T6" s="53"/>
    </row>
    <row r="7" spans="3:20" ht="19.5" customHeight="1" x14ac:dyDescent="0.3">
      <c r="C7" s="184" t="s">
        <v>66</v>
      </c>
      <c r="D7" s="185"/>
      <c r="E7" s="185"/>
      <c r="F7" s="105">
        <f>ORÇAMENTO!B5</f>
        <v>46163</v>
      </c>
      <c r="G7" s="120"/>
      <c r="H7" s="120"/>
      <c r="I7" s="120"/>
      <c r="J7" s="106"/>
      <c r="K7" s="106"/>
      <c r="L7" s="106"/>
      <c r="M7" s="107"/>
      <c r="N7" s="52"/>
      <c r="O7" s="52"/>
      <c r="P7" s="52"/>
      <c r="Q7" s="52"/>
      <c r="R7" s="52"/>
      <c r="S7" s="53"/>
      <c r="T7" s="53"/>
    </row>
    <row r="8" spans="3:20" ht="19.5" customHeight="1" x14ac:dyDescent="0.3">
      <c r="C8" s="57"/>
      <c r="D8" s="58"/>
      <c r="E8" s="58"/>
      <c r="F8" s="58"/>
      <c r="G8" s="58"/>
      <c r="H8" s="58"/>
      <c r="I8" s="58"/>
      <c r="J8" s="58"/>
      <c r="K8" s="58"/>
      <c r="L8" s="58"/>
      <c r="M8" s="59"/>
      <c r="N8" s="58"/>
      <c r="O8" s="60"/>
      <c r="P8" s="60"/>
      <c r="Q8" s="60"/>
      <c r="R8" s="60"/>
      <c r="S8" s="53"/>
      <c r="T8" s="53"/>
    </row>
    <row r="9" spans="3:20" ht="18.75" x14ac:dyDescent="0.3">
      <c r="C9" s="61" t="s">
        <v>67</v>
      </c>
      <c r="D9" s="62" t="s">
        <v>68</v>
      </c>
      <c r="E9" s="62" t="s">
        <v>69</v>
      </c>
      <c r="F9" s="203" t="s">
        <v>70</v>
      </c>
      <c r="G9" s="204"/>
      <c r="H9" s="204"/>
      <c r="I9" s="204"/>
      <c r="J9" s="204"/>
      <c r="K9" s="206" t="s">
        <v>71</v>
      </c>
      <c r="L9" s="206"/>
      <c r="M9" s="207"/>
      <c r="N9" s="63"/>
      <c r="O9" s="64"/>
      <c r="P9" s="64"/>
      <c r="Q9" s="64"/>
      <c r="R9" s="64"/>
      <c r="S9" s="53"/>
      <c r="T9" s="53"/>
    </row>
    <row r="10" spans="3:20" ht="18.75" x14ac:dyDescent="0.3">
      <c r="C10" s="61"/>
      <c r="D10" s="62"/>
      <c r="E10" s="62"/>
      <c r="F10" s="62" t="s">
        <v>72</v>
      </c>
      <c r="G10" s="62" t="s">
        <v>73</v>
      </c>
      <c r="H10" s="62" t="s">
        <v>80</v>
      </c>
      <c r="I10" s="62" t="s">
        <v>83</v>
      </c>
      <c r="J10" s="62" t="s">
        <v>87</v>
      </c>
      <c r="K10" s="65" t="s">
        <v>74</v>
      </c>
      <c r="L10" s="65" t="s">
        <v>75</v>
      </c>
      <c r="M10" s="66" t="s">
        <v>76</v>
      </c>
      <c r="Q10" s="64"/>
      <c r="R10" s="64"/>
      <c r="S10" s="53"/>
      <c r="T10" s="53"/>
    </row>
    <row r="11" spans="3:20" ht="18.75" x14ac:dyDescent="0.3">
      <c r="C11" s="67" t="s">
        <v>13</v>
      </c>
      <c r="D11" s="121" t="str">
        <f>ORÇAMENTO!E8</f>
        <v>SERVIÇOS INICIAIS</v>
      </c>
      <c r="E11" s="69">
        <f>ORÇAMENTO!K8</f>
        <v>55798.69</v>
      </c>
      <c r="F11" s="122">
        <v>1</v>
      </c>
      <c r="G11" s="122">
        <v>0</v>
      </c>
      <c r="H11" s="122">
        <v>0</v>
      </c>
      <c r="I11" s="122">
        <v>0</v>
      </c>
      <c r="J11" s="122">
        <v>0</v>
      </c>
      <c r="K11" s="70">
        <f>E11</f>
        <v>55798.69</v>
      </c>
      <c r="L11" s="71">
        <f>E11/$E$16</f>
        <v>4.1547341526100512E-2</v>
      </c>
      <c r="M11" s="72">
        <f>L11</f>
        <v>4.1547341526100512E-2</v>
      </c>
      <c r="Q11" s="64"/>
      <c r="R11" s="64"/>
      <c r="S11" s="53"/>
      <c r="T11" s="53"/>
    </row>
    <row r="12" spans="3:20" ht="18.75" x14ac:dyDescent="0.3">
      <c r="C12" s="67" t="s">
        <v>17</v>
      </c>
      <c r="D12" s="68" t="str">
        <f>ORÇAMENTO!E12</f>
        <v>REPERFILAGEM SOB. CALÇAMENTO</v>
      </c>
      <c r="E12" s="69">
        <f>ORÇAMENTO!K12</f>
        <v>673217.81</v>
      </c>
      <c r="F12" s="122">
        <v>0</v>
      </c>
      <c r="G12" s="122">
        <v>0</v>
      </c>
      <c r="H12" s="122">
        <v>1</v>
      </c>
      <c r="I12" s="122">
        <v>0</v>
      </c>
      <c r="J12" s="122">
        <v>0</v>
      </c>
      <c r="K12" s="70">
        <f>E12</f>
        <v>673217.81</v>
      </c>
      <c r="L12" s="71">
        <f>E12/$E$16</f>
        <v>0.50127360111005193</v>
      </c>
      <c r="M12" s="72">
        <f>L12+M11</f>
        <v>0.54282094263615244</v>
      </c>
      <c r="Q12" s="64"/>
      <c r="R12" s="64"/>
      <c r="S12" s="53"/>
      <c r="T12" s="53"/>
    </row>
    <row r="13" spans="3:20" ht="18.75" x14ac:dyDescent="0.3">
      <c r="C13" s="67" t="s">
        <v>19</v>
      </c>
      <c r="D13" s="68" t="str">
        <f>ORÇAMENTO!E20</f>
        <v>DETERIORAÇÃO LOCALIZADA EM PAVIMENTO DE PEDRA IRREGULAR</v>
      </c>
      <c r="E13" s="69">
        <f>ORÇAMENTO!K20</f>
        <v>8282.83</v>
      </c>
      <c r="F13" s="122">
        <v>0</v>
      </c>
      <c r="G13" s="122">
        <v>1</v>
      </c>
      <c r="H13" s="122">
        <v>0</v>
      </c>
      <c r="I13" s="122">
        <v>0</v>
      </c>
      <c r="J13" s="122">
        <v>0</v>
      </c>
      <c r="K13" s="70">
        <f t="shared" ref="K13:K15" si="0">E13</f>
        <v>8282.83</v>
      </c>
      <c r="L13" s="71">
        <f>E13/$E$16</f>
        <v>6.1673413266983704E-3</v>
      </c>
      <c r="M13" s="72">
        <f t="shared" ref="M13:M15" si="1">L13+M12</f>
        <v>0.54898828396285082</v>
      </c>
      <c r="Q13" s="64"/>
      <c r="R13" s="64"/>
      <c r="S13" s="53"/>
      <c r="T13" s="53"/>
    </row>
    <row r="14" spans="3:20" ht="18.75" x14ac:dyDescent="0.3">
      <c r="C14" s="67" t="s">
        <v>108</v>
      </c>
      <c r="D14" s="68" t="str">
        <f>ORÇAMENTO!E27</f>
        <v>CAPA SOB. CALÇAMENTO</v>
      </c>
      <c r="E14" s="69">
        <f>ORÇAMENTO!K27</f>
        <v>600992.25</v>
      </c>
      <c r="F14" s="122">
        <v>0</v>
      </c>
      <c r="G14" s="122">
        <v>0</v>
      </c>
      <c r="H14" s="122">
        <v>0</v>
      </c>
      <c r="I14" s="122">
        <v>1</v>
      </c>
      <c r="J14" s="122">
        <v>0</v>
      </c>
      <c r="K14" s="70">
        <f t="shared" si="0"/>
        <v>600992.25</v>
      </c>
      <c r="L14" s="71">
        <f>E14/$E$16</f>
        <v>0.44749491906153316</v>
      </c>
      <c r="M14" s="72">
        <f t="shared" si="1"/>
        <v>0.99648320302438398</v>
      </c>
      <c r="Q14" s="64"/>
      <c r="R14" s="64"/>
      <c r="S14" s="53"/>
      <c r="T14" s="53"/>
    </row>
    <row r="15" spans="3:20" ht="19.5" customHeight="1" x14ac:dyDescent="0.3">
      <c r="C15" s="67" t="s">
        <v>113</v>
      </c>
      <c r="D15" s="121" t="str">
        <f>ORÇAMENTO!E34</f>
        <v>ADMINISTRAÇÃO LOCAL E LIMPEZA DE OBRA</v>
      </c>
      <c r="E15" s="69">
        <f>ORÇAMENTO!K34</f>
        <v>4723.1099999999997</v>
      </c>
      <c r="F15" s="122">
        <v>0</v>
      </c>
      <c r="G15" s="122">
        <v>0</v>
      </c>
      <c r="H15" s="122">
        <v>0</v>
      </c>
      <c r="I15" s="122">
        <v>0</v>
      </c>
      <c r="J15" s="122">
        <v>1</v>
      </c>
      <c r="K15" s="70">
        <f t="shared" si="0"/>
        <v>4723.1099999999997</v>
      </c>
      <c r="L15" s="71">
        <f>E15/$E$16</f>
        <v>3.5167969756161044E-3</v>
      </c>
      <c r="M15" s="72">
        <f t="shared" si="1"/>
        <v>1</v>
      </c>
      <c r="Q15" s="64"/>
      <c r="R15" s="64"/>
      <c r="S15" s="1"/>
    </row>
    <row r="16" spans="3:20" ht="18.75" x14ac:dyDescent="0.3">
      <c r="C16" s="208"/>
      <c r="D16" s="73" t="s">
        <v>20</v>
      </c>
      <c r="E16" s="74">
        <f>ROUND(SUM(E11:E15),2)</f>
        <v>1343014.69</v>
      </c>
      <c r="F16" s="75" cm="1">
        <f t="array" ref="F16">ROUND(SUM($E$11:$E$15*F11:F15),2)</f>
        <v>55798.69</v>
      </c>
      <c r="G16" s="75" cm="1">
        <f t="array" ref="G16">ROUND(SUM($E$11:$E$15*G11:G15),2)</f>
        <v>8282.83</v>
      </c>
      <c r="H16" s="75" cm="1">
        <f t="array" ref="H16">ROUND(SUM($E$11:$E$15*H11:H15),2)</f>
        <v>673217.81</v>
      </c>
      <c r="I16" s="75" cm="1">
        <f t="array" ref="I16">ROUND(SUM($E$11:$E$15*I11:I15),2)</f>
        <v>600992.25</v>
      </c>
      <c r="J16" s="75" cm="1">
        <f t="array" ref="J16">ROUND(SUM($E$11:$E$15*J11:J15),2)</f>
        <v>4723.1099999999997</v>
      </c>
      <c r="K16" s="209"/>
      <c r="L16" s="210"/>
      <c r="M16" s="211"/>
      <c r="N16" s="76"/>
      <c r="O16" s="1"/>
      <c r="P16" s="1"/>
      <c r="Q16" s="1"/>
      <c r="R16" s="1"/>
      <c r="S16" s="1"/>
    </row>
    <row r="17" spans="3:19" ht="18.75" x14ac:dyDescent="0.3">
      <c r="C17" s="208"/>
      <c r="D17" s="218"/>
      <c r="E17" s="77" t="s">
        <v>77</v>
      </c>
      <c r="F17" s="78">
        <f>F16</f>
        <v>55798.69</v>
      </c>
      <c r="G17" s="78">
        <f>G16+F17</f>
        <v>64081.520000000004</v>
      </c>
      <c r="H17" s="78">
        <f t="shared" ref="H17:I17" si="2">H16+G17</f>
        <v>737299.33000000007</v>
      </c>
      <c r="I17" s="78">
        <f t="shared" si="2"/>
        <v>1338291.58</v>
      </c>
      <c r="J17" s="78">
        <f>J16+I17</f>
        <v>1343014.6900000002</v>
      </c>
      <c r="K17" s="212"/>
      <c r="L17" s="213"/>
      <c r="M17" s="214"/>
      <c r="N17" s="1"/>
      <c r="O17" s="1"/>
      <c r="P17" s="1"/>
      <c r="Q17" s="1"/>
      <c r="R17" s="1"/>
      <c r="S17" s="1"/>
    </row>
    <row r="18" spans="3:19" ht="18.75" x14ac:dyDescent="0.3">
      <c r="C18" s="208"/>
      <c r="D18" s="219"/>
      <c r="E18" s="77" t="s">
        <v>78</v>
      </c>
      <c r="F18" s="79">
        <f>F16/$E$16</f>
        <v>4.1547341526100512E-2</v>
      </c>
      <c r="G18" s="79">
        <f>G16/$E$16</f>
        <v>6.1673413266983704E-3</v>
      </c>
      <c r="H18" s="79">
        <f t="shared" ref="H18:J18" si="3">H16/$E$16</f>
        <v>0.50127360111005193</v>
      </c>
      <c r="I18" s="79">
        <f t="shared" si="3"/>
        <v>0.44749491906153316</v>
      </c>
      <c r="J18" s="79">
        <f t="shared" si="3"/>
        <v>3.5167969756161044E-3</v>
      </c>
      <c r="K18" s="212"/>
      <c r="L18" s="213"/>
      <c r="M18" s="214"/>
      <c r="N18" s="80"/>
      <c r="O18" s="80"/>
      <c r="P18" s="80"/>
      <c r="Q18" s="80"/>
      <c r="R18" s="80"/>
      <c r="S18" s="80"/>
    </row>
    <row r="19" spans="3:19" ht="18.75" x14ac:dyDescent="0.3">
      <c r="C19" s="208"/>
      <c r="D19" s="220"/>
      <c r="E19" s="81" t="s">
        <v>79</v>
      </c>
      <c r="F19" s="79">
        <f>F18</f>
        <v>4.1547341526100512E-2</v>
      </c>
      <c r="G19" s="79">
        <f>G18+F19</f>
        <v>4.7714682852798881E-2</v>
      </c>
      <c r="H19" s="79">
        <f t="shared" ref="H19:I19" si="4">H18+G19</f>
        <v>0.54898828396285082</v>
      </c>
      <c r="I19" s="79">
        <f t="shared" si="4"/>
        <v>0.99648320302438398</v>
      </c>
      <c r="J19" s="79">
        <f>J18+I19</f>
        <v>1</v>
      </c>
      <c r="K19" s="215"/>
      <c r="L19" s="216"/>
      <c r="M19" s="217"/>
      <c r="N19" s="82"/>
      <c r="O19" s="82"/>
      <c r="P19" s="82"/>
      <c r="Q19" s="82"/>
      <c r="R19" s="82"/>
      <c r="S19" s="82"/>
    </row>
    <row r="20" spans="3:19" ht="18.75" x14ac:dyDescent="0.3">
      <c r="C20" s="83"/>
      <c r="D20" s="84"/>
      <c r="E20" s="85"/>
      <c r="F20" s="85"/>
      <c r="G20" s="85"/>
      <c r="H20" s="85"/>
      <c r="I20" s="85"/>
      <c r="J20" s="85"/>
      <c r="K20" s="86"/>
      <c r="L20" s="86"/>
      <c r="M20" s="87"/>
      <c r="N20" s="88"/>
      <c r="O20" s="88"/>
      <c r="P20" s="88"/>
      <c r="Q20" s="88"/>
      <c r="R20" s="88"/>
      <c r="S20" s="88"/>
    </row>
    <row r="21" spans="3:19" ht="18.75" x14ac:dyDescent="0.3">
      <c r="C21" s="83"/>
      <c r="D21" s="84"/>
      <c r="E21" s="85"/>
      <c r="F21" s="85"/>
      <c r="G21" s="85"/>
      <c r="H21" s="85"/>
      <c r="I21" s="85"/>
      <c r="J21" s="85"/>
      <c r="K21" s="89"/>
      <c r="L21" s="89"/>
      <c r="M21" s="90"/>
      <c r="N21" s="82"/>
      <c r="O21" s="82"/>
      <c r="P21" s="82"/>
      <c r="Q21" s="82"/>
      <c r="R21" s="82"/>
      <c r="S21" s="82"/>
    </row>
    <row r="22" spans="3:19" ht="19.5" thickBot="1" x14ac:dyDescent="0.35">
      <c r="C22" s="83"/>
      <c r="D22" s="84"/>
      <c r="E22" s="202" t="s">
        <v>56</v>
      </c>
      <c r="F22" s="202"/>
      <c r="G22" s="202"/>
      <c r="H22" s="202"/>
      <c r="I22" s="202"/>
      <c r="J22" s="202"/>
      <c r="K22" s="91"/>
      <c r="L22" s="91"/>
      <c r="M22" s="87"/>
      <c r="N22" s="88"/>
      <c r="O22" s="88"/>
      <c r="P22" s="88"/>
      <c r="Q22" s="88"/>
      <c r="R22" s="88"/>
      <c r="S22" s="88"/>
    </row>
    <row r="23" spans="3:19" ht="18.75" x14ac:dyDescent="0.3">
      <c r="C23" s="4"/>
      <c r="D23" s="1"/>
      <c r="E23" s="1"/>
      <c r="F23" s="1"/>
      <c r="G23" s="1"/>
      <c r="H23" s="1"/>
      <c r="I23" s="1"/>
      <c r="J23" s="1"/>
      <c r="K23" s="53"/>
      <c r="L23" s="53"/>
      <c r="M23" s="36"/>
      <c r="N23" s="1"/>
      <c r="O23" s="1"/>
      <c r="P23" s="1"/>
      <c r="Q23" s="1"/>
      <c r="R23" s="1"/>
      <c r="S23" s="1"/>
    </row>
    <row r="24" spans="3:19" ht="18.75" x14ac:dyDescent="0.3">
      <c r="C24" s="4"/>
      <c r="D24" s="1"/>
      <c r="E24" s="1"/>
      <c r="F24" s="1"/>
      <c r="G24" s="1"/>
      <c r="H24" s="1"/>
      <c r="I24" s="1"/>
      <c r="J24" s="1"/>
      <c r="K24" s="53"/>
      <c r="L24" s="53"/>
      <c r="M24" s="36"/>
      <c r="N24" s="1"/>
      <c r="O24" s="1"/>
      <c r="P24" s="1"/>
      <c r="Q24" s="1"/>
      <c r="R24" s="1"/>
      <c r="S24" s="1"/>
    </row>
    <row r="25" spans="3:19" ht="19.5" thickBot="1" x14ac:dyDescent="0.35">
      <c r="C25" s="4"/>
      <c r="D25" s="1"/>
      <c r="E25" s="202" t="s">
        <v>57</v>
      </c>
      <c r="F25" s="202"/>
      <c r="G25" s="202"/>
      <c r="H25" s="202"/>
      <c r="I25" s="202"/>
      <c r="J25" s="202"/>
      <c r="K25" s="91"/>
      <c r="L25" s="91"/>
      <c r="M25" s="36"/>
      <c r="N25" s="1"/>
      <c r="O25" s="1"/>
      <c r="P25" s="1"/>
      <c r="Q25" s="1"/>
      <c r="R25" s="1"/>
      <c r="S25" s="1"/>
    </row>
    <row r="26" spans="3:19" ht="18.75" x14ac:dyDescent="0.3">
      <c r="C26" s="4"/>
      <c r="D26" s="1"/>
      <c r="E26" s="1"/>
      <c r="F26" s="1"/>
      <c r="G26" s="1"/>
      <c r="H26" s="1"/>
      <c r="I26" s="1"/>
      <c r="J26" s="1"/>
      <c r="K26" s="1"/>
      <c r="L26" s="1"/>
      <c r="M26" s="36"/>
      <c r="N26" s="1"/>
      <c r="O26" s="1"/>
      <c r="P26" s="1"/>
      <c r="Q26" s="1"/>
      <c r="R26" s="1"/>
      <c r="S26" s="1"/>
    </row>
    <row r="27" spans="3:19" ht="19.5" thickBot="1" x14ac:dyDescent="0.35">
      <c r="C27" s="7"/>
      <c r="D27" s="8"/>
      <c r="E27" s="8"/>
      <c r="F27" s="8"/>
      <c r="G27" s="8"/>
      <c r="H27" s="8"/>
      <c r="I27" s="8"/>
      <c r="J27" s="8"/>
      <c r="K27" s="8"/>
      <c r="L27" s="8"/>
      <c r="M27" s="40"/>
      <c r="N27" s="1"/>
      <c r="O27" s="1"/>
      <c r="P27" s="1"/>
      <c r="Q27" s="1"/>
      <c r="R27" s="1"/>
      <c r="S27" s="1"/>
    </row>
    <row r="28" spans="3:19" ht="18.75" x14ac:dyDescent="0.3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3:19" ht="18.75" x14ac:dyDescent="0.3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3:19" ht="18.75" x14ac:dyDescent="0.3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3:19" ht="18.75" x14ac:dyDescent="0.3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3:19" ht="18.75" x14ac:dyDescent="0.3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3:19" ht="18.75" x14ac:dyDescent="0.3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3:19" ht="18.75" x14ac:dyDescent="0.3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3:19" ht="18.75" x14ac:dyDescent="0.3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3:19" ht="18.75" x14ac:dyDescent="0.3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3:19" ht="18.75" x14ac:dyDescent="0.3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3:19" ht="18.75" x14ac:dyDescent="0.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3:19" ht="18.75" x14ac:dyDescent="0.3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3:19" ht="18.75" x14ac:dyDescent="0.3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3:19" ht="18.75" x14ac:dyDescent="0.3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3:19" ht="18.75" x14ac:dyDescent="0.3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3:19" ht="18.75" x14ac:dyDescent="0.3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3:19" ht="18.75" x14ac:dyDescent="0.3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3:19" ht="18.75" x14ac:dyDescent="0.3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mergeCells count="13">
    <mergeCell ref="E25:J25"/>
    <mergeCell ref="F9:J9"/>
    <mergeCell ref="C3:M3"/>
    <mergeCell ref="D4:M4"/>
    <mergeCell ref="C5:E5"/>
    <mergeCell ref="C6:E6"/>
    <mergeCell ref="F6:M6"/>
    <mergeCell ref="C7:E7"/>
    <mergeCell ref="K9:M9"/>
    <mergeCell ref="C16:C19"/>
    <mergeCell ref="K16:M19"/>
    <mergeCell ref="D17:D19"/>
    <mergeCell ref="E22:J22"/>
  </mergeCells>
  <phoneticPr fontId="6" type="noConversion"/>
  <pageMargins left="0.511811024" right="0.511811024" top="0.78740157499999996" bottom="0.78740157499999996" header="0.31496062000000002" footer="0.31496062000000002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ORÇAMENTO</vt:lpstr>
      <vt:lpstr>cotação</vt:lpstr>
      <vt:lpstr>BDI 1</vt:lpstr>
      <vt:lpstr>BDI 2 indireto</vt:lpstr>
      <vt:lpstr>Cronograma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ENGENHARIA</dc:creator>
  <cp:lastModifiedBy>pmalegrialicitacoes@gmail.com</cp:lastModifiedBy>
  <cp:lastPrinted>2026-05-22T17:04:51Z</cp:lastPrinted>
  <dcterms:created xsi:type="dcterms:W3CDTF">2021-12-10T11:49:45Z</dcterms:created>
  <dcterms:modified xsi:type="dcterms:W3CDTF">2026-05-22T17:05:17Z</dcterms:modified>
</cp:coreProperties>
</file>