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gon\Documents\CONTRATAÇÕES\VIGILÂNCIA 2026 - EMERGENCIAL\"/>
    </mc:Choice>
  </mc:AlternateContent>
  <bookViews>
    <workbookView xWindow="32340" yWindow="1845" windowWidth="25260" windowHeight="13170" tabRatio="500"/>
  </bookViews>
  <sheets>
    <sheet name="Dia Poa" sheetId="7" r:id="rId1"/>
    <sheet name="Noite Poa" sheetId="1" r:id="rId2"/>
    <sheet name="Dia Guaíba" sheetId="8" r:id="rId3"/>
    <sheet name="Noite Guaíba" sheetId="2" r:id="rId4"/>
    <sheet name="Dia Esteio" sheetId="10" r:id="rId5"/>
    <sheet name="Noite Esteio" sheetId="9" r:id="rId6"/>
    <sheet name="Dia Lajeado" sheetId="11" r:id="rId7"/>
    <sheet name="Noite Lajeado" sheetId="12" r:id="rId8"/>
    <sheet name="Equipamentos" sheetId="5" r:id="rId9"/>
    <sheet name="Resumo" sheetId="6" r:id="rId10"/>
  </sheets>
  <externalReferences>
    <externalReference r:id="rId11"/>
    <externalReference r:id="rId12"/>
  </externalReferences>
  <definedNames>
    <definedName name="_xlnm.Print_Area" localSheetId="4">'Dia Esteio'!$A$1:$I$194</definedName>
    <definedName name="_xlnm.Print_Area" localSheetId="2">'Dia Guaíba'!$A$1:$I$194</definedName>
    <definedName name="_xlnm.Print_Area" localSheetId="6">'Dia Lajeado'!$A$1:$I$194</definedName>
    <definedName name="_xlnm.Print_Area" localSheetId="0">'Dia Poa'!$A$1:$I$194</definedName>
    <definedName name="_xlnm.Print_Area" localSheetId="5">'Noite Esteio'!$A$1:$I$194</definedName>
    <definedName name="_xlnm.Print_Area" localSheetId="3">'Noite Guaíba'!$A$1:$I$194</definedName>
    <definedName name="_xlnm.Print_Area" localSheetId="7">'Noite Lajeado'!$A$1:$I$194</definedName>
    <definedName name="_xlnm.Print_Area" localSheetId="1">'Noite Poa'!$A$1:$I$194</definedName>
    <definedName name="Auxiliar" localSheetId="8">#REF!</definedName>
    <definedName name="Auxiliar" localSheetId="5">#REF!</definedName>
    <definedName name="Auxiliar" localSheetId="3">#REF!</definedName>
    <definedName name="Auxiliar" localSheetId="7">#REF!</definedName>
    <definedName name="Auxiliar" localSheetId="9">#REF!</definedName>
    <definedName name="Auxiliar">#REF!</definedName>
    <definedName name="CUSTO_VALE_TRANSPORTE" localSheetId="8">#REF!</definedName>
    <definedName name="CUSTO_VALE_TRANSPORTE" localSheetId="5">#REF!</definedName>
    <definedName name="CUSTO_VALE_TRANSPORTE" localSheetId="3">#REF!</definedName>
    <definedName name="CUSTO_VALE_TRANSPORTE" localSheetId="7">#REF!</definedName>
    <definedName name="CUSTO_VALE_TRANSPORTE">#REF!</definedName>
    <definedName name="ecwece4c" localSheetId="8">#REF!</definedName>
    <definedName name="ecwece4c" localSheetId="5">#REF!</definedName>
    <definedName name="ecwece4c" localSheetId="3">#REF!</definedName>
    <definedName name="ecwece4c" localSheetId="7">#REF!</definedName>
    <definedName name="ecwece4c">#REF!</definedName>
    <definedName name="MOMB4">'[1]SERVENTE MANUTENCAO'!$I$144</definedName>
    <definedName name="MONA1" localSheetId="8">#REF!</definedName>
    <definedName name="MONA1" localSheetId="5">#REF!</definedName>
    <definedName name="MONA1" localSheetId="3">#REF!</definedName>
    <definedName name="MONA1" localSheetId="7">#REF!</definedName>
    <definedName name="MONA1" localSheetId="9">#REF!</definedName>
    <definedName name="MONA1">#REF!</definedName>
    <definedName name="MONA2" localSheetId="8">#REF!</definedName>
    <definedName name="MONA2" localSheetId="5">#REF!</definedName>
    <definedName name="MONA2" localSheetId="3">#REF!</definedName>
    <definedName name="MONA2" localSheetId="7">#REF!</definedName>
    <definedName name="MONA2">#REF!</definedName>
    <definedName name="MONA3">[2]HIDRAULICO!$I$138</definedName>
    <definedName name="MONA4">'[2]SERVENTE (AUX PRODUCAO)'!$I$138</definedName>
    <definedName name="MONA5" localSheetId="8">#REF!</definedName>
    <definedName name="MONA5" localSheetId="5">#REF!</definedName>
    <definedName name="MONA5" localSheetId="3">#REF!</definedName>
    <definedName name="MONA5" localSheetId="7">#REF!</definedName>
    <definedName name="MONA5" localSheetId="9">#REF!</definedName>
    <definedName name="MONA5">#REF!</definedName>
    <definedName name="MONA6" localSheetId="8">#REF!</definedName>
    <definedName name="MONA6" localSheetId="5">#REF!</definedName>
    <definedName name="MONA6" localSheetId="3">#REF!</definedName>
    <definedName name="MONA6" localSheetId="7">#REF!</definedName>
    <definedName name="MONA6">#REF!</definedName>
    <definedName name="MONA7" localSheetId="8">#REF!</definedName>
    <definedName name="MONA7" localSheetId="5">#REF!</definedName>
    <definedName name="MONA7" localSheetId="3">#REF!</definedName>
    <definedName name="MONA7" localSheetId="7">#REF!</definedName>
    <definedName name="MONA7">#REF!</definedName>
    <definedName name="MONA8">[2]MECANICO_REFRIGERACAO!$I$138</definedName>
    <definedName name="MONB1" localSheetId="8">#REF!</definedName>
    <definedName name="MONB1" localSheetId="5">#REF!</definedName>
    <definedName name="MONB1" localSheetId="3">#REF!</definedName>
    <definedName name="MONB1" localSheetId="7">#REF!</definedName>
    <definedName name="MONB1" localSheetId="9">#REF!</definedName>
    <definedName name="MONB1">#REF!</definedName>
    <definedName name="MONB2" localSheetId="8">#REF!</definedName>
    <definedName name="MONB2" localSheetId="5">#REF!</definedName>
    <definedName name="MONB2" localSheetId="3">#REF!</definedName>
    <definedName name="MONB2" localSheetId="7">#REF!</definedName>
    <definedName name="MONB2">#REF!</definedName>
    <definedName name="MONB3">[2]HIDRAULICO!$I$144</definedName>
    <definedName name="MONB4">'[2]SERVENTE (AUX PRODUCAO)'!$I$144</definedName>
    <definedName name="MONB5" localSheetId="8">#REF!</definedName>
    <definedName name="MONB5" localSheetId="5">#REF!</definedName>
    <definedName name="MONB5" localSheetId="3">#REF!</definedName>
    <definedName name="MONB5" localSheetId="7">#REF!</definedName>
    <definedName name="MONB5" localSheetId="9">#REF!</definedName>
    <definedName name="MONB5">#REF!</definedName>
    <definedName name="MONB6" localSheetId="8">#REF!</definedName>
    <definedName name="MONB6" localSheetId="5">#REF!</definedName>
    <definedName name="MONB6" localSheetId="3">#REF!</definedName>
    <definedName name="MONB6" localSheetId="7">#REF!</definedName>
    <definedName name="MONB6">#REF!</definedName>
    <definedName name="MONB7" localSheetId="8">#REF!</definedName>
    <definedName name="MONB7" localSheetId="5">#REF!</definedName>
    <definedName name="MONB7" localSheetId="3">#REF!</definedName>
    <definedName name="MONB7" localSheetId="7">#REF!</definedName>
    <definedName name="MONB7">#REF!</definedName>
    <definedName name="MONB8">[2]MECANICO_REFRIGERACAO!$I$144</definedName>
    <definedName name="MONC1" localSheetId="8">#REF!</definedName>
    <definedName name="MONC1" localSheetId="5">#REF!</definedName>
    <definedName name="MONC1" localSheetId="3">#REF!</definedName>
    <definedName name="MONC1" localSheetId="7">#REF!</definedName>
    <definedName name="MONC1" localSheetId="9">#REF!</definedName>
    <definedName name="MONC1">#REF!</definedName>
    <definedName name="MONC2" localSheetId="8">#REF!</definedName>
    <definedName name="MONC2" localSheetId="5">#REF!</definedName>
    <definedName name="MONC2" localSheetId="3">#REF!</definedName>
    <definedName name="MONC2" localSheetId="7">#REF!</definedName>
    <definedName name="MONC2">#REF!</definedName>
    <definedName name="MONC3">[2]HIDRAULICO!$I$148</definedName>
    <definedName name="MONC4">'[2]SERVENTE (AUX PRODUCAO)'!$I$148</definedName>
    <definedName name="MONC5" localSheetId="8">#REF!</definedName>
    <definedName name="MONC5" localSheetId="5">#REF!</definedName>
    <definedName name="MONC5" localSheetId="3">#REF!</definedName>
    <definedName name="MONC5" localSheetId="7">#REF!</definedName>
    <definedName name="MONC5" localSheetId="9">#REF!</definedName>
    <definedName name="MONC5">#REF!</definedName>
    <definedName name="MONC6" localSheetId="8">#REF!</definedName>
    <definedName name="MONC6" localSheetId="5">#REF!</definedName>
    <definedName name="MONC6" localSheetId="3">#REF!</definedName>
    <definedName name="MONC6" localSheetId="7">#REF!</definedName>
    <definedName name="MONC6">#REF!</definedName>
    <definedName name="MONC7" localSheetId="8">#REF!</definedName>
    <definedName name="MONC7" localSheetId="5">#REF!</definedName>
    <definedName name="MONC7" localSheetId="3">#REF!</definedName>
    <definedName name="MONC7" localSheetId="7">#REF!</definedName>
    <definedName name="MONC7">#REF!</definedName>
    <definedName name="MONC8">[2]MECANICO_REFRIGERACAO!$I$148</definedName>
    <definedName name="mont" localSheetId="8">#REF!</definedName>
    <definedName name="mont" localSheetId="5">#REF!</definedName>
    <definedName name="mont" localSheetId="3">#REF!</definedName>
    <definedName name="mont" localSheetId="7">#REF!</definedName>
    <definedName name="mont" localSheetId="9">#REF!</definedName>
    <definedName name="mont">#REF!</definedName>
    <definedName name="MONTANTEA" localSheetId="8">#REF!</definedName>
    <definedName name="MONTANTEA" localSheetId="5">#REF!</definedName>
    <definedName name="MONTANTEA" localSheetId="3">#REF!</definedName>
    <definedName name="MONTANTEA" localSheetId="7">#REF!</definedName>
    <definedName name="MONTANTEA">#REF!</definedName>
    <definedName name="MONTANTEA1" localSheetId="8">#REF!</definedName>
    <definedName name="MONTANTEA1" localSheetId="5">#REF!</definedName>
    <definedName name="MONTANTEA1" localSheetId="3">#REF!</definedName>
    <definedName name="MONTANTEA1" localSheetId="7">#REF!</definedName>
    <definedName name="MONTANTEA1">#REF!</definedName>
    <definedName name="MONTANTEA2" localSheetId="8">#REF!</definedName>
    <definedName name="MONTANTEA2" localSheetId="5">#REF!</definedName>
    <definedName name="MONTANTEA2" localSheetId="3">#REF!</definedName>
    <definedName name="MONTANTEA2" localSheetId="7">#REF!</definedName>
    <definedName name="MONTANTEA2">#REF!</definedName>
    <definedName name="MONTANTEB" localSheetId="8">#REF!</definedName>
    <definedName name="MONTANTEB" localSheetId="5">#REF!</definedName>
    <definedName name="MONTANTEB" localSheetId="3">#REF!</definedName>
    <definedName name="MONTANTEB" localSheetId="7">#REF!</definedName>
    <definedName name="MONTANTEB">#REF!</definedName>
    <definedName name="MONTANTEB1" localSheetId="8">#REF!</definedName>
    <definedName name="MONTANTEB1" localSheetId="5">#REF!</definedName>
    <definedName name="MONTANTEB1" localSheetId="3">#REF!</definedName>
    <definedName name="MONTANTEB1" localSheetId="7">#REF!</definedName>
    <definedName name="MONTANTEB1">#REF!</definedName>
    <definedName name="MONTANTEB2" localSheetId="8">#REF!</definedName>
    <definedName name="MONTANTEB2" localSheetId="5">#REF!</definedName>
    <definedName name="MONTANTEB2" localSheetId="3">#REF!</definedName>
    <definedName name="MONTANTEB2" localSheetId="7">#REF!</definedName>
    <definedName name="MONTANTEB2">#REF!</definedName>
    <definedName name="MONTANTEC" localSheetId="8">#REF!</definedName>
    <definedName name="MONTANTEC" localSheetId="5">#REF!</definedName>
    <definedName name="MONTANTEC" localSheetId="3">#REF!</definedName>
    <definedName name="MONTANTEC" localSheetId="7">#REF!</definedName>
    <definedName name="MONTANTEC">#REF!</definedName>
    <definedName name="MONTANTEC1" localSheetId="8">#REF!</definedName>
    <definedName name="MONTANTEC1" localSheetId="5">#REF!</definedName>
    <definedName name="MONTANTEC1" localSheetId="3">#REF!</definedName>
    <definedName name="MONTANTEC1" localSheetId="7">#REF!</definedName>
    <definedName name="MONTANTEC1">#REF!</definedName>
    <definedName name="MONTANTEC2" localSheetId="8">#REF!</definedName>
    <definedName name="MONTANTEC2" localSheetId="5">#REF!</definedName>
    <definedName name="MONTANTEC2" localSheetId="3">#REF!</definedName>
    <definedName name="MONTANTEC2" localSheetId="7">#REF!</definedName>
    <definedName name="MONTANTEC2">#REF!</definedName>
    <definedName name="ok" localSheetId="8">#REF!</definedName>
    <definedName name="ok" localSheetId="5">#REF!</definedName>
    <definedName name="ok" localSheetId="3">#REF!</definedName>
    <definedName name="ok" localSheetId="7">#REF!</definedName>
    <definedName name="ok">#REF!</definedName>
    <definedName name="REMUNERACAO1" localSheetId="8">#REF!</definedName>
    <definedName name="REMUNERACAO1" localSheetId="5">#REF!</definedName>
    <definedName name="REMUNERACAO1" localSheetId="3">#REF!</definedName>
    <definedName name="REMUNERACAO1" localSheetId="7">#REF!</definedName>
    <definedName name="REMUNERACAO1">#REF!</definedName>
    <definedName name="REMUNERACAO2" localSheetId="8">#REF!</definedName>
    <definedName name="REMUNERACAO2" localSheetId="5">#REF!</definedName>
    <definedName name="REMUNERACAO2" localSheetId="3">#REF!</definedName>
    <definedName name="REMUNERACAO2" localSheetId="7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8">#REF!</definedName>
    <definedName name="REMUNERACAO5" localSheetId="5">#REF!</definedName>
    <definedName name="REMUNERACAO5" localSheetId="3">#REF!</definedName>
    <definedName name="REMUNERACAO5" localSheetId="7">#REF!</definedName>
    <definedName name="REMUNERACAO5" localSheetId="9">#REF!</definedName>
    <definedName name="REMUNERACAO5">#REF!</definedName>
    <definedName name="REMUNERACAO6" localSheetId="8">#REF!</definedName>
    <definedName name="REMUNERACAO6" localSheetId="5">#REF!</definedName>
    <definedName name="REMUNERACAO6" localSheetId="3">#REF!</definedName>
    <definedName name="REMUNERACAO6" localSheetId="7">#REF!</definedName>
    <definedName name="REMUNERACAO6">#REF!</definedName>
    <definedName name="REMUNERACAO7" localSheetId="8">#REF!</definedName>
    <definedName name="REMUNERACAO7" localSheetId="5">#REF!</definedName>
    <definedName name="REMUNERACAO7" localSheetId="3">#REF!</definedName>
    <definedName name="REMUNERACAO7" localSheetId="7">#REF!</definedName>
    <definedName name="REMUNERACAO7">#REF!</definedName>
    <definedName name="REMUNERACAO8">[2]MECANICO_REFRIGERACAO!$I$30</definedName>
    <definedName name="TOTAL_MONT_A" localSheetId="8">#REF!</definedName>
    <definedName name="TOTAL_MONT_A" localSheetId="5">#REF!</definedName>
    <definedName name="TOTAL_MONT_A" localSheetId="3">#REF!</definedName>
    <definedName name="TOTAL_MONT_A" localSheetId="7">#REF!</definedName>
    <definedName name="TOTAL_MONT_A" localSheetId="9">#REF!</definedName>
    <definedName name="TOTAL_MONT_A">#REF!</definedName>
    <definedName name="TOTAL1" localSheetId="8">#REF!</definedName>
    <definedName name="TOTAL1" localSheetId="5">#REF!</definedName>
    <definedName name="TOTAL1" localSheetId="3">#REF!</definedName>
    <definedName name="TOTAL1" localSheetId="7">#REF!</definedName>
    <definedName name="TOTAL1">#REF!</definedName>
    <definedName name="TOTAL2" localSheetId="8">#REF!</definedName>
    <definedName name="TOTAL2" localSheetId="5">#REF!</definedName>
    <definedName name="TOTAL2" localSheetId="3">#REF!</definedName>
    <definedName name="TOTAL2" localSheetId="7">#REF!</definedName>
    <definedName name="TOTAL2">#REF!</definedName>
    <definedName name="VALE_TRANSPORTE" localSheetId="8">#REF!</definedName>
    <definedName name="VALE_TRANSPORTE" localSheetId="5">#REF!</definedName>
    <definedName name="VALE_TRANSPORTE" localSheetId="3">#REF!</definedName>
    <definedName name="VALE_TRANSPORTE" localSheetId="7">#REF!</definedName>
    <definedName name="VALE_TRANSPORTE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1" i="6" l="1"/>
  <c r="D22" i="5"/>
  <c r="D24" i="5"/>
  <c r="I120" i="7"/>
  <c r="C5" i="5"/>
  <c r="G2" i="6"/>
  <c r="H2" i="6" l="1"/>
  <c r="I118" i="10"/>
  <c r="B13" i="5"/>
  <c r="B12" i="5"/>
  <c r="I46" i="12" l="1"/>
  <c r="I52" i="12"/>
  <c r="I31" i="12"/>
  <c r="I179" i="11" l="1"/>
  <c r="E161" i="11"/>
  <c r="H160" i="11"/>
  <c r="H163" i="11" s="1"/>
  <c r="G160" i="11"/>
  <c r="G163" i="11" s="1"/>
  <c r="D160" i="11"/>
  <c r="E160" i="11" s="1"/>
  <c r="D159" i="11"/>
  <c r="E159" i="11" s="1"/>
  <c r="I138" i="11"/>
  <c r="I134" i="11"/>
  <c r="I178" i="11" s="1"/>
  <c r="F127" i="11"/>
  <c r="I118" i="11" s="1"/>
  <c r="G111" i="11"/>
  <c r="A111" i="11"/>
  <c r="E111" i="11" s="1"/>
  <c r="H110" i="11"/>
  <c r="G107" i="11"/>
  <c r="C107" i="11"/>
  <c r="A107" i="11"/>
  <c r="E107" i="11" s="1"/>
  <c r="G103" i="11"/>
  <c r="C103" i="11"/>
  <c r="A103" i="11"/>
  <c r="E103" i="11" s="1"/>
  <c r="I98" i="11"/>
  <c r="I97" i="11"/>
  <c r="H85" i="11"/>
  <c r="H78" i="11"/>
  <c r="H66" i="11"/>
  <c r="B47" i="11"/>
  <c r="I45" i="11"/>
  <c r="I46" i="11" s="1"/>
  <c r="I44" i="11"/>
  <c r="I43" i="11"/>
  <c r="I42" i="11"/>
  <c r="I41" i="11"/>
  <c r="I40" i="11"/>
  <c r="I39" i="11"/>
  <c r="A38" i="11"/>
  <c r="A39" i="11" s="1"/>
  <c r="A40" i="11" s="1"/>
  <c r="A41" i="11" s="1"/>
  <c r="A42" i="11" s="1"/>
  <c r="A43" i="11" s="1"/>
  <c r="A44" i="11" s="1"/>
  <c r="A45" i="11" s="1"/>
  <c r="A46" i="11" s="1"/>
  <c r="A47" i="11" s="1"/>
  <c r="I37" i="11"/>
  <c r="I18" i="11"/>
  <c r="C111" i="11" s="1"/>
  <c r="A6" i="11"/>
  <c r="I5" i="11"/>
  <c r="G5" i="11"/>
  <c r="I179" i="10"/>
  <c r="E161" i="10"/>
  <c r="H160" i="10"/>
  <c r="H163" i="10" s="1"/>
  <c r="D160" i="10" s="1"/>
  <c r="E160" i="10" s="1"/>
  <c r="G160" i="10"/>
  <c r="G163" i="10" s="1"/>
  <c r="D159" i="10" s="1"/>
  <c r="E159" i="10" s="1"/>
  <c r="I138" i="10"/>
  <c r="I134" i="10"/>
  <c r="I178" i="10" s="1"/>
  <c r="F127" i="10"/>
  <c r="G111" i="10"/>
  <c r="A111" i="10"/>
  <c r="H110" i="10"/>
  <c r="G107" i="10"/>
  <c r="C107" i="10"/>
  <c r="A107" i="10"/>
  <c r="E107" i="10" s="1"/>
  <c r="G103" i="10"/>
  <c r="C103" i="10"/>
  <c r="A103" i="10"/>
  <c r="E103" i="10" s="1"/>
  <c r="I98" i="10"/>
  <c r="I97" i="10"/>
  <c r="H88" i="10"/>
  <c r="H89" i="10" s="1"/>
  <c r="H91" i="10" s="1"/>
  <c r="H85" i="10"/>
  <c r="H78" i="10"/>
  <c r="H66" i="10"/>
  <c r="B47" i="10"/>
  <c r="I45" i="10"/>
  <c r="I46" i="10" s="1"/>
  <c r="I44" i="10"/>
  <c r="I43" i="10"/>
  <c r="I42" i="10"/>
  <c r="I41" i="10"/>
  <c r="I40" i="10"/>
  <c r="I39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I37" i="10"/>
  <c r="F103" i="10" s="1"/>
  <c r="H103" i="10" s="1"/>
  <c r="I18" i="10"/>
  <c r="C111" i="10" s="1"/>
  <c r="A6" i="10"/>
  <c r="I5" i="10"/>
  <c r="G5" i="10"/>
  <c r="I179" i="8"/>
  <c r="E161" i="8"/>
  <c r="H160" i="8"/>
  <c r="H163" i="8" s="1"/>
  <c r="G160" i="8"/>
  <c r="G163" i="8" s="1"/>
  <c r="D160" i="8"/>
  <c r="E160" i="8" s="1"/>
  <c r="D159" i="8"/>
  <c r="E159" i="8" s="1"/>
  <c r="I138" i="8"/>
  <c r="I134" i="8"/>
  <c r="I178" i="8" s="1"/>
  <c r="F127" i="8"/>
  <c r="I118" i="8" s="1"/>
  <c r="G111" i="8"/>
  <c r="A111" i="8"/>
  <c r="E111" i="8" s="1"/>
  <c r="H110" i="8"/>
  <c r="G107" i="8"/>
  <c r="C107" i="8"/>
  <c r="A107" i="8"/>
  <c r="E107" i="8" s="1"/>
  <c r="G103" i="8"/>
  <c r="C103" i="8"/>
  <c r="A103" i="8"/>
  <c r="I98" i="8"/>
  <c r="I97" i="8"/>
  <c r="H85" i="8"/>
  <c r="H78" i="8"/>
  <c r="H66" i="8"/>
  <c r="B47" i="8"/>
  <c r="I45" i="8"/>
  <c r="I46" i="8" s="1"/>
  <c r="I44" i="8"/>
  <c r="I43" i="8"/>
  <c r="I42" i="8"/>
  <c r="I41" i="8"/>
  <c r="I40" i="8"/>
  <c r="I39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I37" i="8"/>
  <c r="I18" i="8"/>
  <c r="C111" i="8" s="1"/>
  <c r="A6" i="8"/>
  <c r="I5" i="8"/>
  <c r="G5" i="8"/>
  <c r="I120" i="8" l="1"/>
  <c r="I120" i="1"/>
  <c r="I120" i="12"/>
  <c r="I188" i="12" s="1"/>
  <c r="F9" i="6" s="1"/>
  <c r="I120" i="2"/>
  <c r="I188" i="2" s="1"/>
  <c r="F5" i="6" s="1"/>
  <c r="I120" i="10"/>
  <c r="I188" i="10" s="1"/>
  <c r="F6" i="6" s="1"/>
  <c r="I120" i="9"/>
  <c r="I188" i="9" s="1"/>
  <c r="F7" i="6" s="1"/>
  <c r="I120" i="11"/>
  <c r="E103" i="8"/>
  <c r="F107" i="11"/>
  <c r="H107" i="11" s="1"/>
  <c r="I107" i="11" s="1"/>
  <c r="I95" i="11" s="1"/>
  <c r="F111" i="11"/>
  <c r="H111" i="11" s="1"/>
  <c r="I111" i="11" s="1"/>
  <c r="I94" i="11" s="1"/>
  <c r="H88" i="11"/>
  <c r="H89" i="11" s="1"/>
  <c r="H91" i="11" s="1"/>
  <c r="F103" i="11"/>
  <c r="H103" i="11" s="1"/>
  <c r="I103" i="11" s="1"/>
  <c r="I96" i="11" s="1"/>
  <c r="I38" i="11"/>
  <c r="F107" i="10"/>
  <c r="H107" i="10" s="1"/>
  <c r="I107" i="10" s="1"/>
  <c r="I95" i="10" s="1"/>
  <c r="I103" i="10"/>
  <c r="I96" i="10" s="1"/>
  <c r="E111" i="10"/>
  <c r="I124" i="10"/>
  <c r="I38" i="10"/>
  <c r="F107" i="8"/>
  <c r="H107" i="8" s="1"/>
  <c r="I107" i="8" s="1"/>
  <c r="I95" i="8" s="1"/>
  <c r="F111" i="8"/>
  <c r="H111" i="8" s="1"/>
  <c r="I111" i="8" s="1"/>
  <c r="I94" i="8" s="1"/>
  <c r="H88" i="8"/>
  <c r="H89" i="8" s="1"/>
  <c r="H91" i="8" s="1"/>
  <c r="F103" i="8"/>
  <c r="H103" i="8" s="1"/>
  <c r="I103" i="8" s="1"/>
  <c r="I96" i="8" s="1"/>
  <c r="I38" i="8"/>
  <c r="I179" i="12"/>
  <c r="E161" i="12"/>
  <c r="H160" i="12"/>
  <c r="H163" i="12" s="1"/>
  <c r="G160" i="12"/>
  <c r="G163" i="12" s="1"/>
  <c r="D160" i="12"/>
  <c r="E160" i="12" s="1"/>
  <c r="D159" i="12"/>
  <c r="E159" i="12" s="1"/>
  <c r="I138" i="12"/>
  <c r="I134" i="12"/>
  <c r="I178" i="12" s="1"/>
  <c r="F127" i="12"/>
  <c r="I118" i="12" s="1"/>
  <c r="G111" i="12"/>
  <c r="C111" i="12"/>
  <c r="A111" i="12"/>
  <c r="E111" i="12" s="1"/>
  <c r="H110" i="12"/>
  <c r="G107" i="12"/>
  <c r="C107" i="12"/>
  <c r="E107" i="12" s="1"/>
  <c r="A107" i="12"/>
  <c r="G103" i="12"/>
  <c r="C103" i="12"/>
  <c r="A103" i="12"/>
  <c r="E103" i="12" s="1"/>
  <c r="I98" i="12"/>
  <c r="I97" i="12"/>
  <c r="H85" i="12"/>
  <c r="H78" i="12"/>
  <c r="H66" i="12"/>
  <c r="I53" i="12"/>
  <c r="I54" i="12" s="1"/>
  <c r="I50" i="12"/>
  <c r="I48" i="12"/>
  <c r="I47" i="12"/>
  <c r="I45" i="12"/>
  <c r="I44" i="12"/>
  <c r="I43" i="12"/>
  <c r="I42" i="12"/>
  <c r="I41" i="12"/>
  <c r="I40" i="12"/>
  <c r="A38" i="12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I37" i="12"/>
  <c r="I33" i="12"/>
  <c r="I32" i="12"/>
  <c r="I30" i="12"/>
  <c r="I49" i="12" s="1"/>
  <c r="G11" i="12"/>
  <c r="A6" i="12"/>
  <c r="I5" i="12"/>
  <c r="G5" i="12"/>
  <c r="I179" i="9"/>
  <c r="E161" i="9"/>
  <c r="H160" i="9"/>
  <c r="H163" i="9" s="1"/>
  <c r="D160" i="9" s="1"/>
  <c r="E160" i="9" s="1"/>
  <c r="G160" i="9"/>
  <c r="G163" i="9" s="1"/>
  <c r="D159" i="9" s="1"/>
  <c r="E159" i="9" s="1"/>
  <c r="I138" i="9"/>
  <c r="I134" i="9"/>
  <c r="I178" i="9" s="1"/>
  <c r="F127" i="9"/>
  <c r="I118" i="9" s="1"/>
  <c r="G111" i="9"/>
  <c r="C111" i="9"/>
  <c r="A111" i="9"/>
  <c r="E111" i="9" s="1"/>
  <c r="H110" i="9"/>
  <c r="G107" i="9"/>
  <c r="C107" i="9"/>
  <c r="A107" i="9"/>
  <c r="E107" i="9" s="1"/>
  <c r="G103" i="9"/>
  <c r="C103" i="9"/>
  <c r="A103" i="9"/>
  <c r="I98" i="9"/>
  <c r="I97" i="9"/>
  <c r="H88" i="9"/>
  <c r="H89" i="9" s="1"/>
  <c r="H91" i="9" s="1"/>
  <c r="H85" i="9"/>
  <c r="H78" i="9"/>
  <c r="H66" i="9"/>
  <c r="I53" i="9"/>
  <c r="I54" i="9" s="1"/>
  <c r="I50" i="9"/>
  <c r="I47" i="9"/>
  <c r="I45" i="9"/>
  <c r="I44" i="9"/>
  <c r="I43" i="9"/>
  <c r="I42" i="9"/>
  <c r="I41" i="9"/>
  <c r="I40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I37" i="9"/>
  <c r="I33" i="9"/>
  <c r="I32" i="9"/>
  <c r="I46" i="9" s="1"/>
  <c r="I31" i="9"/>
  <c r="I30" i="9"/>
  <c r="I49" i="9" s="1"/>
  <c r="G11" i="9"/>
  <c r="A6" i="9"/>
  <c r="I5" i="9"/>
  <c r="G5" i="9"/>
  <c r="I179" i="2"/>
  <c r="E161" i="2"/>
  <c r="H160" i="2"/>
  <c r="H163" i="2" s="1"/>
  <c r="G160" i="2"/>
  <c r="G163" i="2" s="1"/>
  <c r="D159" i="2" s="1"/>
  <c r="E159" i="2" s="1"/>
  <c r="D160" i="2"/>
  <c r="E160" i="2" s="1"/>
  <c r="I138" i="2"/>
  <c r="I134" i="2"/>
  <c r="I178" i="2" s="1"/>
  <c r="F127" i="2"/>
  <c r="I118" i="2" s="1"/>
  <c r="I124" i="2" s="1"/>
  <c r="G111" i="2"/>
  <c r="C111" i="2"/>
  <c r="A111" i="2"/>
  <c r="E111" i="2" s="1"/>
  <c r="F111" i="2" s="1"/>
  <c r="H111" i="2" s="1"/>
  <c r="H110" i="2"/>
  <c r="G107" i="2"/>
  <c r="C107" i="2"/>
  <c r="E107" i="2" s="1"/>
  <c r="A107" i="2"/>
  <c r="G103" i="2"/>
  <c r="C103" i="2"/>
  <c r="A103" i="2"/>
  <c r="E103" i="2" s="1"/>
  <c r="I98" i="2"/>
  <c r="I97" i="2"/>
  <c r="H85" i="2"/>
  <c r="H78" i="2"/>
  <c r="H66" i="2"/>
  <c r="I53" i="2"/>
  <c r="I54" i="2" s="1"/>
  <c r="I50" i="2"/>
  <c r="I47" i="2"/>
  <c r="I45" i="2"/>
  <c r="I44" i="2"/>
  <c r="I43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I33" i="2"/>
  <c r="I32" i="2"/>
  <c r="I46" i="2" s="1"/>
  <c r="I31" i="2"/>
  <c r="I30" i="2"/>
  <c r="I49" i="2" s="1"/>
  <c r="G11" i="2"/>
  <c r="A6" i="2"/>
  <c r="I5" i="2"/>
  <c r="G5" i="2"/>
  <c r="I188" i="7"/>
  <c r="F2" i="6" s="1"/>
  <c r="I179" i="7"/>
  <c r="E161" i="7"/>
  <c r="H160" i="7"/>
  <c r="H163" i="7" s="1"/>
  <c r="G160" i="7"/>
  <c r="G163" i="7" s="1"/>
  <c r="D160" i="7"/>
  <c r="E160" i="7" s="1"/>
  <c r="D159" i="7"/>
  <c r="E159" i="7" s="1"/>
  <c r="I138" i="7"/>
  <c r="I134" i="7"/>
  <c r="I178" i="7" s="1"/>
  <c r="F127" i="7"/>
  <c r="I118" i="7" s="1"/>
  <c r="G111" i="7"/>
  <c r="A111" i="7"/>
  <c r="E111" i="7" s="1"/>
  <c r="H110" i="7"/>
  <c r="G107" i="7"/>
  <c r="C107" i="7"/>
  <c r="A107" i="7"/>
  <c r="E107" i="7" s="1"/>
  <c r="G103" i="7"/>
  <c r="C103" i="7"/>
  <c r="A103" i="7"/>
  <c r="E103" i="7" s="1"/>
  <c r="I98" i="7"/>
  <c r="I97" i="7"/>
  <c r="H85" i="7"/>
  <c r="H78" i="7"/>
  <c r="H88" i="7" s="1"/>
  <c r="H89" i="7" s="1"/>
  <c r="H66" i="7"/>
  <c r="B47" i="7"/>
  <c r="I45" i="7"/>
  <c r="I46" i="7" s="1"/>
  <c r="I44" i="7"/>
  <c r="I43" i="7"/>
  <c r="I42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37" i="7"/>
  <c r="I18" i="7"/>
  <c r="C111" i="7" s="1"/>
  <c r="A6" i="7"/>
  <c r="I5" i="7"/>
  <c r="G5" i="7"/>
  <c r="I188" i="11" l="1"/>
  <c r="F8" i="6" s="1"/>
  <c r="I124" i="11"/>
  <c r="I124" i="12"/>
  <c r="I177" i="12" s="1"/>
  <c r="I124" i="7"/>
  <c r="I177" i="7" s="1"/>
  <c r="I188" i="8"/>
  <c r="F4" i="6" s="1"/>
  <c r="I124" i="8"/>
  <c r="E103" i="9"/>
  <c r="I140" i="11"/>
  <c r="I127" i="11"/>
  <c r="I99" i="11"/>
  <c r="I48" i="11"/>
  <c r="H95" i="10"/>
  <c r="H38" i="10"/>
  <c r="I144" i="10"/>
  <c r="C158" i="10" s="1"/>
  <c r="I177" i="10"/>
  <c r="I48" i="10"/>
  <c r="F111" i="10"/>
  <c r="H111" i="10" s="1"/>
  <c r="I111" i="10" s="1"/>
  <c r="I94" i="10" s="1"/>
  <c r="I140" i="10"/>
  <c r="H96" i="10"/>
  <c r="I127" i="10"/>
  <c r="I140" i="8"/>
  <c r="I127" i="8"/>
  <c r="I99" i="8"/>
  <c r="I48" i="8"/>
  <c r="F107" i="12"/>
  <c r="H107" i="12" s="1"/>
  <c r="I107" i="12" s="1"/>
  <c r="I95" i="12" s="1"/>
  <c r="I51" i="12"/>
  <c r="I111" i="12"/>
  <c r="I94" i="12" s="1"/>
  <c r="H91" i="12"/>
  <c r="F111" i="12"/>
  <c r="H111" i="12" s="1"/>
  <c r="F103" i="12"/>
  <c r="H103" i="12" s="1"/>
  <c r="I103" i="12" s="1"/>
  <c r="I96" i="12" s="1"/>
  <c r="H88" i="12"/>
  <c r="H89" i="12" s="1"/>
  <c r="F111" i="9"/>
  <c r="H111" i="9" s="1"/>
  <c r="I111" i="9" s="1"/>
  <c r="I94" i="9" s="1"/>
  <c r="I51" i="9"/>
  <c r="I124" i="9"/>
  <c r="I52" i="9"/>
  <c r="I48" i="9"/>
  <c r="I103" i="9"/>
  <c r="I96" i="9" s="1"/>
  <c r="F107" i="9"/>
  <c r="H107" i="9" s="1"/>
  <c r="I107" i="9" s="1"/>
  <c r="I95" i="9" s="1"/>
  <c r="F103" i="9"/>
  <c r="H103" i="9" s="1"/>
  <c r="I51" i="2"/>
  <c r="I52" i="2"/>
  <c r="F107" i="2"/>
  <c r="H107" i="2" s="1"/>
  <c r="I107" i="2" s="1"/>
  <c r="I95" i="2" s="1"/>
  <c r="I111" i="2"/>
  <c r="I94" i="2" s="1"/>
  <c r="I48" i="2"/>
  <c r="I177" i="2"/>
  <c r="I144" i="2"/>
  <c r="C158" i="2" s="1"/>
  <c r="F103" i="2"/>
  <c r="H103" i="2" s="1"/>
  <c r="I103" i="2" s="1"/>
  <c r="I96" i="2" s="1"/>
  <c r="H88" i="2"/>
  <c r="H89" i="2" s="1"/>
  <c r="H91" i="2" s="1"/>
  <c r="F107" i="7"/>
  <c r="H107" i="7" s="1"/>
  <c r="I107" i="7" s="1"/>
  <c r="I95" i="7" s="1"/>
  <c r="H95" i="7" s="1"/>
  <c r="F111" i="7"/>
  <c r="H111" i="7" s="1"/>
  <c r="I111" i="7" s="1"/>
  <c r="I94" i="7" s="1"/>
  <c r="H91" i="7"/>
  <c r="I48" i="7"/>
  <c r="F103" i="7"/>
  <c r="H103" i="7" s="1"/>
  <c r="I103" i="7" s="1"/>
  <c r="I96" i="7" s="1"/>
  <c r="I38" i="7"/>
  <c r="I144" i="12" l="1"/>
  <c r="C158" i="12" s="1"/>
  <c r="I144" i="7"/>
  <c r="C158" i="7" s="1"/>
  <c r="I177" i="8"/>
  <c r="I180" i="8" s="1"/>
  <c r="I144" i="8"/>
  <c r="C158" i="8" s="1"/>
  <c r="I144" i="11"/>
  <c r="C158" i="11" s="1"/>
  <c r="I177" i="11"/>
  <c r="I180" i="11" s="1"/>
  <c r="I72" i="11"/>
  <c r="I58" i="11"/>
  <c r="I71" i="11"/>
  <c r="H44" i="11"/>
  <c r="H40" i="11"/>
  <c r="I84" i="11"/>
  <c r="I70" i="11"/>
  <c r="I83" i="11"/>
  <c r="H47" i="11"/>
  <c r="A129" i="11"/>
  <c r="I82" i="11"/>
  <c r="I85" i="11" s="1"/>
  <c r="H43" i="11"/>
  <c r="H39" i="11"/>
  <c r="I65" i="11"/>
  <c r="I77" i="11"/>
  <c r="H98" i="11"/>
  <c r="I76" i="11"/>
  <c r="H41" i="11"/>
  <c r="I75" i="11"/>
  <c r="H97" i="11"/>
  <c r="I74" i="11"/>
  <c r="A142" i="11"/>
  <c r="I73" i="11"/>
  <c r="H45" i="11"/>
  <c r="I64" i="11"/>
  <c r="I63" i="11"/>
  <c r="I88" i="11"/>
  <c r="I89" i="11" s="1"/>
  <c r="I62" i="11"/>
  <c r="I171" i="11"/>
  <c r="I61" i="11"/>
  <c r="H37" i="11"/>
  <c r="I60" i="11"/>
  <c r="H42" i="11"/>
  <c r="I59" i="11"/>
  <c r="I191" i="11"/>
  <c r="H46" i="11"/>
  <c r="H38" i="11"/>
  <c r="H95" i="11"/>
  <c r="I173" i="11"/>
  <c r="G142" i="11"/>
  <c r="G129" i="11"/>
  <c r="H94" i="11"/>
  <c r="H96" i="11"/>
  <c r="I99" i="10"/>
  <c r="H94" i="10"/>
  <c r="I72" i="10"/>
  <c r="I58" i="10"/>
  <c r="I84" i="10"/>
  <c r="I70" i="10"/>
  <c r="I83" i="10"/>
  <c r="I82" i="10"/>
  <c r="I85" i="10" s="1"/>
  <c r="I77" i="10"/>
  <c r="H42" i="10"/>
  <c r="I76" i="10"/>
  <c r="H98" i="10"/>
  <c r="I75" i="10"/>
  <c r="I171" i="10"/>
  <c r="I88" i="10"/>
  <c r="I89" i="10" s="1"/>
  <c r="I60" i="10"/>
  <c r="H45" i="10"/>
  <c r="H97" i="10"/>
  <c r="I59" i="10"/>
  <c r="I71" i="10"/>
  <c r="H44" i="10"/>
  <c r="H40" i="10"/>
  <c r="H47" i="10"/>
  <c r="A129" i="10"/>
  <c r="H43" i="10"/>
  <c r="I64" i="10"/>
  <c r="I74" i="10"/>
  <c r="H41" i="10"/>
  <c r="A142" i="10"/>
  <c r="H39" i="10"/>
  <c r="I65" i="10"/>
  <c r="I63" i="10"/>
  <c r="I62" i="10"/>
  <c r="I61" i="10"/>
  <c r="H37" i="10"/>
  <c r="I73" i="10"/>
  <c r="H46" i="10"/>
  <c r="I191" i="10"/>
  <c r="I180" i="10"/>
  <c r="I72" i="8"/>
  <c r="I58" i="8"/>
  <c r="I71" i="8"/>
  <c r="H44" i="8"/>
  <c r="H40" i="8"/>
  <c r="I84" i="8"/>
  <c r="I70" i="8"/>
  <c r="I83" i="8"/>
  <c r="H47" i="8"/>
  <c r="A129" i="8"/>
  <c r="I82" i="8"/>
  <c r="I85" i="8" s="1"/>
  <c r="H43" i="8"/>
  <c r="H39" i="8"/>
  <c r="I65" i="8"/>
  <c r="I77" i="8"/>
  <c r="H98" i="8"/>
  <c r="I76" i="8"/>
  <c r="H41" i="8"/>
  <c r="I75" i="8"/>
  <c r="H97" i="8"/>
  <c r="I74" i="8"/>
  <c r="A142" i="8"/>
  <c r="I73" i="8"/>
  <c r="H45" i="8"/>
  <c r="I64" i="8"/>
  <c r="I63" i="8"/>
  <c r="I88" i="8"/>
  <c r="I89" i="8" s="1"/>
  <c r="I62" i="8"/>
  <c r="I171" i="8"/>
  <c r="I61" i="8"/>
  <c r="H37" i="8"/>
  <c r="I60" i="8"/>
  <c r="H42" i="8"/>
  <c r="I59" i="8"/>
  <c r="I191" i="8"/>
  <c r="H46" i="8"/>
  <c r="H38" i="8"/>
  <c r="H95" i="8"/>
  <c r="I173" i="8"/>
  <c r="G142" i="8"/>
  <c r="G129" i="8"/>
  <c r="H94" i="8"/>
  <c r="H96" i="8"/>
  <c r="I140" i="12"/>
  <c r="I127" i="12"/>
  <c r="I180" i="12"/>
  <c r="I99" i="12"/>
  <c r="I39" i="12"/>
  <c r="I99" i="9"/>
  <c r="I177" i="9"/>
  <c r="I144" i="9"/>
  <c r="C158" i="9" s="1"/>
  <c r="I140" i="9"/>
  <c r="I127" i="9"/>
  <c r="I39" i="9"/>
  <c r="I140" i="2"/>
  <c r="I127" i="2"/>
  <c r="I99" i="2"/>
  <c r="I39" i="2"/>
  <c r="I180" i="2"/>
  <c r="H94" i="7"/>
  <c r="I99" i="7"/>
  <c r="I72" i="7"/>
  <c r="I58" i="7"/>
  <c r="I71" i="7"/>
  <c r="H44" i="7"/>
  <c r="H40" i="7"/>
  <c r="I84" i="7"/>
  <c r="I70" i="7"/>
  <c r="I78" i="7" s="1"/>
  <c r="I83" i="7"/>
  <c r="H47" i="7"/>
  <c r="A129" i="7"/>
  <c r="I82" i="7"/>
  <c r="H43" i="7"/>
  <c r="H39" i="7"/>
  <c r="I65" i="7"/>
  <c r="I77" i="7"/>
  <c r="H98" i="7"/>
  <c r="H41" i="7"/>
  <c r="I74" i="7"/>
  <c r="I73" i="7"/>
  <c r="H45" i="7"/>
  <c r="I64" i="7"/>
  <c r="I63" i="7"/>
  <c r="I62" i="7"/>
  <c r="I61" i="7"/>
  <c r="H37" i="7"/>
  <c r="I59" i="7"/>
  <c r="I76" i="7"/>
  <c r="I75" i="7"/>
  <c r="H97" i="7"/>
  <c r="A142" i="7"/>
  <c r="I88" i="7"/>
  <c r="I89" i="7" s="1"/>
  <c r="I171" i="7"/>
  <c r="I60" i="7"/>
  <c r="H42" i="7"/>
  <c r="I191" i="7"/>
  <c r="H46" i="7"/>
  <c r="I140" i="7"/>
  <c r="H96" i="7"/>
  <c r="I127" i="7"/>
  <c r="H38" i="7"/>
  <c r="I180" i="7"/>
  <c r="H48" i="11" l="1"/>
  <c r="H99" i="11"/>
  <c r="F129" i="11"/>
  <c r="F142" i="11"/>
  <c r="E129" i="11"/>
  <c r="E142" i="11"/>
  <c r="I78" i="11"/>
  <c r="I66" i="11"/>
  <c r="H48" i="10"/>
  <c r="E129" i="10"/>
  <c r="E142" i="10"/>
  <c r="I66" i="10"/>
  <c r="G142" i="10"/>
  <c r="I173" i="10"/>
  <c r="G129" i="10"/>
  <c r="I78" i="10"/>
  <c r="F129" i="10"/>
  <c r="F142" i="10"/>
  <c r="H99" i="10"/>
  <c r="E129" i="8"/>
  <c r="E142" i="8"/>
  <c r="H48" i="8"/>
  <c r="H99" i="8"/>
  <c r="I78" i="8"/>
  <c r="F129" i="8"/>
  <c r="F142" i="8"/>
  <c r="I66" i="8"/>
  <c r="I55" i="12"/>
  <c r="G142" i="12"/>
  <c r="G129" i="12"/>
  <c r="I173" i="12"/>
  <c r="I55" i="9"/>
  <c r="I180" i="9"/>
  <c r="I173" i="9"/>
  <c r="G142" i="9"/>
  <c r="G129" i="9"/>
  <c r="I55" i="2"/>
  <c r="G142" i="2"/>
  <c r="G129" i="2"/>
  <c r="I173" i="2"/>
  <c r="F129" i="7"/>
  <c r="F142" i="7"/>
  <c r="I66" i="7"/>
  <c r="D129" i="7"/>
  <c r="D142" i="7"/>
  <c r="H48" i="7"/>
  <c r="H113" i="7" s="1"/>
  <c r="I173" i="7"/>
  <c r="G142" i="7"/>
  <c r="G129" i="7"/>
  <c r="I85" i="7"/>
  <c r="H99" i="7"/>
  <c r="D129" i="11" l="1"/>
  <c r="D142" i="11"/>
  <c r="H113" i="11"/>
  <c r="C129" i="11"/>
  <c r="H129" i="11" s="1"/>
  <c r="I129" i="11" s="1"/>
  <c r="C142" i="11"/>
  <c r="H142" i="11" s="1"/>
  <c r="I142" i="11" s="1"/>
  <c r="I91" i="11"/>
  <c r="I113" i="11" s="1"/>
  <c r="A158" i="11" s="1"/>
  <c r="D158" i="11" s="1"/>
  <c r="I172" i="11"/>
  <c r="D142" i="10"/>
  <c r="D129" i="10"/>
  <c r="C129" i="10"/>
  <c r="H129" i="10" s="1"/>
  <c r="I129" i="10" s="1"/>
  <c r="I172" i="10"/>
  <c r="C142" i="10"/>
  <c r="H142" i="10" s="1"/>
  <c r="I142" i="10" s="1"/>
  <c r="I91" i="10"/>
  <c r="I113" i="10" s="1"/>
  <c r="A158" i="10" s="1"/>
  <c r="D158" i="10" s="1"/>
  <c r="H113" i="10"/>
  <c r="D129" i="8"/>
  <c r="D142" i="8"/>
  <c r="H113" i="8"/>
  <c r="C129" i="8"/>
  <c r="H129" i="8" s="1"/>
  <c r="I129" i="8" s="1"/>
  <c r="C142" i="8"/>
  <c r="H142" i="8" s="1"/>
  <c r="I142" i="8" s="1"/>
  <c r="I91" i="8"/>
  <c r="I113" i="8" s="1"/>
  <c r="A158" i="8" s="1"/>
  <c r="D158" i="8" s="1"/>
  <c r="I172" i="8"/>
  <c r="I72" i="12"/>
  <c r="I58" i="12"/>
  <c r="I71" i="12"/>
  <c r="H47" i="12"/>
  <c r="H43" i="12"/>
  <c r="I84" i="12"/>
  <c r="I70" i="12"/>
  <c r="I83" i="12"/>
  <c r="H38" i="12"/>
  <c r="A129" i="12"/>
  <c r="I82" i="12"/>
  <c r="I85" i="12" s="1"/>
  <c r="H50" i="12"/>
  <c r="H42" i="12"/>
  <c r="I65" i="12"/>
  <c r="I64" i="12"/>
  <c r="H40" i="12"/>
  <c r="I88" i="12"/>
  <c r="I89" i="12" s="1"/>
  <c r="I62" i="12"/>
  <c r="H37" i="12"/>
  <c r="H98" i="12"/>
  <c r="H48" i="12"/>
  <c r="I75" i="12"/>
  <c r="H53" i="12"/>
  <c r="H41" i="12"/>
  <c r="I171" i="12"/>
  <c r="I73" i="12"/>
  <c r="H45" i="12"/>
  <c r="H97" i="12"/>
  <c r="I63" i="12"/>
  <c r="I61" i="12"/>
  <c r="H44" i="12"/>
  <c r="I60" i="12"/>
  <c r="I59" i="12"/>
  <c r="I77" i="12"/>
  <c r="A142" i="12"/>
  <c r="I76" i="12"/>
  <c r="I74" i="12"/>
  <c r="H49" i="12"/>
  <c r="H54" i="12"/>
  <c r="I191" i="12"/>
  <c r="H46" i="12"/>
  <c r="H96" i="12"/>
  <c r="H95" i="12"/>
  <c r="H94" i="12"/>
  <c r="H99" i="12" s="1"/>
  <c r="H52" i="12"/>
  <c r="H51" i="12"/>
  <c r="H39" i="12"/>
  <c r="I72" i="9"/>
  <c r="I58" i="9"/>
  <c r="H43" i="9"/>
  <c r="I84" i="9"/>
  <c r="H38" i="9"/>
  <c r="I82" i="9"/>
  <c r="I85" i="9" s="1"/>
  <c r="I64" i="9"/>
  <c r="I77" i="9"/>
  <c r="I63" i="9"/>
  <c r="H41" i="9"/>
  <c r="I76" i="9"/>
  <c r="I75" i="9"/>
  <c r="A142" i="9"/>
  <c r="I71" i="9"/>
  <c r="H47" i="9"/>
  <c r="I70" i="9"/>
  <c r="I83" i="9"/>
  <c r="A129" i="9"/>
  <c r="H50" i="9"/>
  <c r="H42" i="9"/>
  <c r="I65" i="9"/>
  <c r="H37" i="9"/>
  <c r="H55" i="9" s="1"/>
  <c r="H53" i="9"/>
  <c r="H45" i="9"/>
  <c r="I62" i="9"/>
  <c r="H98" i="9"/>
  <c r="I61" i="9"/>
  <c r="I171" i="9"/>
  <c r="I88" i="9"/>
  <c r="I89" i="9" s="1"/>
  <c r="I74" i="9"/>
  <c r="I60" i="9"/>
  <c r="H44" i="9"/>
  <c r="H40" i="9"/>
  <c r="I73" i="9"/>
  <c r="H97" i="9"/>
  <c r="I59" i="9"/>
  <c r="H54" i="9"/>
  <c r="H49" i="9"/>
  <c r="I191" i="9"/>
  <c r="H46" i="9"/>
  <c r="H95" i="9"/>
  <c r="H94" i="9"/>
  <c r="H48" i="9"/>
  <c r="H96" i="9"/>
  <c r="H52" i="9"/>
  <c r="H51" i="9"/>
  <c r="H39" i="9"/>
  <c r="I72" i="2"/>
  <c r="I58" i="2"/>
  <c r="I71" i="2"/>
  <c r="H47" i="2"/>
  <c r="H43" i="2"/>
  <c r="I84" i="2"/>
  <c r="I70" i="2"/>
  <c r="I83" i="2"/>
  <c r="H38" i="2"/>
  <c r="A129" i="2"/>
  <c r="I82" i="2"/>
  <c r="I85" i="2" s="1"/>
  <c r="H50" i="2"/>
  <c r="H42" i="2"/>
  <c r="I65" i="2"/>
  <c r="I88" i="2"/>
  <c r="I89" i="2" s="1"/>
  <c r="I62" i="2"/>
  <c r="I61" i="2"/>
  <c r="H44" i="2"/>
  <c r="I60" i="2"/>
  <c r="H37" i="2"/>
  <c r="I59" i="2"/>
  <c r="I77" i="2"/>
  <c r="A142" i="2"/>
  <c r="H98" i="2"/>
  <c r="I76" i="2"/>
  <c r="I75" i="2"/>
  <c r="H53" i="2"/>
  <c r="H97" i="2"/>
  <c r="I74" i="2"/>
  <c r="H41" i="2"/>
  <c r="I171" i="2"/>
  <c r="I73" i="2"/>
  <c r="I64" i="2"/>
  <c r="I63" i="2"/>
  <c r="H46" i="2"/>
  <c r="H40" i="2"/>
  <c r="H45" i="2"/>
  <c r="I191" i="2"/>
  <c r="H49" i="2"/>
  <c r="H54" i="2"/>
  <c r="H96" i="2"/>
  <c r="H95" i="2"/>
  <c r="H94" i="2"/>
  <c r="H52" i="2"/>
  <c r="H51" i="2"/>
  <c r="H48" i="2"/>
  <c r="H39" i="2"/>
  <c r="C129" i="7"/>
  <c r="I91" i="7"/>
  <c r="I113" i="7" s="1"/>
  <c r="A158" i="7" s="1"/>
  <c r="D158" i="7" s="1"/>
  <c r="I172" i="7"/>
  <c r="C142" i="7"/>
  <c r="E129" i="7"/>
  <c r="E142" i="7"/>
  <c r="H99" i="2" l="1"/>
  <c r="I174" i="11"/>
  <c r="I148" i="11"/>
  <c r="I152" i="11"/>
  <c r="H152" i="11" s="1"/>
  <c r="I151" i="11"/>
  <c r="H151" i="11" s="1"/>
  <c r="I150" i="11"/>
  <c r="H150" i="11" s="1"/>
  <c r="I149" i="11"/>
  <c r="H149" i="11" s="1"/>
  <c r="G140" i="11"/>
  <c r="H137" i="11"/>
  <c r="H138" i="11" s="1"/>
  <c r="H133" i="11"/>
  <c r="H132" i="11"/>
  <c r="H134" i="11" s="1"/>
  <c r="H121" i="11"/>
  <c r="H120" i="11"/>
  <c r="H119" i="11"/>
  <c r="H117" i="11"/>
  <c r="G127" i="11"/>
  <c r="H123" i="11"/>
  <c r="H122" i="11"/>
  <c r="H118" i="11"/>
  <c r="I148" i="10"/>
  <c r="I152" i="10"/>
  <c r="H152" i="10" s="1"/>
  <c r="I151" i="10"/>
  <c r="H151" i="10" s="1"/>
  <c r="I150" i="10"/>
  <c r="H150" i="10" s="1"/>
  <c r="I149" i="10"/>
  <c r="H149" i="10" s="1"/>
  <c r="H132" i="10"/>
  <c r="G140" i="10"/>
  <c r="H137" i="10"/>
  <c r="H138" i="10" s="1"/>
  <c r="H133" i="10"/>
  <c r="I174" i="10"/>
  <c r="H121" i="10"/>
  <c r="H119" i="10"/>
  <c r="G127" i="10"/>
  <c r="H122" i="10"/>
  <c r="H120" i="10"/>
  <c r="H117" i="10"/>
  <c r="H123" i="10"/>
  <c r="H118" i="10"/>
  <c r="I174" i="8"/>
  <c r="I148" i="8"/>
  <c r="I152" i="8"/>
  <c r="H152" i="8" s="1"/>
  <c r="I151" i="8"/>
  <c r="H151" i="8" s="1"/>
  <c r="I150" i="8"/>
  <c r="H150" i="8" s="1"/>
  <c r="I149" i="8"/>
  <c r="H149" i="8" s="1"/>
  <c r="G140" i="8"/>
  <c r="H137" i="8"/>
  <c r="H138" i="8" s="1"/>
  <c r="H133" i="8"/>
  <c r="H132" i="8"/>
  <c r="H134" i="8" s="1"/>
  <c r="H121" i="8"/>
  <c r="H120" i="8"/>
  <c r="H119" i="8"/>
  <c r="H117" i="8"/>
  <c r="G127" i="8"/>
  <c r="H123" i="8"/>
  <c r="H122" i="8"/>
  <c r="H118" i="8"/>
  <c r="E129" i="12"/>
  <c r="E142" i="12"/>
  <c r="H55" i="12"/>
  <c r="H113" i="12" s="1"/>
  <c r="F129" i="12"/>
  <c r="F142" i="12"/>
  <c r="I78" i="12"/>
  <c r="I66" i="12"/>
  <c r="H99" i="9"/>
  <c r="H113" i="9" s="1"/>
  <c r="F129" i="9"/>
  <c r="F142" i="9"/>
  <c r="E142" i="9"/>
  <c r="E129" i="9"/>
  <c r="I78" i="9"/>
  <c r="I66" i="9"/>
  <c r="H55" i="2"/>
  <c r="H113" i="2" s="1"/>
  <c r="I78" i="2"/>
  <c r="E129" i="2"/>
  <c r="E142" i="2"/>
  <c r="F129" i="2"/>
  <c r="F142" i="2"/>
  <c r="I66" i="2"/>
  <c r="H142" i="7"/>
  <c r="I142" i="7" s="1"/>
  <c r="I174" i="7"/>
  <c r="I148" i="7"/>
  <c r="I152" i="7"/>
  <c r="H152" i="7" s="1"/>
  <c r="I151" i="7"/>
  <c r="H151" i="7" s="1"/>
  <c r="I149" i="7"/>
  <c r="H149" i="7" s="1"/>
  <c r="I150" i="7"/>
  <c r="H150" i="7" s="1"/>
  <c r="H129" i="7"/>
  <c r="I129" i="7" s="1"/>
  <c r="H124" i="11" l="1"/>
  <c r="H144" i="11" s="1"/>
  <c r="H148" i="11"/>
  <c r="H153" i="11" s="1"/>
  <c r="H167" i="11" s="1"/>
  <c r="I153" i="11"/>
  <c r="H134" i="10"/>
  <c r="H124" i="10"/>
  <c r="H144" i="10" s="1"/>
  <c r="H148" i="10"/>
  <c r="H153" i="10" s="1"/>
  <c r="H167" i="10" s="1"/>
  <c r="I153" i="10"/>
  <c r="H124" i="8"/>
  <c r="H144" i="8" s="1"/>
  <c r="H148" i="8"/>
  <c r="H153" i="8" s="1"/>
  <c r="H167" i="8" s="1"/>
  <c r="I153" i="8"/>
  <c r="C129" i="12"/>
  <c r="H129" i="12" s="1"/>
  <c r="I129" i="12" s="1"/>
  <c r="C142" i="12"/>
  <c r="I91" i="12"/>
  <c r="I113" i="12" s="1"/>
  <c r="A158" i="12" s="1"/>
  <c r="D158" i="12" s="1"/>
  <c r="I172" i="12"/>
  <c r="D129" i="12"/>
  <c r="D142" i="12"/>
  <c r="C129" i="9"/>
  <c r="I172" i="9"/>
  <c r="I91" i="9"/>
  <c r="I113" i="9" s="1"/>
  <c r="A158" i="9" s="1"/>
  <c r="D158" i="9" s="1"/>
  <c r="C142" i="9"/>
  <c r="D129" i="9"/>
  <c r="D142" i="9"/>
  <c r="C129" i="2"/>
  <c r="C142" i="2"/>
  <c r="I172" i="2"/>
  <c r="I91" i="2"/>
  <c r="I113" i="2" s="1"/>
  <c r="A158" i="2" s="1"/>
  <c r="D158" i="2" s="1"/>
  <c r="D129" i="2"/>
  <c r="D142" i="2"/>
  <c r="H121" i="7"/>
  <c r="H120" i="7"/>
  <c r="H119" i="7"/>
  <c r="H117" i="7"/>
  <c r="G127" i="7"/>
  <c r="H122" i="7"/>
  <c r="H123" i="7"/>
  <c r="H118" i="7"/>
  <c r="H148" i="7"/>
  <c r="H153" i="7" s="1"/>
  <c r="H167" i="7" s="1"/>
  <c r="I153" i="7"/>
  <c r="G140" i="7"/>
  <c r="H137" i="7"/>
  <c r="H138" i="7" s="1"/>
  <c r="H133" i="7"/>
  <c r="H132" i="7"/>
  <c r="H134" i="7" s="1"/>
  <c r="I167" i="11" l="1"/>
  <c r="I184" i="11"/>
  <c r="G194" i="11" s="1"/>
  <c r="I183" i="11"/>
  <c r="I167" i="10"/>
  <c r="I184" i="10"/>
  <c r="G194" i="10" s="1"/>
  <c r="I183" i="10"/>
  <c r="H183" i="10" s="1"/>
  <c r="H184" i="10" s="1"/>
  <c r="I167" i="8"/>
  <c r="I184" i="8"/>
  <c r="G194" i="8" s="1"/>
  <c r="I183" i="8"/>
  <c r="H183" i="8" s="1"/>
  <c r="H184" i="8" s="1"/>
  <c r="H121" i="12"/>
  <c r="H120" i="12"/>
  <c r="H119" i="12"/>
  <c r="H117" i="12"/>
  <c r="G127" i="12"/>
  <c r="H122" i="12"/>
  <c r="H123" i="12"/>
  <c r="H118" i="12"/>
  <c r="I174" i="12"/>
  <c r="I148" i="12"/>
  <c r="I152" i="12"/>
  <c r="H152" i="12" s="1"/>
  <c r="I149" i="12"/>
  <c r="H149" i="12" s="1"/>
  <c r="I151" i="12"/>
  <c r="H151" i="12" s="1"/>
  <c r="I150" i="12"/>
  <c r="H150" i="12" s="1"/>
  <c r="H142" i="12"/>
  <c r="I142" i="12" s="1"/>
  <c r="H142" i="9"/>
  <c r="I142" i="9" s="1"/>
  <c r="I148" i="9"/>
  <c r="I149" i="9"/>
  <c r="H149" i="9" s="1"/>
  <c r="I152" i="9"/>
  <c r="H152" i="9" s="1"/>
  <c r="I151" i="9"/>
  <c r="H151" i="9" s="1"/>
  <c r="I150" i="9"/>
  <c r="H150" i="9" s="1"/>
  <c r="I174" i="9"/>
  <c r="H129" i="9"/>
  <c r="I129" i="9" s="1"/>
  <c r="I148" i="2"/>
  <c r="I152" i="2"/>
  <c r="H152" i="2" s="1"/>
  <c r="I151" i="2"/>
  <c r="H151" i="2" s="1"/>
  <c r="I150" i="2"/>
  <c r="H150" i="2" s="1"/>
  <c r="I149" i="2"/>
  <c r="H149" i="2" s="1"/>
  <c r="I174" i="2"/>
  <c r="H142" i="2"/>
  <c r="I142" i="2" s="1"/>
  <c r="H129" i="2"/>
  <c r="I129" i="2" s="1"/>
  <c r="I167" i="7"/>
  <c r="I184" i="7"/>
  <c r="G194" i="7" s="1"/>
  <c r="I183" i="7"/>
  <c r="H183" i="7" s="1"/>
  <c r="H184" i="7" s="1"/>
  <c r="H124" i="7"/>
  <c r="H144" i="7" s="1"/>
  <c r="H183" i="11" l="1"/>
  <c r="H184" i="11" s="1"/>
  <c r="I194" i="11"/>
  <c r="I8" i="6" s="1"/>
  <c r="J8" i="6" s="1"/>
  <c r="H179" i="11"/>
  <c r="H178" i="11"/>
  <c r="H177" i="11"/>
  <c r="H171" i="11"/>
  <c r="H173" i="11"/>
  <c r="H172" i="11"/>
  <c r="I194" i="10"/>
  <c r="I6" i="6" s="1"/>
  <c r="J6" i="6" s="1"/>
  <c r="H179" i="10"/>
  <c r="H178" i="10"/>
  <c r="H177" i="10"/>
  <c r="H180" i="10" s="1"/>
  <c r="H171" i="10"/>
  <c r="H173" i="10"/>
  <c r="H172" i="10"/>
  <c r="I194" i="8"/>
  <c r="I4" i="6" s="1"/>
  <c r="J4" i="6" s="1"/>
  <c r="H179" i="8"/>
  <c r="H178" i="8"/>
  <c r="H177" i="8"/>
  <c r="H180" i="8" s="1"/>
  <c r="H171" i="8"/>
  <c r="H173" i="8"/>
  <c r="H172" i="8"/>
  <c r="H148" i="12"/>
  <c r="H153" i="12" s="1"/>
  <c r="H167" i="12" s="1"/>
  <c r="I153" i="12"/>
  <c r="G140" i="12"/>
  <c r="H137" i="12"/>
  <c r="H138" i="12" s="1"/>
  <c r="H133" i="12"/>
  <c r="H132" i="12"/>
  <c r="H134" i="12" s="1"/>
  <c r="H124" i="12"/>
  <c r="H144" i="12" s="1"/>
  <c r="H121" i="9"/>
  <c r="H119" i="9"/>
  <c r="H117" i="9"/>
  <c r="G127" i="9"/>
  <c r="H122" i="9"/>
  <c r="H120" i="9"/>
  <c r="H123" i="9"/>
  <c r="H118" i="9"/>
  <c r="H148" i="9"/>
  <c r="H153" i="9" s="1"/>
  <c r="H167" i="9" s="1"/>
  <c r="I153" i="9"/>
  <c r="H137" i="9"/>
  <c r="H138" i="9" s="1"/>
  <c r="H133" i="9"/>
  <c r="G140" i="9"/>
  <c r="H132" i="9"/>
  <c r="H134" i="9" s="1"/>
  <c r="H121" i="2"/>
  <c r="H120" i="2"/>
  <c r="H119" i="2"/>
  <c r="H117" i="2"/>
  <c r="G127" i="2"/>
  <c r="H123" i="2"/>
  <c r="H122" i="2"/>
  <c r="H118" i="2"/>
  <c r="G140" i="2"/>
  <c r="H137" i="2"/>
  <c r="H138" i="2" s="1"/>
  <c r="H133" i="2"/>
  <c r="H132" i="2"/>
  <c r="H148" i="2"/>
  <c r="H153" i="2" s="1"/>
  <c r="H167" i="2" s="1"/>
  <c r="I153" i="2"/>
  <c r="I194" i="7"/>
  <c r="H179" i="7"/>
  <c r="H178" i="7"/>
  <c r="H177" i="7"/>
  <c r="H171" i="7"/>
  <c r="H173" i="7"/>
  <c r="H172" i="7"/>
  <c r="I2" i="6" l="1"/>
  <c r="J2" i="6" s="1"/>
  <c r="H180" i="7"/>
  <c r="H180" i="11"/>
  <c r="H174" i="11"/>
  <c r="H174" i="10"/>
  <c r="H174" i="8"/>
  <c r="I167" i="12"/>
  <c r="I184" i="12"/>
  <c r="G194" i="12" s="1"/>
  <c r="I183" i="12"/>
  <c r="I167" i="9"/>
  <c r="I184" i="9"/>
  <c r="G194" i="9" s="1"/>
  <c r="I183" i="9"/>
  <c r="H124" i="9"/>
  <c r="H144" i="9" s="1"/>
  <c r="H134" i="2"/>
  <c r="H124" i="2"/>
  <c r="H144" i="2" s="1"/>
  <c r="I167" i="2"/>
  <c r="I184" i="2"/>
  <c r="G194" i="2" s="1"/>
  <c r="I183" i="2"/>
  <c r="H174" i="7"/>
  <c r="H183" i="12" l="1"/>
  <c r="H184" i="12" s="1"/>
  <c r="H183" i="2"/>
  <c r="H184" i="2" s="1"/>
  <c r="H183" i="9"/>
  <c r="H184" i="9" s="1"/>
  <c r="I194" i="12"/>
  <c r="I9" i="6" s="1"/>
  <c r="J9" i="6" s="1"/>
  <c r="H179" i="12"/>
  <c r="H178" i="12"/>
  <c r="H177" i="12"/>
  <c r="H173" i="12"/>
  <c r="H171" i="12"/>
  <c r="H172" i="12"/>
  <c r="I194" i="9"/>
  <c r="I7" i="6" s="1"/>
  <c r="J7" i="6" s="1"/>
  <c r="H179" i="9"/>
  <c r="H178" i="9"/>
  <c r="H177" i="9"/>
  <c r="H173" i="9"/>
  <c r="H171" i="9"/>
  <c r="H172" i="9"/>
  <c r="I194" i="2"/>
  <c r="I5" i="6" s="1"/>
  <c r="J5" i="6" s="1"/>
  <c r="H179" i="2"/>
  <c r="H178" i="2"/>
  <c r="H177" i="2"/>
  <c r="H180" i="2" s="1"/>
  <c r="H173" i="2"/>
  <c r="H171" i="2"/>
  <c r="H172" i="2"/>
  <c r="I188" i="1"/>
  <c r="F3" i="6" s="1"/>
  <c r="I179" i="1"/>
  <c r="E161" i="1"/>
  <c r="H160" i="1"/>
  <c r="H163" i="1" s="1"/>
  <c r="D160" i="1" s="1"/>
  <c r="E160" i="1" s="1"/>
  <c r="G160" i="1"/>
  <c r="G163" i="1" s="1"/>
  <c r="D159" i="1" s="1"/>
  <c r="E159" i="1" s="1"/>
  <c r="I138" i="1"/>
  <c r="I134" i="1"/>
  <c r="I178" i="1" s="1"/>
  <c r="F127" i="1"/>
  <c r="I118" i="1" s="1"/>
  <c r="G111" i="1"/>
  <c r="C111" i="1"/>
  <c r="A111" i="1"/>
  <c r="E111" i="1" s="1"/>
  <c r="H110" i="1"/>
  <c r="G107" i="1"/>
  <c r="C107" i="1"/>
  <c r="A107" i="1"/>
  <c r="E107" i="1" s="1"/>
  <c r="G103" i="1"/>
  <c r="C103" i="1"/>
  <c r="A103" i="1"/>
  <c r="E103" i="1" s="1"/>
  <c r="I98" i="1"/>
  <c r="I97" i="1"/>
  <c r="H88" i="1"/>
  <c r="H89" i="1" s="1"/>
  <c r="H91" i="1" s="1"/>
  <c r="H85" i="1"/>
  <c r="H78" i="1"/>
  <c r="H66" i="1"/>
  <c r="I53" i="1"/>
  <c r="I54" i="1" s="1"/>
  <c r="I50" i="1"/>
  <c r="I47" i="1"/>
  <c r="I45" i="1"/>
  <c r="I44" i="1"/>
  <c r="I43" i="1"/>
  <c r="I42" i="1"/>
  <c r="I41" i="1"/>
  <c r="I40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I37" i="1"/>
  <c r="I33" i="1"/>
  <c r="I32" i="1"/>
  <c r="I46" i="1" s="1"/>
  <c r="I31" i="1"/>
  <c r="I30" i="1"/>
  <c r="I49" i="1" s="1"/>
  <c r="G11" i="1"/>
  <c r="A6" i="1"/>
  <c r="I5" i="1"/>
  <c r="G5" i="1"/>
  <c r="H180" i="9" l="1"/>
  <c r="H180" i="12"/>
  <c r="H174" i="12"/>
  <c r="H174" i="9"/>
  <c r="H174" i="2"/>
  <c r="I124" i="1"/>
  <c r="I48" i="1"/>
  <c r="I52" i="1"/>
  <c r="I39" i="1"/>
  <c r="F111" i="1"/>
  <c r="H111" i="1" s="1"/>
  <c r="I111" i="1" s="1"/>
  <c r="I94" i="1" s="1"/>
  <c r="I51" i="1"/>
  <c r="F107" i="1"/>
  <c r="H107" i="1" s="1"/>
  <c r="I107" i="1" s="1"/>
  <c r="I95" i="1" s="1"/>
  <c r="F103" i="1"/>
  <c r="H103" i="1" s="1"/>
  <c r="I103" i="1" s="1"/>
  <c r="I96" i="1" s="1"/>
  <c r="I140" i="1" l="1"/>
  <c r="I127" i="1"/>
  <c r="I99" i="1"/>
  <c r="I55" i="1"/>
  <c r="H52" i="1" s="1"/>
  <c r="H48" i="1"/>
  <c r="H51" i="1"/>
  <c r="I177" i="1"/>
  <c r="I144" i="1"/>
  <c r="C158" i="1" s="1"/>
  <c r="I180" i="1" l="1"/>
  <c r="H39" i="1"/>
  <c r="I173" i="1"/>
  <c r="G142" i="1"/>
  <c r="G129" i="1"/>
  <c r="I72" i="1"/>
  <c r="I58" i="1"/>
  <c r="I71" i="1"/>
  <c r="I64" i="1"/>
  <c r="I63" i="1"/>
  <c r="H45" i="1"/>
  <c r="I84" i="1"/>
  <c r="I70" i="1"/>
  <c r="H38" i="1"/>
  <c r="A129" i="1"/>
  <c r="I82" i="1"/>
  <c r="I85" i="1" s="1"/>
  <c r="H42" i="1"/>
  <c r="I77" i="1"/>
  <c r="I62" i="1"/>
  <c r="H98" i="1"/>
  <c r="I61" i="1"/>
  <c r="I171" i="1"/>
  <c r="I88" i="1"/>
  <c r="I89" i="1" s="1"/>
  <c r="I60" i="1"/>
  <c r="H44" i="1"/>
  <c r="A142" i="1"/>
  <c r="H97" i="1"/>
  <c r="I83" i="1"/>
  <c r="I65" i="1"/>
  <c r="H37" i="1"/>
  <c r="H41" i="1"/>
  <c r="I76" i="1"/>
  <c r="I75" i="1"/>
  <c r="I59" i="1"/>
  <c r="H53" i="1"/>
  <c r="I74" i="1"/>
  <c r="H40" i="1"/>
  <c r="I73" i="1"/>
  <c r="H43" i="1"/>
  <c r="H49" i="1"/>
  <c r="H46" i="1"/>
  <c r="H50" i="1"/>
  <c r="H54" i="1"/>
  <c r="H47" i="1"/>
  <c r="I191" i="1"/>
  <c r="H94" i="1"/>
  <c r="H95" i="1"/>
  <c r="H96" i="1"/>
  <c r="H99" i="1" l="1"/>
  <c r="H55" i="1"/>
  <c r="H113" i="1" s="1"/>
  <c r="I66" i="1"/>
  <c r="F129" i="1"/>
  <c r="F142" i="1"/>
  <c r="E129" i="1"/>
  <c r="E142" i="1"/>
  <c r="I78" i="1"/>
  <c r="D129" i="1" l="1"/>
  <c r="D142" i="1"/>
  <c r="I91" i="1"/>
  <c r="I113" i="1" s="1"/>
  <c r="A158" i="1" s="1"/>
  <c r="D158" i="1" s="1"/>
  <c r="I172" i="1"/>
  <c r="C142" i="1"/>
  <c r="H142" i="1" s="1"/>
  <c r="I142" i="1" s="1"/>
  <c r="C129" i="1"/>
  <c r="H129" i="1" s="1"/>
  <c r="I129" i="1" s="1"/>
  <c r="H121" i="1" l="1"/>
  <c r="H120" i="1"/>
  <c r="H122" i="1"/>
  <c r="H119" i="1"/>
  <c r="H117" i="1"/>
  <c r="G127" i="1"/>
  <c r="H123" i="1"/>
  <c r="H118" i="1"/>
  <c r="G140" i="1"/>
  <c r="H137" i="1"/>
  <c r="H138" i="1" s="1"/>
  <c r="H132" i="1"/>
  <c r="H133" i="1"/>
  <c r="I174" i="1"/>
  <c r="I148" i="1"/>
  <c r="I152" i="1"/>
  <c r="H152" i="1" s="1"/>
  <c r="I151" i="1"/>
  <c r="H151" i="1" s="1"/>
  <c r="I149" i="1"/>
  <c r="H149" i="1" s="1"/>
  <c r="I150" i="1"/>
  <c r="H150" i="1" s="1"/>
  <c r="H134" i="1" l="1"/>
  <c r="H124" i="1"/>
  <c r="H144" i="1" s="1"/>
  <c r="H148" i="1"/>
  <c r="H153" i="1" s="1"/>
  <c r="H167" i="1" s="1"/>
  <c r="I153" i="1"/>
  <c r="I167" i="1" l="1"/>
  <c r="I184" i="1"/>
  <c r="G194" i="1" s="1"/>
  <c r="I183" i="1"/>
  <c r="H183" i="1" l="1"/>
  <c r="H184" i="1" s="1"/>
  <c r="I194" i="1"/>
  <c r="I3" i="6" s="1"/>
  <c r="J3" i="6" s="1"/>
  <c r="J13" i="6" s="1"/>
  <c r="H179" i="1"/>
  <c r="H178" i="1"/>
  <c r="H177" i="1"/>
  <c r="H171" i="1"/>
  <c r="H173" i="1"/>
  <c r="H172" i="1"/>
  <c r="H180" i="1" l="1"/>
  <c r="H174" i="1"/>
  <c r="G9" i="6"/>
  <c r="G3" i="6"/>
  <c r="G7" i="6"/>
  <c r="G6" i="6"/>
  <c r="G5" i="6"/>
  <c r="G8" i="6"/>
  <c r="G4" i="6"/>
  <c r="H7" i="6" l="1"/>
  <c r="H8" i="6"/>
  <c r="H3" i="6"/>
  <c r="H5" i="6"/>
  <c r="H4" i="6"/>
  <c r="H6" i="6"/>
  <c r="H9" i="6"/>
  <c r="F11" i="6" l="1"/>
  <c r="H11" i="6"/>
  <c r="J11" i="6" s="1"/>
</calcChain>
</file>

<file path=xl/sharedStrings.xml><?xml version="1.0" encoding="utf-8"?>
<sst xmlns="http://schemas.openxmlformats.org/spreadsheetml/2006/main" count="2302" uniqueCount="267">
  <si>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</si>
  <si>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</si>
  <si>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</si>
  <si>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</si>
  <si>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</si>
  <si>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</si>
  <si>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</si>
  <si>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</si>
  <si>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</si>
  <si>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</si>
  <si>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</si>
  <si>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</si>
  <si>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</si>
  <si>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</si>
  <si>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</si>
  <si>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</si>
  <si>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</si>
  <si>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</si>
  <si>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</si>
  <si>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</si>
  <si>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</si>
  <si>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</si>
  <si>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</si>
  <si>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</si>
  <si>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</si>
  <si>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</si>
  <si>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</si>
  <si>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</si>
  <si>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</si>
  <si>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</si>
  <si>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</si>
  <si>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</si>
  <si>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</si>
  <si>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</si>
  <si>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</si>
  <si>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</si>
  <si>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</si>
  <si>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</si>
  <si>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</si>
  <si>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</si>
  <si>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</si>
  <si>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</si>
  <si>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</si>
  <si>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</si>
  <si>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</si>
  <si>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</si>
  <si>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</si>
  <si>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</si>
  <si>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</si>
  <si>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</si>
  <si>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</si>
  <si>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</si>
  <si>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</si>
  <si>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</si>
  <si>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</si>
  <si>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</si>
  <si>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</si>
  <si>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</si>
  <si>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</si>
  <si>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</si>
  <si>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</si>
  <si>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</si>
  <si>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</si>
  <si>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</si>
  <si>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</si>
  <si>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</si>
  <si>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</si>
  <si>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</si>
  <si>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</si>
  <si>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</si>
  <si>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</si>
  <si>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</si>
  <si>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</si>
  <si>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</si>
  <si>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</si>
  <si>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</si>
  <si>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</si>
  <si>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</si>
  <si>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</si>
  <si>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</si>
  <si>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</si>
  <si>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</si>
  <si>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</si>
  <si>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</si>
  <si>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</si>
  <si>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</si>
  <si>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</si>
  <si>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</si>
  <si>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</si>
  <si>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</si>
  <si>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</si>
  <si>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</si>
  <si>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</si>
  <si>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</si>
  <si>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</si>
  <si>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</si>
  <si>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</si>
  <si>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</si>
  <si>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</si>
  <si>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</si>
  <si>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</si>
  <si>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</si>
  <si>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</si>
  <si>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</si>
  <si>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</si>
  <si>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</si>
  <si>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</si>
  <si>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</si>
  <si>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</si>
  <si>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</si>
  <si>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</si>
  <si>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</si>
  <si>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</si>
  <si>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</si>
  <si>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</si>
  <si>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</si>
  <si>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</si>
  <si>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</si>
  <si>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</si>
  <si>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</si>
  <si>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</si>
  <si>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</si>
  <si>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</si>
  <si>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</si>
  <si>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</si>
  <si>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</si>
  <si>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</si>
  <si>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</si>
  <si>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</si>
  <si>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</si>
  <si>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</si>
  <si>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</si>
  <si>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</si>
  <si>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</si>
  <si>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</si>
  <si>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</si>
  <si>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</si>
  <si>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</si>
  <si>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</si>
  <si>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</si>
  <si>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</si>
  <si>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</si>
  <si>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</si>
  <si>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</si>
  <si>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</si>
  <si>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</si>
  <si>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</si>
  <si>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</si>
  <si>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</si>
  <si>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</si>
  <si>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</si>
  <si>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</si>
  <si>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</si>
  <si>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</si>
  <si>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</si>
  <si>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</si>
  <si>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</si>
  <si>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</si>
  <si>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</si>
  <si>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</si>
  <si>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</si>
  <si>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</si>
  <si>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</si>
  <si>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</si>
  <si>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</si>
  <si>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</si>
  <si>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</si>
  <si>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</si>
  <si>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</si>
  <si>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</si>
  <si>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</si>
  <si>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</si>
  <si>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</si>
  <si>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</si>
  <si>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</si>
  <si>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</si>
  <si>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</si>
  <si>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</si>
  <si>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</si>
  <si>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</si>
  <si>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</si>
  <si>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</si>
  <si>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</si>
  <si>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</si>
  <si>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</si>
  <si>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</si>
  <si>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</si>
  <si>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</si>
  <si>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</si>
  <si>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</si>
  <si>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</si>
  <si>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</si>
  <si>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</si>
  <si>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</si>
  <si>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</si>
  <si>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</si>
  <si>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</si>
  <si>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</si>
  <si>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</si>
  <si>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</si>
  <si>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</si>
  <si>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</si>
  <si>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</si>
  <si>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</si>
  <si>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</si>
  <si>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</si>
  <si>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</si>
  <si>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</si>
  <si>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</si>
  <si>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</si>
  <si>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</si>
  <si>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</si>
  <si>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</si>
  <si>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</si>
  <si>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</si>
  <si>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</si>
  <si>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</si>
  <si>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</si>
  <si>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</si>
  <si>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</si>
  <si>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</si>
  <si>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</si>
  <si>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</si>
  <si>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</si>
  <si>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</si>
  <si>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</si>
  <si>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</si>
  <si>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Porto Alegre</t>
  </si>
  <si>
    <t>12x36</t>
  </si>
  <si>
    <t>seg-dom</t>
  </si>
  <si>
    <t>Vigilante Diurno</t>
  </si>
  <si>
    <t>Vigilante Noturno</t>
  </si>
  <si>
    <t>26/0435-0003938-6</t>
  </si>
  <si>
    <t>RS000776/2026</t>
  </si>
  <si>
    <t>Porto Alegre/RS</t>
  </si>
  <si>
    <t>Outros benefícios que refletem na planilha de custos, caso constem na CCT: Prêmio por assiduidade</t>
  </si>
  <si>
    <t>Sem fornecimento de materiais ou apenas fornecimento de EPIs ou uniformes, utilizar 10%.       Com fornecimento de materiais ou equipamentos, utilizar 20%. (Decreto 52.768/2015, alterado pelo Decreto 53.424/2017)</t>
  </si>
  <si>
    <r>
      <t xml:space="preserve">Adicional Noturno 20% </t>
    </r>
    <r>
      <rPr>
        <b/>
        <sz val="5"/>
        <rFont val="Calibri"/>
        <family val="2"/>
        <charset val="1"/>
      </rPr>
      <t>(Ver súmula 60 TST)</t>
    </r>
  </si>
  <si>
    <t>Guaíba</t>
  </si>
  <si>
    <t>Esteio</t>
  </si>
  <si>
    <t>Lajeado</t>
  </si>
  <si>
    <t>Sem fornecimento de materiais ou apenas fornecimento de EPIs ou uniformes, utilizar 10%. Com fornecimento de materiais ou equipamentos, utilizar 20%. (Decreto 52.768/2015, alterado pelo Decreto 53.424/2017)</t>
  </si>
  <si>
    <t>Lajeado/RS</t>
  </si>
  <si>
    <t>Esteio/RS</t>
  </si>
  <si>
    <t>Guaíba/RS</t>
  </si>
  <si>
    <t>RS000336/2026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</si>
  <si>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</si>
  <si>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RS000387/2026</t>
  </si>
  <si>
    <t xml:space="preserve">RS000336/2026  </t>
  </si>
  <si>
    <t>Armamento</t>
  </si>
  <si>
    <t>Lanterna</t>
  </si>
  <si>
    <t>Rádio comunicador</t>
  </si>
  <si>
    <t>Caneta-ronda</t>
  </si>
  <si>
    <t>Cinto ou colete com coldre e baleiro</t>
  </si>
  <si>
    <t>Porta Cassetete</t>
  </si>
  <si>
    <t>Cassetete</t>
  </si>
  <si>
    <t>Apito</t>
  </si>
  <si>
    <t>Cordão de apito</t>
  </si>
  <si>
    <t>Telefone celular</t>
  </si>
  <si>
    <t>Livro Registro de ocorrências</t>
  </si>
  <si>
    <t>Cofre</t>
  </si>
  <si>
    <t>Relógio ponto biométrico</t>
  </si>
  <si>
    <t>Munição</t>
  </si>
  <si>
    <t>VALOR MENSAL DE MATERIAIS/EQUIPAMENTOS POR UNIDADE DE TRABALHO:</t>
  </si>
  <si>
    <t>É de responsabilidade exclusiva do participante do certame o correto preenchimento, bem como a conferência de todos os dados constantes da tabela de composição de custos, especialmente no que se refere a salários, ISS, vale-alimentação, vale-transporte, demais benefícios, alíquotas, hora intervalar, transporte, uniformes/EPI, seguro de vida, materiais/equipamentos, depreciação, despesas administrativas e margem de lucro.
Deverão ser rigorosamente observadas as disposições da legislação aplicável, inclusive aquelas previstas em Acordos e Convenções Coletivas de Trabalho vigentes na respectiva localidade, nos termos estabelecidos no Termo de Dispensa de Licitação.</t>
  </si>
  <si>
    <t>est</t>
  </si>
  <si>
    <t>RS000750/2026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</si>
</sst>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name val="Calibri"/>
      <family val="2"/>
      <charset val="1"/>
    </font>
    <font>
      <b/>
      <sz val="5"/>
      <name val="Calibri"/>
      <family val="2"/>
      <charset val="1"/>
    </font>
    <font>
      <sz val="11"/>
      <name val="Calibri"/>
      <family val="2"/>
      <charset val="1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8" fillId="0" borderId="0" xfId="3"/>
    <xf numFmtId="0" fontId="0" fillId="0" borderId="1" xfId="3" applyFont="1" applyBorder="1"/>
    <xf numFmtId="0" fontId="0" fillId="0" borderId="1" xfId="3" applyFont="1" applyBorder="1" applyAlignment="1">
      <alignment horizontal="center"/>
    </xf>
    <xf numFmtId="0" fontId="28" fillId="0" borderId="1" xfId="3" applyBorder="1" applyAlignment="1">
      <alignment horizontal="center"/>
    </xf>
    <xf numFmtId="0" fontId="27" fillId="12" borderId="3" xfId="3" applyFont="1" applyFill="1" applyBorder="1" applyAlignment="1">
      <alignment horizontal="center" vertical="center" wrapText="1"/>
    </xf>
    <xf numFmtId="0" fontId="27" fillId="12" borderId="1" xfId="3" applyFont="1" applyFill="1" applyBorder="1" applyAlignment="1">
      <alignment horizontal="center" vertical="center" wrapText="1"/>
    </xf>
    <xf numFmtId="0" fontId="26" fillId="12" borderId="5" xfId="3" applyFont="1" applyFill="1" applyBorder="1" applyAlignment="1">
      <alignment horizontal="center" vertical="center" wrapText="1"/>
    </xf>
    <xf numFmtId="0" fontId="26" fillId="12" borderId="1" xfId="3" applyFont="1" applyFill="1" applyBorder="1" applyAlignment="1">
      <alignment horizontal="center" vertical="center" wrapText="1"/>
    </xf>
    <xf numFmtId="0" fontId="26" fillId="12" borderId="12" xfId="3" applyFont="1" applyFill="1" applyBorder="1" applyAlignment="1">
      <alignment horizontal="center" vertical="center" wrapText="1"/>
    </xf>
    <xf numFmtId="0" fontId="0" fillId="0" borderId="2" xfId="3" applyFont="1" applyBorder="1" applyAlignment="1">
      <alignment horizontal="center"/>
    </xf>
    <xf numFmtId="0" fontId="28" fillId="0" borderId="2" xfId="3" applyBorder="1" applyAlignment="1">
      <alignment horizontal="center"/>
    </xf>
    <xf numFmtId="164" fontId="12" fillId="14" borderId="1" xfId="3" applyNumberFormat="1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center" vertical="center" wrapText="1"/>
    </xf>
    <xf numFmtId="4" fontId="31" fillId="11" borderId="1" xfId="0" applyNumberFormat="1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44" fontId="31" fillId="11" borderId="5" xfId="7" applyFont="1" applyFill="1" applyBorder="1" applyAlignment="1">
      <alignment vertical="center" wrapText="1"/>
    </xf>
    <xf numFmtId="44" fontId="31" fillId="11" borderId="7" xfId="7" applyFont="1" applyFill="1" applyBorder="1" applyAlignment="1">
      <alignment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7" fillId="16" borderId="3" xfId="3" applyFont="1" applyFill="1" applyBorder="1" applyAlignment="1">
      <alignment horizontal="center" vertical="center" wrapText="1"/>
    </xf>
    <xf numFmtId="49" fontId="28" fillId="0" borderId="1" xfId="3" applyNumberFormat="1" applyBorder="1"/>
    <xf numFmtId="171" fontId="28" fillId="0" borderId="1" xfId="3" applyNumberFormat="1" applyBorder="1"/>
    <xf numFmtId="171" fontId="12" fillId="14" borderId="1" xfId="3" applyNumberFormat="1" applyFont="1" applyFill="1" applyBorder="1" applyAlignment="1">
      <alignment vertical="center" wrapText="1"/>
    </xf>
    <xf numFmtId="44" fontId="28" fillId="17" borderId="2" xfId="7" applyFill="1" applyBorder="1" applyAlignment="1">
      <alignment horizontal="center"/>
    </xf>
    <xf numFmtId="44" fontId="28" fillId="14" borderId="2" xfId="7" applyFill="1" applyBorder="1" applyAlignment="1">
      <alignment horizontal="center"/>
    </xf>
    <xf numFmtId="164" fontId="28" fillId="18" borderId="2" xfId="3" applyNumberFormat="1" applyFill="1" applyBorder="1"/>
    <xf numFmtId="164" fontId="28" fillId="18" borderId="1" xfId="3" applyNumberFormat="1" applyFill="1" applyBorder="1"/>
    <xf numFmtId="43" fontId="12" fillId="14" borderId="1" xfId="3" applyNumberFormat="1" applyFont="1" applyFill="1" applyBorder="1" applyAlignment="1">
      <alignment vertical="center" wrapText="1"/>
    </xf>
    <xf numFmtId="0" fontId="12" fillId="14" borderId="12" xfId="3" applyFont="1" applyFill="1" applyBorder="1" applyAlignment="1">
      <alignment horizontal="right" vertical="center" wrapText="1"/>
    </xf>
    <xf numFmtId="44" fontId="12" fillId="14" borderId="12" xfId="3" applyNumberFormat="1" applyFont="1" applyFill="1" applyBorder="1" applyAlignment="1">
      <alignment horizontal="right" vertical="center" wrapText="1"/>
    </xf>
    <xf numFmtId="0" fontId="12" fillId="14" borderId="1" xfId="3" applyFont="1" applyFill="1" applyBorder="1" applyAlignment="1">
      <alignment horizontal="right" vertical="center" wrapText="1"/>
    </xf>
    <xf numFmtId="44" fontId="12" fillId="14" borderId="7" xfId="3" applyNumberFormat="1" applyFont="1" applyFill="1" applyBorder="1" applyAlignment="1">
      <alignment vertical="center" wrapText="1"/>
    </xf>
    <xf numFmtId="0" fontId="12" fillId="14" borderId="1" xfId="3" applyFont="1" applyFill="1" applyBorder="1" applyAlignment="1">
      <alignment vertical="center" wrapText="1"/>
    </xf>
    <xf numFmtId="10" fontId="12" fillId="14" borderId="1" xfId="8" applyNumberFormat="1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0" fillId="13" borderId="5" xfId="3" applyFont="1" applyFill="1" applyBorder="1" applyAlignment="1">
      <alignment horizontal="center"/>
    </xf>
    <xf numFmtId="0" fontId="0" fillId="13" borderId="7" xfId="3" applyFont="1" applyFill="1" applyBorder="1" applyAlignment="1">
      <alignment horizontal="center"/>
    </xf>
    <xf numFmtId="165" fontId="38" fillId="0" borderId="1" xfId="0" applyNumberFormat="1" applyFont="1" applyFill="1" applyBorder="1" applyAlignment="1">
      <alignment horizontal="center" vertical="center" wrapText="1"/>
    </xf>
    <xf numFmtId="4" fontId="38" fillId="0" borderId="1" xfId="0" applyNumberFormat="1" applyFont="1" applyFill="1" applyBorder="1" applyAlignment="1">
      <alignment horizontal="center" vertical="center" wrapText="1"/>
    </xf>
    <xf numFmtId="9" fontId="2" fillId="4" borderId="1" xfId="8" applyFont="1" applyFill="1" applyBorder="1" applyAlignment="1">
      <alignment horizontal="center" vertical="center" wrapText="1"/>
    </xf>
    <xf numFmtId="49" fontId="0" fillId="0" borderId="1" xfId="3" applyNumberFormat="1" applyFont="1" applyBorder="1"/>
    <xf numFmtId="49" fontId="40" fillId="0" borderId="1" xfId="3" applyNumberFormat="1" applyFont="1" applyBorder="1"/>
    <xf numFmtId="171" fontId="40" fillId="0" borderId="1" xfId="3" applyNumberFormat="1" applyFont="1" applyBorder="1"/>
    <xf numFmtId="0" fontId="40" fillId="0" borderId="0" xfId="3" applyFont="1"/>
    <xf numFmtId="1" fontId="28" fillId="0" borderId="1" xfId="3" applyNumberFormat="1" applyBorder="1" applyAlignment="1">
      <alignment horizontal="center" vertical="center"/>
    </xf>
    <xf numFmtId="1" fontId="40" fillId="0" borderId="1" xfId="3" applyNumberFormat="1" applyFont="1" applyBorder="1" applyAlignment="1">
      <alignment horizontal="center" vertical="center"/>
    </xf>
    <xf numFmtId="0" fontId="0" fillId="0" borderId="0" xfId="3" applyFont="1"/>
    <xf numFmtId="0" fontId="12" fillId="14" borderId="5" xfId="3" applyFont="1" applyFill="1" applyBorder="1" applyAlignment="1">
      <alignment vertical="center"/>
    </xf>
    <xf numFmtId="0" fontId="12" fillId="14" borderId="7" xfId="3" applyFont="1" applyFill="1" applyBorder="1" applyAlignment="1">
      <alignment vertical="center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165" fontId="2" fillId="0" borderId="0" xfId="0" applyNumberFormat="1" applyFont="1" applyAlignment="1">
      <alignment horizontal="center" vertical="center" wrapText="1"/>
    </xf>
    <xf numFmtId="0" fontId="31" fillId="11" borderId="5" xfId="0" applyFont="1" applyFill="1" applyBorder="1" applyAlignment="1">
      <alignment horizontal="center" vertical="center" wrapText="1"/>
    </xf>
    <xf numFmtId="0" fontId="31" fillId="11" borderId="7" xfId="0" applyFont="1" applyFill="1" applyBorder="1" applyAlignment="1">
      <alignment horizontal="center" vertical="center" wrapText="1"/>
    </xf>
    <xf numFmtId="0" fontId="31" fillId="11" borderId="12" xfId="0" applyFont="1" applyFill="1" applyBorder="1" applyAlignment="1">
      <alignment horizontal="center" vertical="center" wrapText="1"/>
    </xf>
    <xf numFmtId="0" fontId="31" fillId="11" borderId="1" xfId="0" applyFont="1" applyFill="1" applyBorder="1" applyAlignment="1">
      <alignment horizontal="center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4" fontId="32" fillId="11" borderId="7" xfId="0" applyNumberFormat="1" applyFont="1" applyFill="1" applyBorder="1" applyAlignment="1">
      <alignment horizontal="center" vertical="center" wrapText="1"/>
    </xf>
    <xf numFmtId="4" fontId="32" fillId="11" borderId="12" xfId="0" applyNumberFormat="1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1" fillId="11" borderId="6" xfId="0" applyFont="1" applyFill="1" applyBorder="1" applyAlignment="1">
      <alignment horizontal="center" vertical="center" wrapText="1"/>
    </xf>
    <xf numFmtId="0" fontId="31" fillId="11" borderId="8" xfId="0" applyFont="1" applyFill="1" applyBorder="1" applyAlignment="1">
      <alignment horizontal="center" vertical="center" wrapText="1"/>
    </xf>
    <xf numFmtId="0" fontId="31" fillId="11" borderId="13" xfId="0" applyFont="1" applyFill="1" applyBorder="1" applyAlignment="1">
      <alignment horizontal="center" vertical="center" wrapText="1"/>
    </xf>
    <xf numFmtId="0" fontId="31" fillId="11" borderId="4" xfId="0" applyFont="1" applyFill="1" applyBorder="1" applyAlignment="1">
      <alignment horizontal="center" vertical="center" wrapText="1"/>
    </xf>
    <xf numFmtId="0" fontId="31" fillId="11" borderId="9" xfId="0" applyFont="1" applyFill="1" applyBorder="1" applyAlignment="1">
      <alignment horizontal="center" vertical="center" wrapText="1"/>
    </xf>
    <xf numFmtId="0" fontId="31" fillId="11" borderId="14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32" fillId="11" borderId="5" xfId="0" applyNumberFormat="1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8" fillId="0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7" fillId="15" borderId="5" xfId="3" applyFont="1" applyFill="1" applyBorder="1" applyAlignment="1">
      <alignment horizontal="center" vertical="center" wrapText="1"/>
    </xf>
    <xf numFmtId="0" fontId="27" fillId="15" borderId="7" xfId="3" applyFont="1" applyFill="1" applyBorder="1" applyAlignment="1">
      <alignment horizontal="center" vertical="center" wrapText="1"/>
    </xf>
    <xf numFmtId="0" fontId="27" fillId="15" borderId="12" xfId="3" applyFont="1" applyFill="1" applyBorder="1" applyAlignment="1">
      <alignment horizontal="center" vertical="center" wrapText="1"/>
    </xf>
    <xf numFmtId="0" fontId="0" fillId="13" borderId="5" xfId="3" applyFont="1" applyFill="1" applyBorder="1" applyAlignment="1">
      <alignment horizontal="center"/>
    </xf>
    <xf numFmtId="0" fontId="0" fillId="13" borderId="7" xfId="3" applyFont="1" applyFill="1" applyBorder="1" applyAlignment="1">
      <alignment horizontal="center"/>
    </xf>
    <xf numFmtId="0" fontId="12" fillId="14" borderId="5" xfId="3" applyFont="1" applyFill="1" applyBorder="1" applyAlignment="1">
      <alignment horizontal="right" vertical="center" wrapText="1"/>
    </xf>
    <xf numFmtId="0" fontId="12" fillId="14" borderId="7" xfId="3" applyFont="1" applyFill="1" applyBorder="1" applyAlignment="1">
      <alignment horizontal="right" vertical="center" wrapText="1"/>
    </xf>
    <xf numFmtId="0" fontId="35" fillId="19" borderId="5" xfId="3" applyFont="1" applyFill="1" applyBorder="1" applyAlignment="1">
      <alignment horizontal="center" vertical="center" wrapText="1"/>
    </xf>
    <xf numFmtId="0" fontId="35" fillId="19" borderId="7" xfId="3" applyFont="1" applyFill="1" applyBorder="1" applyAlignment="1">
      <alignment horizontal="center" vertical="center" wrapText="1"/>
    </xf>
    <xf numFmtId="0" fontId="35" fillId="19" borderId="12" xfId="3" applyFont="1" applyFill="1" applyBorder="1" applyAlignment="1">
      <alignment horizontal="center" vertical="center" wrapText="1"/>
    </xf>
    <xf numFmtId="0" fontId="0" fillId="13" borderId="12" xfId="3" applyFont="1" applyFill="1" applyBorder="1" applyAlignment="1">
      <alignment horizontal="center"/>
    </xf>
    <xf numFmtId="0" fontId="30" fillId="13" borderId="5" xfId="3" applyFont="1" applyFill="1" applyBorder="1" applyAlignment="1">
      <alignment horizontal="center"/>
    </xf>
    <xf numFmtId="0" fontId="30" fillId="13" borderId="7" xfId="3" applyFont="1" applyFill="1" applyBorder="1" applyAlignment="1">
      <alignment horizontal="center"/>
    </xf>
    <xf numFmtId="0" fontId="30" fillId="13" borderId="12" xfId="3" applyFont="1" applyFill="1" applyBorder="1" applyAlignment="1">
      <alignment horizontal="center"/>
    </xf>
    <xf numFmtId="0" fontId="12" fillId="14" borderId="5" xfId="3" applyFont="1" applyFill="1" applyBorder="1" applyAlignment="1">
      <alignment horizontal="right" vertical="center"/>
    </xf>
    <xf numFmtId="0" fontId="12" fillId="14" borderId="7" xfId="3" applyFont="1" applyFill="1" applyBorder="1" applyAlignment="1">
      <alignment horizontal="right" vertical="center"/>
    </xf>
    <xf numFmtId="0" fontId="12" fillId="14" borderId="12" xfId="3" applyFont="1" applyFill="1" applyBorder="1" applyAlignment="1">
      <alignment horizontal="right" vertical="center"/>
    </xf>
  </cellXfs>
  <cellStyles count="9">
    <cellStyle name="Hiperlink 2" xfId="1"/>
    <cellStyle name="Moeda" xfId="7" builtinId="4"/>
    <cellStyle name="Moeda 2" xfId="2"/>
    <cellStyle name="Normal" xfId="0" builtinId="0"/>
    <cellStyle name="Normal 2" xfId="3"/>
    <cellStyle name="Normal 2 2" xfId="4"/>
    <cellStyle name="Normal 3" xfId="5"/>
    <cellStyle name="Porcentagem" xfId="8" builtinId="5"/>
    <cellStyle name="Porcentagem 2" xfId="6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>
        <row r="30">
          <cell r="I30">
            <v>1899.8733930000001</v>
          </cell>
        </row>
      </sheetData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>
        <row r="30">
          <cell r="I30">
            <v>1190.2</v>
          </cell>
        </row>
      </sheetData>
      <sheetData sheetId="3">
        <row r="30">
          <cell r="I30">
            <v>2292.4</v>
          </cell>
        </row>
      </sheetData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94"/>
  <sheetViews>
    <sheetView tabSelected="1" view="pageBreakPreview" topLeftCell="A19" zoomScale="130" zoomScaleNormal="130" zoomScaleSheetLayoutView="130" zoomScalePageLayoutView="130" workbookViewId="0">
      <selection activeCell="A17" sqref="A17:F19"/>
    </sheetView>
  </sheetViews>
  <sheetFormatPr defaultColWidth="9.28515625" defaultRowHeight="11.25" x14ac:dyDescent="0.25"/>
  <cols>
    <col min="1" max="1" width="2.7109375" style="104" customWidth="1"/>
    <col min="2" max="2" width="14.28515625" style="104" customWidth="1"/>
    <col min="3" max="3" width="14.42578125" style="104" customWidth="1"/>
    <col min="4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6" t="s">
        <v>5</v>
      </c>
      <c r="B5" s="126"/>
      <c r="C5" s="126"/>
      <c r="D5" s="130" t="s">
        <v>230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233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233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18.75" customHeight="1" x14ac:dyDescent="0.25">
      <c r="A9" s="125" t="s">
        <v>10</v>
      </c>
      <c r="B9" s="125"/>
      <c r="C9" s="125"/>
      <c r="D9" s="125" t="s">
        <v>234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/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4.7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5.7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5.3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9" ht="11.25" customHeight="1" x14ac:dyDescent="0.25">
      <c r="A17" s="135" t="s">
        <v>24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f>I13</f>
        <v>15</v>
      </c>
    </row>
    <row r="19" spans="1:9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9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6" t="s">
        <v>8</v>
      </c>
    </row>
    <row r="21" spans="1:9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8" t="s">
        <v>8</v>
      </c>
    </row>
    <row r="22" spans="1:9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8" t="s">
        <v>8</v>
      </c>
    </row>
    <row r="23" spans="1:9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9" ht="22.5" customHeight="1" x14ac:dyDescent="0.25">
      <c r="A24" s="136" t="s">
        <v>27</v>
      </c>
      <c r="B24" s="136"/>
      <c r="C24" s="136"/>
      <c r="D24" s="136"/>
      <c r="E24" s="136"/>
      <c r="F24" s="136"/>
      <c r="G24" s="109"/>
      <c r="H24" s="109" t="s">
        <v>28</v>
      </c>
      <c r="I24" s="10" t="s">
        <v>8</v>
      </c>
    </row>
    <row r="25" spans="1:9" ht="34.5" customHeight="1" x14ac:dyDescent="0.25">
      <c r="A25" s="136" t="s">
        <v>29</v>
      </c>
      <c r="B25" s="136"/>
      <c r="C25" s="136"/>
      <c r="D25" s="136"/>
      <c r="E25" s="136"/>
      <c r="F25" s="136"/>
      <c r="G25" s="106"/>
      <c r="H25" s="106" t="s">
        <v>18</v>
      </c>
      <c r="I25" s="6" t="s">
        <v>8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09"/>
      <c r="H26" s="11" t="s">
        <v>31</v>
      </c>
      <c r="I26" s="12" t="s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09"/>
      <c r="H27" s="13" t="s">
        <v>32</v>
      </c>
      <c r="I27" s="108" t="s">
        <v>8</v>
      </c>
    </row>
    <row r="28" spans="1:9" ht="26.25" customHeight="1" x14ac:dyDescent="0.25">
      <c r="A28" s="136" t="s">
        <v>191</v>
      </c>
      <c r="B28" s="136"/>
      <c r="C28" s="136"/>
      <c r="D28" s="136"/>
      <c r="E28" s="136"/>
      <c r="F28" s="136"/>
      <c r="G28" s="109"/>
      <c r="H28" s="106" t="s">
        <v>31</v>
      </c>
      <c r="I28" s="12">
        <v>15</v>
      </c>
    </row>
    <row r="29" spans="1:9" ht="35.25" customHeight="1" x14ac:dyDescent="0.25">
      <c r="A29" s="136" t="s">
        <v>241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9" ht="1.1499999999999999" customHeight="1" x14ac:dyDescent="0.25">
      <c r="A30" s="139"/>
      <c r="B30" s="139"/>
      <c r="C30" s="139"/>
      <c r="D30" s="139"/>
      <c r="E30" s="139"/>
      <c r="F30" s="139"/>
      <c r="G30" s="139"/>
      <c r="H30" s="139"/>
      <c r="I30" s="139"/>
    </row>
    <row r="31" spans="1:9" ht="1.1499999999999999" customHeight="1" x14ac:dyDescent="0.25">
      <c r="A31" s="140"/>
      <c r="B31" s="140"/>
      <c r="C31" s="140"/>
      <c r="D31" s="140"/>
      <c r="E31" s="140"/>
      <c r="F31" s="140"/>
      <c r="G31" s="140"/>
      <c r="H31" s="140"/>
      <c r="I31" s="140"/>
    </row>
    <row r="32" spans="1:9" ht="1.1499999999999999" customHeight="1" x14ac:dyDescent="0.25">
      <c r="A32" s="140"/>
      <c r="B32" s="140"/>
      <c r="C32" s="140"/>
      <c r="D32" s="140"/>
      <c r="E32" s="140"/>
      <c r="F32" s="140"/>
      <c r="G32" s="140"/>
      <c r="H32" s="140"/>
      <c r="I32" s="140"/>
    </row>
    <row r="33" spans="1:10" ht="1.1499999999999999" customHeight="1" x14ac:dyDescent="0.25">
      <c r="A33" s="140"/>
      <c r="B33" s="140"/>
      <c r="C33" s="140"/>
      <c r="D33" s="140"/>
      <c r="E33" s="140"/>
      <c r="F33" s="140"/>
      <c r="G33" s="140"/>
      <c r="H33" s="140"/>
      <c r="I33" s="140"/>
    </row>
    <row r="34" spans="1:10" ht="3.6" customHeight="1" x14ac:dyDescent="0.25">
      <c r="A34" s="141"/>
      <c r="B34" s="141"/>
      <c r="C34" s="141"/>
      <c r="D34" s="141"/>
      <c r="E34" s="141"/>
      <c r="F34" s="141"/>
      <c r="G34" s="141"/>
      <c r="H34" s="141"/>
      <c r="I34" s="141"/>
    </row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47" si="0">I37/$I$48</f>
        <v>0.75891284961992556</v>
      </c>
      <c r="I37" s="97">
        <f>IF(D6="12x36",I10,I10/H10*I5)</f>
        <v>2211</v>
      </c>
    </row>
    <row r="38" spans="1:10" ht="15" customHeight="1" x14ac:dyDescent="0.25">
      <c r="A38" s="101">
        <f t="shared" ref="A38:A47" si="1">A37+1</f>
        <v>2</v>
      </c>
      <c r="B38" s="126" t="s">
        <v>40</v>
      </c>
      <c r="C38" s="126"/>
      <c r="D38" s="126"/>
      <c r="E38" s="126"/>
      <c r="F38" s="126"/>
      <c r="G38" s="126"/>
      <c r="H38" s="15">
        <f t="shared" si="0"/>
        <v>0.23076923076923075</v>
      </c>
      <c r="I38" s="97">
        <f>IF(I9=30%,(I37+I45+I46)*I9,0)</f>
        <v>672.3180000000001</v>
      </c>
    </row>
    <row r="39" spans="1:10" ht="15" customHeight="1" x14ac:dyDescent="0.25">
      <c r="A39" s="101">
        <f t="shared" si="1"/>
        <v>3</v>
      </c>
      <c r="B39" s="126" t="s">
        <v>41</v>
      </c>
      <c r="C39" s="126"/>
      <c r="D39" s="126"/>
      <c r="E39" s="126"/>
      <c r="F39" s="126"/>
      <c r="G39" s="126"/>
      <c r="H39" s="15">
        <f t="shared" si="0"/>
        <v>0</v>
      </c>
      <c r="I39" s="97">
        <f>IF(I7=10%,I25*I7,0)</f>
        <v>0</v>
      </c>
    </row>
    <row r="40" spans="1:10" ht="15" customHeight="1" x14ac:dyDescent="0.25">
      <c r="A40" s="101">
        <f t="shared" si="1"/>
        <v>4</v>
      </c>
      <c r="B40" s="126" t="s">
        <v>42</v>
      </c>
      <c r="C40" s="126"/>
      <c r="D40" s="126"/>
      <c r="E40" s="126"/>
      <c r="F40" s="126"/>
      <c r="G40" s="126"/>
      <c r="H40" s="15">
        <f t="shared" si="0"/>
        <v>0</v>
      </c>
      <c r="I40" s="97">
        <f>IF(I7=20%,I25*I7,0)</f>
        <v>0</v>
      </c>
    </row>
    <row r="41" spans="1:10" ht="15" customHeight="1" x14ac:dyDescent="0.25">
      <c r="A41" s="101">
        <f t="shared" si="1"/>
        <v>5</v>
      </c>
      <c r="B41" s="126" t="s">
        <v>43</v>
      </c>
      <c r="C41" s="126"/>
      <c r="D41" s="126"/>
      <c r="E41" s="126"/>
      <c r="F41" s="126"/>
      <c r="G41" s="126"/>
      <c r="H41" s="15">
        <f t="shared" si="0"/>
        <v>0</v>
      </c>
      <c r="I41" s="97">
        <f>IF(I7=40%,I25*I7,0)</f>
        <v>0</v>
      </c>
    </row>
    <row r="42" spans="1:10" ht="15" customHeight="1" x14ac:dyDescent="0.25">
      <c r="A42" s="101">
        <f t="shared" si="1"/>
        <v>6</v>
      </c>
      <c r="B42" s="126" t="s">
        <v>190</v>
      </c>
      <c r="C42" s="126"/>
      <c r="D42" s="126"/>
      <c r="E42" s="126"/>
      <c r="F42" s="126"/>
      <c r="G42" s="126"/>
      <c r="H42" s="15">
        <f t="shared" si="0"/>
        <v>0</v>
      </c>
      <c r="I42" s="97">
        <f>IF(I24="Não aplicável",0,I37*I24)</f>
        <v>0</v>
      </c>
    </row>
    <row r="43" spans="1:10" ht="15" customHeight="1" x14ac:dyDescent="0.25">
      <c r="A43" s="101">
        <f t="shared" si="1"/>
        <v>7</v>
      </c>
      <c r="B43" s="126" t="s">
        <v>44</v>
      </c>
      <c r="C43" s="126"/>
      <c r="D43" s="126"/>
      <c r="E43" s="126"/>
      <c r="F43" s="126"/>
      <c r="G43" s="126"/>
      <c r="H43" s="15">
        <f t="shared" si="0"/>
        <v>0</v>
      </c>
      <c r="I43" s="97">
        <f>IF(I26="Não aplicável",0,(I37+I38+I39+I40+I41+I42+I47)/I5*I26*(1+I27))</f>
        <v>0</v>
      </c>
    </row>
    <row r="44" spans="1:10" ht="23.25" customHeight="1" x14ac:dyDescent="0.25">
      <c r="A44" s="101">
        <f t="shared" si="1"/>
        <v>8</v>
      </c>
      <c r="B44" s="126" t="s">
        <v>45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aplicável",0,I26/I13*5*(I10/H10*(1+I27)))</f>
        <v>0</v>
      </c>
    </row>
    <row r="45" spans="1:10" ht="15" customHeight="1" x14ac:dyDescent="0.25">
      <c r="A45" s="101">
        <f t="shared" si="1"/>
        <v>9</v>
      </c>
      <c r="B45" s="126" t="s">
        <v>46</v>
      </c>
      <c r="C45" s="126"/>
      <c r="D45" s="126"/>
      <c r="E45" s="126"/>
      <c r="F45" s="126"/>
      <c r="G45" s="126"/>
      <c r="H45" s="15">
        <f t="shared" si="0"/>
        <v>8.5982663423695756E-3</v>
      </c>
      <c r="I45" s="97">
        <f>I12*I13</f>
        <v>25.049999999999997</v>
      </c>
    </row>
    <row r="46" spans="1:10" ht="15" customHeight="1" x14ac:dyDescent="0.25">
      <c r="A46" s="101">
        <f t="shared" si="1"/>
        <v>10</v>
      </c>
      <c r="B46" s="126" t="s">
        <v>47</v>
      </c>
      <c r="C46" s="126"/>
      <c r="D46" s="126"/>
      <c r="E46" s="126"/>
      <c r="F46" s="126"/>
      <c r="G46" s="126"/>
      <c r="H46" s="15">
        <f t="shared" si="0"/>
        <v>1.7196532684739154E-3</v>
      </c>
      <c r="I46" s="97">
        <f>I45*20%</f>
        <v>5.01</v>
      </c>
    </row>
    <row r="47" spans="1:10" ht="15" customHeight="1" x14ac:dyDescent="0.25">
      <c r="A47" s="101">
        <f t="shared" si="1"/>
        <v>11</v>
      </c>
      <c r="B47" s="14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44"/>
      <c r="D47" s="144"/>
      <c r="E47" s="144"/>
      <c r="F47" s="144"/>
      <c r="G47" s="144"/>
      <c r="H47" s="15">
        <f t="shared" si="0"/>
        <v>0</v>
      </c>
      <c r="I47" s="97">
        <v>0</v>
      </c>
    </row>
    <row r="48" spans="1:10" s="19" customFormat="1" ht="15" customHeight="1" x14ac:dyDescent="0.25">
      <c r="A48" s="145" t="s">
        <v>48</v>
      </c>
      <c r="B48" s="145"/>
      <c r="C48" s="145"/>
      <c r="D48" s="145"/>
      <c r="E48" s="145"/>
      <c r="F48" s="145"/>
      <c r="G48" s="145"/>
      <c r="H48" s="16">
        <f>SUM(H37:H47)</f>
        <v>0.99999999999999978</v>
      </c>
      <c r="I48" s="17">
        <f>SUM(I37:I47)</f>
        <v>2913.3780000000006</v>
      </c>
      <c r="J48" s="18"/>
    </row>
    <row r="49" spans="1:10" s="19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18"/>
    </row>
    <row r="50" spans="1:10" s="19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8"/>
    </row>
    <row r="51" spans="1:10" s="19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8"/>
    </row>
    <row r="52" spans="1:10" s="19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8"/>
    </row>
    <row r="53" spans="1:10" s="19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8"/>
    </row>
    <row r="54" spans="1:10" s="19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8"/>
    </row>
    <row r="55" spans="1:10" s="19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8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$I$48*H58</f>
        <v>582.67560000000014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43.700670000000009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29.133780000000005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5.8267560000000014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72.834450000000018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233.07024000000004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87.401340000000019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17.480268000000002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1072.1231040000005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$I$48*H70</f>
        <v>347.60678269200008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2.0485E-2</v>
      </c>
      <c r="I71" s="97">
        <f t="shared" si="3"/>
        <v>59.680548330000015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1.2127000000000001E-2</v>
      </c>
      <c r="I72" s="97">
        <f t="shared" si="3"/>
        <v>35.330535006000012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2.7250793878226798E-3</v>
      </c>
      <c r="I73" s="97">
        <f t="shared" si="3"/>
        <v>7.9391863367360651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4.7600000000000002E-4</v>
      </c>
      <c r="I74" s="97">
        <f t="shared" si="3"/>
        <v>1.3867679280000003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1.2877130760000004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0.53897493000000007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264.50558862000003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0.24654407938782269</v>
      </c>
      <c r="I78" s="17">
        <f>SUM(I70:I77)</f>
        <v>718.27609691873613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$I$48*H82</f>
        <v>140.77733833800005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$I$48*H83</f>
        <v>10.228870158000001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$I$48*H84</f>
        <v>56.309769984000013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207.31597848000007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9.0728221214718782E-2</v>
      </c>
      <c r="I88" s="97">
        <f>$I$48*H88</f>
        <v>264.32560366609505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9.0728221214718782E-2</v>
      </c>
      <c r="I89" s="17">
        <f>I88</f>
        <v>264.32560366609505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0.77643230060254154</v>
      </c>
      <c r="I91" s="24">
        <f>I66+I78+I85+I89</f>
        <v>2262.0407830648319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I94/$I$48</f>
        <v>0.13592468948416578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I95/$I$48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I96/$I$48</f>
        <v>9.0410513156892088E-3</v>
      </c>
      <c r="I96" s="97">
        <f>I103</f>
        <v>26.340000000000003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I97/$I$48</f>
        <v>7.7616086892946939E-2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I98/$I$48</f>
        <v>2.7459533229124398E-2</v>
      </c>
      <c r="I98" s="97">
        <f>IF(I23="Não aplicável",0,I23)</f>
        <v>80</v>
      </c>
    </row>
    <row r="99" spans="1:10" ht="1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0.25004136092192636</v>
      </c>
      <c r="I99" s="17">
        <f>SUM(I94:I98)</f>
        <v>728.46500000000003</v>
      </c>
      <c r="J99" s="25"/>
    </row>
    <row r="100" spans="1:10" ht="18" customHeight="1" x14ac:dyDescent="0.25">
      <c r="A100" s="20" t="s">
        <v>93</v>
      </c>
      <c r="B100" s="149" t="s">
        <v>94</v>
      </c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5.3</v>
      </c>
      <c r="B103" s="154"/>
      <c r="C103" s="101">
        <f>IF(I15="Não aplicável",0,I15)</f>
        <v>15</v>
      </c>
      <c r="D103" s="101">
        <v>2</v>
      </c>
      <c r="E103" s="102">
        <f>A103*C103*D103</f>
        <v>159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26.340000000000003</v>
      </c>
    </row>
    <row r="104" spans="1:10" ht="3.7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H48+H91+H99</f>
        <v>2.0264736615244678</v>
      </c>
      <c r="I113" s="38">
        <f>I48+I91+I99</f>
        <v>5903.8837830648326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2.75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1175.5087566129666</v>
      </c>
      <c r="H127" s="99" t="s">
        <v>116</v>
      </c>
      <c r="I127" s="47">
        <f>I96</f>
        <v>26.340000000000003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I48</f>
        <v>2913.3780000000006</v>
      </c>
      <c r="B129" s="160"/>
      <c r="C129" s="100">
        <f>I66</f>
        <v>1072.1231040000005</v>
      </c>
      <c r="D129" s="100">
        <f>I78</f>
        <v>718.27609691873613</v>
      </c>
      <c r="E129" s="100">
        <f>I85</f>
        <v>207.31597848000007</v>
      </c>
      <c r="F129" s="100">
        <f>I89</f>
        <v>264.32560366609505</v>
      </c>
      <c r="G129" s="100">
        <f>I99</f>
        <v>728.46500000000003</v>
      </c>
      <c r="H129" s="100">
        <f>A129+C129+D129+E129+F129+G129</f>
        <v>5903.8837830648326</v>
      </c>
      <c r="I129" s="100">
        <f>H129-I127</f>
        <v>5877.5437830648325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4.5" customHeight="1" x14ac:dyDescent="0.25">
      <c r="A134" s="145" t="s">
        <v>195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5.1" customHeight="1" x14ac:dyDescent="0.25">
      <c r="A138" s="145" t="s">
        <v>194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1057.9578809516697</v>
      </c>
      <c r="H140" s="99" t="s">
        <v>116</v>
      </c>
      <c r="I140" s="47">
        <f>I96</f>
        <v>26.340000000000003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I48</f>
        <v>2913.3780000000006</v>
      </c>
      <c r="B142" s="160"/>
      <c r="C142" s="100">
        <f>I66</f>
        <v>1072.1231040000005</v>
      </c>
      <c r="D142" s="100">
        <f>I78</f>
        <v>718.27609691873613</v>
      </c>
      <c r="E142" s="100">
        <f>I85</f>
        <v>207.31597848000007</v>
      </c>
      <c r="F142" s="100">
        <f>I89</f>
        <v>264.32560366609505</v>
      </c>
      <c r="G142" s="100">
        <f>I99</f>
        <v>728.46500000000003</v>
      </c>
      <c r="H142" s="100">
        <f>A142+C142+D142+E142+F142+G142</f>
        <v>5903.8837830648326</v>
      </c>
      <c r="I142" s="100">
        <f>H142-I140</f>
        <v>5877.5437830648325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40.889978252446895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188.72297654975489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2.6638252530633989E-2</v>
      </c>
      <c r="I150" s="97">
        <f>($D$158/$E$160)*H160</f>
        <v>157.26914712479575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386.88210192699751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5903.8837830648326</v>
      </c>
      <c r="B158" s="166"/>
      <c r="C158" s="97">
        <f>I144</f>
        <v>0</v>
      </c>
      <c r="D158" s="167">
        <f>A158+C158</f>
        <v>5903.8837830648326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26" t="s">
        <v>149</v>
      </c>
      <c r="B159" s="126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x14ac:dyDescent="0.25">
      <c r="A162" s="169" t="s">
        <v>153</v>
      </c>
      <c r="B162" s="169" t="s">
        <v>154</v>
      </c>
      <c r="C162" s="169"/>
      <c r="D162" s="169"/>
      <c r="E162" s="169"/>
      <c r="F162" s="105" t="s">
        <v>155</v>
      </c>
      <c r="G162" s="33">
        <v>0</v>
      </c>
      <c r="H162" s="168">
        <v>0</v>
      </c>
      <c r="I162" s="168"/>
    </row>
    <row r="163" spans="1:10" ht="18" customHeight="1" x14ac:dyDescent="0.25">
      <c r="A163" s="169"/>
      <c r="B163" s="169"/>
      <c r="C163" s="169"/>
      <c r="D163" s="169"/>
      <c r="E163" s="169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48.75" customHeight="1" x14ac:dyDescent="0.25">
      <c r="A164" s="171" t="s">
        <v>157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2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386.88210192699751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0.46311976208661348</v>
      </c>
      <c r="I171" s="58">
        <f>I48</f>
        <v>2913.3780000000006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0.35958114233141103</v>
      </c>
      <c r="I172" s="58">
        <f>I66+I78+I85+I89</f>
        <v>2262.0407830648319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0.11579909558197557</v>
      </c>
      <c r="I173" s="58">
        <f>I99</f>
        <v>728.46500000000003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0.9385</v>
      </c>
      <c r="I174" s="38">
        <f>SUM(I171:I173)</f>
        <v>5903.8837830648326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386.88210192699751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386.88210192699751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78" t="s">
        <v>205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((H70+H76+H77+H82+H83+H84)+((H70+H76+H77+H82+H83+H84)*H66))*I48*H194</f>
        <v>6730.291801318177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6290.7658849918298</v>
      </c>
      <c r="H194" s="96">
        <v>6</v>
      </c>
      <c r="I194" s="76">
        <f>G194*H194</f>
        <v>37744.595309950979</v>
      </c>
    </row>
  </sheetData>
  <mergeCells count="182">
    <mergeCell ref="J1:O11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194"/>
  <sheetViews>
    <sheetView view="pageBreakPreview" zoomScale="130" zoomScaleNormal="130" zoomScalePageLayoutView="130" workbookViewId="0">
      <selection activeCell="J1" sqref="J1:O11"/>
    </sheetView>
  </sheetViews>
  <sheetFormatPr defaultColWidth="9.28515625" defaultRowHeight="11.25" x14ac:dyDescent="0.25"/>
  <cols>
    <col min="1" max="1" width="2.7109375" style="104" customWidth="1"/>
    <col min="2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5" t="s">
        <v>5</v>
      </c>
      <c r="B5" s="125"/>
      <c r="C5" s="125"/>
      <c r="D5" s="130" t="s">
        <v>231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233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233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18.75" customHeight="1" x14ac:dyDescent="0.25">
      <c r="A9" s="125" t="s">
        <v>10</v>
      </c>
      <c r="B9" s="125"/>
      <c r="C9" s="125"/>
      <c r="D9" s="125" t="s">
        <v>234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 t="str">
        <f>D9</f>
        <v>Porto Alegre/RS</v>
      </c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4.7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5.7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5.3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9" ht="11.25" customHeight="1" x14ac:dyDescent="0.25">
      <c r="A17" s="135" t="s">
        <v>175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v>15</v>
      </c>
    </row>
    <row r="19" spans="1:9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9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10" t="s">
        <v>8</v>
      </c>
    </row>
    <row r="21" spans="1:9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10" t="s">
        <v>8</v>
      </c>
    </row>
    <row r="22" spans="1:9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" t="s">
        <v>8</v>
      </c>
    </row>
    <row r="23" spans="1:9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9" ht="22.5" customHeight="1" x14ac:dyDescent="0.25">
      <c r="A24" s="135" t="s">
        <v>27</v>
      </c>
      <c r="B24" s="198"/>
      <c r="C24" s="198"/>
      <c r="D24" s="198"/>
      <c r="E24" s="198"/>
      <c r="F24" s="199"/>
      <c r="G24" s="109"/>
      <c r="H24" s="109" t="s">
        <v>28</v>
      </c>
      <c r="I24" s="10" t="s">
        <v>8</v>
      </c>
    </row>
    <row r="25" spans="1:9" ht="34.5" customHeight="1" x14ac:dyDescent="0.25">
      <c r="A25" s="135" t="s">
        <v>29</v>
      </c>
      <c r="B25" s="198"/>
      <c r="C25" s="198"/>
      <c r="D25" s="198"/>
      <c r="E25" s="198"/>
      <c r="F25" s="199"/>
      <c r="G25" s="106"/>
      <c r="H25" s="106" t="s">
        <v>18</v>
      </c>
      <c r="I25" s="6" t="s">
        <v>8</v>
      </c>
    </row>
    <row r="26" spans="1:9" ht="15" customHeight="1" x14ac:dyDescent="0.25">
      <c r="A26" s="137" t="s">
        <v>30</v>
      </c>
      <c r="B26" s="139"/>
      <c r="C26" s="139"/>
      <c r="D26" s="139"/>
      <c r="E26" s="139"/>
      <c r="F26" s="200"/>
      <c r="G26" s="109"/>
      <c r="H26" s="11" t="s">
        <v>31</v>
      </c>
      <c r="I26" s="12" t="s">
        <v>8</v>
      </c>
    </row>
    <row r="27" spans="1:9" ht="15" customHeight="1" x14ac:dyDescent="0.25">
      <c r="A27" s="134"/>
      <c r="B27" s="141"/>
      <c r="C27" s="141"/>
      <c r="D27" s="141"/>
      <c r="E27" s="141"/>
      <c r="F27" s="201"/>
      <c r="G27" s="109"/>
      <c r="H27" s="13" t="s">
        <v>32</v>
      </c>
      <c r="I27" s="108" t="s">
        <v>8</v>
      </c>
    </row>
    <row r="28" spans="1:9" ht="26.25" customHeight="1" x14ac:dyDescent="0.25">
      <c r="A28" s="135" t="s">
        <v>33</v>
      </c>
      <c r="B28" s="198"/>
      <c r="C28" s="198"/>
      <c r="D28" s="198"/>
      <c r="E28" s="198"/>
      <c r="F28" s="199"/>
      <c r="G28" s="109"/>
      <c r="H28" s="106" t="s">
        <v>31</v>
      </c>
      <c r="I28" s="12">
        <v>15</v>
      </c>
    </row>
    <row r="29" spans="1:9" ht="35.25" customHeight="1" x14ac:dyDescent="0.25">
      <c r="A29" s="136" t="s">
        <v>236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9" ht="1.1499999999999999" customHeight="1" x14ac:dyDescent="0.25">
      <c r="A30" s="127" t="s">
        <v>176</v>
      </c>
      <c r="B30" s="127"/>
      <c r="C30" s="127"/>
      <c r="D30" s="127"/>
      <c r="E30" s="127"/>
      <c r="F30" s="127"/>
      <c r="G30" s="138" t="s">
        <v>17</v>
      </c>
      <c r="H30" s="109" t="s">
        <v>177</v>
      </c>
      <c r="I30" s="59">
        <f>((60/52.5)*7)*15</f>
        <v>120</v>
      </c>
    </row>
    <row r="31" spans="1:9" ht="1.1499999999999999" customHeight="1" x14ac:dyDescent="0.25">
      <c r="A31" s="127"/>
      <c r="B31" s="127"/>
      <c r="C31" s="127"/>
      <c r="D31" s="127"/>
      <c r="E31" s="127"/>
      <c r="F31" s="127"/>
      <c r="G31" s="138"/>
      <c r="H31" s="109" t="s">
        <v>178</v>
      </c>
      <c r="I31" s="109">
        <f>I10/H10*20%</f>
        <v>2.0100000000000002</v>
      </c>
    </row>
    <row r="32" spans="1:9" ht="1.1499999999999999" customHeight="1" x14ac:dyDescent="0.25">
      <c r="A32" s="164" t="s">
        <v>179</v>
      </c>
      <c r="B32" s="164"/>
      <c r="C32" s="164"/>
      <c r="D32" s="164"/>
      <c r="E32" s="164"/>
      <c r="F32" s="164"/>
      <c r="G32" s="138" t="s">
        <v>17</v>
      </c>
      <c r="H32" s="106" t="s">
        <v>177</v>
      </c>
      <c r="I32" s="12">
        <f>((5+7+1)*15)-190.67</f>
        <v>4.3300000000000125</v>
      </c>
    </row>
    <row r="33" spans="1:10" ht="1.1499999999999999" customHeight="1" x14ac:dyDescent="0.25">
      <c r="A33" s="164"/>
      <c r="B33" s="164"/>
      <c r="C33" s="164"/>
      <c r="D33" s="164"/>
      <c r="E33" s="164"/>
      <c r="F33" s="164"/>
      <c r="G33" s="138"/>
      <c r="H33" s="106" t="s">
        <v>178</v>
      </c>
      <c r="I33" s="61">
        <f>(I10/H10)*1.5</f>
        <v>15.075000000000001</v>
      </c>
    </row>
    <row r="34" spans="1:10" ht="3.6" customHeight="1" x14ac:dyDescent="0.25"/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54" si="0">I37/$I$55</f>
        <v>0.63472086141318251</v>
      </c>
      <c r="I37" s="97">
        <f>IF(D6="12x36",I10,I10/H10*I5)</f>
        <v>2211</v>
      </c>
    </row>
    <row r="38" spans="1:10" ht="15" customHeight="1" x14ac:dyDescent="0.25">
      <c r="A38" s="101">
        <f t="shared" ref="A38:A54" si="1">A37+1</f>
        <v>2</v>
      </c>
      <c r="B38" s="197" t="s">
        <v>237</v>
      </c>
      <c r="C38" s="197"/>
      <c r="D38" s="197"/>
      <c r="E38" s="197"/>
      <c r="F38" s="197"/>
      <c r="G38" s="197"/>
      <c r="H38" s="112">
        <f t="shared" si="0"/>
        <v>0</v>
      </c>
      <c r="I38" s="113">
        <v>0</v>
      </c>
    </row>
    <row r="39" spans="1:10" ht="15" customHeight="1" x14ac:dyDescent="0.25">
      <c r="A39" s="101">
        <f t="shared" si="1"/>
        <v>3</v>
      </c>
      <c r="B39" s="126" t="s">
        <v>40</v>
      </c>
      <c r="C39" s="126"/>
      <c r="D39" s="126"/>
      <c r="E39" s="126"/>
      <c r="F39" s="126"/>
      <c r="G39" s="126"/>
      <c r="H39" s="15">
        <f t="shared" si="0"/>
        <v>0.22467824076856099</v>
      </c>
      <c r="I39" s="97">
        <f>IF(I9=30%,(I37+I53+I46+I49+I52+I54)*I9,0)</f>
        <v>782.64891</v>
      </c>
    </row>
    <row r="40" spans="1:10" ht="15" customHeight="1" x14ac:dyDescent="0.25">
      <c r="A40" s="101">
        <f t="shared" si="1"/>
        <v>4</v>
      </c>
      <c r="B40" s="126" t="s">
        <v>41</v>
      </c>
      <c r="C40" s="126"/>
      <c r="D40" s="126"/>
      <c r="E40" s="126"/>
      <c r="F40" s="126"/>
      <c r="G40" s="126"/>
      <c r="H40" s="15">
        <f t="shared" si="0"/>
        <v>0</v>
      </c>
      <c r="I40" s="97">
        <f>IF(I7=10%,I25*I7,0)</f>
        <v>0</v>
      </c>
    </row>
    <row r="41" spans="1:10" ht="15" customHeight="1" x14ac:dyDescent="0.25">
      <c r="A41" s="101">
        <f t="shared" si="1"/>
        <v>5</v>
      </c>
      <c r="B41" s="126" t="s">
        <v>42</v>
      </c>
      <c r="C41" s="126"/>
      <c r="D41" s="126"/>
      <c r="E41" s="126"/>
      <c r="F41" s="126"/>
      <c r="G41" s="126"/>
      <c r="H41" s="15">
        <f t="shared" si="0"/>
        <v>0</v>
      </c>
      <c r="I41" s="97">
        <f>IF(I7=20%,I25*I7,0)</f>
        <v>0</v>
      </c>
    </row>
    <row r="42" spans="1:10" ht="15" customHeight="1" x14ac:dyDescent="0.25">
      <c r="A42" s="101">
        <f t="shared" si="1"/>
        <v>6</v>
      </c>
      <c r="B42" s="126" t="s">
        <v>43</v>
      </c>
      <c r="C42" s="126"/>
      <c r="D42" s="126"/>
      <c r="E42" s="126"/>
      <c r="F42" s="126"/>
      <c r="G42" s="126"/>
      <c r="H42" s="15">
        <f t="shared" si="0"/>
        <v>0</v>
      </c>
      <c r="I42" s="97">
        <f>IF(I7=40%,I25*I7,0)</f>
        <v>0</v>
      </c>
    </row>
    <row r="43" spans="1:10" ht="15" customHeight="1" x14ac:dyDescent="0.25">
      <c r="A43" s="101">
        <f t="shared" si="1"/>
        <v>7</v>
      </c>
      <c r="B43" s="126" t="s">
        <v>190</v>
      </c>
      <c r="C43" s="126"/>
      <c r="D43" s="126"/>
      <c r="E43" s="126"/>
      <c r="F43" s="126"/>
      <c r="G43" s="126"/>
      <c r="H43" s="15">
        <f t="shared" si="0"/>
        <v>0</v>
      </c>
      <c r="I43" s="97">
        <f>IF(I24="Não aplicável",0,I37*I24)</f>
        <v>0</v>
      </c>
    </row>
    <row r="44" spans="1:10" ht="23.25" customHeight="1" x14ac:dyDescent="0.25">
      <c r="A44" s="101">
        <f t="shared" si="1"/>
        <v>8</v>
      </c>
      <c r="B44" s="126" t="s">
        <v>44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aplicável",0,(I37+I38+I39+I40+I41+I42+I43+#REF!)/I5*I26*(1+I27))</f>
        <v>0</v>
      </c>
    </row>
    <row r="45" spans="1:10" ht="15" customHeight="1" x14ac:dyDescent="0.25">
      <c r="A45" s="101">
        <f t="shared" si="1"/>
        <v>9</v>
      </c>
      <c r="B45" s="126" t="s">
        <v>45</v>
      </c>
      <c r="C45" s="126"/>
      <c r="D45" s="126"/>
      <c r="E45" s="126"/>
      <c r="F45" s="126"/>
      <c r="G45" s="126"/>
      <c r="H45" s="15">
        <f t="shared" si="0"/>
        <v>0</v>
      </c>
      <c r="I45" s="97">
        <f>IF(I26="Não aplicável",0,I26/I13*5*(I10/H10*(1+I27)))</f>
        <v>0</v>
      </c>
    </row>
    <row r="46" spans="1:10" ht="15" customHeight="1" x14ac:dyDescent="0.25">
      <c r="A46" s="101">
        <f t="shared" si="1"/>
        <v>10</v>
      </c>
      <c r="B46" s="126" t="s">
        <v>180</v>
      </c>
      <c r="C46" s="126"/>
      <c r="D46" s="126"/>
      <c r="E46" s="126"/>
      <c r="F46" s="126"/>
      <c r="G46" s="126"/>
      <c r="H46" s="15">
        <f t="shared" si="0"/>
        <v>1.8738690885811968E-2</v>
      </c>
      <c r="I46" s="97">
        <f>I32*I33</f>
        <v>65.274750000000196</v>
      </c>
    </row>
    <row r="47" spans="1:10" ht="15" customHeight="1" x14ac:dyDescent="0.25">
      <c r="A47" s="101">
        <f t="shared" si="1"/>
        <v>11</v>
      </c>
      <c r="B47" s="194" t="s">
        <v>196</v>
      </c>
      <c r="C47" s="195"/>
      <c r="D47" s="195"/>
      <c r="E47" s="195"/>
      <c r="F47" s="195"/>
      <c r="G47" s="196"/>
      <c r="H47" s="15">
        <f t="shared" si="0"/>
        <v>0</v>
      </c>
      <c r="I47" s="97">
        <f>IF(OR(I7=10%,I7=20%,I7=40%),I46*I7,0)</f>
        <v>0</v>
      </c>
    </row>
    <row r="48" spans="1:10" s="19" customFormat="1" ht="15" customHeight="1" x14ac:dyDescent="0.25">
      <c r="A48" s="101">
        <f t="shared" si="1"/>
        <v>12</v>
      </c>
      <c r="B48" s="194" t="s">
        <v>197</v>
      </c>
      <c r="C48" s="195"/>
      <c r="D48" s="195"/>
      <c r="E48" s="195"/>
      <c r="F48" s="195"/>
      <c r="G48" s="196"/>
      <c r="H48" s="15">
        <f t="shared" si="0"/>
        <v>5.6216072657435901E-3</v>
      </c>
      <c r="I48" s="97">
        <f>IF(I9=30%,I46*I9,0)</f>
        <v>19.582425000000057</v>
      </c>
      <c r="J48" s="18"/>
    </row>
    <row r="49" spans="1:10" s="19" customFormat="1" ht="1.1499999999999999" customHeight="1" x14ac:dyDescent="0.25">
      <c r="A49" s="101">
        <f t="shared" si="1"/>
        <v>13</v>
      </c>
      <c r="B49" s="126" t="s">
        <v>181</v>
      </c>
      <c r="C49" s="126"/>
      <c r="D49" s="126"/>
      <c r="E49" s="126"/>
      <c r="F49" s="126"/>
      <c r="G49" s="126"/>
      <c r="H49" s="15">
        <f t="shared" si="0"/>
        <v>6.9242275790529009E-2</v>
      </c>
      <c r="I49" s="97">
        <f>I30*I31</f>
        <v>241.20000000000002</v>
      </c>
      <c r="J49" s="18"/>
    </row>
    <row r="50" spans="1:10" s="19" customFormat="1" ht="1.1499999999999999" customHeight="1" x14ac:dyDescent="0.25">
      <c r="A50" s="101">
        <f t="shared" si="1"/>
        <v>14</v>
      </c>
      <c r="B50" s="194" t="s">
        <v>198</v>
      </c>
      <c r="C50" s="195"/>
      <c r="D50" s="195"/>
      <c r="E50" s="195"/>
      <c r="F50" s="195"/>
      <c r="G50" s="196"/>
      <c r="H50" s="15">
        <f t="shared" si="0"/>
        <v>0</v>
      </c>
      <c r="I50" s="97">
        <f>IF(OR(I7=10%,I7=20%,I7=40%),I49*I7,0)</f>
        <v>0</v>
      </c>
      <c r="J50" s="18"/>
    </row>
    <row r="51" spans="1:10" s="19" customFormat="1" ht="1.1499999999999999" customHeight="1" x14ac:dyDescent="0.25">
      <c r="A51" s="101">
        <f t="shared" si="1"/>
        <v>15</v>
      </c>
      <c r="B51" s="194" t="s">
        <v>199</v>
      </c>
      <c r="C51" s="195"/>
      <c r="D51" s="195"/>
      <c r="E51" s="195"/>
      <c r="F51" s="195"/>
      <c r="G51" s="196"/>
      <c r="H51" s="15">
        <f t="shared" si="0"/>
        <v>2.0772682737158699E-2</v>
      </c>
      <c r="I51" s="97">
        <f>IF(I9=30%,I49*I9,0)</f>
        <v>72.36</v>
      </c>
      <c r="J51" s="18"/>
    </row>
    <row r="52" spans="1:10" s="19" customFormat="1" ht="1.1499999999999999" customHeight="1" x14ac:dyDescent="0.25">
      <c r="A52" s="101">
        <f t="shared" si="1"/>
        <v>16</v>
      </c>
      <c r="B52" s="126" t="s">
        <v>182</v>
      </c>
      <c r="C52" s="126"/>
      <c r="D52" s="126"/>
      <c r="E52" s="126"/>
      <c r="F52" s="126"/>
      <c r="G52" s="126"/>
      <c r="H52" s="15">
        <f t="shared" si="0"/>
        <v>1.7596193335268195E-2</v>
      </c>
      <c r="I52" s="97">
        <f>(I46+I49)*0.2</f>
        <v>61.294950000000043</v>
      </c>
      <c r="J52" s="18"/>
    </row>
    <row r="53" spans="1:10" s="19" customFormat="1" ht="1.1499999999999999" customHeight="1" x14ac:dyDescent="0.25">
      <c r="A53" s="101">
        <f t="shared" si="1"/>
        <v>17</v>
      </c>
      <c r="B53" s="126" t="s">
        <v>183</v>
      </c>
      <c r="C53" s="126"/>
      <c r="D53" s="126"/>
      <c r="E53" s="126"/>
      <c r="F53" s="126"/>
      <c r="G53" s="126"/>
      <c r="H53" s="15">
        <f t="shared" si="0"/>
        <v>7.1912065031208595E-3</v>
      </c>
      <c r="I53" s="97">
        <f>I12*I13</f>
        <v>25.049999999999997</v>
      </c>
      <c r="J53" s="18"/>
    </row>
    <row r="54" spans="1:10" s="19" customFormat="1" ht="1.1499999999999999" customHeight="1" x14ac:dyDescent="0.25">
      <c r="A54" s="101">
        <f t="shared" si="1"/>
        <v>18</v>
      </c>
      <c r="B54" s="126" t="s">
        <v>184</v>
      </c>
      <c r="C54" s="126"/>
      <c r="D54" s="126"/>
      <c r="E54" s="126"/>
      <c r="F54" s="126"/>
      <c r="G54" s="126"/>
      <c r="H54" s="15">
        <f t="shared" si="0"/>
        <v>1.4382413006241721E-3</v>
      </c>
      <c r="I54" s="97">
        <f>I53*20%</f>
        <v>5.01</v>
      </c>
      <c r="J54" s="18"/>
    </row>
    <row r="55" spans="1:10" s="19" customFormat="1" ht="1.1499999999999999" customHeight="1" x14ac:dyDescent="0.25">
      <c r="A55" s="145" t="s">
        <v>48</v>
      </c>
      <c r="B55" s="145"/>
      <c r="C55" s="145"/>
      <c r="D55" s="145"/>
      <c r="E55" s="145"/>
      <c r="F55" s="145"/>
      <c r="G55" s="145"/>
      <c r="H55" s="16">
        <f>SUM(H37:H54)</f>
        <v>1</v>
      </c>
      <c r="I55" s="17">
        <f>SUM(I37:I54)</f>
        <v>3483.4210350000003</v>
      </c>
      <c r="J55" s="18"/>
    </row>
    <row r="56" spans="1:10" ht="1.1499999999999999" customHeight="1" x14ac:dyDescent="0.25"/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$I$55*H58</f>
        <v>696.68420700000013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52.251315525000003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34.834210350000006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6.9668420700000011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87.085525875000016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278.67368280000005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104.50263105000001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20.900526210000002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1281.8989408800001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$I$55*H70</f>
        <v>415.62089736999008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2.0479000000000001E-2</v>
      </c>
      <c r="I71" s="97">
        <f t="shared" si="3"/>
        <v>71.336979375765011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1.2123E-2</v>
      </c>
      <c r="I72" s="97">
        <f t="shared" si="3"/>
        <v>42.229513207305004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1.1436E-2</v>
      </c>
      <c r="I73" s="97">
        <f t="shared" si="3"/>
        <v>39.836402956260002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1.74E-4</v>
      </c>
      <c r="I74" s="97">
        <f t="shared" si="3"/>
        <v>0.60611526009000005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1.5396720974700002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0.64443289147500005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316.25979576765002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0.25494299999999998</v>
      </c>
      <c r="I78" s="17">
        <f>SUM(I70:I77)</f>
        <v>888.07380892600509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$I$55*H82</f>
        <v>168.32238783223502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$I$55*H83</f>
        <v>12.230291253884999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$I$55*H84</f>
        <v>67.327561764480009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247.88024085060002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9.3819024000000015E-2</v>
      </c>
      <c r="I88" s="97">
        <f>$I$55*H88</f>
        <v>326.8111616847699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9.3819024000000015E-2</v>
      </c>
      <c r="I89" s="17">
        <f>I88</f>
        <v>326.8111616847699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0.787922024</v>
      </c>
      <c r="I91" s="24">
        <f>I66+I78+I85+I89</f>
        <v>2744.664152341375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I94/$I$55</f>
        <v>0.11368134831280881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I95/$I$55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I96/$I$55</f>
        <v>7.5615321074731928E-3</v>
      </c>
      <c r="I96" s="97">
        <f>I103</f>
        <v>26.340000000000003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I97/$I$55</f>
        <v>6.4914633553620954E-2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I98/$I$55</f>
        <v>2.2965928952082586E-2</v>
      </c>
      <c r="I98" s="97">
        <f>IF(I23="Não aplicável",0,I23)</f>
        <v>80</v>
      </c>
    </row>
    <row r="99" spans="1:10" ht="1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0.20912344292598553</v>
      </c>
      <c r="I99" s="17">
        <f>SUM(I94:I98)</f>
        <v>728.46500000000003</v>
      </c>
      <c r="J99" s="25"/>
    </row>
    <row r="100" spans="1:10" ht="18" customHeight="1" x14ac:dyDescent="0.25">
      <c r="A100" s="20"/>
      <c r="B100" s="149"/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5.3</v>
      </c>
      <c r="B103" s="154"/>
      <c r="C103" s="101">
        <f>IF(I15="Não aplicável",0,I15)</f>
        <v>15</v>
      </c>
      <c r="D103" s="101">
        <v>2</v>
      </c>
      <c r="E103" s="102">
        <f>A103*C103*D103</f>
        <v>159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26.340000000000003</v>
      </c>
    </row>
    <row r="104" spans="1:10" ht="3.7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H55+H91+H99</f>
        <v>1.9970454669259856</v>
      </c>
      <c r="I113" s="38">
        <f>I55+I91+I99</f>
        <v>6956.5501873413759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3.15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1386.0420374682751</v>
      </c>
      <c r="H127" s="99" t="s">
        <v>116</v>
      </c>
      <c r="I127" s="47">
        <f>I96</f>
        <v>26.340000000000003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I55</f>
        <v>3483.4210350000003</v>
      </c>
      <c r="B129" s="160"/>
      <c r="C129" s="100">
        <f>I66</f>
        <v>1281.8989408800001</v>
      </c>
      <c r="D129" s="100">
        <f>I78</f>
        <v>888.07380892600509</v>
      </c>
      <c r="E129" s="100">
        <f>I85</f>
        <v>247.88024085060002</v>
      </c>
      <c r="F129" s="100">
        <f>I89</f>
        <v>326.8111616847699</v>
      </c>
      <c r="G129" s="100">
        <f>I99</f>
        <v>728.46500000000003</v>
      </c>
      <c r="H129" s="100">
        <f>A129+C129+D129+E129+F129+G129</f>
        <v>6956.550187341375</v>
      </c>
      <c r="I129" s="100">
        <f>H129-I127</f>
        <v>6930.2101873413749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4.5" customHeight="1" x14ac:dyDescent="0.25">
      <c r="A134" s="145" t="s">
        <v>193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5.1" customHeight="1" x14ac:dyDescent="0.25">
      <c r="A138" s="145" t="s">
        <v>192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1247.4378337214475</v>
      </c>
      <c r="H140" s="99" t="s">
        <v>116</v>
      </c>
      <c r="I140" s="47">
        <f>I96</f>
        <v>26.340000000000003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I55</f>
        <v>3483.4210350000003</v>
      </c>
      <c r="B142" s="160"/>
      <c r="C142" s="100">
        <f>I66</f>
        <v>1281.8989408800001</v>
      </c>
      <c r="D142" s="100">
        <f>I78</f>
        <v>888.07380892600509</v>
      </c>
      <c r="E142" s="100">
        <f>I85</f>
        <v>247.88024085060002</v>
      </c>
      <c r="F142" s="100">
        <f>I89</f>
        <v>326.8111616847699</v>
      </c>
      <c r="G142" s="100">
        <f>I99</f>
        <v>728.46500000000003</v>
      </c>
      <c r="H142" s="100">
        <f>A142+C142+D142+E142+F142+G142</f>
        <v>6956.550187341375</v>
      </c>
      <c r="I142" s="100">
        <f>H142-I140</f>
        <v>6930.2101873413749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48.180688564431478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222.3724087589145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2.6638252530633989E-2</v>
      </c>
      <c r="I150" s="97">
        <f>($D$158/$E$160)*H160</f>
        <v>185.31034063242876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455.86343795577477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6956.5501873413759</v>
      </c>
      <c r="B158" s="166"/>
      <c r="C158" s="97">
        <f>I144</f>
        <v>0</v>
      </c>
      <c r="D158" s="167">
        <f>A158+C158</f>
        <v>6956.5501873413759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93" t="s">
        <v>149</v>
      </c>
      <c r="B159" s="193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thickBot="1" x14ac:dyDescent="0.3">
      <c r="A162" s="191" t="s">
        <v>153</v>
      </c>
      <c r="B162" s="191" t="s">
        <v>154</v>
      </c>
      <c r="C162" s="191"/>
      <c r="D162" s="191"/>
      <c r="E162" s="191"/>
      <c r="F162" s="105" t="s">
        <v>155</v>
      </c>
      <c r="G162" s="33">
        <v>0</v>
      </c>
      <c r="H162" s="168">
        <v>0</v>
      </c>
      <c r="I162" s="168"/>
    </row>
    <row r="163" spans="1:10" ht="18" customHeight="1" thickBot="1" x14ac:dyDescent="0.3">
      <c r="A163" s="191"/>
      <c r="B163" s="191"/>
      <c r="C163" s="191"/>
      <c r="D163" s="191"/>
      <c r="E163" s="191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48.75" customHeight="1" thickBot="1" x14ac:dyDescent="0.3">
      <c r="A164" s="192" t="s">
        <v>157</v>
      </c>
      <c r="B164" s="192"/>
      <c r="C164" s="192"/>
      <c r="D164" s="192"/>
      <c r="E164" s="192"/>
      <c r="F164" s="192"/>
      <c r="G164" s="192"/>
      <c r="H164" s="192"/>
      <c r="I164" s="192"/>
    </row>
    <row r="165" spans="1:10" ht="12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455.86343795577477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0.46994423288950715</v>
      </c>
      <c r="I171" s="58">
        <f>I55</f>
        <v>3483.4210350000003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0.37027941114542784</v>
      </c>
      <c r="I172" s="58">
        <f>I66+I78+I85+I89</f>
        <v>2744.664152341375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9.8276355965064899E-2</v>
      </c>
      <c r="I173" s="58">
        <f>I99</f>
        <v>728.46500000000003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0.93849999999999989</v>
      </c>
      <c r="I174" s="38">
        <f>SUM(I171:I173)</f>
        <v>6956.5501873413759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455.86343795577477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455.86343795577477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90" t="s">
        <v>206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((H70+H76+H77+H82+H83+H84)+((H70+H76+H77+H82+H83+H84)*H66))*I55*H194</f>
        <v>8047.1672513487028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7412.4136252971512</v>
      </c>
      <c r="H194" s="96">
        <v>6</v>
      </c>
      <c r="I194" s="76">
        <f>G194*H194</f>
        <v>44474.481751782907</v>
      </c>
    </row>
  </sheetData>
  <mergeCells count="191">
    <mergeCell ref="J1:O1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F31"/>
    <mergeCell ref="G30:G31"/>
    <mergeCell ref="A32:F33"/>
    <mergeCell ref="G32:G33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57:G57"/>
    <mergeCell ref="B58:G58"/>
    <mergeCell ref="B59:G59"/>
    <mergeCell ref="B60:G60"/>
    <mergeCell ref="B61:G61"/>
    <mergeCell ref="B62:G62"/>
    <mergeCell ref="B63:G63"/>
    <mergeCell ref="B48:G48"/>
    <mergeCell ref="B49:G49"/>
    <mergeCell ref="B50:G50"/>
    <mergeCell ref="B51:G51"/>
    <mergeCell ref="B52:G52"/>
    <mergeCell ref="B53:G53"/>
    <mergeCell ref="B54:G54"/>
    <mergeCell ref="A55:G55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94"/>
  <sheetViews>
    <sheetView view="pageBreakPreview" zoomScale="130" zoomScaleNormal="130" zoomScalePageLayoutView="130" workbookViewId="0">
      <selection activeCell="J1" sqref="J1:O11"/>
    </sheetView>
  </sheetViews>
  <sheetFormatPr defaultColWidth="9.28515625" defaultRowHeight="11.25" x14ac:dyDescent="0.25"/>
  <cols>
    <col min="1" max="1" width="2.7109375" style="104" customWidth="1"/>
    <col min="2" max="2" width="14.28515625" style="104" customWidth="1"/>
    <col min="3" max="3" width="14.42578125" style="104" customWidth="1"/>
    <col min="4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6" t="s">
        <v>5</v>
      </c>
      <c r="B5" s="126"/>
      <c r="C5" s="126"/>
      <c r="D5" s="130" t="s">
        <v>230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248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248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18.75" customHeight="1" x14ac:dyDescent="0.25">
      <c r="A9" s="125" t="s">
        <v>10</v>
      </c>
      <c r="B9" s="125"/>
      <c r="C9" s="125"/>
      <c r="D9" s="125" t="s">
        <v>244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/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4.7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5.7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4.75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9" ht="11.25" customHeight="1" x14ac:dyDescent="0.25">
      <c r="A17" s="135" t="s">
        <v>24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f>I13</f>
        <v>15</v>
      </c>
    </row>
    <row r="19" spans="1:9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9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6" t="s">
        <v>8</v>
      </c>
    </row>
    <row r="21" spans="1:9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8" t="s">
        <v>8</v>
      </c>
    </row>
    <row r="22" spans="1:9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8" t="s">
        <v>8</v>
      </c>
    </row>
    <row r="23" spans="1:9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9" ht="22.5" customHeight="1" x14ac:dyDescent="0.25">
      <c r="A24" s="136" t="s">
        <v>27</v>
      </c>
      <c r="B24" s="136"/>
      <c r="C24" s="136"/>
      <c r="D24" s="136"/>
      <c r="E24" s="136"/>
      <c r="F24" s="136"/>
      <c r="G24" s="109"/>
      <c r="H24" s="109" t="s">
        <v>28</v>
      </c>
      <c r="I24" s="10" t="s">
        <v>8</v>
      </c>
    </row>
    <row r="25" spans="1:9" ht="34.5" customHeight="1" x14ac:dyDescent="0.25">
      <c r="A25" s="136" t="s">
        <v>29</v>
      </c>
      <c r="B25" s="136"/>
      <c r="C25" s="136"/>
      <c r="D25" s="136"/>
      <c r="E25" s="136"/>
      <c r="F25" s="136"/>
      <c r="G25" s="106"/>
      <c r="H25" s="106" t="s">
        <v>18</v>
      </c>
      <c r="I25" s="6" t="s">
        <v>8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09"/>
      <c r="H26" s="11" t="s">
        <v>31</v>
      </c>
      <c r="I26" s="12" t="s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09"/>
      <c r="H27" s="13" t="s">
        <v>32</v>
      </c>
      <c r="I27" s="108" t="s">
        <v>8</v>
      </c>
    </row>
    <row r="28" spans="1:9" ht="26.25" customHeight="1" x14ac:dyDescent="0.25">
      <c r="A28" s="136" t="s">
        <v>191</v>
      </c>
      <c r="B28" s="136"/>
      <c r="C28" s="136"/>
      <c r="D28" s="136"/>
      <c r="E28" s="136"/>
      <c r="F28" s="136"/>
      <c r="G28" s="109"/>
      <c r="H28" s="106" t="s">
        <v>31</v>
      </c>
      <c r="I28" s="12">
        <v>15</v>
      </c>
    </row>
    <row r="29" spans="1:9" ht="35.25" customHeight="1" x14ac:dyDescent="0.25">
      <c r="A29" s="136" t="s">
        <v>241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9" ht="1.1499999999999999" customHeight="1" x14ac:dyDescent="0.25">
      <c r="A30" s="139"/>
      <c r="B30" s="139"/>
      <c r="C30" s="139"/>
      <c r="D30" s="139"/>
      <c r="E30" s="139"/>
      <c r="F30" s="139"/>
      <c r="G30" s="139"/>
      <c r="H30" s="139"/>
      <c r="I30" s="139"/>
    </row>
    <row r="31" spans="1:9" ht="1.1499999999999999" customHeight="1" x14ac:dyDescent="0.25">
      <c r="A31" s="140"/>
      <c r="B31" s="140"/>
      <c r="C31" s="140"/>
      <c r="D31" s="140"/>
      <c r="E31" s="140"/>
      <c r="F31" s="140"/>
      <c r="G31" s="140"/>
      <c r="H31" s="140"/>
      <c r="I31" s="140"/>
    </row>
    <row r="32" spans="1:9" ht="1.1499999999999999" customHeight="1" x14ac:dyDescent="0.25">
      <c r="A32" s="140"/>
      <c r="B32" s="140"/>
      <c r="C32" s="140"/>
      <c r="D32" s="140"/>
      <c r="E32" s="140"/>
      <c r="F32" s="140"/>
      <c r="G32" s="140"/>
      <c r="H32" s="140"/>
      <c r="I32" s="140"/>
    </row>
    <row r="33" spans="1:10" ht="1.1499999999999999" customHeight="1" x14ac:dyDescent="0.25">
      <c r="A33" s="140"/>
      <c r="B33" s="140"/>
      <c r="C33" s="140"/>
      <c r="D33" s="140"/>
      <c r="E33" s="140"/>
      <c r="F33" s="140"/>
      <c r="G33" s="140"/>
      <c r="H33" s="140"/>
      <c r="I33" s="140"/>
    </row>
    <row r="34" spans="1:10" ht="3.6" customHeight="1" x14ac:dyDescent="0.25">
      <c r="A34" s="141"/>
      <c r="B34" s="141"/>
      <c r="C34" s="141"/>
      <c r="D34" s="141"/>
      <c r="E34" s="141"/>
      <c r="F34" s="141"/>
      <c r="G34" s="141"/>
      <c r="H34" s="141"/>
      <c r="I34" s="141"/>
    </row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47" si="0">I37/$I$48</f>
        <v>0.75891284961992556</v>
      </c>
      <c r="I37" s="97">
        <f>IF(D6="12x36",I10,I10/H10*I5)</f>
        <v>2211</v>
      </c>
    </row>
    <row r="38" spans="1:10" ht="15" customHeight="1" x14ac:dyDescent="0.25">
      <c r="A38" s="101">
        <f t="shared" ref="A38:A47" si="1">A37+1</f>
        <v>2</v>
      </c>
      <c r="B38" s="126" t="s">
        <v>40</v>
      </c>
      <c r="C38" s="126"/>
      <c r="D38" s="126"/>
      <c r="E38" s="126"/>
      <c r="F38" s="126"/>
      <c r="G38" s="126"/>
      <c r="H38" s="15">
        <f t="shared" si="0"/>
        <v>0.23076923076923075</v>
      </c>
      <c r="I38" s="97">
        <f>IF(I9=30%,(I37+I45+I46)*I9,0)</f>
        <v>672.3180000000001</v>
      </c>
    </row>
    <row r="39" spans="1:10" ht="15" customHeight="1" x14ac:dyDescent="0.25">
      <c r="A39" s="101">
        <f t="shared" si="1"/>
        <v>3</v>
      </c>
      <c r="B39" s="126" t="s">
        <v>41</v>
      </c>
      <c r="C39" s="126"/>
      <c r="D39" s="126"/>
      <c r="E39" s="126"/>
      <c r="F39" s="126"/>
      <c r="G39" s="126"/>
      <c r="H39" s="15">
        <f t="shared" si="0"/>
        <v>0</v>
      </c>
      <c r="I39" s="97">
        <f>IF(I7=10%,I25*I7,0)</f>
        <v>0</v>
      </c>
    </row>
    <row r="40" spans="1:10" ht="15" customHeight="1" x14ac:dyDescent="0.25">
      <c r="A40" s="101">
        <f t="shared" si="1"/>
        <v>4</v>
      </c>
      <c r="B40" s="126" t="s">
        <v>42</v>
      </c>
      <c r="C40" s="126"/>
      <c r="D40" s="126"/>
      <c r="E40" s="126"/>
      <c r="F40" s="126"/>
      <c r="G40" s="126"/>
      <c r="H40" s="15">
        <f t="shared" si="0"/>
        <v>0</v>
      </c>
      <c r="I40" s="97">
        <f>IF(I7=20%,I25*I7,0)</f>
        <v>0</v>
      </c>
    </row>
    <row r="41" spans="1:10" ht="15" customHeight="1" x14ac:dyDescent="0.25">
      <c r="A41" s="101">
        <f t="shared" si="1"/>
        <v>5</v>
      </c>
      <c r="B41" s="126" t="s">
        <v>43</v>
      </c>
      <c r="C41" s="126"/>
      <c r="D41" s="126"/>
      <c r="E41" s="126"/>
      <c r="F41" s="126"/>
      <c r="G41" s="126"/>
      <c r="H41" s="15">
        <f t="shared" si="0"/>
        <v>0</v>
      </c>
      <c r="I41" s="97">
        <f>IF(I7=40%,I25*I7,0)</f>
        <v>0</v>
      </c>
    </row>
    <row r="42" spans="1:10" ht="15" customHeight="1" x14ac:dyDescent="0.25">
      <c r="A42" s="101">
        <f t="shared" si="1"/>
        <v>6</v>
      </c>
      <c r="B42" s="126" t="s">
        <v>190</v>
      </c>
      <c r="C42" s="126"/>
      <c r="D42" s="126"/>
      <c r="E42" s="126"/>
      <c r="F42" s="126"/>
      <c r="G42" s="126"/>
      <c r="H42" s="15">
        <f t="shared" si="0"/>
        <v>0</v>
      </c>
      <c r="I42" s="97">
        <f>IF(I24="Não aplicável",0,I37*I24)</f>
        <v>0</v>
      </c>
    </row>
    <row r="43" spans="1:10" ht="15" customHeight="1" x14ac:dyDescent="0.25">
      <c r="A43" s="101">
        <f t="shared" si="1"/>
        <v>7</v>
      </c>
      <c r="B43" s="126" t="s">
        <v>44</v>
      </c>
      <c r="C43" s="126"/>
      <c r="D43" s="126"/>
      <c r="E43" s="126"/>
      <c r="F43" s="126"/>
      <c r="G43" s="126"/>
      <c r="H43" s="15">
        <f t="shared" si="0"/>
        <v>0</v>
      </c>
      <c r="I43" s="97">
        <f>IF(I26="Não aplicável",0,(I37+I38+I39+I40+I41+I42+I47)/I5*I26*(1+I27))</f>
        <v>0</v>
      </c>
    </row>
    <row r="44" spans="1:10" ht="23.25" customHeight="1" x14ac:dyDescent="0.25">
      <c r="A44" s="101">
        <f t="shared" si="1"/>
        <v>8</v>
      </c>
      <c r="B44" s="126" t="s">
        <v>45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aplicável",0,I26/I13*5*(I10/H10*(1+I27)))</f>
        <v>0</v>
      </c>
    </row>
    <row r="45" spans="1:10" ht="15" customHeight="1" x14ac:dyDescent="0.25">
      <c r="A45" s="101">
        <f t="shared" si="1"/>
        <v>9</v>
      </c>
      <c r="B45" s="126" t="s">
        <v>46</v>
      </c>
      <c r="C45" s="126"/>
      <c r="D45" s="126"/>
      <c r="E45" s="126"/>
      <c r="F45" s="126"/>
      <c r="G45" s="126"/>
      <c r="H45" s="15">
        <f t="shared" si="0"/>
        <v>8.5982663423695756E-3</v>
      </c>
      <c r="I45" s="97">
        <f>I12*I13</f>
        <v>25.049999999999997</v>
      </c>
    </row>
    <row r="46" spans="1:10" ht="15" customHeight="1" x14ac:dyDescent="0.25">
      <c r="A46" s="101">
        <f t="shared" si="1"/>
        <v>10</v>
      </c>
      <c r="B46" s="126" t="s">
        <v>47</v>
      </c>
      <c r="C46" s="126"/>
      <c r="D46" s="126"/>
      <c r="E46" s="126"/>
      <c r="F46" s="126"/>
      <c r="G46" s="126"/>
      <c r="H46" s="15">
        <f t="shared" si="0"/>
        <v>1.7196532684739154E-3</v>
      </c>
      <c r="I46" s="97">
        <f>I45*20%</f>
        <v>5.01</v>
      </c>
    </row>
    <row r="47" spans="1:10" ht="15" customHeight="1" x14ac:dyDescent="0.25">
      <c r="A47" s="101">
        <f t="shared" si="1"/>
        <v>11</v>
      </c>
      <c r="B47" s="14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44"/>
      <c r="D47" s="144"/>
      <c r="E47" s="144"/>
      <c r="F47" s="144"/>
      <c r="G47" s="144"/>
      <c r="H47" s="15">
        <f t="shared" si="0"/>
        <v>0</v>
      </c>
      <c r="I47" s="97">
        <v>0</v>
      </c>
    </row>
    <row r="48" spans="1:10" s="19" customFormat="1" ht="15" customHeight="1" x14ac:dyDescent="0.25">
      <c r="A48" s="145" t="s">
        <v>48</v>
      </c>
      <c r="B48" s="145"/>
      <c r="C48" s="145"/>
      <c r="D48" s="145"/>
      <c r="E48" s="145"/>
      <c r="F48" s="145"/>
      <c r="G48" s="145"/>
      <c r="H48" s="16">
        <f>SUM(H37:H47)</f>
        <v>0.99999999999999978</v>
      </c>
      <c r="I48" s="17">
        <f>SUM(I37:I47)</f>
        <v>2913.3780000000006</v>
      </c>
      <c r="J48" s="18"/>
    </row>
    <row r="49" spans="1:10" s="19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18"/>
    </row>
    <row r="50" spans="1:10" s="19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8"/>
    </row>
    <row r="51" spans="1:10" s="19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8"/>
    </row>
    <row r="52" spans="1:10" s="19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8"/>
    </row>
    <row r="53" spans="1:10" s="19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8"/>
    </row>
    <row r="54" spans="1:10" s="19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8"/>
    </row>
    <row r="55" spans="1:10" s="19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8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$I$48*H58</f>
        <v>582.67560000000014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43.700670000000009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29.133780000000005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5.8267560000000014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72.834450000000018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233.07024000000004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87.401340000000019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17.480268000000002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1072.1231040000005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$I$48*H70</f>
        <v>347.60678269200008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2.0485E-2</v>
      </c>
      <c r="I71" s="97">
        <f t="shared" si="3"/>
        <v>59.680548330000015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1.2127000000000001E-2</v>
      </c>
      <c r="I72" s="97">
        <f t="shared" si="3"/>
        <v>35.330535006000012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2.7250793878226798E-3</v>
      </c>
      <c r="I73" s="97">
        <f t="shared" si="3"/>
        <v>7.9391863367360651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4.7600000000000002E-4</v>
      </c>
      <c r="I74" s="97">
        <f t="shared" si="3"/>
        <v>1.3867679280000003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1.2877130760000004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0.53897493000000007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264.50558862000003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0.24654407938782269</v>
      </c>
      <c r="I78" s="17">
        <f>SUM(I70:I77)</f>
        <v>718.27609691873613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$I$48*H82</f>
        <v>140.77733833800005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$I$48*H83</f>
        <v>10.228870158000001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$I$48*H84</f>
        <v>56.309769984000013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207.31597848000007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9.0728221214718782E-2</v>
      </c>
      <c r="I88" s="97">
        <f>$I$48*H88</f>
        <v>264.32560366609505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9.0728221214718782E-2</v>
      </c>
      <c r="I89" s="17">
        <f>I88</f>
        <v>264.32560366609505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0.77643230060254154</v>
      </c>
      <c r="I91" s="24">
        <f>I66+I78+I85+I89</f>
        <v>2262.0407830648319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I94/$I$48</f>
        <v>0.13592468948416578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I95/$I$48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I96/$I$48</f>
        <v>3.3775225871823023E-3</v>
      </c>
      <c r="I96" s="97">
        <f>I103</f>
        <v>9.8400000000000034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I97/$I$48</f>
        <v>7.7616086892946939E-2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I98/$I$48</f>
        <v>2.7459533229124398E-2</v>
      </c>
      <c r="I98" s="97">
        <f>IF(I23="Não aplicável",0,I23)</f>
        <v>80</v>
      </c>
    </row>
    <row r="99" spans="1:10" ht="1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0.24437783219341941</v>
      </c>
      <c r="I99" s="17">
        <f>SUM(I94:I98)</f>
        <v>711.96500000000003</v>
      </c>
      <c r="J99" s="25"/>
    </row>
    <row r="100" spans="1:10" ht="18" customHeight="1" x14ac:dyDescent="0.25">
      <c r="A100" s="20" t="s">
        <v>93</v>
      </c>
      <c r="B100" s="149" t="s">
        <v>94</v>
      </c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4.75</v>
      </c>
      <c r="B103" s="154"/>
      <c r="C103" s="101">
        <f>IF(I15="Não aplicável",0,I15)</f>
        <v>15</v>
      </c>
      <c r="D103" s="101">
        <v>2</v>
      </c>
      <c r="E103" s="102">
        <f>A103*C103*D103</f>
        <v>142.5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9.8400000000000034</v>
      </c>
    </row>
    <row r="104" spans="1:10" ht="3.7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H48+H91+H99</f>
        <v>2.0208101327959609</v>
      </c>
      <c r="I113" s="38">
        <f>I48+I91+I99</f>
        <v>5887.3837830648326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3.15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1175.5087566129666</v>
      </c>
      <c r="H127" s="99" t="s">
        <v>116</v>
      </c>
      <c r="I127" s="47">
        <f>I96</f>
        <v>9.8400000000000034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I48</f>
        <v>2913.3780000000006</v>
      </c>
      <c r="B129" s="160"/>
      <c r="C129" s="100">
        <f>I66</f>
        <v>1072.1231040000005</v>
      </c>
      <c r="D129" s="100">
        <f>I78</f>
        <v>718.27609691873613</v>
      </c>
      <c r="E129" s="100">
        <f>I85</f>
        <v>207.31597848000007</v>
      </c>
      <c r="F129" s="100">
        <f>I89</f>
        <v>264.32560366609505</v>
      </c>
      <c r="G129" s="100">
        <f>I99</f>
        <v>711.96500000000003</v>
      </c>
      <c r="H129" s="100">
        <f>A129+C129+D129+E129+F129+G129</f>
        <v>5887.3837830648326</v>
      </c>
      <c r="I129" s="100">
        <f>H129-I127</f>
        <v>5877.5437830648325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4.5" customHeight="1" x14ac:dyDescent="0.25">
      <c r="A134" s="145" t="s">
        <v>195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5.1" customHeight="1" x14ac:dyDescent="0.25">
      <c r="A138" s="145" t="s">
        <v>194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1057.9578809516697</v>
      </c>
      <c r="H140" s="99" t="s">
        <v>116</v>
      </c>
      <c r="I140" s="47">
        <f>I96</f>
        <v>9.8400000000000034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I48</f>
        <v>2913.3780000000006</v>
      </c>
      <c r="B142" s="160"/>
      <c r="C142" s="100">
        <f>I66</f>
        <v>1072.1231040000005</v>
      </c>
      <c r="D142" s="100">
        <f>I78</f>
        <v>718.27609691873613</v>
      </c>
      <c r="E142" s="100">
        <f>I85</f>
        <v>207.31597848000007</v>
      </c>
      <c r="F142" s="100">
        <f>I89</f>
        <v>264.32560366609505</v>
      </c>
      <c r="G142" s="100">
        <f>I99</f>
        <v>711.96500000000003</v>
      </c>
      <c r="H142" s="100">
        <f>A142+C142+D142+E142+F142+G142</f>
        <v>5887.3837830648326</v>
      </c>
      <c r="I142" s="100">
        <f>H142-I140</f>
        <v>5877.5437830648325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40.775700149090476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188.19553914964834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2.6638252530633993E-2</v>
      </c>
      <c r="I150" s="97">
        <f>($D$158/$E$160)*H160</f>
        <v>156.82961595804031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385.80085525677913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5887.3837830648326</v>
      </c>
      <c r="B158" s="166"/>
      <c r="C158" s="97">
        <f>I144</f>
        <v>0</v>
      </c>
      <c r="D158" s="167">
        <f>A158+C158</f>
        <v>5887.3837830648326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26" t="s">
        <v>149</v>
      </c>
      <c r="B159" s="126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9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9" ht="13.5" customHeight="1" x14ac:dyDescent="0.25">
      <c r="A162" s="169" t="s">
        <v>153</v>
      </c>
      <c r="B162" s="169" t="s">
        <v>154</v>
      </c>
      <c r="C162" s="169"/>
      <c r="D162" s="169"/>
      <c r="E162" s="169"/>
      <c r="F162" s="105" t="s">
        <v>155</v>
      </c>
      <c r="G162" s="33">
        <v>0</v>
      </c>
      <c r="H162" s="168">
        <v>0</v>
      </c>
      <c r="I162" s="168"/>
    </row>
    <row r="163" spans="1:9" ht="18" customHeight="1" x14ac:dyDescent="0.25">
      <c r="A163" s="169"/>
      <c r="B163" s="169"/>
      <c r="C163" s="169"/>
      <c r="D163" s="169"/>
      <c r="E163" s="169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9" ht="48.75" customHeight="1" x14ac:dyDescent="0.25">
      <c r="A164" s="171" t="s">
        <v>157</v>
      </c>
      <c r="B164" s="171"/>
      <c r="C164" s="171"/>
      <c r="D164" s="171"/>
      <c r="E164" s="171"/>
      <c r="F164" s="171"/>
      <c r="G164" s="171"/>
      <c r="H164" s="171"/>
      <c r="I164" s="171"/>
    </row>
    <row r="165" spans="1:9" ht="12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9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9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385.80085525677913</v>
      </c>
    </row>
    <row r="168" spans="1:9" ht="4.5" customHeight="1" x14ac:dyDescent="0.25"/>
    <row r="169" spans="1:9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9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9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0.46441770296425927</v>
      </c>
      <c r="I171" s="58">
        <f>I48</f>
        <v>2913.3780000000006</v>
      </c>
    </row>
    <row r="172" spans="1:9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0.36058890555308765</v>
      </c>
      <c r="I172" s="58">
        <f>I66+I78+I85+I89</f>
        <v>2262.0407830648319</v>
      </c>
    </row>
    <row r="173" spans="1:9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0.11349339148265307</v>
      </c>
      <c r="I173" s="58">
        <f>I99</f>
        <v>711.96500000000003</v>
      </c>
    </row>
    <row r="174" spans="1:9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0.93849999999999989</v>
      </c>
      <c r="I174" s="38">
        <f>SUM(I171:I173)</f>
        <v>5887.3837830648326</v>
      </c>
    </row>
    <row r="175" spans="1:9" ht="4.5" customHeight="1" x14ac:dyDescent="0.25"/>
    <row r="176" spans="1:9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6.1500000000000006E-2</v>
      </c>
      <c r="I183" s="97">
        <f>I153</f>
        <v>385.80085525677913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6.1500000000000006E-2</v>
      </c>
      <c r="I184" s="38">
        <f>I153</f>
        <v>385.80085525677913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78" t="s">
        <v>205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((H70+H76+H77+H82+H83+H84)+((H70+H76+H77+H82+H83+H84)*H66))*I48*H194</f>
        <v>2243.4306004393925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6273.1846383216116</v>
      </c>
      <c r="H194" s="96">
        <v>2</v>
      </c>
      <c r="I194" s="76">
        <f>G194*H194</f>
        <v>12546.369276643223</v>
      </c>
    </row>
  </sheetData>
  <mergeCells count="182">
    <mergeCell ref="J1:O11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194"/>
  <sheetViews>
    <sheetView view="pageBreakPreview" zoomScale="130" zoomScaleNormal="130" zoomScalePageLayoutView="130" workbookViewId="0">
      <selection activeCell="J1" sqref="J1:O11"/>
    </sheetView>
  </sheetViews>
  <sheetFormatPr defaultColWidth="9.28515625" defaultRowHeight="11.25" x14ac:dyDescent="0.25"/>
  <cols>
    <col min="1" max="1" width="2.7109375" style="104" customWidth="1"/>
    <col min="2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5" t="s">
        <v>5</v>
      </c>
      <c r="B5" s="125"/>
      <c r="C5" s="125"/>
      <c r="D5" s="130" t="s">
        <v>231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245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245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24.75" customHeight="1" x14ac:dyDescent="0.25">
      <c r="A9" s="125" t="s">
        <v>10</v>
      </c>
      <c r="B9" s="125"/>
      <c r="C9" s="125"/>
      <c r="D9" s="125" t="s">
        <v>244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 t="str">
        <f>D9</f>
        <v>Guaíba/RS</v>
      </c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6.2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6.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4.75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10" ht="11.25" customHeight="1" x14ac:dyDescent="0.25">
      <c r="A17" s="135" t="s">
        <v>175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10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v>15</v>
      </c>
    </row>
    <row r="19" spans="1:10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10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10" t="s">
        <v>8</v>
      </c>
    </row>
    <row r="21" spans="1:10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10" t="s">
        <v>8</v>
      </c>
    </row>
    <row r="22" spans="1:10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" t="s">
        <v>8</v>
      </c>
    </row>
    <row r="23" spans="1:10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10" ht="22.5" customHeight="1" x14ac:dyDescent="0.25">
      <c r="A24" s="135" t="s">
        <v>27</v>
      </c>
      <c r="B24" s="198"/>
      <c r="C24" s="198"/>
      <c r="D24" s="198"/>
      <c r="E24" s="198"/>
      <c r="F24" s="199"/>
      <c r="G24" s="109"/>
      <c r="H24" s="109" t="s">
        <v>28</v>
      </c>
      <c r="I24" s="10" t="s">
        <v>8</v>
      </c>
    </row>
    <row r="25" spans="1:10" ht="36" customHeight="1" x14ac:dyDescent="0.25">
      <c r="A25" s="135" t="s">
        <v>29</v>
      </c>
      <c r="B25" s="198"/>
      <c r="C25" s="198"/>
      <c r="D25" s="198"/>
      <c r="E25" s="198"/>
      <c r="F25" s="199"/>
      <c r="G25" s="106"/>
      <c r="H25" s="106" t="s">
        <v>18</v>
      </c>
      <c r="I25" s="6" t="s">
        <v>8</v>
      </c>
    </row>
    <row r="26" spans="1:10" ht="15" customHeight="1" x14ac:dyDescent="0.25">
      <c r="A26" s="137" t="s">
        <v>30</v>
      </c>
      <c r="B26" s="139"/>
      <c r="C26" s="139"/>
      <c r="D26" s="139"/>
      <c r="E26" s="139"/>
      <c r="F26" s="200"/>
      <c r="G26" s="109"/>
      <c r="H26" s="11" t="s">
        <v>31</v>
      </c>
      <c r="I26" s="12" t="s">
        <v>8</v>
      </c>
    </row>
    <row r="27" spans="1:10" ht="15" customHeight="1" x14ac:dyDescent="0.25">
      <c r="A27" s="134"/>
      <c r="B27" s="141"/>
      <c r="C27" s="141"/>
      <c r="D27" s="141"/>
      <c r="E27" s="141"/>
      <c r="F27" s="201"/>
      <c r="G27" s="109"/>
      <c r="H27" s="13" t="s">
        <v>32</v>
      </c>
      <c r="I27" s="108" t="s">
        <v>8</v>
      </c>
    </row>
    <row r="28" spans="1:10" ht="26.25" customHeight="1" x14ac:dyDescent="0.25">
      <c r="A28" s="135" t="s">
        <v>33</v>
      </c>
      <c r="B28" s="198"/>
      <c r="C28" s="198"/>
      <c r="D28" s="198"/>
      <c r="E28" s="198"/>
      <c r="F28" s="199"/>
      <c r="G28" s="109"/>
      <c r="H28" s="106" t="s">
        <v>31</v>
      </c>
      <c r="I28" s="12">
        <v>15</v>
      </c>
    </row>
    <row r="29" spans="1:10" ht="36.75" customHeight="1" x14ac:dyDescent="0.25">
      <c r="A29" s="136" t="s">
        <v>236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10" ht="24.75" customHeight="1" x14ac:dyDescent="0.25">
      <c r="A30" s="127" t="s">
        <v>176</v>
      </c>
      <c r="B30" s="127"/>
      <c r="C30" s="127"/>
      <c r="D30" s="127"/>
      <c r="E30" s="127"/>
      <c r="F30" s="127"/>
      <c r="G30" s="138" t="s">
        <v>17</v>
      </c>
      <c r="H30" s="109" t="s">
        <v>177</v>
      </c>
      <c r="I30" s="59">
        <f>((60/52.5)*7)*15</f>
        <v>120</v>
      </c>
    </row>
    <row r="31" spans="1:10" ht="24.75" customHeight="1" x14ac:dyDescent="0.25">
      <c r="A31" s="127"/>
      <c r="B31" s="127"/>
      <c r="C31" s="127"/>
      <c r="D31" s="127"/>
      <c r="E31" s="127"/>
      <c r="F31" s="127"/>
      <c r="G31" s="138"/>
      <c r="H31" s="109" t="s">
        <v>178</v>
      </c>
      <c r="I31" s="109">
        <f>I10/H10*20%</f>
        <v>2.0100000000000002</v>
      </c>
    </row>
    <row r="32" spans="1:10" ht="29.25" customHeight="1" x14ac:dyDescent="0.25">
      <c r="A32" s="164" t="s">
        <v>246</v>
      </c>
      <c r="B32" s="164"/>
      <c r="C32" s="164"/>
      <c r="D32" s="164"/>
      <c r="E32" s="164"/>
      <c r="F32" s="164"/>
      <c r="G32" s="138" t="s">
        <v>17</v>
      </c>
      <c r="H32" s="106" t="s">
        <v>177</v>
      </c>
      <c r="I32" s="12">
        <f>((5+7+1)*15)-190.67</f>
        <v>4.3300000000000125</v>
      </c>
      <c r="J32" s="60"/>
    </row>
    <row r="33" spans="1:10" ht="30.75" customHeight="1" x14ac:dyDescent="0.25">
      <c r="A33" s="164"/>
      <c r="B33" s="164"/>
      <c r="C33" s="164"/>
      <c r="D33" s="164"/>
      <c r="E33" s="164"/>
      <c r="F33" s="164"/>
      <c r="G33" s="138"/>
      <c r="H33" s="106" t="s">
        <v>178</v>
      </c>
      <c r="I33" s="61">
        <f>(I10/H10)*1.5</f>
        <v>15.075000000000001</v>
      </c>
    </row>
    <row r="34" spans="1:10" ht="4.5" customHeight="1" x14ac:dyDescent="0.25"/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54" si="0">I37/$I$55</f>
        <v>0.63472086141318251</v>
      </c>
      <c r="I37" s="97">
        <f>IF(D6="12x36",I10,I10/H10*I5)</f>
        <v>2211</v>
      </c>
    </row>
    <row r="38" spans="1:10" ht="15" customHeight="1" x14ac:dyDescent="0.25">
      <c r="A38" s="101">
        <f t="shared" ref="A38:A54" si="1">A37+1</f>
        <v>2</v>
      </c>
      <c r="B38" s="197" t="s">
        <v>237</v>
      </c>
      <c r="C38" s="197"/>
      <c r="D38" s="197"/>
      <c r="E38" s="197"/>
      <c r="F38" s="197"/>
      <c r="G38" s="197"/>
      <c r="H38" s="112">
        <f t="shared" si="0"/>
        <v>0</v>
      </c>
      <c r="I38" s="113">
        <v>0</v>
      </c>
      <c r="J38" s="25"/>
    </row>
    <row r="39" spans="1:10" ht="15" customHeight="1" x14ac:dyDescent="0.25">
      <c r="A39" s="101">
        <f t="shared" si="1"/>
        <v>3</v>
      </c>
      <c r="B39" s="126" t="s">
        <v>40</v>
      </c>
      <c r="C39" s="126"/>
      <c r="D39" s="126"/>
      <c r="E39" s="126"/>
      <c r="F39" s="126"/>
      <c r="G39" s="126"/>
      <c r="H39" s="15">
        <f t="shared" si="0"/>
        <v>0.22467824076856099</v>
      </c>
      <c r="I39" s="97">
        <f>IF(I9=30%,(I37+I53+I46+I49+I52+I54)*I9,0)</f>
        <v>782.64891</v>
      </c>
    </row>
    <row r="40" spans="1:10" ht="15" customHeight="1" x14ac:dyDescent="0.25">
      <c r="A40" s="101">
        <f t="shared" si="1"/>
        <v>4</v>
      </c>
      <c r="B40" s="126" t="s">
        <v>41</v>
      </c>
      <c r="C40" s="126"/>
      <c r="D40" s="126"/>
      <c r="E40" s="126"/>
      <c r="F40" s="126"/>
      <c r="G40" s="126"/>
      <c r="H40" s="15">
        <f t="shared" si="0"/>
        <v>0</v>
      </c>
      <c r="I40" s="97">
        <f>IF(I7=10%,I25*I7,0)</f>
        <v>0</v>
      </c>
    </row>
    <row r="41" spans="1:10" ht="15" customHeight="1" x14ac:dyDescent="0.25">
      <c r="A41" s="101">
        <f t="shared" si="1"/>
        <v>5</v>
      </c>
      <c r="B41" s="126" t="s">
        <v>42</v>
      </c>
      <c r="C41" s="126"/>
      <c r="D41" s="126"/>
      <c r="E41" s="126"/>
      <c r="F41" s="126"/>
      <c r="G41" s="126"/>
      <c r="H41" s="15">
        <f t="shared" si="0"/>
        <v>0</v>
      </c>
      <c r="I41" s="97">
        <f>IF(I7=20%,I25*I7,0)</f>
        <v>0</v>
      </c>
    </row>
    <row r="42" spans="1:10" ht="15" customHeight="1" x14ac:dyDescent="0.25">
      <c r="A42" s="101">
        <f t="shared" si="1"/>
        <v>6</v>
      </c>
      <c r="B42" s="126" t="s">
        <v>43</v>
      </c>
      <c r="C42" s="126"/>
      <c r="D42" s="126"/>
      <c r="E42" s="126"/>
      <c r="F42" s="126"/>
      <c r="G42" s="126"/>
      <c r="H42" s="15">
        <f t="shared" si="0"/>
        <v>0</v>
      </c>
      <c r="I42" s="97">
        <f>IF(I7=40%,I25*I7,0)</f>
        <v>0</v>
      </c>
    </row>
    <row r="43" spans="1:10" ht="15" customHeight="1" x14ac:dyDescent="0.25">
      <c r="A43" s="101">
        <f t="shared" si="1"/>
        <v>7</v>
      </c>
      <c r="B43" s="126" t="s">
        <v>190</v>
      </c>
      <c r="C43" s="126"/>
      <c r="D43" s="126"/>
      <c r="E43" s="126"/>
      <c r="F43" s="126"/>
      <c r="G43" s="126"/>
      <c r="H43" s="15">
        <f t="shared" si="0"/>
        <v>0</v>
      </c>
      <c r="I43" s="97">
        <f>IF(I24="Não aplicável",0,I37*I24)</f>
        <v>0</v>
      </c>
    </row>
    <row r="44" spans="1:10" ht="15" customHeight="1" x14ac:dyDescent="0.25">
      <c r="A44" s="101">
        <f t="shared" si="1"/>
        <v>8</v>
      </c>
      <c r="B44" s="126" t="s">
        <v>44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aplicável",0,(I37+I38+I39+I40+I41+I42+I43+#REF!)/I5*I26*(1+I27))</f>
        <v>0</v>
      </c>
    </row>
    <row r="45" spans="1:10" ht="21" customHeight="1" x14ac:dyDescent="0.25">
      <c r="A45" s="101">
        <f t="shared" si="1"/>
        <v>9</v>
      </c>
      <c r="B45" s="126" t="s">
        <v>45</v>
      </c>
      <c r="C45" s="126"/>
      <c r="D45" s="126"/>
      <c r="E45" s="126"/>
      <c r="F45" s="126"/>
      <c r="G45" s="126"/>
      <c r="H45" s="15">
        <f t="shared" si="0"/>
        <v>0</v>
      </c>
      <c r="I45" s="97">
        <f>IF(I26="Não aplicável",0,I26/I13*5*(I10/H10*(1+I27)))</f>
        <v>0</v>
      </c>
    </row>
    <row r="46" spans="1:10" ht="15" customHeight="1" x14ac:dyDescent="0.25">
      <c r="A46" s="101">
        <f t="shared" si="1"/>
        <v>10</v>
      </c>
      <c r="B46" s="126" t="s">
        <v>180</v>
      </c>
      <c r="C46" s="126"/>
      <c r="D46" s="126"/>
      <c r="E46" s="126"/>
      <c r="F46" s="126"/>
      <c r="G46" s="126"/>
      <c r="H46" s="15">
        <f t="shared" si="0"/>
        <v>1.8738690885811968E-2</v>
      </c>
      <c r="I46" s="97">
        <f>I32*I33</f>
        <v>65.274750000000196</v>
      </c>
    </row>
    <row r="47" spans="1:10" ht="15" customHeight="1" x14ac:dyDescent="0.25">
      <c r="A47" s="101">
        <f t="shared" si="1"/>
        <v>11</v>
      </c>
      <c r="B47" s="194" t="s">
        <v>196</v>
      </c>
      <c r="C47" s="195"/>
      <c r="D47" s="195"/>
      <c r="E47" s="195"/>
      <c r="F47" s="195"/>
      <c r="G47" s="196"/>
      <c r="H47" s="15">
        <f t="shared" si="0"/>
        <v>0</v>
      </c>
      <c r="I47" s="97">
        <f>IF(OR(I7=10%,I7=20%,I7=40%),I46*I7,0)</f>
        <v>0</v>
      </c>
    </row>
    <row r="48" spans="1:10" ht="15" customHeight="1" x14ac:dyDescent="0.25">
      <c r="A48" s="101">
        <f t="shared" si="1"/>
        <v>12</v>
      </c>
      <c r="B48" s="194" t="s">
        <v>197</v>
      </c>
      <c r="C48" s="195"/>
      <c r="D48" s="195"/>
      <c r="E48" s="195"/>
      <c r="F48" s="195"/>
      <c r="G48" s="196"/>
      <c r="H48" s="15">
        <f t="shared" si="0"/>
        <v>5.6216072657435901E-3</v>
      </c>
      <c r="I48" s="97">
        <f>IF(I9=30%,I46*I9,0)</f>
        <v>19.582425000000057</v>
      </c>
    </row>
    <row r="49" spans="1:10" ht="15" customHeight="1" x14ac:dyDescent="0.25">
      <c r="A49" s="101">
        <f t="shared" si="1"/>
        <v>13</v>
      </c>
      <c r="B49" s="126" t="s">
        <v>181</v>
      </c>
      <c r="C49" s="126"/>
      <c r="D49" s="126"/>
      <c r="E49" s="126"/>
      <c r="F49" s="126"/>
      <c r="G49" s="126"/>
      <c r="H49" s="15">
        <f t="shared" si="0"/>
        <v>6.9242275790529009E-2</v>
      </c>
      <c r="I49" s="97">
        <f>I30*I31</f>
        <v>241.20000000000002</v>
      </c>
    </row>
    <row r="50" spans="1:10" ht="15" customHeight="1" x14ac:dyDescent="0.25">
      <c r="A50" s="101">
        <f t="shared" si="1"/>
        <v>14</v>
      </c>
      <c r="B50" s="194" t="s">
        <v>198</v>
      </c>
      <c r="C50" s="195"/>
      <c r="D50" s="195"/>
      <c r="E50" s="195"/>
      <c r="F50" s="195"/>
      <c r="G50" s="196"/>
      <c r="H50" s="15">
        <f t="shared" si="0"/>
        <v>0</v>
      </c>
      <c r="I50" s="97">
        <f>IF(OR(I7=10%,I7=20%,I7=40%),I49*I7,0)</f>
        <v>0</v>
      </c>
    </row>
    <row r="51" spans="1:10" ht="15" customHeight="1" x14ac:dyDescent="0.25">
      <c r="A51" s="101">
        <f t="shared" si="1"/>
        <v>15</v>
      </c>
      <c r="B51" s="194" t="s">
        <v>199</v>
      </c>
      <c r="C51" s="195"/>
      <c r="D51" s="195"/>
      <c r="E51" s="195"/>
      <c r="F51" s="195"/>
      <c r="G51" s="196"/>
      <c r="H51" s="15">
        <f t="shared" si="0"/>
        <v>2.0772682737158699E-2</v>
      </c>
      <c r="I51" s="97">
        <f>IF(I9=30%,I49*I9,0)</f>
        <v>72.36</v>
      </c>
    </row>
    <row r="52" spans="1:10" ht="24" customHeight="1" x14ac:dyDescent="0.25">
      <c r="A52" s="101">
        <f t="shared" si="1"/>
        <v>16</v>
      </c>
      <c r="B52" s="126" t="s">
        <v>182</v>
      </c>
      <c r="C52" s="126"/>
      <c r="D52" s="126"/>
      <c r="E52" s="126"/>
      <c r="F52" s="126"/>
      <c r="G52" s="126"/>
      <c r="H52" s="15">
        <f t="shared" si="0"/>
        <v>1.7596193335268195E-2</v>
      </c>
      <c r="I52" s="97">
        <f>(I46+I49)*0.2</f>
        <v>61.294950000000043</v>
      </c>
    </row>
    <row r="53" spans="1:10" ht="12.75" customHeight="1" x14ac:dyDescent="0.25">
      <c r="A53" s="101">
        <f t="shared" si="1"/>
        <v>17</v>
      </c>
      <c r="B53" s="126" t="s">
        <v>183</v>
      </c>
      <c r="C53" s="126"/>
      <c r="D53" s="126"/>
      <c r="E53" s="126"/>
      <c r="F53" s="126"/>
      <c r="G53" s="126"/>
      <c r="H53" s="15">
        <f t="shared" si="0"/>
        <v>7.1912065031208595E-3</v>
      </c>
      <c r="I53" s="97">
        <f>I12*I13</f>
        <v>25.049999999999997</v>
      </c>
    </row>
    <row r="54" spans="1:10" ht="12.75" customHeight="1" x14ac:dyDescent="0.25">
      <c r="A54" s="101">
        <f t="shared" si="1"/>
        <v>18</v>
      </c>
      <c r="B54" s="126" t="s">
        <v>184</v>
      </c>
      <c r="C54" s="126"/>
      <c r="D54" s="126"/>
      <c r="E54" s="126"/>
      <c r="F54" s="126"/>
      <c r="G54" s="126"/>
      <c r="H54" s="15">
        <f t="shared" si="0"/>
        <v>1.4382413006241721E-3</v>
      </c>
      <c r="I54" s="97">
        <f>I53*20%</f>
        <v>5.01</v>
      </c>
    </row>
    <row r="55" spans="1:10" s="19" customFormat="1" ht="15" customHeight="1" x14ac:dyDescent="0.25">
      <c r="A55" s="145" t="s">
        <v>48</v>
      </c>
      <c r="B55" s="145"/>
      <c r="C55" s="145"/>
      <c r="D55" s="145"/>
      <c r="E55" s="145"/>
      <c r="F55" s="145"/>
      <c r="G55" s="145"/>
      <c r="H55" s="16">
        <f>SUM(H37:H54)</f>
        <v>1</v>
      </c>
      <c r="I55" s="17">
        <f>SUM(I37:I54)</f>
        <v>3483.4210350000003</v>
      </c>
      <c r="J55" s="18"/>
    </row>
    <row r="56" spans="1:10" ht="4.5" customHeight="1" x14ac:dyDescent="0.25"/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$I$55*H58</f>
        <v>696.68420700000013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52.251315525000003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34.834210350000006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6.9668420700000011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87.085525875000016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278.67368280000005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104.50263105000001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20.900526210000002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1281.8989408800001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$I$55*H70</f>
        <v>415.62089736999008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2.0479000000000001E-2</v>
      </c>
      <c r="I71" s="97">
        <f t="shared" si="3"/>
        <v>71.336979375765011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1.2123E-2</v>
      </c>
      <c r="I72" s="97">
        <f t="shared" si="3"/>
        <v>42.229513207305004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1.1436E-2</v>
      </c>
      <c r="I73" s="97">
        <f t="shared" si="3"/>
        <v>39.836402956260002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1.74E-4</v>
      </c>
      <c r="I74" s="97">
        <f t="shared" si="3"/>
        <v>0.60611526009000005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1.5396720974700002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0.64443289147500005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316.25979576765002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0.25494299999999998</v>
      </c>
      <c r="I78" s="17">
        <f>SUM(I70:I77)</f>
        <v>888.07380892600509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$I$55*H82</f>
        <v>168.32238783223502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$I$55*H83</f>
        <v>12.230291253884999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$I$55*H84</f>
        <v>67.327561764480009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247.88024085060002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9.3819024000000015E-2</v>
      </c>
      <c r="I88" s="97">
        <f>$I$55*H88</f>
        <v>326.8111616847699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9.3819024000000015E-2</v>
      </c>
      <c r="I89" s="17">
        <f>I88</f>
        <v>326.8111616847699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0.787922024</v>
      </c>
      <c r="I91" s="24">
        <f>I66+I78+I85+I89</f>
        <v>2744.664152341375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I94/$I$55</f>
        <v>0.11368134831280881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I95/$I$55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I96/$I$55</f>
        <v>2.8248092611061594E-3</v>
      </c>
      <c r="I96" s="97">
        <f>I103</f>
        <v>9.8400000000000034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I97/$I$55</f>
        <v>6.4914633553620954E-2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I98/$I$55</f>
        <v>2.2965928952082586E-2</v>
      </c>
      <c r="I98" s="97">
        <f>IF(I23="Não aplicável",0,I23)</f>
        <v>80</v>
      </c>
    </row>
    <row r="99" spans="1:10" ht="13.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0.2043867200796185</v>
      </c>
      <c r="I99" s="17">
        <f>SUM(I94:I98)</f>
        <v>711.96500000000003</v>
      </c>
      <c r="J99" s="25"/>
    </row>
    <row r="100" spans="1:10" ht="5.25" customHeight="1" x14ac:dyDescent="0.25">
      <c r="A100" s="20"/>
      <c r="B100" s="149"/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4.75</v>
      </c>
      <c r="B103" s="154"/>
      <c r="C103" s="101">
        <f>IF(I15="Não aplicável",0,I15)</f>
        <v>15</v>
      </c>
      <c r="D103" s="101">
        <v>2</v>
      </c>
      <c r="E103" s="102">
        <f>A103*C103*D103</f>
        <v>142.5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9.8400000000000034</v>
      </c>
    </row>
    <row r="104" spans="1:10" ht="4.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4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H55+H91+H99</f>
        <v>1.9923087440796186</v>
      </c>
      <c r="I113" s="38">
        <f>I55+I91+I99</f>
        <v>6940.0501873413759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8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1386.0420374682751</v>
      </c>
      <c r="H127" s="99" t="s">
        <v>116</v>
      </c>
      <c r="I127" s="47">
        <f>I96</f>
        <v>9.8400000000000034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I55</f>
        <v>3483.4210350000003</v>
      </c>
      <c r="B129" s="160"/>
      <c r="C129" s="100">
        <f>I66</f>
        <v>1281.8989408800001</v>
      </c>
      <c r="D129" s="100">
        <f>I78</f>
        <v>888.07380892600509</v>
      </c>
      <c r="E129" s="100">
        <f>I85</f>
        <v>247.88024085060002</v>
      </c>
      <c r="F129" s="100">
        <f>I89</f>
        <v>326.8111616847699</v>
      </c>
      <c r="G129" s="100">
        <f>I99</f>
        <v>711.96500000000003</v>
      </c>
      <c r="H129" s="100">
        <f>A129+C129+D129+E129+F129+G129</f>
        <v>6940.050187341375</v>
      </c>
      <c r="I129" s="100">
        <f>H129-I127</f>
        <v>6930.2101873413749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3" customHeight="1" x14ac:dyDescent="0.25">
      <c r="A134" s="145" t="s">
        <v>193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4.15" customHeight="1" x14ac:dyDescent="0.25">
      <c r="A138" s="145" t="s">
        <v>192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1247.4378337214475</v>
      </c>
      <c r="H140" s="99" t="s">
        <v>116</v>
      </c>
      <c r="I140" s="47">
        <f>I96</f>
        <v>9.8400000000000034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I55</f>
        <v>3483.4210350000003</v>
      </c>
      <c r="B142" s="160"/>
      <c r="C142" s="100">
        <f>I66</f>
        <v>1281.8989408800001</v>
      </c>
      <c r="D142" s="100">
        <f>I78</f>
        <v>888.07380892600509</v>
      </c>
      <c r="E142" s="100">
        <f>I85</f>
        <v>247.88024085060002</v>
      </c>
      <c r="F142" s="100">
        <f>I89</f>
        <v>326.8111616847699</v>
      </c>
      <c r="G142" s="100">
        <f>I99</f>
        <v>711.96500000000003</v>
      </c>
      <c r="H142" s="100">
        <f>A142+C142+D142+E142+F142+G142</f>
        <v>6940.050187341375</v>
      </c>
      <c r="I142" s="100">
        <f>H142-I140</f>
        <v>6930.2101873413749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48.066410461075058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221.84497135880795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2.6638252530633993E-2</v>
      </c>
      <c r="I150" s="97">
        <f>($D$158/$E$160)*H160</f>
        <v>184.87080946567332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454.78219128555634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6940.0501873413759</v>
      </c>
      <c r="B158" s="166"/>
      <c r="C158" s="97">
        <f>I144</f>
        <v>0</v>
      </c>
      <c r="D158" s="167">
        <f>A158+C158</f>
        <v>6940.0501873413759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93" t="s">
        <v>149</v>
      </c>
      <c r="B159" s="193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x14ac:dyDescent="0.25">
      <c r="A162" s="191" t="s">
        <v>153</v>
      </c>
      <c r="B162" s="191" t="s">
        <v>154</v>
      </c>
      <c r="C162" s="191"/>
      <c r="D162" s="191"/>
      <c r="E162" s="191"/>
      <c r="F162" s="105" t="s">
        <v>155</v>
      </c>
      <c r="G162" s="33">
        <v>0</v>
      </c>
      <c r="H162" s="168">
        <v>0</v>
      </c>
      <c r="I162" s="168"/>
    </row>
    <row r="163" spans="1:10" ht="18" customHeight="1" x14ac:dyDescent="0.25">
      <c r="A163" s="191"/>
      <c r="B163" s="191"/>
      <c r="C163" s="191"/>
      <c r="D163" s="191"/>
      <c r="E163" s="191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59.25" customHeight="1" x14ac:dyDescent="0.25">
      <c r="A164" s="192" t="s">
        <v>157</v>
      </c>
      <c r="B164" s="192"/>
      <c r="C164" s="192"/>
      <c r="D164" s="192"/>
      <c r="E164" s="192"/>
      <c r="F164" s="192"/>
      <c r="G164" s="192"/>
      <c r="H164" s="192"/>
      <c r="I164" s="192"/>
    </row>
    <row r="165" spans="1:10" ht="13.5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454.78219128555634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0.4710615273806652</v>
      </c>
      <c r="I171" s="58">
        <f>I55</f>
        <v>3483.4210350000003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0.37115975208230517</v>
      </c>
      <c r="I172" s="58">
        <f>I66+I78+I85+I89</f>
        <v>2744.664152341375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9.6278720537029572E-2</v>
      </c>
      <c r="I173" s="58">
        <f>I99</f>
        <v>711.96500000000003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0.9385</v>
      </c>
      <c r="I174" s="38">
        <f>SUM(I171:I173)</f>
        <v>6940.0501873413759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454.78219128555634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454.78219128555634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90" t="s">
        <v>206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((H70+H76+H77+H82+H83+H84)+((H70+H76+H77+H82+H83+H84)*H66))*I55*H194</f>
        <v>2682.3890837829008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7394.832378626932</v>
      </c>
      <c r="H194" s="96">
        <v>2</v>
      </c>
      <c r="I194" s="76">
        <f>G194*H194</f>
        <v>14789.664757253864</v>
      </c>
    </row>
  </sheetData>
  <mergeCells count="191">
    <mergeCell ref="J1:O1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94"/>
  <sheetViews>
    <sheetView view="pageBreakPreview" zoomScale="130" zoomScaleNormal="130" zoomScaleSheetLayoutView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04" customWidth="1"/>
    <col min="2" max="2" width="14.28515625" style="104" customWidth="1"/>
    <col min="3" max="3" width="14.42578125" style="104" customWidth="1"/>
    <col min="4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6" t="s">
        <v>5</v>
      </c>
      <c r="B5" s="126"/>
      <c r="C5" s="126"/>
      <c r="D5" s="130" t="s">
        <v>230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266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266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18.75" customHeight="1" x14ac:dyDescent="0.25">
      <c r="A9" s="125" t="s">
        <v>10</v>
      </c>
      <c r="B9" s="125"/>
      <c r="C9" s="125"/>
      <c r="D9" s="125" t="s">
        <v>243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/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4.7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5.7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5.3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9" ht="11.25" customHeight="1" x14ac:dyDescent="0.25">
      <c r="A17" s="135" t="s">
        <v>24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f>I13</f>
        <v>15</v>
      </c>
    </row>
    <row r="19" spans="1:9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9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6" t="s">
        <v>8</v>
      </c>
    </row>
    <row r="21" spans="1:9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8" t="s">
        <v>8</v>
      </c>
    </row>
    <row r="22" spans="1:9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8" t="s">
        <v>8</v>
      </c>
    </row>
    <row r="23" spans="1:9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9" ht="22.5" customHeight="1" x14ac:dyDescent="0.25">
      <c r="A24" s="136" t="s">
        <v>27</v>
      </c>
      <c r="B24" s="136"/>
      <c r="C24" s="136"/>
      <c r="D24" s="136"/>
      <c r="E24" s="136"/>
      <c r="F24" s="136"/>
      <c r="G24" s="109"/>
      <c r="H24" s="109" t="s">
        <v>28</v>
      </c>
      <c r="I24" s="10" t="s">
        <v>8</v>
      </c>
    </row>
    <row r="25" spans="1:9" ht="34.5" customHeight="1" x14ac:dyDescent="0.25">
      <c r="A25" s="136" t="s">
        <v>29</v>
      </c>
      <c r="B25" s="136"/>
      <c r="C25" s="136"/>
      <c r="D25" s="136"/>
      <c r="E25" s="136"/>
      <c r="F25" s="136"/>
      <c r="G25" s="106"/>
      <c r="H25" s="106" t="s">
        <v>18</v>
      </c>
      <c r="I25" s="6" t="s">
        <v>8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09"/>
      <c r="H26" s="11" t="s">
        <v>31</v>
      </c>
      <c r="I26" s="12" t="s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09"/>
      <c r="H27" s="13" t="s">
        <v>32</v>
      </c>
      <c r="I27" s="108" t="s">
        <v>8</v>
      </c>
    </row>
    <row r="28" spans="1:9" ht="26.25" customHeight="1" x14ac:dyDescent="0.25">
      <c r="A28" s="136" t="s">
        <v>191</v>
      </c>
      <c r="B28" s="136"/>
      <c r="C28" s="136"/>
      <c r="D28" s="136"/>
      <c r="E28" s="136"/>
      <c r="F28" s="136"/>
      <c r="G28" s="109"/>
      <c r="H28" s="106" t="s">
        <v>31</v>
      </c>
      <c r="I28" s="12">
        <v>15</v>
      </c>
    </row>
    <row r="29" spans="1:9" ht="35.25" customHeight="1" x14ac:dyDescent="0.25">
      <c r="A29" s="136" t="s">
        <v>241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9" ht="1.1499999999999999" customHeight="1" x14ac:dyDescent="0.25">
      <c r="A30" s="139"/>
      <c r="B30" s="139"/>
      <c r="C30" s="139"/>
      <c r="D30" s="139"/>
      <c r="E30" s="139"/>
      <c r="F30" s="139"/>
      <c r="G30" s="139"/>
      <c r="H30" s="139"/>
      <c r="I30" s="139"/>
    </row>
    <row r="31" spans="1:9" ht="1.1499999999999999" customHeight="1" x14ac:dyDescent="0.25">
      <c r="A31" s="140"/>
      <c r="B31" s="140"/>
      <c r="C31" s="140"/>
      <c r="D31" s="140"/>
      <c r="E31" s="140"/>
      <c r="F31" s="140"/>
      <c r="G31" s="140"/>
      <c r="H31" s="140"/>
      <c r="I31" s="140"/>
    </row>
    <row r="32" spans="1:9" ht="1.1499999999999999" customHeight="1" x14ac:dyDescent="0.25">
      <c r="A32" s="140"/>
      <c r="B32" s="140"/>
      <c r="C32" s="140"/>
      <c r="D32" s="140"/>
      <c r="E32" s="140"/>
      <c r="F32" s="140"/>
      <c r="G32" s="140"/>
      <c r="H32" s="140"/>
      <c r="I32" s="140"/>
    </row>
    <row r="33" spans="1:10" ht="1.1499999999999999" customHeight="1" x14ac:dyDescent="0.25">
      <c r="A33" s="140"/>
      <c r="B33" s="140"/>
      <c r="C33" s="140"/>
      <c r="D33" s="140"/>
      <c r="E33" s="140"/>
      <c r="F33" s="140"/>
      <c r="G33" s="140"/>
      <c r="H33" s="140"/>
      <c r="I33" s="140"/>
    </row>
    <row r="34" spans="1:10" ht="3.6" customHeight="1" x14ac:dyDescent="0.25">
      <c r="A34" s="141"/>
      <c r="B34" s="141"/>
      <c r="C34" s="141"/>
      <c r="D34" s="141"/>
      <c r="E34" s="141"/>
      <c r="F34" s="141"/>
      <c r="G34" s="141"/>
      <c r="H34" s="141"/>
      <c r="I34" s="141"/>
    </row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47" si="0">I37/$I$48</f>
        <v>0.75891284961992556</v>
      </c>
      <c r="I37" s="97">
        <f>IF(D6="12x36",I10,I10/H10*I5)</f>
        <v>2211</v>
      </c>
    </row>
    <row r="38" spans="1:10" ht="15" customHeight="1" x14ac:dyDescent="0.25">
      <c r="A38" s="101">
        <f t="shared" ref="A38:A47" si="1">A37+1</f>
        <v>2</v>
      </c>
      <c r="B38" s="126" t="s">
        <v>40</v>
      </c>
      <c r="C38" s="126"/>
      <c r="D38" s="126"/>
      <c r="E38" s="126"/>
      <c r="F38" s="126"/>
      <c r="G38" s="126"/>
      <c r="H38" s="15">
        <f t="shared" si="0"/>
        <v>0.23076923076923075</v>
      </c>
      <c r="I38" s="97">
        <f>IF(I9=30%,(I37+I45+I46)*I9,0)</f>
        <v>672.3180000000001</v>
      </c>
    </row>
    <row r="39" spans="1:10" ht="15" customHeight="1" x14ac:dyDescent="0.25">
      <c r="A39" s="101">
        <f t="shared" si="1"/>
        <v>3</v>
      </c>
      <c r="B39" s="126" t="s">
        <v>41</v>
      </c>
      <c r="C39" s="126"/>
      <c r="D39" s="126"/>
      <c r="E39" s="126"/>
      <c r="F39" s="126"/>
      <c r="G39" s="126"/>
      <c r="H39" s="15">
        <f t="shared" si="0"/>
        <v>0</v>
      </c>
      <c r="I39" s="97">
        <f>IF(I7=10%,I25*I7,0)</f>
        <v>0</v>
      </c>
    </row>
    <row r="40" spans="1:10" ht="15" customHeight="1" x14ac:dyDescent="0.25">
      <c r="A40" s="101">
        <f t="shared" si="1"/>
        <v>4</v>
      </c>
      <c r="B40" s="126" t="s">
        <v>42</v>
      </c>
      <c r="C40" s="126"/>
      <c r="D40" s="126"/>
      <c r="E40" s="126"/>
      <c r="F40" s="126"/>
      <c r="G40" s="126"/>
      <c r="H40" s="15">
        <f t="shared" si="0"/>
        <v>0</v>
      </c>
      <c r="I40" s="97">
        <f>IF(I7=20%,I25*I7,0)</f>
        <v>0</v>
      </c>
    </row>
    <row r="41" spans="1:10" ht="15" customHeight="1" x14ac:dyDescent="0.25">
      <c r="A41" s="101">
        <f t="shared" si="1"/>
        <v>5</v>
      </c>
      <c r="B41" s="126" t="s">
        <v>43</v>
      </c>
      <c r="C41" s="126"/>
      <c r="D41" s="126"/>
      <c r="E41" s="126"/>
      <c r="F41" s="126"/>
      <c r="G41" s="126"/>
      <c r="H41" s="15">
        <f t="shared" si="0"/>
        <v>0</v>
      </c>
      <c r="I41" s="97">
        <f>IF(I7=40%,I25*I7,0)</f>
        <v>0</v>
      </c>
    </row>
    <row r="42" spans="1:10" ht="15" customHeight="1" x14ac:dyDescent="0.25">
      <c r="A42" s="101">
        <f t="shared" si="1"/>
        <v>6</v>
      </c>
      <c r="B42" s="126" t="s">
        <v>190</v>
      </c>
      <c r="C42" s="126"/>
      <c r="D42" s="126"/>
      <c r="E42" s="126"/>
      <c r="F42" s="126"/>
      <c r="G42" s="126"/>
      <c r="H42" s="15">
        <f t="shared" si="0"/>
        <v>0</v>
      </c>
      <c r="I42" s="97">
        <f>IF(I24="Não aplicável",0,I37*I24)</f>
        <v>0</v>
      </c>
    </row>
    <row r="43" spans="1:10" ht="15" customHeight="1" x14ac:dyDescent="0.25">
      <c r="A43" s="101">
        <f t="shared" si="1"/>
        <v>7</v>
      </c>
      <c r="B43" s="126" t="s">
        <v>44</v>
      </c>
      <c r="C43" s="126"/>
      <c r="D43" s="126"/>
      <c r="E43" s="126"/>
      <c r="F43" s="126"/>
      <c r="G43" s="126"/>
      <c r="H43" s="15">
        <f t="shared" si="0"/>
        <v>0</v>
      </c>
      <c r="I43" s="97">
        <f>IF(I26="Não aplicável",0,(I37+I38+I39+I40+I41+I42+I47)/I5*I26*(1+I27))</f>
        <v>0</v>
      </c>
    </row>
    <row r="44" spans="1:10" ht="23.25" customHeight="1" x14ac:dyDescent="0.25">
      <c r="A44" s="101">
        <f t="shared" si="1"/>
        <v>8</v>
      </c>
      <c r="B44" s="126" t="s">
        <v>45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aplicável",0,I26/I13*5*(I10/H10*(1+I27)))</f>
        <v>0</v>
      </c>
    </row>
    <row r="45" spans="1:10" ht="15" customHeight="1" x14ac:dyDescent="0.25">
      <c r="A45" s="101">
        <f t="shared" si="1"/>
        <v>9</v>
      </c>
      <c r="B45" s="126" t="s">
        <v>46</v>
      </c>
      <c r="C45" s="126"/>
      <c r="D45" s="126"/>
      <c r="E45" s="126"/>
      <c r="F45" s="126"/>
      <c r="G45" s="126"/>
      <c r="H45" s="15">
        <f t="shared" si="0"/>
        <v>8.5982663423695756E-3</v>
      </c>
      <c r="I45" s="97">
        <f>I12*I13</f>
        <v>25.049999999999997</v>
      </c>
    </row>
    <row r="46" spans="1:10" ht="15" customHeight="1" x14ac:dyDescent="0.25">
      <c r="A46" s="101">
        <f t="shared" si="1"/>
        <v>10</v>
      </c>
      <c r="B46" s="126" t="s">
        <v>47</v>
      </c>
      <c r="C46" s="126"/>
      <c r="D46" s="126"/>
      <c r="E46" s="126"/>
      <c r="F46" s="126"/>
      <c r="G46" s="126"/>
      <c r="H46" s="15">
        <f t="shared" si="0"/>
        <v>1.7196532684739154E-3</v>
      </c>
      <c r="I46" s="97">
        <f>I45*20%</f>
        <v>5.01</v>
      </c>
    </row>
    <row r="47" spans="1:10" ht="15" customHeight="1" x14ac:dyDescent="0.25">
      <c r="A47" s="101">
        <f t="shared" si="1"/>
        <v>11</v>
      </c>
      <c r="B47" s="14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44"/>
      <c r="D47" s="144"/>
      <c r="E47" s="144"/>
      <c r="F47" s="144"/>
      <c r="G47" s="144"/>
      <c r="H47" s="15">
        <f t="shared" si="0"/>
        <v>0</v>
      </c>
      <c r="I47" s="97">
        <v>0</v>
      </c>
    </row>
    <row r="48" spans="1:10" s="19" customFormat="1" ht="15" customHeight="1" x14ac:dyDescent="0.25">
      <c r="A48" s="145" t="s">
        <v>48</v>
      </c>
      <c r="B48" s="145"/>
      <c r="C48" s="145"/>
      <c r="D48" s="145"/>
      <c r="E48" s="145"/>
      <c r="F48" s="145"/>
      <c r="G48" s="145"/>
      <c r="H48" s="16">
        <f>SUM(H37:H47)</f>
        <v>0.99999999999999978</v>
      </c>
      <c r="I48" s="17">
        <f>SUM(I37:I47)</f>
        <v>2913.3780000000006</v>
      </c>
      <c r="J48" s="18"/>
    </row>
    <row r="49" spans="1:10" s="19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18"/>
    </row>
    <row r="50" spans="1:10" s="19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8"/>
    </row>
    <row r="51" spans="1:10" s="19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8"/>
    </row>
    <row r="52" spans="1:10" s="19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8"/>
    </row>
    <row r="53" spans="1:10" s="19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8"/>
    </row>
    <row r="54" spans="1:10" s="19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8"/>
    </row>
    <row r="55" spans="1:10" s="19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8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$I$48*H58</f>
        <v>582.67560000000014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43.700670000000009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29.133780000000005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5.8267560000000014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72.834450000000018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233.07024000000004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87.401340000000019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17.480268000000002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1072.1231040000005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$I$48*H70</f>
        <v>347.60678269200008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2.0485E-2</v>
      </c>
      <c r="I71" s="97">
        <f t="shared" si="3"/>
        <v>59.680548330000015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1.2127000000000001E-2</v>
      </c>
      <c r="I72" s="97">
        <f t="shared" si="3"/>
        <v>35.330535006000012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2.7250793878226798E-3</v>
      </c>
      <c r="I73" s="97">
        <f t="shared" si="3"/>
        <v>7.9391863367360651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4.7600000000000002E-4</v>
      </c>
      <c r="I74" s="97">
        <f t="shared" si="3"/>
        <v>1.3867679280000003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1.2877130760000004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0.53897493000000007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264.50558862000003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0.24654407938782269</v>
      </c>
      <c r="I78" s="17">
        <f>SUM(I70:I77)</f>
        <v>718.27609691873613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$I$48*H82</f>
        <v>140.77733833800005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$I$48*H83</f>
        <v>10.228870158000001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$I$48*H84</f>
        <v>56.309769984000013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207.31597848000007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9.0728221214718782E-2</v>
      </c>
      <c r="I88" s="97">
        <f>$I$48*H88</f>
        <v>264.32560366609505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9.0728221214718782E-2</v>
      </c>
      <c r="I89" s="17">
        <f>I88</f>
        <v>264.32560366609505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0.77643230060254154</v>
      </c>
      <c r="I91" s="24">
        <f>I66+I78+I85+I89</f>
        <v>2262.0407830648319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I94/$I$48</f>
        <v>0.13592468948416578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I95/$I$48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I96/$I$48</f>
        <v>9.0410513156892088E-3</v>
      </c>
      <c r="I96" s="97">
        <f>I103</f>
        <v>26.340000000000003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I97/$I$48</f>
        <v>7.7616086892946939E-2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I98/$I$48</f>
        <v>2.7459533229124398E-2</v>
      </c>
      <c r="I98" s="97">
        <f>IF(I23="Não aplicável",0,I23)</f>
        <v>80</v>
      </c>
    </row>
    <row r="99" spans="1:10" ht="1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0.25004136092192636</v>
      </c>
      <c r="I99" s="17">
        <f>SUM(I94:I98)</f>
        <v>728.46500000000003</v>
      </c>
      <c r="J99" s="25"/>
    </row>
    <row r="100" spans="1:10" ht="18" customHeight="1" x14ac:dyDescent="0.25">
      <c r="A100" s="20" t="s">
        <v>93</v>
      </c>
      <c r="B100" s="149" t="s">
        <v>94</v>
      </c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5.3</v>
      </c>
      <c r="B103" s="154"/>
      <c r="C103" s="101">
        <f>IF(I15="Não aplicável",0,I15)</f>
        <v>15</v>
      </c>
      <c r="D103" s="101">
        <v>2</v>
      </c>
      <c r="E103" s="102">
        <f>A103*C103*D103</f>
        <v>159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26.340000000000003</v>
      </c>
    </row>
    <row r="104" spans="1:10" ht="3.7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H48+H91+H99</f>
        <v>2.0264736615244678</v>
      </c>
      <c r="I113" s="38">
        <f>I48+I91+I99</f>
        <v>5903.8837830648326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3.15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1175.5087566129666</v>
      </c>
      <c r="H127" s="99" t="s">
        <v>116</v>
      </c>
      <c r="I127" s="47">
        <f>I96</f>
        <v>26.340000000000003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I48</f>
        <v>2913.3780000000006</v>
      </c>
      <c r="B129" s="160"/>
      <c r="C129" s="100">
        <f>I66</f>
        <v>1072.1231040000005</v>
      </c>
      <c r="D129" s="100">
        <f>I78</f>
        <v>718.27609691873613</v>
      </c>
      <c r="E129" s="100">
        <f>I85</f>
        <v>207.31597848000007</v>
      </c>
      <c r="F129" s="100">
        <f>I89</f>
        <v>264.32560366609505</v>
      </c>
      <c r="G129" s="100">
        <f>I99</f>
        <v>728.46500000000003</v>
      </c>
      <c r="H129" s="100">
        <f>A129+C129+D129+E129+F129+G129</f>
        <v>5903.8837830648326</v>
      </c>
      <c r="I129" s="100">
        <f>H129-I127</f>
        <v>5877.5437830648325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4.5" customHeight="1" x14ac:dyDescent="0.25">
      <c r="A134" s="145" t="s">
        <v>195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5.1" customHeight="1" x14ac:dyDescent="0.25">
      <c r="A138" s="145" t="s">
        <v>194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1057.9578809516697</v>
      </c>
      <c r="H140" s="99" t="s">
        <v>116</v>
      </c>
      <c r="I140" s="47">
        <f>I96</f>
        <v>26.340000000000003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I48</f>
        <v>2913.3780000000006</v>
      </c>
      <c r="B142" s="160"/>
      <c r="C142" s="100">
        <f>I66</f>
        <v>1072.1231040000005</v>
      </c>
      <c r="D142" s="100">
        <f>I78</f>
        <v>718.27609691873613</v>
      </c>
      <c r="E142" s="100">
        <f>I85</f>
        <v>207.31597848000007</v>
      </c>
      <c r="F142" s="100">
        <f>I89</f>
        <v>264.32560366609505</v>
      </c>
      <c r="G142" s="100">
        <f>I99</f>
        <v>728.46500000000003</v>
      </c>
      <c r="H142" s="100">
        <f>A142+C142+D142+E142+F142+G142</f>
        <v>5903.8837830648326</v>
      </c>
      <c r="I142" s="100">
        <f>H142-I140</f>
        <v>5877.5437830648325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40.889978252446895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188.72297654975489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2.6638252530633989E-2</v>
      </c>
      <c r="I150" s="97">
        <f>($D$158/$E$160)*H160</f>
        <v>157.26914712479575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386.88210192699751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5903.8837830648326</v>
      </c>
      <c r="B158" s="166"/>
      <c r="C158" s="97">
        <f>I144</f>
        <v>0</v>
      </c>
      <c r="D158" s="167">
        <f>A158+C158</f>
        <v>5903.8837830648326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26" t="s">
        <v>149</v>
      </c>
      <c r="B159" s="126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x14ac:dyDescent="0.25">
      <c r="A162" s="169" t="s">
        <v>153</v>
      </c>
      <c r="B162" s="169" t="s">
        <v>154</v>
      </c>
      <c r="C162" s="169"/>
      <c r="D162" s="169"/>
      <c r="E162" s="169"/>
      <c r="F162" s="105" t="s">
        <v>155</v>
      </c>
      <c r="G162" s="33">
        <v>0</v>
      </c>
      <c r="H162" s="168">
        <v>0</v>
      </c>
      <c r="I162" s="168"/>
    </row>
    <row r="163" spans="1:10" ht="18" customHeight="1" x14ac:dyDescent="0.25">
      <c r="A163" s="169"/>
      <c r="B163" s="169"/>
      <c r="C163" s="169"/>
      <c r="D163" s="169"/>
      <c r="E163" s="169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48.75" customHeight="1" x14ac:dyDescent="0.25">
      <c r="A164" s="171" t="s">
        <v>157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2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386.88210192699751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0.46311976208661348</v>
      </c>
      <c r="I171" s="58">
        <f>I48</f>
        <v>2913.3780000000006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0.35958114233141103</v>
      </c>
      <c r="I172" s="58">
        <f>I66+I78+I85+I89</f>
        <v>2262.0407830648319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0.11579909558197557</v>
      </c>
      <c r="I173" s="58">
        <f>I99</f>
        <v>728.46500000000003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0.9385</v>
      </c>
      <c r="I174" s="38">
        <f>SUM(I171:I173)</f>
        <v>5903.8837830648326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386.88210192699751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386.88210192699751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78" t="s">
        <v>205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((H70+H76+H77+H82+H83+H84)+((H70+H76+H77+H82+H83+H84)*H66))*I48*H194</f>
        <v>2243.4306004393925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6290.7658849918298</v>
      </c>
      <c r="H194" s="96">
        <v>2</v>
      </c>
      <c r="I194" s="76">
        <f>G194*H194</f>
        <v>12581.53176998366</v>
      </c>
    </row>
  </sheetData>
  <mergeCells count="182">
    <mergeCell ref="J1:O11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94"/>
  <sheetViews>
    <sheetView view="pageBreakPreview" zoomScale="130" zoomScaleNormal="130" zoomScaleSheetLayoutView="130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04" customWidth="1"/>
    <col min="2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5" t="s">
        <v>5</v>
      </c>
      <c r="B5" s="125"/>
      <c r="C5" s="125"/>
      <c r="D5" s="130" t="s">
        <v>231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266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266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24.75" customHeight="1" x14ac:dyDescent="0.25">
      <c r="A9" s="125" t="s">
        <v>10</v>
      </c>
      <c r="B9" s="125"/>
      <c r="C9" s="125"/>
      <c r="D9" s="125" t="s">
        <v>243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 t="str">
        <f>D9</f>
        <v>Esteio/RS</v>
      </c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6.2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6.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5.3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10" ht="11.25" customHeight="1" x14ac:dyDescent="0.25">
      <c r="A17" s="135" t="s">
        <v>175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10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v>15</v>
      </c>
    </row>
    <row r="19" spans="1:10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10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10" t="s">
        <v>8</v>
      </c>
    </row>
    <row r="21" spans="1:10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10" t="s">
        <v>8</v>
      </c>
    </row>
    <row r="22" spans="1:10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" t="s">
        <v>8</v>
      </c>
    </row>
    <row r="23" spans="1:10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10" ht="22.5" customHeight="1" x14ac:dyDescent="0.25">
      <c r="A24" s="135" t="s">
        <v>27</v>
      </c>
      <c r="B24" s="198"/>
      <c r="C24" s="198"/>
      <c r="D24" s="198"/>
      <c r="E24" s="198"/>
      <c r="F24" s="199"/>
      <c r="G24" s="109"/>
      <c r="H24" s="109" t="s">
        <v>28</v>
      </c>
      <c r="I24" s="10" t="s">
        <v>8</v>
      </c>
    </row>
    <row r="25" spans="1:10" ht="36" customHeight="1" x14ac:dyDescent="0.25">
      <c r="A25" s="135" t="s">
        <v>29</v>
      </c>
      <c r="B25" s="198"/>
      <c r="C25" s="198"/>
      <c r="D25" s="198"/>
      <c r="E25" s="198"/>
      <c r="F25" s="199"/>
      <c r="G25" s="106"/>
      <c r="H25" s="106" t="s">
        <v>18</v>
      </c>
      <c r="I25" s="6" t="s">
        <v>8</v>
      </c>
    </row>
    <row r="26" spans="1:10" ht="15" customHeight="1" x14ac:dyDescent="0.25">
      <c r="A26" s="137" t="s">
        <v>30</v>
      </c>
      <c r="B26" s="139"/>
      <c r="C26" s="139"/>
      <c r="D26" s="139"/>
      <c r="E26" s="139"/>
      <c r="F26" s="200"/>
      <c r="G26" s="109"/>
      <c r="H26" s="11" t="s">
        <v>31</v>
      </c>
      <c r="I26" s="12" t="s">
        <v>8</v>
      </c>
    </row>
    <row r="27" spans="1:10" ht="15" customHeight="1" x14ac:dyDescent="0.25">
      <c r="A27" s="134"/>
      <c r="B27" s="141"/>
      <c r="C27" s="141"/>
      <c r="D27" s="141"/>
      <c r="E27" s="141"/>
      <c r="F27" s="201"/>
      <c r="G27" s="109"/>
      <c r="H27" s="13" t="s">
        <v>32</v>
      </c>
      <c r="I27" s="108" t="s">
        <v>8</v>
      </c>
    </row>
    <row r="28" spans="1:10" ht="26.25" customHeight="1" x14ac:dyDescent="0.25">
      <c r="A28" s="135" t="s">
        <v>33</v>
      </c>
      <c r="B28" s="198"/>
      <c r="C28" s="198"/>
      <c r="D28" s="198"/>
      <c r="E28" s="198"/>
      <c r="F28" s="199"/>
      <c r="G28" s="109"/>
      <c r="H28" s="106" t="s">
        <v>31</v>
      </c>
      <c r="I28" s="12">
        <v>15</v>
      </c>
    </row>
    <row r="29" spans="1:10" ht="36.75" customHeight="1" x14ac:dyDescent="0.25">
      <c r="A29" s="136" t="s">
        <v>236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10" ht="24.75" customHeight="1" x14ac:dyDescent="0.25">
      <c r="A30" s="127" t="s">
        <v>176</v>
      </c>
      <c r="B30" s="127"/>
      <c r="C30" s="127"/>
      <c r="D30" s="127"/>
      <c r="E30" s="127"/>
      <c r="F30" s="127"/>
      <c r="G30" s="138" t="s">
        <v>17</v>
      </c>
      <c r="H30" s="109" t="s">
        <v>177</v>
      </c>
      <c r="I30" s="59">
        <f>((60/52.5)*7)*15</f>
        <v>120</v>
      </c>
    </row>
    <row r="31" spans="1:10" ht="24.75" customHeight="1" x14ac:dyDescent="0.25">
      <c r="A31" s="127"/>
      <c r="B31" s="127"/>
      <c r="C31" s="127"/>
      <c r="D31" s="127"/>
      <c r="E31" s="127"/>
      <c r="F31" s="127"/>
      <c r="G31" s="138"/>
      <c r="H31" s="109" t="s">
        <v>178</v>
      </c>
      <c r="I31" s="109">
        <f>I10/H10*20%</f>
        <v>2.0100000000000002</v>
      </c>
    </row>
    <row r="32" spans="1:10" ht="29.25" customHeight="1" x14ac:dyDescent="0.25">
      <c r="A32" s="164" t="s">
        <v>179</v>
      </c>
      <c r="B32" s="164"/>
      <c r="C32" s="164"/>
      <c r="D32" s="164"/>
      <c r="E32" s="164"/>
      <c r="F32" s="164"/>
      <c r="G32" s="138" t="s">
        <v>17</v>
      </c>
      <c r="H32" s="106" t="s">
        <v>177</v>
      </c>
      <c r="I32" s="12">
        <f>((5+7+1)*15)-190.67</f>
        <v>4.3300000000000125</v>
      </c>
      <c r="J32" s="60"/>
    </row>
    <row r="33" spans="1:10" ht="30.75" customHeight="1" x14ac:dyDescent="0.25">
      <c r="A33" s="164"/>
      <c r="B33" s="164"/>
      <c r="C33" s="164"/>
      <c r="D33" s="164"/>
      <c r="E33" s="164"/>
      <c r="F33" s="164"/>
      <c r="G33" s="138"/>
      <c r="H33" s="106" t="s">
        <v>178</v>
      </c>
      <c r="I33" s="61">
        <f>(I10/H10)*1.5</f>
        <v>15.075000000000001</v>
      </c>
    </row>
    <row r="34" spans="1:10" ht="4.5" customHeight="1" x14ac:dyDescent="0.25"/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54" si="0">I37/$I$55</f>
        <v>0.63472086141318251</v>
      </c>
      <c r="I37" s="97">
        <f>IF(D6="12x36",I10,I10/H10*I5)</f>
        <v>2211</v>
      </c>
    </row>
    <row r="38" spans="1:10" ht="15" customHeight="1" x14ac:dyDescent="0.25">
      <c r="A38" s="101">
        <f t="shared" ref="A38:A54" si="1">A37+1</f>
        <v>2</v>
      </c>
      <c r="B38" s="197" t="s">
        <v>237</v>
      </c>
      <c r="C38" s="197"/>
      <c r="D38" s="197"/>
      <c r="E38" s="197"/>
      <c r="F38" s="197"/>
      <c r="G38" s="197"/>
      <c r="H38" s="112">
        <f t="shared" si="0"/>
        <v>0</v>
      </c>
      <c r="I38" s="113">
        <v>0</v>
      </c>
      <c r="J38" s="25"/>
    </row>
    <row r="39" spans="1:10" ht="15" customHeight="1" x14ac:dyDescent="0.25">
      <c r="A39" s="101">
        <f t="shared" si="1"/>
        <v>3</v>
      </c>
      <c r="B39" s="126" t="s">
        <v>40</v>
      </c>
      <c r="C39" s="126"/>
      <c r="D39" s="126"/>
      <c r="E39" s="126"/>
      <c r="F39" s="126"/>
      <c r="G39" s="126"/>
      <c r="H39" s="15">
        <f t="shared" si="0"/>
        <v>0.22467824076856099</v>
      </c>
      <c r="I39" s="97">
        <f>IF(I9=30%,(I37+I53+I46+I49+I52+I54)*I9,0)</f>
        <v>782.64891</v>
      </c>
    </row>
    <row r="40" spans="1:10" ht="15" customHeight="1" x14ac:dyDescent="0.25">
      <c r="A40" s="101">
        <f t="shared" si="1"/>
        <v>4</v>
      </c>
      <c r="B40" s="126" t="s">
        <v>41</v>
      </c>
      <c r="C40" s="126"/>
      <c r="D40" s="126"/>
      <c r="E40" s="126"/>
      <c r="F40" s="126"/>
      <c r="G40" s="126"/>
      <c r="H40" s="15">
        <f t="shared" si="0"/>
        <v>0</v>
      </c>
      <c r="I40" s="97">
        <f>IF(I7=10%,I25*I7,0)</f>
        <v>0</v>
      </c>
    </row>
    <row r="41" spans="1:10" ht="15" customHeight="1" x14ac:dyDescent="0.25">
      <c r="A41" s="101">
        <f t="shared" si="1"/>
        <v>5</v>
      </c>
      <c r="B41" s="126" t="s">
        <v>42</v>
      </c>
      <c r="C41" s="126"/>
      <c r="D41" s="126"/>
      <c r="E41" s="126"/>
      <c r="F41" s="126"/>
      <c r="G41" s="126"/>
      <c r="H41" s="15">
        <f t="shared" si="0"/>
        <v>0</v>
      </c>
      <c r="I41" s="97">
        <f>IF(I7=20%,I25*I7,0)</f>
        <v>0</v>
      </c>
    </row>
    <row r="42" spans="1:10" ht="15" customHeight="1" x14ac:dyDescent="0.25">
      <c r="A42" s="101">
        <f t="shared" si="1"/>
        <v>6</v>
      </c>
      <c r="B42" s="126" t="s">
        <v>43</v>
      </c>
      <c r="C42" s="126"/>
      <c r="D42" s="126"/>
      <c r="E42" s="126"/>
      <c r="F42" s="126"/>
      <c r="G42" s="126"/>
      <c r="H42" s="15">
        <f t="shared" si="0"/>
        <v>0</v>
      </c>
      <c r="I42" s="97">
        <f>IF(I7=40%,I25*I7,0)</f>
        <v>0</v>
      </c>
    </row>
    <row r="43" spans="1:10" ht="15" customHeight="1" x14ac:dyDescent="0.25">
      <c r="A43" s="101">
        <f t="shared" si="1"/>
        <v>7</v>
      </c>
      <c r="B43" s="126" t="s">
        <v>190</v>
      </c>
      <c r="C43" s="126"/>
      <c r="D43" s="126"/>
      <c r="E43" s="126"/>
      <c r="F43" s="126"/>
      <c r="G43" s="126"/>
      <c r="H43" s="15">
        <f t="shared" si="0"/>
        <v>0</v>
      </c>
      <c r="I43" s="97">
        <f>IF(I24="Não aplicável",0,I37*I24)</f>
        <v>0</v>
      </c>
    </row>
    <row r="44" spans="1:10" ht="15" customHeight="1" x14ac:dyDescent="0.25">
      <c r="A44" s="101">
        <f t="shared" si="1"/>
        <v>8</v>
      </c>
      <c r="B44" s="126" t="s">
        <v>44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aplicável",0,(I37+I38+I39+I40+I41+I42+I43+#REF!)/I5*I26*(1+I27))</f>
        <v>0</v>
      </c>
    </row>
    <row r="45" spans="1:10" ht="21" customHeight="1" x14ac:dyDescent="0.25">
      <c r="A45" s="101">
        <f t="shared" si="1"/>
        <v>9</v>
      </c>
      <c r="B45" s="126" t="s">
        <v>45</v>
      </c>
      <c r="C45" s="126"/>
      <c r="D45" s="126"/>
      <c r="E45" s="126"/>
      <c r="F45" s="126"/>
      <c r="G45" s="126"/>
      <c r="H45" s="15">
        <f t="shared" si="0"/>
        <v>0</v>
      </c>
      <c r="I45" s="97">
        <f>IF(I26="Não aplicável",0,I26/I13*5*(I10/H10*(1+I27)))</f>
        <v>0</v>
      </c>
    </row>
    <row r="46" spans="1:10" ht="15" customHeight="1" x14ac:dyDescent="0.25">
      <c r="A46" s="101">
        <f t="shared" si="1"/>
        <v>10</v>
      </c>
      <c r="B46" s="126" t="s">
        <v>180</v>
      </c>
      <c r="C46" s="126"/>
      <c r="D46" s="126"/>
      <c r="E46" s="126"/>
      <c r="F46" s="126"/>
      <c r="G46" s="126"/>
      <c r="H46" s="15">
        <f t="shared" si="0"/>
        <v>1.8738690885811968E-2</v>
      </c>
      <c r="I46" s="97">
        <f>I32*I33</f>
        <v>65.274750000000196</v>
      </c>
    </row>
    <row r="47" spans="1:10" ht="15" customHeight="1" x14ac:dyDescent="0.25">
      <c r="A47" s="101">
        <f t="shared" si="1"/>
        <v>11</v>
      </c>
      <c r="B47" s="194" t="s">
        <v>196</v>
      </c>
      <c r="C47" s="195"/>
      <c r="D47" s="195"/>
      <c r="E47" s="195"/>
      <c r="F47" s="195"/>
      <c r="G47" s="196"/>
      <c r="H47" s="15">
        <f t="shared" si="0"/>
        <v>0</v>
      </c>
      <c r="I47" s="97">
        <f>IF(OR(I7=10%,I7=20%,I7=40%),I46*I7,0)</f>
        <v>0</v>
      </c>
    </row>
    <row r="48" spans="1:10" ht="15" customHeight="1" x14ac:dyDescent="0.25">
      <c r="A48" s="101">
        <f t="shared" si="1"/>
        <v>12</v>
      </c>
      <c r="B48" s="194" t="s">
        <v>197</v>
      </c>
      <c r="C48" s="195"/>
      <c r="D48" s="195"/>
      <c r="E48" s="195"/>
      <c r="F48" s="195"/>
      <c r="G48" s="196"/>
      <c r="H48" s="15">
        <f t="shared" si="0"/>
        <v>5.6216072657435901E-3</v>
      </c>
      <c r="I48" s="97">
        <f>IF(I9=30%,I46*I9,0)</f>
        <v>19.582425000000057</v>
      </c>
    </row>
    <row r="49" spans="1:10" ht="15" customHeight="1" x14ac:dyDescent="0.25">
      <c r="A49" s="101">
        <f t="shared" si="1"/>
        <v>13</v>
      </c>
      <c r="B49" s="126" t="s">
        <v>181</v>
      </c>
      <c r="C49" s="126"/>
      <c r="D49" s="126"/>
      <c r="E49" s="126"/>
      <c r="F49" s="126"/>
      <c r="G49" s="126"/>
      <c r="H49" s="15">
        <f t="shared" si="0"/>
        <v>6.9242275790529009E-2</v>
      </c>
      <c r="I49" s="97">
        <f>I30*I31</f>
        <v>241.20000000000002</v>
      </c>
    </row>
    <row r="50" spans="1:10" ht="15" customHeight="1" x14ac:dyDescent="0.25">
      <c r="A50" s="101">
        <f t="shared" si="1"/>
        <v>14</v>
      </c>
      <c r="B50" s="194" t="s">
        <v>198</v>
      </c>
      <c r="C50" s="195"/>
      <c r="D50" s="195"/>
      <c r="E50" s="195"/>
      <c r="F50" s="195"/>
      <c r="G50" s="196"/>
      <c r="H50" s="15">
        <f t="shared" si="0"/>
        <v>0</v>
      </c>
      <c r="I50" s="97">
        <f>IF(OR(I7=10%,I7=20%,I7=40%),I49*I7,0)</f>
        <v>0</v>
      </c>
    </row>
    <row r="51" spans="1:10" ht="15" customHeight="1" x14ac:dyDescent="0.25">
      <c r="A51" s="101">
        <f t="shared" si="1"/>
        <v>15</v>
      </c>
      <c r="B51" s="194" t="s">
        <v>199</v>
      </c>
      <c r="C51" s="195"/>
      <c r="D51" s="195"/>
      <c r="E51" s="195"/>
      <c r="F51" s="195"/>
      <c r="G51" s="196"/>
      <c r="H51" s="15">
        <f t="shared" si="0"/>
        <v>2.0772682737158699E-2</v>
      </c>
      <c r="I51" s="97">
        <f>IF(I9=30%,I49*I9,0)</f>
        <v>72.36</v>
      </c>
    </row>
    <row r="52" spans="1:10" ht="24" customHeight="1" x14ac:dyDescent="0.25">
      <c r="A52" s="101">
        <f t="shared" si="1"/>
        <v>16</v>
      </c>
      <c r="B52" s="126" t="s">
        <v>182</v>
      </c>
      <c r="C52" s="126"/>
      <c r="D52" s="126"/>
      <c r="E52" s="126"/>
      <c r="F52" s="126"/>
      <c r="G52" s="126"/>
      <c r="H52" s="15">
        <f t="shared" si="0"/>
        <v>1.7596193335268195E-2</v>
      </c>
      <c r="I52" s="97">
        <f>(I46+I49)*0.2</f>
        <v>61.294950000000043</v>
      </c>
    </row>
    <row r="53" spans="1:10" ht="12.75" customHeight="1" x14ac:dyDescent="0.25">
      <c r="A53" s="101">
        <f t="shared" si="1"/>
        <v>17</v>
      </c>
      <c r="B53" s="126" t="s">
        <v>183</v>
      </c>
      <c r="C53" s="126"/>
      <c r="D53" s="126"/>
      <c r="E53" s="126"/>
      <c r="F53" s="126"/>
      <c r="G53" s="126"/>
      <c r="H53" s="15">
        <f t="shared" si="0"/>
        <v>7.1912065031208595E-3</v>
      </c>
      <c r="I53" s="97">
        <f>I12*I13</f>
        <v>25.049999999999997</v>
      </c>
    </row>
    <row r="54" spans="1:10" ht="12.75" customHeight="1" x14ac:dyDescent="0.25">
      <c r="A54" s="101">
        <f t="shared" si="1"/>
        <v>18</v>
      </c>
      <c r="B54" s="126" t="s">
        <v>184</v>
      </c>
      <c r="C54" s="126"/>
      <c r="D54" s="126"/>
      <c r="E54" s="126"/>
      <c r="F54" s="126"/>
      <c r="G54" s="126"/>
      <c r="H54" s="15">
        <f t="shared" si="0"/>
        <v>1.4382413006241721E-3</v>
      </c>
      <c r="I54" s="97">
        <f>I53*20%</f>
        <v>5.01</v>
      </c>
    </row>
    <row r="55" spans="1:10" s="19" customFormat="1" ht="15" customHeight="1" x14ac:dyDescent="0.25">
      <c r="A55" s="145" t="s">
        <v>48</v>
      </c>
      <c r="B55" s="145"/>
      <c r="C55" s="145"/>
      <c r="D55" s="145"/>
      <c r="E55" s="145"/>
      <c r="F55" s="145"/>
      <c r="G55" s="145"/>
      <c r="H55" s="16">
        <f>SUM(H37:H54)</f>
        <v>1</v>
      </c>
      <c r="I55" s="17">
        <f>SUM(I37:I54)</f>
        <v>3483.4210350000003</v>
      </c>
      <c r="J55" s="18"/>
    </row>
    <row r="56" spans="1:10" ht="4.5" customHeight="1" x14ac:dyDescent="0.25"/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$I$55*H58</f>
        <v>696.68420700000013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52.251315525000003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34.834210350000006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6.9668420700000011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87.085525875000016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278.67368280000005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104.50263105000001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20.900526210000002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1281.8989408800001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$I$55*H70</f>
        <v>415.62089736999008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2.0479000000000001E-2</v>
      </c>
      <c r="I71" s="97">
        <f t="shared" si="3"/>
        <v>71.336979375765011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1.2123E-2</v>
      </c>
      <c r="I72" s="97">
        <f t="shared" si="3"/>
        <v>42.229513207305004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1.1436E-2</v>
      </c>
      <c r="I73" s="97">
        <f t="shared" si="3"/>
        <v>39.836402956260002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1.74E-4</v>
      </c>
      <c r="I74" s="97">
        <f t="shared" si="3"/>
        <v>0.60611526009000005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1.5396720974700002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0.64443289147500005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316.25979576765002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0.25494299999999998</v>
      </c>
      <c r="I78" s="17">
        <f>SUM(I70:I77)</f>
        <v>888.07380892600509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$I$55*H82</f>
        <v>168.32238783223502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$I$55*H83</f>
        <v>12.230291253884999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$I$55*H84</f>
        <v>67.327561764480009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247.88024085060002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9.3819024000000015E-2</v>
      </c>
      <c r="I88" s="97">
        <f>$I$55*H88</f>
        <v>326.8111616847699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9.3819024000000015E-2</v>
      </c>
      <c r="I89" s="17">
        <f>I88</f>
        <v>326.8111616847699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0.787922024</v>
      </c>
      <c r="I91" s="24">
        <f>I66+I78+I85+I89</f>
        <v>2744.664152341375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I94/$I$55</f>
        <v>0.11368134831280881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I95/$I$55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I96/$I$55</f>
        <v>7.5615321074731928E-3</v>
      </c>
      <c r="I96" s="97">
        <f>I103</f>
        <v>26.340000000000003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I97/$I$55</f>
        <v>6.4914633553620954E-2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I98/$I$55</f>
        <v>2.2965928952082586E-2</v>
      </c>
      <c r="I98" s="97">
        <f>IF(I23="Não aplicável",0,I23)</f>
        <v>80</v>
      </c>
    </row>
    <row r="99" spans="1:10" ht="13.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0.20912344292598553</v>
      </c>
      <c r="I99" s="17">
        <f>SUM(I94:I98)</f>
        <v>728.46500000000003</v>
      </c>
      <c r="J99" s="25"/>
    </row>
    <row r="100" spans="1:10" ht="5.25" customHeight="1" x14ac:dyDescent="0.25">
      <c r="A100" s="20"/>
      <c r="B100" s="149"/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5.3</v>
      </c>
      <c r="B103" s="154"/>
      <c r="C103" s="101">
        <f>IF(I15="Não aplicável",0,I15)</f>
        <v>15</v>
      </c>
      <c r="D103" s="101">
        <v>2</v>
      </c>
      <c r="E103" s="102">
        <f>A103*C103*D103</f>
        <v>159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26.340000000000003</v>
      </c>
    </row>
    <row r="104" spans="1:10" ht="4.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4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H55+H91+H99</f>
        <v>1.9970454669259856</v>
      </c>
      <c r="I113" s="38">
        <f>I55+I91+I99</f>
        <v>6956.5501873413759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8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1386.0420374682751</v>
      </c>
      <c r="H127" s="99" t="s">
        <v>116</v>
      </c>
      <c r="I127" s="47">
        <f>I96</f>
        <v>26.340000000000003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I55</f>
        <v>3483.4210350000003</v>
      </c>
      <c r="B129" s="160"/>
      <c r="C129" s="100">
        <f>I66</f>
        <v>1281.8989408800001</v>
      </c>
      <c r="D129" s="100">
        <f>I78</f>
        <v>888.07380892600509</v>
      </c>
      <c r="E129" s="100">
        <f>I85</f>
        <v>247.88024085060002</v>
      </c>
      <c r="F129" s="100">
        <f>I89</f>
        <v>326.8111616847699</v>
      </c>
      <c r="G129" s="100">
        <f>I99</f>
        <v>728.46500000000003</v>
      </c>
      <c r="H129" s="100">
        <f>A129+C129+D129+E129+F129+G129</f>
        <v>6956.550187341375</v>
      </c>
      <c r="I129" s="100">
        <f>H129-I127</f>
        <v>6930.2101873413749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3" customHeight="1" x14ac:dyDescent="0.25">
      <c r="A134" s="145" t="s">
        <v>193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4.15" customHeight="1" x14ac:dyDescent="0.25">
      <c r="A138" s="145" t="s">
        <v>192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1247.4378337214475</v>
      </c>
      <c r="H140" s="99" t="s">
        <v>116</v>
      </c>
      <c r="I140" s="47">
        <f>I96</f>
        <v>26.340000000000003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I55</f>
        <v>3483.4210350000003</v>
      </c>
      <c r="B142" s="160"/>
      <c r="C142" s="100">
        <f>I66</f>
        <v>1281.8989408800001</v>
      </c>
      <c r="D142" s="100">
        <f>I78</f>
        <v>888.07380892600509</v>
      </c>
      <c r="E142" s="100">
        <f>I85</f>
        <v>247.88024085060002</v>
      </c>
      <c r="F142" s="100">
        <f>I89</f>
        <v>326.8111616847699</v>
      </c>
      <c r="G142" s="100">
        <f>I99</f>
        <v>728.46500000000003</v>
      </c>
      <c r="H142" s="100">
        <f>A142+C142+D142+E142+F142+G142</f>
        <v>6956.550187341375</v>
      </c>
      <c r="I142" s="100">
        <f>H142-I140</f>
        <v>6930.2101873413749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48.180688564431478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222.3724087589145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2.6638252530633989E-2</v>
      </c>
      <c r="I150" s="97">
        <f>($D$158/$E$160)*H160</f>
        <v>185.31034063242876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455.86343795577477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6956.5501873413759</v>
      </c>
      <c r="B158" s="166"/>
      <c r="C158" s="97">
        <f>I144</f>
        <v>0</v>
      </c>
      <c r="D158" s="167">
        <f>A158+C158</f>
        <v>6956.5501873413759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93" t="s">
        <v>149</v>
      </c>
      <c r="B159" s="193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thickBot="1" x14ac:dyDescent="0.3">
      <c r="A162" s="191" t="s">
        <v>153</v>
      </c>
      <c r="B162" s="191" t="s">
        <v>154</v>
      </c>
      <c r="C162" s="191"/>
      <c r="D162" s="191"/>
      <c r="E162" s="191"/>
      <c r="F162" s="105" t="s">
        <v>155</v>
      </c>
      <c r="G162" s="33">
        <v>0</v>
      </c>
      <c r="H162" s="168">
        <v>0</v>
      </c>
      <c r="I162" s="168"/>
    </row>
    <row r="163" spans="1:10" ht="18" customHeight="1" thickBot="1" x14ac:dyDescent="0.3">
      <c r="A163" s="191"/>
      <c r="B163" s="191"/>
      <c r="C163" s="191"/>
      <c r="D163" s="191"/>
      <c r="E163" s="191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59.25" customHeight="1" thickBot="1" x14ac:dyDescent="0.3">
      <c r="A164" s="192" t="s">
        <v>157</v>
      </c>
      <c r="B164" s="192"/>
      <c r="C164" s="192"/>
      <c r="D164" s="192"/>
      <c r="E164" s="192"/>
      <c r="F164" s="192"/>
      <c r="G164" s="192"/>
      <c r="H164" s="192"/>
      <c r="I164" s="192"/>
    </row>
    <row r="165" spans="1:10" ht="13.5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455.86343795577477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0.46994423288950715</v>
      </c>
      <c r="I171" s="58">
        <f>I55</f>
        <v>3483.4210350000003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0.37027941114542784</v>
      </c>
      <c r="I172" s="58">
        <f>I66+I78+I85+I89</f>
        <v>2744.664152341375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9.8276355965064899E-2</v>
      </c>
      <c r="I173" s="58">
        <f>I99</f>
        <v>728.46500000000003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0.93849999999999989</v>
      </c>
      <c r="I174" s="38">
        <f>SUM(I171:I173)</f>
        <v>6956.5501873413759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455.86343795577477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455.86343795577477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90" t="s">
        <v>206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((H70+H76+H77+H82+H83+H84)+((H70+H76+H77+H82+H83+H84)*H66))*I55*H194</f>
        <v>2682.3890837829008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7412.4136252971512</v>
      </c>
      <c r="H194" s="96">
        <v>2</v>
      </c>
      <c r="I194" s="76">
        <f>G194*H194</f>
        <v>14824.827250594302</v>
      </c>
    </row>
  </sheetData>
  <mergeCells count="191">
    <mergeCell ref="J1:O11"/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97"/>
  <sheetViews>
    <sheetView view="pageBreakPreview" zoomScale="130" zoomScaleNormal="130" zoomScalePageLayoutView="130" workbookViewId="0">
      <selection activeCell="D8" sqref="D8:F8"/>
    </sheetView>
  </sheetViews>
  <sheetFormatPr defaultColWidth="9.28515625" defaultRowHeight="11.25" x14ac:dyDescent="0.25"/>
  <cols>
    <col min="1" max="1" width="2.7109375" style="104" customWidth="1"/>
    <col min="2" max="2" width="14.28515625" style="104" customWidth="1"/>
    <col min="3" max="3" width="14.42578125" style="104" customWidth="1"/>
    <col min="4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6" t="s">
        <v>5</v>
      </c>
      <c r="B5" s="126"/>
      <c r="C5" s="126"/>
      <c r="D5" s="130" t="s">
        <v>230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247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247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18.75" customHeight="1" x14ac:dyDescent="0.25">
      <c r="A9" s="125" t="s">
        <v>10</v>
      </c>
      <c r="B9" s="125"/>
      <c r="C9" s="125"/>
      <c r="D9" s="125" t="s">
        <v>242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/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4.7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5.7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6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9" ht="11.25" customHeight="1" x14ac:dyDescent="0.25">
      <c r="A17" s="135" t="s">
        <v>24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9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f>I13</f>
        <v>15</v>
      </c>
    </row>
    <row r="19" spans="1:9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9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6" t="s">
        <v>8</v>
      </c>
    </row>
    <row r="21" spans="1:9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8" t="s">
        <v>8</v>
      </c>
    </row>
    <row r="22" spans="1:9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8" t="s">
        <v>8</v>
      </c>
    </row>
    <row r="23" spans="1:9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9" ht="22.5" customHeight="1" x14ac:dyDescent="0.25">
      <c r="A24" s="136" t="s">
        <v>27</v>
      </c>
      <c r="B24" s="136"/>
      <c r="C24" s="136"/>
      <c r="D24" s="136"/>
      <c r="E24" s="136"/>
      <c r="F24" s="136"/>
      <c r="G24" s="109"/>
      <c r="H24" s="109" t="s">
        <v>28</v>
      </c>
      <c r="I24" s="10" t="s">
        <v>8</v>
      </c>
    </row>
    <row r="25" spans="1:9" ht="34.5" customHeight="1" x14ac:dyDescent="0.25">
      <c r="A25" s="136" t="s">
        <v>29</v>
      </c>
      <c r="B25" s="136"/>
      <c r="C25" s="136"/>
      <c r="D25" s="136"/>
      <c r="E25" s="136"/>
      <c r="F25" s="136"/>
      <c r="G25" s="106"/>
      <c r="H25" s="106" t="s">
        <v>18</v>
      </c>
      <c r="I25" s="6" t="s">
        <v>8</v>
      </c>
    </row>
    <row r="26" spans="1:9" ht="15" customHeight="1" x14ac:dyDescent="0.25">
      <c r="A26" s="136" t="s">
        <v>30</v>
      </c>
      <c r="B26" s="136"/>
      <c r="C26" s="136"/>
      <c r="D26" s="136"/>
      <c r="E26" s="136"/>
      <c r="F26" s="136"/>
      <c r="G26" s="109"/>
      <c r="H26" s="11" t="s">
        <v>31</v>
      </c>
      <c r="I26" s="12" t="s">
        <v>8</v>
      </c>
    </row>
    <row r="27" spans="1:9" ht="15" customHeight="1" x14ac:dyDescent="0.25">
      <c r="A27" s="136"/>
      <c r="B27" s="136"/>
      <c r="C27" s="136"/>
      <c r="D27" s="136"/>
      <c r="E27" s="136"/>
      <c r="F27" s="136"/>
      <c r="G27" s="109"/>
      <c r="H27" s="13" t="s">
        <v>32</v>
      </c>
      <c r="I27" s="108" t="s">
        <v>8</v>
      </c>
    </row>
    <row r="28" spans="1:9" ht="26.25" customHeight="1" x14ac:dyDescent="0.25">
      <c r="A28" s="136" t="s">
        <v>191</v>
      </c>
      <c r="B28" s="136"/>
      <c r="C28" s="136"/>
      <c r="D28" s="136"/>
      <c r="E28" s="136"/>
      <c r="F28" s="136"/>
      <c r="G28" s="109"/>
      <c r="H28" s="106" t="s">
        <v>31</v>
      </c>
      <c r="I28" s="12">
        <v>15</v>
      </c>
    </row>
    <row r="29" spans="1:9" ht="35.25" customHeight="1" x14ac:dyDescent="0.25">
      <c r="A29" s="136" t="s">
        <v>241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9" ht="1.1499999999999999" customHeight="1" x14ac:dyDescent="0.25">
      <c r="A30" s="139"/>
      <c r="B30" s="139"/>
      <c r="C30" s="139"/>
      <c r="D30" s="139"/>
      <c r="E30" s="139"/>
      <c r="F30" s="139"/>
      <c r="G30" s="139"/>
      <c r="H30" s="139"/>
      <c r="I30" s="139"/>
    </row>
    <row r="31" spans="1:9" ht="1.1499999999999999" customHeight="1" x14ac:dyDescent="0.25">
      <c r="A31" s="140"/>
      <c r="B31" s="140"/>
      <c r="C31" s="140"/>
      <c r="D31" s="140"/>
      <c r="E31" s="140"/>
      <c r="F31" s="140"/>
      <c r="G31" s="140"/>
      <c r="H31" s="140"/>
      <c r="I31" s="140"/>
    </row>
    <row r="32" spans="1:9" ht="1.1499999999999999" customHeight="1" x14ac:dyDescent="0.25">
      <c r="A32" s="140"/>
      <c r="B32" s="140"/>
      <c r="C32" s="140"/>
      <c r="D32" s="140"/>
      <c r="E32" s="140"/>
      <c r="F32" s="140"/>
      <c r="G32" s="140"/>
      <c r="H32" s="140"/>
      <c r="I32" s="140"/>
    </row>
    <row r="33" spans="1:10" ht="1.1499999999999999" customHeight="1" x14ac:dyDescent="0.25">
      <c r="A33" s="140"/>
      <c r="B33" s="140"/>
      <c r="C33" s="140"/>
      <c r="D33" s="140"/>
      <c r="E33" s="140"/>
      <c r="F33" s="140"/>
      <c r="G33" s="140"/>
      <c r="H33" s="140"/>
      <c r="I33" s="140"/>
    </row>
    <row r="34" spans="1:10" ht="3.6" customHeight="1" x14ac:dyDescent="0.25">
      <c r="A34" s="141"/>
      <c r="B34" s="141"/>
      <c r="C34" s="141"/>
      <c r="D34" s="141"/>
      <c r="E34" s="141"/>
      <c r="F34" s="141"/>
      <c r="G34" s="141"/>
      <c r="H34" s="141"/>
      <c r="I34" s="141"/>
    </row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47" si="0">I37/$I$48</f>
        <v>0.75891284961992556</v>
      </c>
      <c r="I37" s="97">
        <f>IF(D6="12x36",I10,I10/H10*I5)</f>
        <v>2211</v>
      </c>
    </row>
    <row r="38" spans="1:10" ht="15" customHeight="1" x14ac:dyDescent="0.25">
      <c r="A38" s="101">
        <f t="shared" ref="A38:A47" si="1">A37+1</f>
        <v>2</v>
      </c>
      <c r="B38" s="126" t="s">
        <v>40</v>
      </c>
      <c r="C38" s="126"/>
      <c r="D38" s="126"/>
      <c r="E38" s="126"/>
      <c r="F38" s="126"/>
      <c r="G38" s="126"/>
      <c r="H38" s="15">
        <f t="shared" si="0"/>
        <v>0.23076923076923075</v>
      </c>
      <c r="I38" s="97">
        <f>IF(I9=30%,(I37+I45+I46)*I9,0)</f>
        <v>672.3180000000001</v>
      </c>
    </row>
    <row r="39" spans="1:10" ht="15" customHeight="1" x14ac:dyDescent="0.25">
      <c r="A39" s="101">
        <f t="shared" si="1"/>
        <v>3</v>
      </c>
      <c r="B39" s="126" t="s">
        <v>41</v>
      </c>
      <c r="C39" s="126"/>
      <c r="D39" s="126"/>
      <c r="E39" s="126"/>
      <c r="F39" s="126"/>
      <c r="G39" s="126"/>
      <c r="H39" s="15">
        <f t="shared" si="0"/>
        <v>0</v>
      </c>
      <c r="I39" s="97">
        <f>IF(I7=10%,I25*I7,0)</f>
        <v>0</v>
      </c>
    </row>
    <row r="40" spans="1:10" ht="15" customHeight="1" x14ac:dyDescent="0.25">
      <c r="A40" s="101">
        <f t="shared" si="1"/>
        <v>4</v>
      </c>
      <c r="B40" s="126" t="s">
        <v>42</v>
      </c>
      <c r="C40" s="126"/>
      <c r="D40" s="126"/>
      <c r="E40" s="126"/>
      <c r="F40" s="126"/>
      <c r="G40" s="126"/>
      <c r="H40" s="15">
        <f t="shared" si="0"/>
        <v>0</v>
      </c>
      <c r="I40" s="97">
        <f>IF(I7=20%,I25*I7,0)</f>
        <v>0</v>
      </c>
    </row>
    <row r="41" spans="1:10" ht="15" customHeight="1" x14ac:dyDescent="0.25">
      <c r="A41" s="101">
        <f t="shared" si="1"/>
        <v>5</v>
      </c>
      <c r="B41" s="126" t="s">
        <v>43</v>
      </c>
      <c r="C41" s="126"/>
      <c r="D41" s="126"/>
      <c r="E41" s="126"/>
      <c r="F41" s="126"/>
      <c r="G41" s="126"/>
      <c r="H41" s="15">
        <f t="shared" si="0"/>
        <v>0</v>
      </c>
      <c r="I41" s="97">
        <f>IF(I7=40%,I25*I7,0)</f>
        <v>0</v>
      </c>
    </row>
    <row r="42" spans="1:10" ht="15" customHeight="1" x14ac:dyDescent="0.25">
      <c r="A42" s="101">
        <f t="shared" si="1"/>
        <v>6</v>
      </c>
      <c r="B42" s="126" t="s">
        <v>190</v>
      </c>
      <c r="C42" s="126"/>
      <c r="D42" s="126"/>
      <c r="E42" s="126"/>
      <c r="F42" s="126"/>
      <c r="G42" s="126"/>
      <c r="H42" s="15">
        <f t="shared" si="0"/>
        <v>0</v>
      </c>
      <c r="I42" s="97">
        <f>IF(I24="Não aplicável",0,I37*I24)</f>
        <v>0</v>
      </c>
    </row>
    <row r="43" spans="1:10" ht="15" customHeight="1" x14ac:dyDescent="0.25">
      <c r="A43" s="101">
        <f t="shared" si="1"/>
        <v>7</v>
      </c>
      <c r="B43" s="126" t="s">
        <v>44</v>
      </c>
      <c r="C43" s="126"/>
      <c r="D43" s="126"/>
      <c r="E43" s="126"/>
      <c r="F43" s="126"/>
      <c r="G43" s="126"/>
      <c r="H43" s="15">
        <f t="shared" si="0"/>
        <v>0</v>
      </c>
      <c r="I43" s="97">
        <f>IF(I26="Não aplicável",0,(I37+I38+I39+I40+I41+I42+I47)/I5*I26*(1+I27))</f>
        <v>0</v>
      </c>
    </row>
    <row r="44" spans="1:10" ht="23.25" customHeight="1" x14ac:dyDescent="0.25">
      <c r="A44" s="101">
        <f t="shared" si="1"/>
        <v>8</v>
      </c>
      <c r="B44" s="126" t="s">
        <v>45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aplicável",0,I26/I13*5*(I10/H10*(1+I27)))</f>
        <v>0</v>
      </c>
    </row>
    <row r="45" spans="1:10" ht="15" customHeight="1" x14ac:dyDescent="0.25">
      <c r="A45" s="101">
        <f t="shared" si="1"/>
        <v>9</v>
      </c>
      <c r="B45" s="126" t="s">
        <v>46</v>
      </c>
      <c r="C45" s="126"/>
      <c r="D45" s="126"/>
      <c r="E45" s="126"/>
      <c r="F45" s="126"/>
      <c r="G45" s="126"/>
      <c r="H45" s="15">
        <f t="shared" si="0"/>
        <v>8.5982663423695756E-3</v>
      </c>
      <c r="I45" s="97">
        <f>I12*I13</f>
        <v>25.049999999999997</v>
      </c>
    </row>
    <row r="46" spans="1:10" ht="15" customHeight="1" x14ac:dyDescent="0.25">
      <c r="A46" s="101">
        <f t="shared" si="1"/>
        <v>10</v>
      </c>
      <c r="B46" s="126" t="s">
        <v>47</v>
      </c>
      <c r="C46" s="126"/>
      <c r="D46" s="126"/>
      <c r="E46" s="126"/>
      <c r="F46" s="126"/>
      <c r="G46" s="126"/>
      <c r="H46" s="15">
        <f t="shared" si="0"/>
        <v>1.7196532684739154E-3</v>
      </c>
      <c r="I46" s="97">
        <f>I45*20%</f>
        <v>5.01</v>
      </c>
    </row>
    <row r="47" spans="1:10" ht="15" customHeight="1" x14ac:dyDescent="0.25">
      <c r="A47" s="101">
        <f t="shared" si="1"/>
        <v>11</v>
      </c>
      <c r="B47" s="144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44"/>
      <c r="D47" s="144"/>
      <c r="E47" s="144"/>
      <c r="F47" s="144"/>
      <c r="G47" s="144"/>
      <c r="H47" s="15">
        <f t="shared" si="0"/>
        <v>0</v>
      </c>
      <c r="I47" s="97">
        <v>0</v>
      </c>
    </row>
    <row r="48" spans="1:10" s="19" customFormat="1" ht="15" customHeight="1" x14ac:dyDescent="0.25">
      <c r="A48" s="145" t="s">
        <v>48</v>
      </c>
      <c r="B48" s="145"/>
      <c r="C48" s="145"/>
      <c r="D48" s="145"/>
      <c r="E48" s="145"/>
      <c r="F48" s="145"/>
      <c r="G48" s="145"/>
      <c r="H48" s="16">
        <f>SUM(H37:H47)</f>
        <v>0.99999999999999978</v>
      </c>
      <c r="I48" s="17">
        <f>SUM(I37:I47)</f>
        <v>2913.3780000000006</v>
      </c>
      <c r="J48" s="18"/>
    </row>
    <row r="49" spans="1:10" s="19" customFormat="1" ht="1.1499999999999999" customHeight="1" x14ac:dyDescent="0.25">
      <c r="A49" s="146"/>
      <c r="B49" s="146"/>
      <c r="C49" s="146"/>
      <c r="D49" s="146"/>
      <c r="E49" s="146"/>
      <c r="F49" s="146"/>
      <c r="G49" s="146"/>
      <c r="H49" s="146"/>
      <c r="I49" s="146"/>
      <c r="J49" s="18"/>
    </row>
    <row r="50" spans="1:10" s="19" customFormat="1" ht="1.1499999999999999" customHeight="1" x14ac:dyDescent="0.25">
      <c r="A50" s="147"/>
      <c r="B50" s="147"/>
      <c r="C50" s="147"/>
      <c r="D50" s="147"/>
      <c r="E50" s="147"/>
      <c r="F50" s="147"/>
      <c r="G50" s="147"/>
      <c r="H50" s="147"/>
      <c r="I50" s="147"/>
      <c r="J50" s="18"/>
    </row>
    <row r="51" spans="1:10" s="19" customFormat="1" ht="1.1499999999999999" customHeight="1" x14ac:dyDescent="0.25">
      <c r="A51" s="147"/>
      <c r="B51" s="147"/>
      <c r="C51" s="147"/>
      <c r="D51" s="147"/>
      <c r="E51" s="147"/>
      <c r="F51" s="147"/>
      <c r="G51" s="147"/>
      <c r="H51" s="147"/>
      <c r="I51" s="147"/>
      <c r="J51" s="18"/>
    </row>
    <row r="52" spans="1:10" s="19" customFormat="1" ht="1.1499999999999999" customHeight="1" x14ac:dyDescent="0.25">
      <c r="A52" s="147"/>
      <c r="B52" s="147"/>
      <c r="C52" s="147"/>
      <c r="D52" s="147"/>
      <c r="E52" s="147"/>
      <c r="F52" s="147"/>
      <c r="G52" s="147"/>
      <c r="H52" s="147"/>
      <c r="I52" s="147"/>
      <c r="J52" s="18"/>
    </row>
    <row r="53" spans="1:10" s="19" customFormat="1" ht="1.1499999999999999" customHeight="1" x14ac:dyDescent="0.25">
      <c r="A53" s="147"/>
      <c r="B53" s="147"/>
      <c r="C53" s="147"/>
      <c r="D53" s="147"/>
      <c r="E53" s="147"/>
      <c r="F53" s="147"/>
      <c r="G53" s="147"/>
      <c r="H53" s="147"/>
      <c r="I53" s="147"/>
      <c r="J53" s="18"/>
    </row>
    <row r="54" spans="1:10" s="19" customFormat="1" ht="1.1499999999999999" customHeight="1" x14ac:dyDescent="0.25">
      <c r="A54" s="147"/>
      <c r="B54" s="147"/>
      <c r="C54" s="147"/>
      <c r="D54" s="147"/>
      <c r="E54" s="147"/>
      <c r="F54" s="147"/>
      <c r="G54" s="147"/>
      <c r="H54" s="147"/>
      <c r="I54" s="147"/>
      <c r="J54" s="18"/>
    </row>
    <row r="55" spans="1:10" s="19" customFormat="1" ht="1.1499999999999999" customHeight="1" x14ac:dyDescent="0.25">
      <c r="A55" s="147"/>
      <c r="B55" s="147"/>
      <c r="C55" s="147"/>
      <c r="D55" s="147"/>
      <c r="E55" s="147"/>
      <c r="F55" s="147"/>
      <c r="G55" s="147"/>
      <c r="H55" s="147"/>
      <c r="I55" s="147"/>
      <c r="J55" s="18"/>
    </row>
    <row r="56" spans="1:10" ht="1.1499999999999999" customHeight="1" x14ac:dyDescent="0.25">
      <c r="A56" s="148"/>
      <c r="B56" s="148"/>
      <c r="C56" s="148"/>
      <c r="D56" s="148"/>
      <c r="E56" s="148"/>
      <c r="F56" s="148"/>
      <c r="G56" s="148"/>
      <c r="H56" s="148"/>
      <c r="I56" s="148"/>
    </row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$I$48*H58</f>
        <v>582.67560000000014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43.700670000000009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29.133780000000005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5.8267560000000014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72.834450000000018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233.07024000000004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87.401340000000019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17.480268000000002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1072.1231040000005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$I$48*H70</f>
        <v>347.60678269200008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2.0485E-2</v>
      </c>
      <c r="I71" s="97">
        <f t="shared" si="3"/>
        <v>59.680548330000015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1.2127000000000001E-2</v>
      </c>
      <c r="I72" s="97">
        <f t="shared" si="3"/>
        <v>35.330535006000012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2.7250793878226798E-3</v>
      </c>
      <c r="I73" s="97">
        <f t="shared" si="3"/>
        <v>7.9391863367360651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4.7600000000000002E-4</v>
      </c>
      <c r="I74" s="97">
        <f t="shared" si="3"/>
        <v>1.3867679280000003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1.2877130760000004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0.53897493000000007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264.50558862000003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0.24654407938782269</v>
      </c>
      <c r="I78" s="17">
        <f>SUM(I70:I77)</f>
        <v>718.27609691873613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$I$48*H82</f>
        <v>140.77733833800005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$I$48*H83</f>
        <v>10.228870158000001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$I$48*H84</f>
        <v>56.309769984000013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207.31597848000007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9.0728221214718782E-2</v>
      </c>
      <c r="I88" s="97">
        <f>$I$48*H88</f>
        <v>264.32560366609505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9.0728221214718782E-2</v>
      </c>
      <c r="I89" s="17">
        <f>I88</f>
        <v>264.32560366609505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0.77643230060254154</v>
      </c>
      <c r="I91" s="24">
        <f>I66+I78+I85+I89</f>
        <v>2262.0407830648319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I94/$I$48</f>
        <v>0.13592468948416578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I95/$I$48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I96/$I$48</f>
        <v>1.6249178788334363E-2</v>
      </c>
      <c r="I96" s="97">
        <f>I103</f>
        <v>47.34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I97/$I$48</f>
        <v>7.7616086892946939E-2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I98/$I$48</f>
        <v>2.7459533229124398E-2</v>
      </c>
      <c r="I98" s="97">
        <f>IF(I23="Não aplicável",0,I23)</f>
        <v>80</v>
      </c>
    </row>
    <row r="99" spans="1:10" ht="1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0.25724948839457151</v>
      </c>
      <c r="I99" s="17">
        <f>SUM(I94:I98)</f>
        <v>749.46500000000003</v>
      </c>
      <c r="J99" s="25"/>
    </row>
    <row r="100" spans="1:10" ht="18" customHeight="1" x14ac:dyDescent="0.25">
      <c r="A100" s="20" t="s">
        <v>93</v>
      </c>
      <c r="B100" s="149" t="s">
        <v>94</v>
      </c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6</v>
      </c>
      <c r="B103" s="154"/>
      <c r="C103" s="101">
        <f>IF(I15="Não aplicável",0,I15)</f>
        <v>15</v>
      </c>
      <c r="D103" s="101">
        <v>2</v>
      </c>
      <c r="E103" s="102">
        <f>A103*C103*D103</f>
        <v>180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47.34</v>
      </c>
    </row>
    <row r="104" spans="1:10" ht="3.7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3.25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H48+H91+H99</f>
        <v>2.0336817889971126</v>
      </c>
      <c r="I113" s="38">
        <f>I48+I91+I99</f>
        <v>5924.8837830648326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3.15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1175.5087566129666</v>
      </c>
      <c r="H127" s="99" t="s">
        <v>116</v>
      </c>
      <c r="I127" s="47">
        <f>I96</f>
        <v>47.34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I48</f>
        <v>2913.3780000000006</v>
      </c>
      <c r="B129" s="160"/>
      <c r="C129" s="100">
        <f>I66</f>
        <v>1072.1231040000005</v>
      </c>
      <c r="D129" s="100">
        <f>I78</f>
        <v>718.27609691873613</v>
      </c>
      <c r="E129" s="100">
        <f>I85</f>
        <v>207.31597848000007</v>
      </c>
      <c r="F129" s="100">
        <f>I89</f>
        <v>264.32560366609505</v>
      </c>
      <c r="G129" s="100">
        <f>I99</f>
        <v>749.46500000000003</v>
      </c>
      <c r="H129" s="100">
        <f>A129+C129+D129+E129+F129+G129</f>
        <v>5924.8837830648326</v>
      </c>
      <c r="I129" s="100">
        <f>H129-I127</f>
        <v>5877.5437830648325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4.5" customHeight="1" x14ac:dyDescent="0.25">
      <c r="A134" s="145" t="s">
        <v>195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5.1" customHeight="1" x14ac:dyDescent="0.25">
      <c r="A138" s="145" t="s">
        <v>194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1057.9578809516697</v>
      </c>
      <c r="H140" s="99" t="s">
        <v>116</v>
      </c>
      <c r="I140" s="47">
        <f>I96</f>
        <v>47.34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I48</f>
        <v>2913.3780000000006</v>
      </c>
      <c r="B142" s="160"/>
      <c r="C142" s="100">
        <f>I66</f>
        <v>1072.1231040000005</v>
      </c>
      <c r="D142" s="100">
        <f>I78</f>
        <v>718.27609691873613</v>
      </c>
      <c r="E142" s="100">
        <f>I85</f>
        <v>207.31597848000007</v>
      </c>
      <c r="F142" s="100">
        <f>I89</f>
        <v>264.32560366609505</v>
      </c>
      <c r="G142" s="100">
        <f>I99</f>
        <v>749.46500000000003</v>
      </c>
      <c r="H142" s="100">
        <f>A142+C142+D142+E142+F142+G142</f>
        <v>5924.8837830648326</v>
      </c>
      <c r="I142" s="100">
        <f>H142-I140</f>
        <v>5877.5437830648325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6.9259456579648365E-3</v>
      </c>
      <c r="I148" s="97">
        <f>($D$158/$E$160)*H158</f>
        <v>41.035423111264151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189.39426051352686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2.6638252530633989E-2</v>
      </c>
      <c r="I150" s="97">
        <f>($D$158/$E$160)*H160</f>
        <v>157.82855042793906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388.25823405273007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5924.8837830648326</v>
      </c>
      <c r="B158" s="166"/>
      <c r="C158" s="97">
        <f>I144</f>
        <v>0</v>
      </c>
      <c r="D158" s="167">
        <f>A158+C158</f>
        <v>5924.8837830648326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26" t="s">
        <v>149</v>
      </c>
      <c r="B159" s="126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x14ac:dyDescent="0.25">
      <c r="A162" s="169" t="s">
        <v>153</v>
      </c>
      <c r="B162" s="169" t="s">
        <v>154</v>
      </c>
      <c r="C162" s="169"/>
      <c r="D162" s="169"/>
      <c r="E162" s="169"/>
      <c r="F162" s="105" t="s">
        <v>155</v>
      </c>
      <c r="G162" s="33">
        <v>0</v>
      </c>
      <c r="H162" s="168">
        <v>0</v>
      </c>
      <c r="I162" s="168"/>
    </row>
    <row r="163" spans="1:10" ht="18" customHeight="1" x14ac:dyDescent="0.25">
      <c r="A163" s="169"/>
      <c r="B163" s="169"/>
      <c r="C163" s="169"/>
      <c r="D163" s="169"/>
      <c r="E163" s="169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48.75" customHeight="1" x14ac:dyDescent="0.25">
      <c r="A164" s="171" t="s">
        <v>157</v>
      </c>
      <c r="B164" s="171"/>
      <c r="C164" s="171"/>
      <c r="D164" s="171"/>
      <c r="E164" s="171"/>
      <c r="F164" s="171"/>
      <c r="G164" s="171"/>
      <c r="H164" s="171"/>
      <c r="I164" s="171"/>
    </row>
    <row r="165" spans="1:10" ht="12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388.25823405273007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0.46147829275828378</v>
      </c>
      <c r="I171" s="58">
        <f>I48</f>
        <v>2913.3780000000006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0.35830665252444749</v>
      </c>
      <c r="I172" s="58">
        <f>I66+I78+I85+I89</f>
        <v>2262.0407830648319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0.11871505471726879</v>
      </c>
      <c r="I173" s="58">
        <f>I99</f>
        <v>749.46500000000003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0.93850000000000011</v>
      </c>
      <c r="I174" s="38">
        <f>SUM(I171:I173)</f>
        <v>5924.8837830648326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388.25823405273007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388.25823405273007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78" t="s">
        <v>205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((H70+H76+H77+H82+H83+H84)+((H70+H76+H77+H82+H83+H84)*H66))*I48*H194</f>
        <v>2243.4306004393925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6313.1420171175623</v>
      </c>
      <c r="H194" s="96">
        <v>2</v>
      </c>
      <c r="I194" s="76">
        <f>G194*H194</f>
        <v>12626.284034235125</v>
      </c>
    </row>
    <row r="197" spans="1:9" x14ac:dyDescent="0.25">
      <c r="H197" s="104" t="s">
        <v>265</v>
      </c>
    </row>
  </sheetData>
  <mergeCells count="182">
    <mergeCell ref="J1:O11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194"/>
  <sheetViews>
    <sheetView view="pageBreakPreview" zoomScale="130" zoomScaleNormal="130" zoomScalePageLayoutView="130" workbookViewId="0">
      <selection activeCell="I189" sqref="I189"/>
    </sheetView>
  </sheetViews>
  <sheetFormatPr defaultColWidth="9.28515625" defaultRowHeight="11.25" x14ac:dyDescent="0.25"/>
  <cols>
    <col min="1" max="1" width="2.7109375" style="104" customWidth="1"/>
    <col min="2" max="4" width="11.28515625" style="104" customWidth="1"/>
    <col min="5" max="5" width="12.28515625" style="104" customWidth="1"/>
    <col min="6" max="7" width="11.28515625" style="104" customWidth="1"/>
    <col min="8" max="8" width="9.28515625" style="104" customWidth="1"/>
    <col min="9" max="9" width="11.7109375" style="104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5" ht="27.75" customHeight="1" x14ac:dyDescent="0.2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73" t="s">
        <v>264</v>
      </c>
      <c r="K1" s="173"/>
      <c r="L1" s="173"/>
      <c r="M1" s="173"/>
      <c r="N1" s="173"/>
      <c r="O1" s="173"/>
    </row>
    <row r="2" spans="1:15" ht="22.5" customHeight="1" x14ac:dyDescent="0.25">
      <c r="A2" s="127" t="s">
        <v>1</v>
      </c>
      <c r="B2" s="127"/>
      <c r="C2" s="128" t="s">
        <v>232</v>
      </c>
      <c r="D2" s="128"/>
      <c r="E2" s="129" t="s">
        <v>2</v>
      </c>
      <c r="F2" s="129"/>
      <c r="G2" s="129"/>
      <c r="H2" s="129"/>
      <c r="I2" s="129"/>
      <c r="J2" s="173"/>
      <c r="K2" s="173"/>
      <c r="L2" s="173"/>
      <c r="M2" s="173"/>
      <c r="N2" s="173"/>
      <c r="O2" s="173"/>
    </row>
    <row r="3" spans="1:15" ht="11.25" customHeight="1" x14ac:dyDescent="0.25">
      <c r="A3" s="127" t="s">
        <v>3</v>
      </c>
      <c r="B3" s="127"/>
      <c r="C3" s="3"/>
      <c r="D3" s="4"/>
      <c r="E3" s="5" t="s">
        <v>4</v>
      </c>
      <c r="F3" s="3"/>
      <c r="G3" s="4"/>
      <c r="H3" s="4"/>
      <c r="I3" s="4"/>
      <c r="J3" s="173"/>
      <c r="K3" s="173"/>
      <c r="L3" s="173"/>
      <c r="M3" s="173"/>
      <c r="N3" s="173"/>
      <c r="O3" s="173"/>
    </row>
    <row r="4" spans="1:15" ht="4.5" customHeight="1" x14ac:dyDescent="0.25">
      <c r="J4" s="173"/>
      <c r="K4" s="173"/>
      <c r="L4" s="173"/>
      <c r="M4" s="173"/>
      <c r="N4" s="173"/>
      <c r="O4" s="173"/>
    </row>
    <row r="5" spans="1:15" ht="18.75" customHeight="1" x14ac:dyDescent="0.25">
      <c r="A5" s="125" t="s">
        <v>5</v>
      </c>
      <c r="B5" s="125"/>
      <c r="C5" s="125"/>
      <c r="D5" s="130" t="s">
        <v>231</v>
      </c>
      <c r="E5" s="130"/>
      <c r="F5" s="130"/>
      <c r="G5" s="131" t="str">
        <f>IF(D6="12x36","Regime de trabalho:","Quantidade de HORAS/MÊS")</f>
        <v>Regime de trabalho:</v>
      </c>
      <c r="H5" s="131"/>
      <c r="I5" s="132" t="str">
        <f>IF(D6="12x36",D6,5*D6)</f>
        <v>12x36</v>
      </c>
      <c r="J5" s="173"/>
      <c r="K5" s="173"/>
      <c r="L5" s="173"/>
      <c r="M5" s="173"/>
      <c r="N5" s="173"/>
      <c r="O5" s="173"/>
    </row>
    <row r="6" spans="1:15" ht="18.75" customHeight="1" x14ac:dyDescent="0.25">
      <c r="A6" s="125" t="str">
        <f>IF(D6="12x36","Regime de trabalho:","Regime de trabalho (horas semanais):")</f>
        <v>Regime de trabalho:</v>
      </c>
      <c r="B6" s="125"/>
      <c r="C6" s="125"/>
      <c r="D6" s="125" t="s">
        <v>228</v>
      </c>
      <c r="E6" s="125"/>
      <c r="F6" s="125"/>
      <c r="G6" s="131"/>
      <c r="H6" s="131"/>
      <c r="I6" s="132"/>
      <c r="J6" s="173"/>
      <c r="K6" s="173"/>
      <c r="L6" s="173"/>
      <c r="M6" s="173"/>
      <c r="N6" s="173"/>
      <c r="O6" s="173"/>
    </row>
    <row r="7" spans="1:15" ht="22.5" customHeight="1" x14ac:dyDescent="0.25">
      <c r="A7" s="125" t="s">
        <v>6</v>
      </c>
      <c r="B7" s="125"/>
      <c r="C7" s="125"/>
      <c r="D7" s="126" t="s">
        <v>247</v>
      </c>
      <c r="E7" s="126"/>
      <c r="F7" s="126"/>
      <c r="G7" s="133" t="s">
        <v>7</v>
      </c>
      <c r="H7" s="133"/>
      <c r="I7" s="124" t="s">
        <v>8</v>
      </c>
      <c r="J7" s="173"/>
      <c r="K7" s="173"/>
      <c r="L7" s="173"/>
      <c r="M7" s="173"/>
      <c r="N7" s="173"/>
      <c r="O7" s="173"/>
    </row>
    <row r="8" spans="1:15" ht="22.5" customHeight="1" x14ac:dyDescent="0.25">
      <c r="A8" s="125" t="s">
        <v>9</v>
      </c>
      <c r="B8" s="125"/>
      <c r="C8" s="125"/>
      <c r="D8" s="126" t="s">
        <v>247</v>
      </c>
      <c r="E8" s="126"/>
      <c r="F8" s="126"/>
      <c r="G8" s="133"/>
      <c r="H8" s="133"/>
      <c r="I8" s="124"/>
      <c r="J8" s="173"/>
      <c r="K8" s="173"/>
      <c r="L8" s="173"/>
      <c r="M8" s="173"/>
      <c r="N8" s="173"/>
      <c r="O8" s="173"/>
    </row>
    <row r="9" spans="1:15" ht="24.75" customHeight="1" x14ac:dyDescent="0.25">
      <c r="A9" s="125" t="s">
        <v>10</v>
      </c>
      <c r="B9" s="125"/>
      <c r="C9" s="125"/>
      <c r="D9" s="125" t="s">
        <v>242</v>
      </c>
      <c r="E9" s="125"/>
      <c r="F9" s="125"/>
      <c r="G9" s="133" t="s">
        <v>11</v>
      </c>
      <c r="H9" s="133"/>
      <c r="I9" s="108">
        <v>0.3</v>
      </c>
      <c r="J9" s="173"/>
      <c r="K9" s="173"/>
      <c r="L9" s="173"/>
      <c r="M9" s="173"/>
      <c r="N9" s="173"/>
      <c r="O9" s="173"/>
    </row>
    <row r="10" spans="1:15" ht="32.25" customHeight="1" x14ac:dyDescent="0.25">
      <c r="A10" s="134" t="s">
        <v>12</v>
      </c>
      <c r="B10" s="134"/>
      <c r="C10" s="134"/>
      <c r="D10" s="134"/>
      <c r="E10" s="134"/>
      <c r="F10" s="134"/>
      <c r="G10" s="107" t="s">
        <v>13</v>
      </c>
      <c r="H10" s="106">
        <v>220</v>
      </c>
      <c r="I10" s="6">
        <v>2211</v>
      </c>
      <c r="J10" s="173"/>
      <c r="K10" s="173"/>
      <c r="L10" s="173"/>
      <c r="M10" s="173"/>
      <c r="N10" s="173"/>
      <c r="O10" s="173"/>
    </row>
    <row r="11" spans="1:15" ht="15" customHeight="1" x14ac:dyDescent="0.25">
      <c r="A11" s="135" t="s">
        <v>14</v>
      </c>
      <c r="B11" s="135"/>
      <c r="C11" s="135"/>
      <c r="D11" s="135"/>
      <c r="E11" s="135"/>
      <c r="F11" s="135"/>
      <c r="G11" s="106" t="str">
        <f>D9</f>
        <v>Lajeado/RS</v>
      </c>
      <c r="H11" s="106" t="s">
        <v>15</v>
      </c>
      <c r="I11" s="7">
        <v>2.5000000000000001E-2</v>
      </c>
      <c r="J11" s="173"/>
      <c r="K11" s="173"/>
      <c r="L11" s="173"/>
      <c r="M11" s="173"/>
      <c r="N11" s="173"/>
      <c r="O11" s="173"/>
    </row>
    <row r="12" spans="1:15" ht="26.25" customHeight="1" x14ac:dyDescent="0.25">
      <c r="A12" s="136" t="s">
        <v>16</v>
      </c>
      <c r="B12" s="136"/>
      <c r="C12" s="136"/>
      <c r="D12" s="136"/>
      <c r="E12" s="136"/>
      <c r="F12" s="136"/>
      <c r="G12" s="106" t="s">
        <v>17</v>
      </c>
      <c r="H12" s="106" t="s">
        <v>18</v>
      </c>
      <c r="I12" s="6">
        <v>1.67</v>
      </c>
    </row>
    <row r="13" spans="1:15" ht="16.5" customHeight="1" x14ac:dyDescent="0.25">
      <c r="A13" s="136" t="s">
        <v>19</v>
      </c>
      <c r="B13" s="136"/>
      <c r="C13" s="136"/>
      <c r="D13" s="136"/>
      <c r="E13" s="136"/>
      <c r="F13" s="136"/>
      <c r="G13" s="106"/>
      <c r="H13" s="106"/>
      <c r="I13" s="8">
        <v>15</v>
      </c>
    </row>
    <row r="14" spans="1:15" ht="15" customHeight="1" x14ac:dyDescent="0.25">
      <c r="A14" s="135" t="s">
        <v>20</v>
      </c>
      <c r="B14" s="135"/>
      <c r="C14" s="135"/>
      <c r="D14" s="135"/>
      <c r="E14" s="135"/>
      <c r="F14" s="135"/>
      <c r="G14" s="138" t="s">
        <v>17</v>
      </c>
      <c r="H14" s="106" t="s">
        <v>21</v>
      </c>
      <c r="I14" s="6">
        <v>6</v>
      </c>
    </row>
    <row r="15" spans="1:15" x14ac:dyDescent="0.25">
      <c r="A15" s="135"/>
      <c r="B15" s="135"/>
      <c r="C15" s="135"/>
      <c r="D15" s="135"/>
      <c r="E15" s="135"/>
      <c r="F15" s="135"/>
      <c r="G15" s="138"/>
      <c r="H15" s="106" t="s">
        <v>22</v>
      </c>
      <c r="I15" s="8">
        <v>15</v>
      </c>
    </row>
    <row r="16" spans="1:15" x14ac:dyDescent="0.25">
      <c r="A16" s="135"/>
      <c r="B16" s="135"/>
      <c r="C16" s="135"/>
      <c r="D16" s="135"/>
      <c r="E16" s="135"/>
      <c r="F16" s="135"/>
      <c r="G16" s="138"/>
      <c r="H16" s="106" t="s">
        <v>23</v>
      </c>
      <c r="I16" s="114">
        <v>0.06</v>
      </c>
    </row>
    <row r="17" spans="1:10" ht="11.25" customHeight="1" x14ac:dyDescent="0.25">
      <c r="A17" s="135" t="s">
        <v>175</v>
      </c>
      <c r="B17" s="135"/>
      <c r="C17" s="135"/>
      <c r="D17" s="135"/>
      <c r="E17" s="135"/>
      <c r="F17" s="135"/>
      <c r="G17" s="138" t="s">
        <v>17</v>
      </c>
      <c r="H17" s="106" t="s">
        <v>21</v>
      </c>
      <c r="I17" s="6">
        <v>33</v>
      </c>
    </row>
    <row r="18" spans="1:10" ht="11.25" customHeight="1" x14ac:dyDescent="0.25">
      <c r="A18" s="135"/>
      <c r="B18" s="135"/>
      <c r="C18" s="135"/>
      <c r="D18" s="135"/>
      <c r="E18" s="135"/>
      <c r="F18" s="135"/>
      <c r="G18" s="138"/>
      <c r="H18" s="106" t="s">
        <v>22</v>
      </c>
      <c r="I18" s="8">
        <v>15</v>
      </c>
    </row>
    <row r="19" spans="1:10" x14ac:dyDescent="0.25">
      <c r="A19" s="135"/>
      <c r="B19" s="135"/>
      <c r="C19" s="135"/>
      <c r="D19" s="135"/>
      <c r="E19" s="135"/>
      <c r="F19" s="135"/>
      <c r="G19" s="138"/>
      <c r="H19" s="106" t="s">
        <v>23</v>
      </c>
      <c r="I19" s="108">
        <v>0.2</v>
      </c>
    </row>
    <row r="20" spans="1:10" ht="11.25" customHeight="1" x14ac:dyDescent="0.25">
      <c r="A20" s="135" t="s">
        <v>25</v>
      </c>
      <c r="B20" s="135"/>
      <c r="C20" s="135"/>
      <c r="D20" s="135"/>
      <c r="E20" s="135"/>
      <c r="F20" s="135"/>
      <c r="G20" s="138" t="s">
        <v>17</v>
      </c>
      <c r="H20" s="106" t="s">
        <v>21</v>
      </c>
      <c r="I20" s="10" t="s">
        <v>8</v>
      </c>
    </row>
    <row r="21" spans="1:10" x14ac:dyDescent="0.25">
      <c r="A21" s="135"/>
      <c r="B21" s="135"/>
      <c r="C21" s="135"/>
      <c r="D21" s="135"/>
      <c r="E21" s="135"/>
      <c r="F21" s="135"/>
      <c r="G21" s="138"/>
      <c r="H21" s="106" t="s">
        <v>22</v>
      </c>
      <c r="I21" s="10" t="s">
        <v>8</v>
      </c>
    </row>
    <row r="22" spans="1:10" x14ac:dyDescent="0.25">
      <c r="A22" s="135"/>
      <c r="B22" s="135"/>
      <c r="C22" s="135"/>
      <c r="D22" s="135"/>
      <c r="E22" s="135"/>
      <c r="F22" s="135"/>
      <c r="G22" s="138"/>
      <c r="H22" s="106" t="s">
        <v>23</v>
      </c>
      <c r="I22" s="10" t="s">
        <v>8</v>
      </c>
    </row>
    <row r="23" spans="1:10" ht="36" customHeight="1" x14ac:dyDescent="0.25">
      <c r="A23" s="137" t="s">
        <v>235</v>
      </c>
      <c r="B23" s="137"/>
      <c r="C23" s="137"/>
      <c r="D23" s="137"/>
      <c r="E23" s="137"/>
      <c r="F23" s="137"/>
      <c r="G23" s="109" t="s">
        <v>17</v>
      </c>
      <c r="H23" s="109" t="s">
        <v>26</v>
      </c>
      <c r="I23" s="9">
        <v>80</v>
      </c>
    </row>
    <row r="24" spans="1:10" ht="22.5" customHeight="1" x14ac:dyDescent="0.25">
      <c r="A24" s="135" t="s">
        <v>27</v>
      </c>
      <c r="B24" s="198"/>
      <c r="C24" s="198"/>
      <c r="D24" s="198"/>
      <c r="E24" s="198"/>
      <c r="F24" s="199"/>
      <c r="G24" s="109"/>
      <c r="H24" s="109" t="s">
        <v>28</v>
      </c>
      <c r="I24" s="10" t="s">
        <v>8</v>
      </c>
    </row>
    <row r="25" spans="1:10" ht="36" customHeight="1" x14ac:dyDescent="0.25">
      <c r="A25" s="135" t="s">
        <v>29</v>
      </c>
      <c r="B25" s="198"/>
      <c r="C25" s="198"/>
      <c r="D25" s="198"/>
      <c r="E25" s="198"/>
      <c r="F25" s="199"/>
      <c r="G25" s="106"/>
      <c r="H25" s="106" t="s">
        <v>18</v>
      </c>
      <c r="I25" s="6" t="s">
        <v>8</v>
      </c>
    </row>
    <row r="26" spans="1:10" ht="15" customHeight="1" x14ac:dyDescent="0.25">
      <c r="A26" s="137" t="s">
        <v>30</v>
      </c>
      <c r="B26" s="139"/>
      <c r="C26" s="139"/>
      <c r="D26" s="139"/>
      <c r="E26" s="139"/>
      <c r="F26" s="200"/>
      <c r="G26" s="109"/>
      <c r="H26" s="11" t="s">
        <v>31</v>
      </c>
      <c r="I26" s="12" t="s">
        <v>8</v>
      </c>
    </row>
    <row r="27" spans="1:10" ht="15" customHeight="1" x14ac:dyDescent="0.25">
      <c r="A27" s="134"/>
      <c r="B27" s="141"/>
      <c r="C27" s="141"/>
      <c r="D27" s="141"/>
      <c r="E27" s="141"/>
      <c r="F27" s="201"/>
      <c r="G27" s="109"/>
      <c r="H27" s="13" t="s">
        <v>32</v>
      </c>
      <c r="I27" s="108" t="s">
        <v>8</v>
      </c>
    </row>
    <row r="28" spans="1:10" ht="26.25" customHeight="1" x14ac:dyDescent="0.25">
      <c r="A28" s="135" t="s">
        <v>33</v>
      </c>
      <c r="B28" s="198"/>
      <c r="C28" s="198"/>
      <c r="D28" s="198"/>
      <c r="E28" s="198"/>
      <c r="F28" s="199"/>
      <c r="G28" s="109"/>
      <c r="H28" s="106" t="s">
        <v>31</v>
      </c>
      <c r="I28" s="12">
        <v>15</v>
      </c>
    </row>
    <row r="29" spans="1:10" ht="36.75" customHeight="1" x14ac:dyDescent="0.25">
      <c r="A29" s="136" t="s">
        <v>236</v>
      </c>
      <c r="B29" s="136"/>
      <c r="C29" s="136"/>
      <c r="D29" s="136"/>
      <c r="E29" s="136"/>
      <c r="F29" s="136"/>
      <c r="G29" s="106"/>
      <c r="H29" s="107" t="s">
        <v>28</v>
      </c>
      <c r="I29" s="108">
        <v>0.2</v>
      </c>
    </row>
    <row r="30" spans="1:10" ht="24.75" customHeight="1" x14ac:dyDescent="0.25">
      <c r="A30" s="127" t="s">
        <v>176</v>
      </c>
      <c r="B30" s="127"/>
      <c r="C30" s="127"/>
      <c r="D30" s="127"/>
      <c r="E30" s="127"/>
      <c r="F30" s="127"/>
      <c r="G30" s="138" t="s">
        <v>17</v>
      </c>
      <c r="H30" s="109" t="s">
        <v>177</v>
      </c>
      <c r="I30" s="59">
        <f>((60/52.5)*7)*15</f>
        <v>120</v>
      </c>
    </row>
    <row r="31" spans="1:10" ht="24.75" customHeight="1" x14ac:dyDescent="0.25">
      <c r="A31" s="127"/>
      <c r="B31" s="127"/>
      <c r="C31" s="127"/>
      <c r="D31" s="127"/>
      <c r="E31" s="127"/>
      <c r="F31" s="127"/>
      <c r="G31" s="138"/>
      <c r="H31" s="109" t="s">
        <v>178</v>
      </c>
      <c r="I31" s="109">
        <f>I10/H10*20%</f>
        <v>2.0100000000000002</v>
      </c>
    </row>
    <row r="32" spans="1:10" ht="29.25" customHeight="1" x14ac:dyDescent="0.25">
      <c r="A32" s="164" t="s">
        <v>179</v>
      </c>
      <c r="B32" s="164"/>
      <c r="C32" s="164"/>
      <c r="D32" s="164"/>
      <c r="E32" s="164"/>
      <c r="F32" s="164"/>
      <c r="G32" s="138" t="s">
        <v>17</v>
      </c>
      <c r="H32" s="106" t="s">
        <v>177</v>
      </c>
      <c r="I32" s="12">
        <f>((5+7+1)*15)-190.67</f>
        <v>4.3300000000000125</v>
      </c>
      <c r="J32" s="60"/>
    </row>
    <row r="33" spans="1:10" ht="30.75" customHeight="1" x14ac:dyDescent="0.25">
      <c r="A33" s="164"/>
      <c r="B33" s="164"/>
      <c r="C33" s="164"/>
      <c r="D33" s="164"/>
      <c r="E33" s="164"/>
      <c r="F33" s="164"/>
      <c r="G33" s="138"/>
      <c r="H33" s="106" t="s">
        <v>178</v>
      </c>
      <c r="I33" s="61">
        <f>(I10/H10)*1.5</f>
        <v>15.075000000000001</v>
      </c>
    </row>
    <row r="34" spans="1:10" ht="4.5" customHeight="1" x14ac:dyDescent="0.25"/>
    <row r="35" spans="1:10" ht="17.25" customHeight="1" x14ac:dyDescent="0.25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</row>
    <row r="36" spans="1:10" ht="33.75" customHeight="1" x14ac:dyDescent="0.25">
      <c r="A36" s="14" t="s">
        <v>35</v>
      </c>
      <c r="B36" s="143" t="s">
        <v>36</v>
      </c>
      <c r="C36" s="143"/>
      <c r="D36" s="143"/>
      <c r="E36" s="143"/>
      <c r="F36" s="143"/>
      <c r="G36" s="143"/>
      <c r="H36" s="14" t="s">
        <v>37</v>
      </c>
      <c r="I36" s="14" t="s">
        <v>38</v>
      </c>
    </row>
    <row r="37" spans="1:10" ht="15" customHeight="1" x14ac:dyDescent="0.25">
      <c r="A37" s="101">
        <v>1</v>
      </c>
      <c r="B37" s="126" t="s">
        <v>39</v>
      </c>
      <c r="C37" s="126"/>
      <c r="D37" s="126"/>
      <c r="E37" s="126"/>
      <c r="F37" s="126"/>
      <c r="G37" s="126"/>
      <c r="H37" s="15">
        <f t="shared" ref="H37:H54" si="0">I37/$I$55</f>
        <v>0.63472086141318251</v>
      </c>
      <c r="I37" s="97">
        <f>IF(D6="12x36",I10,I10/H10*I5)</f>
        <v>2211</v>
      </c>
    </row>
    <row r="38" spans="1:10" ht="15" customHeight="1" x14ac:dyDescent="0.25">
      <c r="A38" s="101">
        <f t="shared" ref="A38:A54" si="1">A37+1</f>
        <v>2</v>
      </c>
      <c r="B38" s="197" t="s">
        <v>237</v>
      </c>
      <c r="C38" s="197"/>
      <c r="D38" s="197"/>
      <c r="E38" s="197"/>
      <c r="F38" s="197"/>
      <c r="G38" s="197"/>
      <c r="H38" s="112">
        <f t="shared" si="0"/>
        <v>0</v>
      </c>
      <c r="I38" s="113">
        <v>0</v>
      </c>
      <c r="J38" s="25"/>
    </row>
    <row r="39" spans="1:10" ht="15" customHeight="1" x14ac:dyDescent="0.25">
      <c r="A39" s="101">
        <f t="shared" si="1"/>
        <v>3</v>
      </c>
      <c r="B39" s="126" t="s">
        <v>40</v>
      </c>
      <c r="C39" s="126"/>
      <c r="D39" s="126"/>
      <c r="E39" s="126"/>
      <c r="F39" s="126"/>
      <c r="G39" s="126"/>
      <c r="H39" s="15">
        <f t="shared" si="0"/>
        <v>0.22467824076856099</v>
      </c>
      <c r="I39" s="97">
        <f>IF(I9=30%,(I37+I53+I46+I49+I52+I54)*I9,0)</f>
        <v>782.64891</v>
      </c>
    </row>
    <row r="40" spans="1:10" ht="15" customHeight="1" x14ac:dyDescent="0.25">
      <c r="A40" s="101">
        <f t="shared" si="1"/>
        <v>4</v>
      </c>
      <c r="B40" s="126" t="s">
        <v>41</v>
      </c>
      <c r="C40" s="126"/>
      <c r="D40" s="126"/>
      <c r="E40" s="126"/>
      <c r="F40" s="126"/>
      <c r="G40" s="126"/>
      <c r="H40" s="15">
        <f t="shared" si="0"/>
        <v>0</v>
      </c>
      <c r="I40" s="97">
        <f>IF(I7=10%,I25*I7,0)</f>
        <v>0</v>
      </c>
    </row>
    <row r="41" spans="1:10" ht="15" customHeight="1" x14ac:dyDescent="0.25">
      <c r="A41" s="101">
        <f t="shared" si="1"/>
        <v>5</v>
      </c>
      <c r="B41" s="126" t="s">
        <v>42</v>
      </c>
      <c r="C41" s="126"/>
      <c r="D41" s="126"/>
      <c r="E41" s="126"/>
      <c r="F41" s="126"/>
      <c r="G41" s="126"/>
      <c r="H41" s="15">
        <f t="shared" si="0"/>
        <v>0</v>
      </c>
      <c r="I41" s="97">
        <f>IF(I7=20%,I25*I7,0)</f>
        <v>0</v>
      </c>
    </row>
    <row r="42" spans="1:10" ht="15" customHeight="1" x14ac:dyDescent="0.25">
      <c r="A42" s="101">
        <f t="shared" si="1"/>
        <v>6</v>
      </c>
      <c r="B42" s="126" t="s">
        <v>43</v>
      </c>
      <c r="C42" s="126"/>
      <c r="D42" s="126"/>
      <c r="E42" s="126"/>
      <c r="F42" s="126"/>
      <c r="G42" s="126"/>
      <c r="H42" s="15">
        <f t="shared" si="0"/>
        <v>0</v>
      </c>
      <c r="I42" s="97">
        <f>IF(I7=40%,I25*I7,0)</f>
        <v>0</v>
      </c>
    </row>
    <row r="43" spans="1:10" ht="15" customHeight="1" x14ac:dyDescent="0.25">
      <c r="A43" s="101">
        <f t="shared" si="1"/>
        <v>7</v>
      </c>
      <c r="B43" s="126" t="s">
        <v>190</v>
      </c>
      <c r="C43" s="126"/>
      <c r="D43" s="126"/>
      <c r="E43" s="126"/>
      <c r="F43" s="126"/>
      <c r="G43" s="126"/>
      <c r="H43" s="15">
        <f t="shared" si="0"/>
        <v>0</v>
      </c>
      <c r="I43" s="97">
        <f>IF(I24="Não aplicável",0,I37*I24)</f>
        <v>0</v>
      </c>
    </row>
    <row r="44" spans="1:10" ht="15" customHeight="1" x14ac:dyDescent="0.25">
      <c r="A44" s="101">
        <f t="shared" si="1"/>
        <v>8</v>
      </c>
      <c r="B44" s="126" t="s">
        <v>44</v>
      </c>
      <c r="C44" s="126"/>
      <c r="D44" s="126"/>
      <c r="E44" s="126"/>
      <c r="F44" s="126"/>
      <c r="G44" s="126"/>
      <c r="H44" s="15">
        <f t="shared" si="0"/>
        <v>0</v>
      </c>
      <c r="I44" s="97">
        <f>IF(I26="Não aplicável",0,(I37+I38+I39+I40+I41+I42+I43+#REF!)/I5*I26*(1+I27))</f>
        <v>0</v>
      </c>
    </row>
    <row r="45" spans="1:10" ht="21" customHeight="1" x14ac:dyDescent="0.25">
      <c r="A45" s="101">
        <f t="shared" si="1"/>
        <v>9</v>
      </c>
      <c r="B45" s="126" t="s">
        <v>45</v>
      </c>
      <c r="C45" s="126"/>
      <c r="D45" s="126"/>
      <c r="E45" s="126"/>
      <c r="F45" s="126"/>
      <c r="G45" s="126"/>
      <c r="H45" s="15">
        <f t="shared" si="0"/>
        <v>0</v>
      </c>
      <c r="I45" s="97">
        <f>IF(I26="Não aplicável",0,I26/I13*5*(I10/H10*(1+I27)))</f>
        <v>0</v>
      </c>
    </row>
    <row r="46" spans="1:10" ht="15" customHeight="1" x14ac:dyDescent="0.25">
      <c r="A46" s="101">
        <f t="shared" si="1"/>
        <v>10</v>
      </c>
      <c r="B46" s="126" t="s">
        <v>180</v>
      </c>
      <c r="C46" s="126"/>
      <c r="D46" s="126"/>
      <c r="E46" s="126"/>
      <c r="F46" s="126"/>
      <c r="G46" s="126"/>
      <c r="H46" s="15">
        <f t="shared" si="0"/>
        <v>1.8738690885811968E-2</v>
      </c>
      <c r="I46" s="97">
        <f>I32*I33</f>
        <v>65.274750000000196</v>
      </c>
    </row>
    <row r="47" spans="1:10" ht="15" customHeight="1" x14ac:dyDescent="0.25">
      <c r="A47" s="101">
        <f t="shared" si="1"/>
        <v>11</v>
      </c>
      <c r="B47" s="194" t="s">
        <v>196</v>
      </c>
      <c r="C47" s="195"/>
      <c r="D47" s="195"/>
      <c r="E47" s="195"/>
      <c r="F47" s="195"/>
      <c r="G47" s="196"/>
      <c r="H47" s="15">
        <f t="shared" si="0"/>
        <v>0</v>
      </c>
      <c r="I47" s="97">
        <f>IF(OR(I7=10%,I7=20%,I7=40%),I46*I7,0)</f>
        <v>0</v>
      </c>
    </row>
    <row r="48" spans="1:10" ht="15" customHeight="1" x14ac:dyDescent="0.25">
      <c r="A48" s="101">
        <f t="shared" si="1"/>
        <v>12</v>
      </c>
      <c r="B48" s="194" t="s">
        <v>197</v>
      </c>
      <c r="C48" s="195"/>
      <c r="D48" s="195"/>
      <c r="E48" s="195"/>
      <c r="F48" s="195"/>
      <c r="G48" s="196"/>
      <c r="H48" s="15">
        <f t="shared" si="0"/>
        <v>5.6216072657435901E-3</v>
      </c>
      <c r="I48" s="97">
        <f>IF(I9=30%,I46*I9,0)</f>
        <v>19.582425000000057</v>
      </c>
    </row>
    <row r="49" spans="1:10" ht="15" customHeight="1" x14ac:dyDescent="0.25">
      <c r="A49" s="101">
        <f t="shared" si="1"/>
        <v>13</v>
      </c>
      <c r="B49" s="126" t="s">
        <v>181</v>
      </c>
      <c r="C49" s="126"/>
      <c r="D49" s="126"/>
      <c r="E49" s="126"/>
      <c r="F49" s="126"/>
      <c r="G49" s="126"/>
      <c r="H49" s="15">
        <f t="shared" si="0"/>
        <v>6.9242275790529009E-2</v>
      </c>
      <c r="I49" s="97">
        <f>I30*I31</f>
        <v>241.20000000000002</v>
      </c>
    </row>
    <row r="50" spans="1:10" ht="15" customHeight="1" x14ac:dyDescent="0.25">
      <c r="A50" s="101">
        <f t="shared" si="1"/>
        <v>14</v>
      </c>
      <c r="B50" s="194" t="s">
        <v>198</v>
      </c>
      <c r="C50" s="195"/>
      <c r="D50" s="195"/>
      <c r="E50" s="195"/>
      <c r="F50" s="195"/>
      <c r="G50" s="196"/>
      <c r="H50" s="15">
        <f t="shared" si="0"/>
        <v>0</v>
      </c>
      <c r="I50" s="97">
        <f>IF(OR(I7=10%,I7=20%,I7=40%),I49*I7,0)</f>
        <v>0</v>
      </c>
    </row>
    <row r="51" spans="1:10" ht="15" customHeight="1" x14ac:dyDescent="0.25">
      <c r="A51" s="101">
        <f t="shared" si="1"/>
        <v>15</v>
      </c>
      <c r="B51" s="194" t="s">
        <v>199</v>
      </c>
      <c r="C51" s="195"/>
      <c r="D51" s="195"/>
      <c r="E51" s="195"/>
      <c r="F51" s="195"/>
      <c r="G51" s="196"/>
      <c r="H51" s="15">
        <f t="shared" si="0"/>
        <v>2.0772682737158699E-2</v>
      </c>
      <c r="I51" s="97">
        <f>IF(I9=30%,I49*I9,0)</f>
        <v>72.36</v>
      </c>
    </row>
    <row r="52" spans="1:10" ht="24" customHeight="1" x14ac:dyDescent="0.25">
      <c r="A52" s="101">
        <f t="shared" si="1"/>
        <v>16</v>
      </c>
      <c r="B52" s="126" t="s">
        <v>182</v>
      </c>
      <c r="C52" s="126"/>
      <c r="D52" s="126"/>
      <c r="E52" s="126"/>
      <c r="F52" s="126"/>
      <c r="G52" s="126"/>
      <c r="H52" s="15">
        <f t="shared" si="0"/>
        <v>1.7596193335268195E-2</v>
      </c>
      <c r="I52" s="97">
        <f>(I46+I49)*0.2</f>
        <v>61.294950000000043</v>
      </c>
    </row>
    <row r="53" spans="1:10" ht="12.75" customHeight="1" x14ac:dyDescent="0.25">
      <c r="A53" s="101">
        <f t="shared" si="1"/>
        <v>17</v>
      </c>
      <c r="B53" s="126" t="s">
        <v>183</v>
      </c>
      <c r="C53" s="126"/>
      <c r="D53" s="126"/>
      <c r="E53" s="126"/>
      <c r="F53" s="126"/>
      <c r="G53" s="126"/>
      <c r="H53" s="15">
        <f t="shared" si="0"/>
        <v>7.1912065031208595E-3</v>
      </c>
      <c r="I53" s="97">
        <f>I12*I13</f>
        <v>25.049999999999997</v>
      </c>
    </row>
    <row r="54" spans="1:10" ht="12.75" customHeight="1" x14ac:dyDescent="0.25">
      <c r="A54" s="101">
        <f t="shared" si="1"/>
        <v>18</v>
      </c>
      <c r="B54" s="126" t="s">
        <v>184</v>
      </c>
      <c r="C54" s="126"/>
      <c r="D54" s="126"/>
      <c r="E54" s="126"/>
      <c r="F54" s="126"/>
      <c r="G54" s="126"/>
      <c r="H54" s="15">
        <f t="shared" si="0"/>
        <v>1.4382413006241721E-3</v>
      </c>
      <c r="I54" s="97">
        <f>I53*20%</f>
        <v>5.01</v>
      </c>
    </row>
    <row r="55" spans="1:10" s="19" customFormat="1" ht="15" customHeight="1" x14ac:dyDescent="0.25">
      <c r="A55" s="145" t="s">
        <v>48</v>
      </c>
      <c r="B55" s="145"/>
      <c r="C55" s="145"/>
      <c r="D55" s="145"/>
      <c r="E55" s="145"/>
      <c r="F55" s="145"/>
      <c r="G55" s="145"/>
      <c r="H55" s="16">
        <f>SUM(H37:H54)</f>
        <v>1</v>
      </c>
      <c r="I55" s="17">
        <f>SUM(I37:I54)</f>
        <v>3483.4210350000003</v>
      </c>
      <c r="J55" s="18"/>
    </row>
    <row r="56" spans="1:10" ht="4.5" customHeight="1" x14ac:dyDescent="0.25"/>
    <row r="57" spans="1:10" ht="33.75" customHeight="1" x14ac:dyDescent="0.25">
      <c r="A57" s="14" t="s">
        <v>49</v>
      </c>
      <c r="B57" s="143" t="s">
        <v>50</v>
      </c>
      <c r="C57" s="143"/>
      <c r="D57" s="143"/>
      <c r="E57" s="143"/>
      <c r="F57" s="143"/>
      <c r="G57" s="143"/>
      <c r="H57" s="14" t="s">
        <v>37</v>
      </c>
      <c r="I57" s="14" t="s">
        <v>38</v>
      </c>
    </row>
    <row r="58" spans="1:10" ht="15" customHeight="1" x14ac:dyDescent="0.25">
      <c r="A58" s="101">
        <v>1</v>
      </c>
      <c r="B58" s="126" t="s">
        <v>51</v>
      </c>
      <c r="C58" s="126"/>
      <c r="D58" s="126"/>
      <c r="E58" s="126"/>
      <c r="F58" s="126"/>
      <c r="G58" s="126"/>
      <c r="H58" s="15">
        <v>0.2</v>
      </c>
      <c r="I58" s="97">
        <f t="shared" ref="I58:I65" si="2">$I$55*H58</f>
        <v>696.68420700000013</v>
      </c>
    </row>
    <row r="59" spans="1:10" ht="15" customHeight="1" x14ac:dyDescent="0.25">
      <c r="A59" s="101">
        <v>2</v>
      </c>
      <c r="B59" s="126" t="s">
        <v>52</v>
      </c>
      <c r="C59" s="126"/>
      <c r="D59" s="126"/>
      <c r="E59" s="126"/>
      <c r="F59" s="126"/>
      <c r="G59" s="126"/>
      <c r="H59" s="15">
        <v>1.4999999999999999E-2</v>
      </c>
      <c r="I59" s="97">
        <f t="shared" si="2"/>
        <v>52.251315525000003</v>
      </c>
    </row>
    <row r="60" spans="1:10" ht="15" customHeight="1" x14ac:dyDescent="0.25">
      <c r="A60" s="101">
        <v>3</v>
      </c>
      <c r="B60" s="126" t="s">
        <v>53</v>
      </c>
      <c r="C60" s="126"/>
      <c r="D60" s="126"/>
      <c r="E60" s="126"/>
      <c r="F60" s="126"/>
      <c r="G60" s="126"/>
      <c r="H60" s="15">
        <v>0.01</v>
      </c>
      <c r="I60" s="97">
        <f t="shared" si="2"/>
        <v>34.834210350000006</v>
      </c>
    </row>
    <row r="61" spans="1:10" ht="15" customHeight="1" x14ac:dyDescent="0.25">
      <c r="A61" s="101">
        <v>4</v>
      </c>
      <c r="B61" s="126" t="s">
        <v>54</v>
      </c>
      <c r="C61" s="126"/>
      <c r="D61" s="126"/>
      <c r="E61" s="126"/>
      <c r="F61" s="126"/>
      <c r="G61" s="126"/>
      <c r="H61" s="15">
        <v>2E-3</v>
      </c>
      <c r="I61" s="97">
        <f t="shared" si="2"/>
        <v>6.9668420700000011</v>
      </c>
    </row>
    <row r="62" spans="1:10" ht="15" customHeight="1" x14ac:dyDescent="0.25">
      <c r="A62" s="101">
        <v>5</v>
      </c>
      <c r="B62" s="126" t="s">
        <v>55</v>
      </c>
      <c r="C62" s="126"/>
      <c r="D62" s="126"/>
      <c r="E62" s="126"/>
      <c r="F62" s="126"/>
      <c r="G62" s="126"/>
      <c r="H62" s="15">
        <v>2.5000000000000001E-2</v>
      </c>
      <c r="I62" s="97">
        <f t="shared" si="2"/>
        <v>87.085525875000016</v>
      </c>
    </row>
    <row r="63" spans="1:10" ht="15" customHeight="1" x14ac:dyDescent="0.25">
      <c r="A63" s="101">
        <v>6</v>
      </c>
      <c r="B63" s="126" t="s">
        <v>56</v>
      </c>
      <c r="C63" s="126"/>
      <c r="D63" s="126"/>
      <c r="E63" s="126"/>
      <c r="F63" s="126"/>
      <c r="G63" s="126"/>
      <c r="H63" s="15">
        <v>0.08</v>
      </c>
      <c r="I63" s="97">
        <f t="shared" si="2"/>
        <v>278.67368280000005</v>
      </c>
    </row>
    <row r="64" spans="1:10" ht="15" customHeight="1" x14ac:dyDescent="0.25">
      <c r="A64" s="101">
        <v>7</v>
      </c>
      <c r="B64" s="126" t="s">
        <v>57</v>
      </c>
      <c r="C64" s="126"/>
      <c r="D64" s="126"/>
      <c r="E64" s="126"/>
      <c r="F64" s="126"/>
      <c r="G64" s="126"/>
      <c r="H64" s="15">
        <v>0.03</v>
      </c>
      <c r="I64" s="97">
        <f t="shared" si="2"/>
        <v>104.50263105000001</v>
      </c>
    </row>
    <row r="65" spans="1:10" ht="15" customHeight="1" x14ac:dyDescent="0.25">
      <c r="A65" s="101">
        <v>8</v>
      </c>
      <c r="B65" s="126" t="s">
        <v>58</v>
      </c>
      <c r="C65" s="126"/>
      <c r="D65" s="126"/>
      <c r="E65" s="126"/>
      <c r="F65" s="126"/>
      <c r="G65" s="126"/>
      <c r="H65" s="15">
        <v>6.0000000000000001E-3</v>
      </c>
      <c r="I65" s="97">
        <f t="shared" si="2"/>
        <v>20.900526210000002</v>
      </c>
    </row>
    <row r="66" spans="1:10" s="19" customFormat="1" ht="15" customHeight="1" x14ac:dyDescent="0.25">
      <c r="A66" s="145" t="s">
        <v>59</v>
      </c>
      <c r="B66" s="145"/>
      <c r="C66" s="145"/>
      <c r="D66" s="145"/>
      <c r="E66" s="145"/>
      <c r="F66" s="145"/>
      <c r="G66" s="145"/>
      <c r="H66" s="16">
        <f>SUM(H58:H65)</f>
        <v>0.3680000000000001</v>
      </c>
      <c r="I66" s="17">
        <f>SUM(I58:I65)</f>
        <v>1281.8989408800001</v>
      </c>
      <c r="J66" s="18"/>
    </row>
    <row r="67" spans="1:10" ht="15" customHeight="1" x14ac:dyDescent="0.25">
      <c r="A67" s="149" t="s">
        <v>60</v>
      </c>
      <c r="B67" s="149"/>
      <c r="C67" s="149"/>
      <c r="D67" s="149"/>
      <c r="E67" s="149"/>
      <c r="F67" s="149"/>
      <c r="G67" s="149"/>
      <c r="H67" s="149"/>
      <c r="I67" s="149"/>
    </row>
    <row r="68" spans="1:10" ht="30.75" customHeight="1" x14ac:dyDescent="0.25">
      <c r="A68" s="150" t="s">
        <v>61</v>
      </c>
      <c r="B68" s="150"/>
      <c r="C68" s="150"/>
      <c r="D68" s="150"/>
      <c r="E68" s="150"/>
      <c r="F68" s="150"/>
      <c r="G68" s="150"/>
      <c r="H68" s="150"/>
      <c r="I68" s="150"/>
    </row>
    <row r="69" spans="1:10" ht="33.75" customHeight="1" x14ac:dyDescent="0.25">
      <c r="A69" s="14" t="s">
        <v>62</v>
      </c>
      <c r="B69" s="143" t="s">
        <v>63</v>
      </c>
      <c r="C69" s="143"/>
      <c r="D69" s="143"/>
      <c r="E69" s="143"/>
      <c r="F69" s="143"/>
      <c r="G69" s="143"/>
      <c r="H69" s="14" t="s">
        <v>37</v>
      </c>
      <c r="I69" s="14" t="s">
        <v>38</v>
      </c>
    </row>
    <row r="70" spans="1:10" ht="15" customHeight="1" x14ac:dyDescent="0.25">
      <c r="A70" s="101">
        <v>1</v>
      </c>
      <c r="B70" s="126" t="s">
        <v>64</v>
      </c>
      <c r="C70" s="126"/>
      <c r="D70" s="126"/>
      <c r="E70" s="126"/>
      <c r="F70" s="126"/>
      <c r="G70" s="126"/>
      <c r="H70" s="15">
        <v>0.119314</v>
      </c>
      <c r="I70" s="97">
        <f t="shared" ref="I70:I77" si="3">$I$55*H70</f>
        <v>415.62089736999008</v>
      </c>
    </row>
    <row r="71" spans="1:10" ht="15" customHeight="1" x14ac:dyDescent="0.25">
      <c r="A71" s="101">
        <v>2</v>
      </c>
      <c r="B71" s="126" t="s">
        <v>65</v>
      </c>
      <c r="C71" s="126"/>
      <c r="D71" s="126"/>
      <c r="E71" s="126"/>
      <c r="F71" s="126"/>
      <c r="G71" s="126"/>
      <c r="H71" s="15">
        <v>2.0479000000000001E-2</v>
      </c>
      <c r="I71" s="97">
        <f t="shared" si="3"/>
        <v>71.336979375765011</v>
      </c>
    </row>
    <row r="72" spans="1:10" ht="15" customHeight="1" x14ac:dyDescent="0.25">
      <c r="A72" s="101">
        <v>3</v>
      </c>
      <c r="B72" s="126" t="s">
        <v>66</v>
      </c>
      <c r="C72" s="126"/>
      <c r="D72" s="126"/>
      <c r="E72" s="126"/>
      <c r="F72" s="126"/>
      <c r="G72" s="126"/>
      <c r="H72" s="15">
        <v>1.2123E-2</v>
      </c>
      <c r="I72" s="97">
        <f t="shared" si="3"/>
        <v>42.229513207305004</v>
      </c>
    </row>
    <row r="73" spans="1:10" ht="15" customHeight="1" x14ac:dyDescent="0.25">
      <c r="A73" s="101">
        <v>4</v>
      </c>
      <c r="B73" s="126" t="s">
        <v>67</v>
      </c>
      <c r="C73" s="126"/>
      <c r="D73" s="126"/>
      <c r="E73" s="126"/>
      <c r="F73" s="126"/>
      <c r="G73" s="126"/>
      <c r="H73" s="15">
        <v>1.1436E-2</v>
      </c>
      <c r="I73" s="97">
        <f t="shared" si="3"/>
        <v>39.836402956260002</v>
      </c>
    </row>
    <row r="74" spans="1:10" ht="15" customHeight="1" x14ac:dyDescent="0.25">
      <c r="A74" s="101">
        <v>5</v>
      </c>
      <c r="B74" s="126" t="s">
        <v>68</v>
      </c>
      <c r="C74" s="126"/>
      <c r="D74" s="126"/>
      <c r="E74" s="126"/>
      <c r="F74" s="126"/>
      <c r="G74" s="126"/>
      <c r="H74" s="15">
        <v>1.74E-4</v>
      </c>
      <c r="I74" s="97">
        <f t="shared" si="3"/>
        <v>0.60611526009000005</v>
      </c>
    </row>
    <row r="75" spans="1:10" ht="15" customHeight="1" x14ac:dyDescent="0.25">
      <c r="A75" s="101">
        <v>6</v>
      </c>
      <c r="B75" s="126" t="s">
        <v>69</v>
      </c>
      <c r="C75" s="126"/>
      <c r="D75" s="126"/>
      <c r="E75" s="126"/>
      <c r="F75" s="126"/>
      <c r="G75" s="126"/>
      <c r="H75" s="15">
        <v>4.4200000000000001E-4</v>
      </c>
      <c r="I75" s="97">
        <f t="shared" si="3"/>
        <v>1.5396720974700002</v>
      </c>
    </row>
    <row r="76" spans="1:10" ht="15" customHeight="1" x14ac:dyDescent="0.25">
      <c r="A76" s="101">
        <v>7</v>
      </c>
      <c r="B76" s="126" t="s">
        <v>70</v>
      </c>
      <c r="C76" s="126"/>
      <c r="D76" s="126"/>
      <c r="E76" s="126"/>
      <c r="F76" s="126"/>
      <c r="G76" s="126"/>
      <c r="H76" s="15">
        <v>1.85E-4</v>
      </c>
      <c r="I76" s="97">
        <f t="shared" si="3"/>
        <v>0.64443289147500005</v>
      </c>
    </row>
    <row r="77" spans="1:10" ht="15" customHeight="1" x14ac:dyDescent="0.25">
      <c r="A77" s="101">
        <v>8</v>
      </c>
      <c r="B77" s="126" t="s">
        <v>71</v>
      </c>
      <c r="C77" s="126"/>
      <c r="D77" s="126"/>
      <c r="E77" s="126"/>
      <c r="F77" s="126"/>
      <c r="G77" s="126"/>
      <c r="H77" s="15">
        <v>9.0789999999999996E-2</v>
      </c>
      <c r="I77" s="97">
        <f t="shared" si="3"/>
        <v>316.25979576765002</v>
      </c>
    </row>
    <row r="78" spans="1:10" s="19" customFormat="1" ht="15" customHeight="1" x14ac:dyDescent="0.25">
      <c r="A78" s="145" t="s">
        <v>72</v>
      </c>
      <c r="B78" s="145"/>
      <c r="C78" s="145"/>
      <c r="D78" s="145"/>
      <c r="E78" s="145"/>
      <c r="F78" s="145"/>
      <c r="G78" s="145"/>
      <c r="H78" s="16">
        <f>SUM(H70:H77)</f>
        <v>0.25494299999999998</v>
      </c>
      <c r="I78" s="17">
        <f>SUM(I70:I77)</f>
        <v>888.07380892600509</v>
      </c>
      <c r="J78" s="18"/>
    </row>
    <row r="79" spans="1:10" ht="11.25" customHeight="1" x14ac:dyDescent="0.25">
      <c r="A79" s="20" t="s">
        <v>73</v>
      </c>
      <c r="B79" s="151" t="s">
        <v>74</v>
      </c>
      <c r="C79" s="151"/>
      <c r="D79" s="151"/>
      <c r="E79" s="151"/>
      <c r="F79" s="151"/>
      <c r="G79" s="151"/>
      <c r="H79" s="151"/>
      <c r="I79" s="151"/>
    </row>
    <row r="80" spans="1:10" ht="15" customHeight="1" x14ac:dyDescent="0.25">
      <c r="A80" s="20" t="s">
        <v>75</v>
      </c>
      <c r="B80" s="152" t="s">
        <v>76</v>
      </c>
      <c r="C80" s="152"/>
      <c r="D80" s="152"/>
      <c r="E80" s="152"/>
      <c r="F80" s="152"/>
      <c r="G80" s="152"/>
      <c r="H80" s="152"/>
      <c r="I80" s="152"/>
    </row>
    <row r="81" spans="1:11" ht="33.75" customHeight="1" x14ac:dyDescent="0.25">
      <c r="A81" s="14" t="s">
        <v>77</v>
      </c>
      <c r="B81" s="143" t="s">
        <v>78</v>
      </c>
      <c r="C81" s="143"/>
      <c r="D81" s="143"/>
      <c r="E81" s="143"/>
      <c r="F81" s="143"/>
      <c r="G81" s="143"/>
      <c r="H81" s="14" t="s">
        <v>37</v>
      </c>
      <c r="I81" s="14" t="s">
        <v>38</v>
      </c>
    </row>
    <row r="82" spans="1:11" ht="15" customHeight="1" x14ac:dyDescent="0.25">
      <c r="A82" s="101">
        <v>1</v>
      </c>
      <c r="B82" s="126" t="s">
        <v>79</v>
      </c>
      <c r="C82" s="126"/>
      <c r="D82" s="126"/>
      <c r="E82" s="126"/>
      <c r="F82" s="126"/>
      <c r="G82" s="126"/>
      <c r="H82" s="15">
        <v>4.8321000000000003E-2</v>
      </c>
      <c r="I82" s="97">
        <f>$I$55*H82</f>
        <v>168.32238783223502</v>
      </c>
    </row>
    <row r="83" spans="1:11" ht="15" customHeight="1" x14ac:dyDescent="0.25">
      <c r="A83" s="101">
        <v>2</v>
      </c>
      <c r="B83" s="126" t="s">
        <v>80</v>
      </c>
      <c r="C83" s="126"/>
      <c r="D83" s="126"/>
      <c r="E83" s="126"/>
      <c r="F83" s="126"/>
      <c r="G83" s="126"/>
      <c r="H83" s="15">
        <v>3.5109999999999998E-3</v>
      </c>
      <c r="I83" s="97">
        <f>$I$55*H83</f>
        <v>12.230291253884999</v>
      </c>
    </row>
    <row r="84" spans="1:11" ht="15" customHeight="1" x14ac:dyDescent="0.25">
      <c r="A84" s="101">
        <v>3</v>
      </c>
      <c r="B84" s="126" t="s">
        <v>81</v>
      </c>
      <c r="C84" s="126"/>
      <c r="D84" s="126"/>
      <c r="E84" s="126"/>
      <c r="F84" s="126"/>
      <c r="G84" s="126"/>
      <c r="H84" s="15">
        <v>1.9328000000000001E-2</v>
      </c>
      <c r="I84" s="97">
        <f>$I$55*H84</f>
        <v>67.327561764480009</v>
      </c>
    </row>
    <row r="85" spans="1:11" s="19" customFormat="1" ht="15" customHeight="1" x14ac:dyDescent="0.25">
      <c r="A85" s="145" t="s">
        <v>82</v>
      </c>
      <c r="B85" s="145"/>
      <c r="C85" s="145"/>
      <c r="D85" s="145"/>
      <c r="E85" s="145"/>
      <c r="F85" s="145"/>
      <c r="G85" s="145"/>
      <c r="H85" s="16">
        <f>SUM(H82:H84)</f>
        <v>7.1160000000000001E-2</v>
      </c>
      <c r="I85" s="17">
        <f>SUM(I82:I84)</f>
        <v>247.88024085060002</v>
      </c>
      <c r="J85" s="18"/>
    </row>
    <row r="86" spans="1:11" ht="4.5" customHeight="1" x14ac:dyDescent="0.25"/>
    <row r="87" spans="1:11" ht="33.75" customHeight="1" x14ac:dyDescent="0.25">
      <c r="A87" s="14" t="s">
        <v>83</v>
      </c>
      <c r="B87" s="143" t="s">
        <v>84</v>
      </c>
      <c r="C87" s="143"/>
      <c r="D87" s="143"/>
      <c r="E87" s="143"/>
      <c r="F87" s="143"/>
      <c r="G87" s="143"/>
      <c r="H87" s="14" t="s">
        <v>37</v>
      </c>
      <c r="I87" s="14" t="s">
        <v>38</v>
      </c>
    </row>
    <row r="88" spans="1:11" ht="15" customHeight="1" x14ac:dyDescent="0.25">
      <c r="A88" s="101">
        <v>1</v>
      </c>
      <c r="B88" s="126" t="s">
        <v>85</v>
      </c>
      <c r="C88" s="126"/>
      <c r="D88" s="126"/>
      <c r="E88" s="126"/>
      <c r="F88" s="126"/>
      <c r="G88" s="126"/>
      <c r="H88" s="15">
        <f>(H66*H78)</f>
        <v>9.3819024000000015E-2</v>
      </c>
      <c r="I88" s="97">
        <f>$I$55*H88</f>
        <v>326.8111616847699</v>
      </c>
    </row>
    <row r="89" spans="1:11" s="19" customFormat="1" ht="15" customHeight="1" x14ac:dyDescent="0.25">
      <c r="A89" s="145" t="s">
        <v>86</v>
      </c>
      <c r="B89" s="145"/>
      <c r="C89" s="145"/>
      <c r="D89" s="145"/>
      <c r="E89" s="145"/>
      <c r="F89" s="145"/>
      <c r="G89" s="145"/>
      <c r="H89" s="16">
        <f>SUM(H88:H88)</f>
        <v>9.3819024000000015E-2</v>
      </c>
      <c r="I89" s="17">
        <f>I88</f>
        <v>326.8111616847699</v>
      </c>
      <c r="J89" s="18"/>
      <c r="K89" s="21"/>
    </row>
    <row r="90" spans="1:11" ht="4.5" customHeight="1" x14ac:dyDescent="0.25">
      <c r="J90" s="22"/>
    </row>
    <row r="91" spans="1:11" s="19" customFormat="1" ht="12" customHeight="1" x14ac:dyDescent="0.25">
      <c r="A91" s="155" t="s">
        <v>200</v>
      </c>
      <c r="B91" s="155"/>
      <c r="C91" s="155"/>
      <c r="D91" s="155"/>
      <c r="E91" s="155"/>
      <c r="F91" s="155"/>
      <c r="G91" s="155"/>
      <c r="H91" s="23">
        <f>H66+H78+H85+H89</f>
        <v>0.787922024</v>
      </c>
      <c r="I91" s="24">
        <f>I66+I78+I85+I89</f>
        <v>2744.664152341375</v>
      </c>
      <c r="J91" s="18"/>
    </row>
    <row r="92" spans="1:11" ht="4.5" customHeight="1" x14ac:dyDescent="0.25"/>
    <row r="93" spans="1:11" ht="33.75" customHeight="1" x14ac:dyDescent="0.25">
      <c r="A93" s="14" t="s">
        <v>87</v>
      </c>
      <c r="B93" s="143" t="s">
        <v>88</v>
      </c>
      <c r="C93" s="143"/>
      <c r="D93" s="143"/>
      <c r="E93" s="143"/>
      <c r="F93" s="143"/>
      <c r="G93" s="143"/>
      <c r="H93" s="14" t="s">
        <v>37</v>
      </c>
      <c r="I93" s="14" t="s">
        <v>38</v>
      </c>
    </row>
    <row r="94" spans="1:11" ht="15" customHeight="1" x14ac:dyDescent="0.25">
      <c r="A94" s="101">
        <v>1</v>
      </c>
      <c r="B94" s="126" t="s">
        <v>24</v>
      </c>
      <c r="C94" s="126"/>
      <c r="D94" s="126"/>
      <c r="E94" s="126"/>
      <c r="F94" s="126"/>
      <c r="G94" s="126"/>
      <c r="H94" s="15">
        <f>I94/$I$55</f>
        <v>0.11368134831280881</v>
      </c>
      <c r="I94" s="97">
        <f>I111</f>
        <v>396</v>
      </c>
    </row>
    <row r="95" spans="1:11" ht="15" customHeight="1" x14ac:dyDescent="0.25">
      <c r="A95" s="101">
        <v>2</v>
      </c>
      <c r="B95" s="126" t="s">
        <v>25</v>
      </c>
      <c r="C95" s="126"/>
      <c r="D95" s="126"/>
      <c r="E95" s="126"/>
      <c r="F95" s="126"/>
      <c r="G95" s="126"/>
      <c r="H95" s="15">
        <f>I95/$I$55</f>
        <v>0</v>
      </c>
      <c r="I95" s="97">
        <f>I107</f>
        <v>0</v>
      </c>
    </row>
    <row r="96" spans="1:11" ht="15" customHeight="1" x14ac:dyDescent="0.25">
      <c r="A96" s="101">
        <v>3</v>
      </c>
      <c r="B96" s="126" t="s">
        <v>89</v>
      </c>
      <c r="C96" s="126"/>
      <c r="D96" s="126"/>
      <c r="E96" s="126"/>
      <c r="F96" s="126"/>
      <c r="G96" s="126"/>
      <c r="H96" s="15">
        <f>I96/$I$55</f>
        <v>1.3590088457394872E-2</v>
      </c>
      <c r="I96" s="97">
        <f>I103</f>
        <v>47.34</v>
      </c>
    </row>
    <row r="97" spans="1:10" ht="15" customHeight="1" x14ac:dyDescent="0.25">
      <c r="A97" s="101">
        <v>4</v>
      </c>
      <c r="B97" s="126" t="s">
        <v>90</v>
      </c>
      <c r="C97" s="126"/>
      <c r="D97" s="126"/>
      <c r="E97" s="126"/>
      <c r="F97" s="126"/>
      <c r="G97" s="126"/>
      <c r="H97" s="15">
        <f>I97/$I$55</f>
        <v>6.4914633553620954E-2</v>
      </c>
      <c r="I97" s="97">
        <f>IF(I28="Não aplicável",0,((I10/H10)*1.5*I28))</f>
        <v>226.12500000000003</v>
      </c>
    </row>
    <row r="98" spans="1:10" ht="15" customHeight="1" x14ac:dyDescent="0.25">
      <c r="A98" s="101">
        <v>5</v>
      </c>
      <c r="B98" s="126" t="s">
        <v>91</v>
      </c>
      <c r="C98" s="126"/>
      <c r="D98" s="126"/>
      <c r="E98" s="126"/>
      <c r="F98" s="126"/>
      <c r="G98" s="126"/>
      <c r="H98" s="15">
        <f>I98/$I$55</f>
        <v>2.2965928952082586E-2</v>
      </c>
      <c r="I98" s="97">
        <f>IF(I23="Não aplicável",0,I23)</f>
        <v>80</v>
      </c>
    </row>
    <row r="99" spans="1:10" ht="13.5" customHeight="1" x14ac:dyDescent="0.25">
      <c r="A99" s="145" t="s">
        <v>92</v>
      </c>
      <c r="B99" s="145"/>
      <c r="C99" s="145"/>
      <c r="D99" s="145"/>
      <c r="E99" s="145"/>
      <c r="F99" s="145"/>
      <c r="G99" s="145"/>
      <c r="H99" s="16">
        <f>SUM(H94:H98)</f>
        <v>0.21515199927590722</v>
      </c>
      <c r="I99" s="17">
        <f>SUM(I94:I98)</f>
        <v>749.46500000000003</v>
      </c>
      <c r="J99" s="25"/>
    </row>
    <row r="100" spans="1:10" ht="5.25" customHeight="1" x14ac:dyDescent="0.25">
      <c r="A100" s="20"/>
      <c r="B100" s="149"/>
      <c r="C100" s="149"/>
      <c r="D100" s="149"/>
      <c r="E100" s="149"/>
      <c r="F100" s="149"/>
      <c r="G100" s="149"/>
      <c r="H100" s="26"/>
      <c r="I100" s="27"/>
    </row>
    <row r="101" spans="1:10" ht="15" customHeight="1" x14ac:dyDescent="0.25">
      <c r="A101" s="153" t="s">
        <v>95</v>
      </c>
      <c r="B101" s="153"/>
      <c r="C101" s="153"/>
      <c r="D101" s="153"/>
      <c r="E101" s="153"/>
      <c r="F101" s="153"/>
      <c r="G101" s="153"/>
      <c r="H101" s="153"/>
      <c r="I101" s="153"/>
    </row>
    <row r="102" spans="1:10" ht="24" customHeight="1" x14ac:dyDescent="0.25">
      <c r="A102" s="136" t="s">
        <v>96</v>
      </c>
      <c r="B102" s="136"/>
      <c r="C102" s="101" t="s">
        <v>97</v>
      </c>
      <c r="D102" s="101" t="s">
        <v>98</v>
      </c>
      <c r="E102" s="101" t="s">
        <v>99</v>
      </c>
      <c r="F102" s="101" t="s">
        <v>100</v>
      </c>
      <c r="G102" s="101" t="s">
        <v>101</v>
      </c>
      <c r="H102" s="15" t="s">
        <v>102</v>
      </c>
      <c r="I102" s="97" t="s">
        <v>103</v>
      </c>
    </row>
    <row r="103" spans="1:10" ht="15" customHeight="1" x14ac:dyDescent="0.25">
      <c r="A103" s="154">
        <f>IF(I14="Não aplicável",0,I14)</f>
        <v>6</v>
      </c>
      <c r="B103" s="154"/>
      <c r="C103" s="101">
        <f>IF(I15="Não aplicável",0,I15)</f>
        <v>15</v>
      </c>
      <c r="D103" s="101">
        <v>2</v>
      </c>
      <c r="E103" s="102">
        <f>A103*C103*D103</f>
        <v>180</v>
      </c>
      <c r="F103" s="102">
        <f>I37</f>
        <v>2211</v>
      </c>
      <c r="G103" s="28">
        <f>IF(I16="Não aplicável",0,I16)</f>
        <v>0.06</v>
      </c>
      <c r="H103" s="102">
        <f>F103*G103</f>
        <v>132.66</v>
      </c>
      <c r="I103" s="97">
        <f>IF((E103-H103)&gt;0,E103-H103,0)</f>
        <v>47.34</v>
      </c>
    </row>
    <row r="104" spans="1:10" ht="4.5" customHeight="1" x14ac:dyDescent="0.25">
      <c r="A104" s="29"/>
      <c r="E104" s="25"/>
      <c r="F104" s="25"/>
      <c r="G104" s="30"/>
      <c r="H104" s="25"/>
      <c r="I104" s="31"/>
    </row>
    <row r="105" spans="1:10" ht="15" customHeight="1" x14ac:dyDescent="0.25">
      <c r="A105" s="153" t="s">
        <v>104</v>
      </c>
      <c r="B105" s="153"/>
      <c r="C105" s="153"/>
      <c r="D105" s="153"/>
      <c r="E105" s="153"/>
      <c r="F105" s="153"/>
      <c r="G105" s="153"/>
      <c r="H105" s="153"/>
      <c r="I105" s="153"/>
    </row>
    <row r="106" spans="1:10" ht="24" customHeight="1" x14ac:dyDescent="0.25">
      <c r="A106" s="136" t="s">
        <v>96</v>
      </c>
      <c r="B106" s="136"/>
      <c r="C106" s="101" t="s">
        <v>105</v>
      </c>
      <c r="D106" s="101" t="s">
        <v>98</v>
      </c>
      <c r="E106" s="101" t="s">
        <v>99</v>
      </c>
      <c r="F106" s="101" t="s">
        <v>100</v>
      </c>
      <c r="G106" s="101" t="s">
        <v>101</v>
      </c>
      <c r="H106" s="15" t="s">
        <v>102</v>
      </c>
      <c r="I106" s="97" t="s">
        <v>103</v>
      </c>
    </row>
    <row r="107" spans="1:10" ht="15" customHeight="1" x14ac:dyDescent="0.25">
      <c r="A107" s="157">
        <f>IF(I20="Não aplicável",0,I20)</f>
        <v>0</v>
      </c>
      <c r="B107" s="157"/>
      <c r="C107" s="32">
        <f>IF(I21="Não aplicável",0,I21)</f>
        <v>0</v>
      </c>
      <c r="D107" s="101">
        <v>1</v>
      </c>
      <c r="E107" s="102">
        <f>A107*C107*D107</f>
        <v>0</v>
      </c>
      <c r="F107" s="102">
        <f>E107</f>
        <v>0</v>
      </c>
      <c r="G107" s="33">
        <f>IF(I22="Não aplicável",0,I22)</f>
        <v>0</v>
      </c>
      <c r="H107" s="102">
        <f>F107*G107</f>
        <v>0</v>
      </c>
      <c r="I107" s="97">
        <f>E107-H107</f>
        <v>0</v>
      </c>
    </row>
    <row r="108" spans="1:10" ht="4.5" customHeight="1" x14ac:dyDescent="0.25">
      <c r="A108" s="34"/>
      <c r="B108" s="34"/>
      <c r="C108" s="34"/>
      <c r="D108" s="34"/>
      <c r="E108" s="18"/>
      <c r="F108" s="18"/>
      <c r="G108" s="35"/>
      <c r="H108" s="18"/>
      <c r="I108" s="36"/>
    </row>
    <row r="109" spans="1:10" ht="15" customHeight="1" x14ac:dyDescent="0.25">
      <c r="A109" s="153" t="s">
        <v>106</v>
      </c>
      <c r="B109" s="153"/>
      <c r="C109" s="153"/>
      <c r="D109" s="153"/>
      <c r="E109" s="153"/>
      <c r="F109" s="153"/>
      <c r="G109" s="153"/>
      <c r="H109" s="153"/>
      <c r="I109" s="153"/>
    </row>
    <row r="110" spans="1:10" ht="23.25" customHeight="1" x14ac:dyDescent="0.25">
      <c r="A110" s="136" t="s">
        <v>96</v>
      </c>
      <c r="B110" s="136"/>
      <c r="C110" s="101" t="s">
        <v>105</v>
      </c>
      <c r="D110" s="101" t="s">
        <v>98</v>
      </c>
      <c r="E110" s="101" t="s">
        <v>99</v>
      </c>
      <c r="F110" s="101" t="s">
        <v>100</v>
      </c>
      <c r="G110" s="101" t="s">
        <v>101</v>
      </c>
      <c r="H110" s="15" t="str">
        <f>H102</f>
        <v>Valor desconto</v>
      </c>
      <c r="I110" s="97" t="s">
        <v>103</v>
      </c>
    </row>
    <row r="111" spans="1:10" ht="15" customHeight="1" x14ac:dyDescent="0.25">
      <c r="A111" s="157">
        <f>IF(I17="Não aplicável",0,I17)</f>
        <v>33</v>
      </c>
      <c r="B111" s="157"/>
      <c r="C111" s="32">
        <f>IF(I18="Não aplicável",0,I18)</f>
        <v>15</v>
      </c>
      <c r="D111" s="101">
        <v>1</v>
      </c>
      <c r="E111" s="102">
        <f>A111*C111*D111</f>
        <v>495</v>
      </c>
      <c r="F111" s="102">
        <f>E111</f>
        <v>495</v>
      </c>
      <c r="G111" s="33">
        <f>IF(I19="Não aplicável",0,I19)</f>
        <v>0.2</v>
      </c>
      <c r="H111" s="102">
        <f>F111*G111</f>
        <v>99</v>
      </c>
      <c r="I111" s="97">
        <f>E111-H111</f>
        <v>396</v>
      </c>
    </row>
    <row r="112" spans="1:10" ht="4.5" customHeight="1" x14ac:dyDescent="0.25"/>
    <row r="113" spans="1:12" ht="12" customHeight="1" x14ac:dyDescent="0.25">
      <c r="A113" s="156" t="s">
        <v>107</v>
      </c>
      <c r="B113" s="156"/>
      <c r="C113" s="156"/>
      <c r="D113" s="156"/>
      <c r="E113" s="156"/>
      <c r="F113" s="156"/>
      <c r="G113" s="156"/>
      <c r="H113" s="37">
        <f>H55+H91+H99</f>
        <v>2.0030740232759072</v>
      </c>
      <c r="I113" s="38">
        <f>I55+I91+I99</f>
        <v>6977.5501873413759</v>
      </c>
      <c r="J113" s="25"/>
      <c r="L113" s="25"/>
    </row>
    <row r="114" spans="1:12" s="43" customFormat="1" ht="4.5" customHeight="1" x14ac:dyDescent="0.25">
      <c r="A114" s="39"/>
      <c r="B114" s="39"/>
      <c r="C114" s="39"/>
      <c r="D114" s="39"/>
      <c r="E114" s="39"/>
      <c r="F114" s="39"/>
      <c r="G114" s="39"/>
      <c r="H114" s="40"/>
      <c r="I114" s="41"/>
      <c r="J114" s="42"/>
      <c r="L114" s="42"/>
    </row>
    <row r="115" spans="1:12" ht="11.25" customHeight="1" x14ac:dyDescent="0.25">
      <c r="A115" s="142" t="s">
        <v>108</v>
      </c>
      <c r="B115" s="142"/>
      <c r="C115" s="142"/>
      <c r="D115" s="142"/>
      <c r="E115" s="142"/>
      <c r="F115" s="142"/>
      <c r="G115" s="142"/>
      <c r="H115" s="142"/>
      <c r="I115" s="142"/>
    </row>
    <row r="116" spans="1:12" ht="33.75" customHeight="1" x14ac:dyDescent="0.25">
      <c r="A116" s="14" t="s">
        <v>35</v>
      </c>
      <c r="B116" s="143" t="s">
        <v>109</v>
      </c>
      <c r="C116" s="143"/>
      <c r="D116" s="143"/>
      <c r="E116" s="143"/>
      <c r="F116" s="143"/>
      <c r="G116" s="143"/>
      <c r="H116" s="14" t="s">
        <v>37</v>
      </c>
      <c r="I116" s="14" t="s">
        <v>38</v>
      </c>
    </row>
    <row r="117" spans="1:12" ht="15" customHeight="1" x14ac:dyDescent="0.25">
      <c r="A117" s="101">
        <v>1</v>
      </c>
      <c r="B117" s="126" t="s">
        <v>110</v>
      </c>
      <c r="C117" s="126"/>
      <c r="D117" s="126"/>
      <c r="E117" s="126"/>
      <c r="F117" s="126"/>
      <c r="G117" s="126"/>
      <c r="H117" s="15">
        <f t="shared" ref="H117:H123" si="4">I117/$I$129</f>
        <v>0</v>
      </c>
      <c r="I117" s="97">
        <v>0</v>
      </c>
    </row>
    <row r="118" spans="1:12" ht="15" customHeight="1" x14ac:dyDescent="0.25">
      <c r="A118" s="101">
        <v>2</v>
      </c>
      <c r="B118" s="125" t="s">
        <v>111</v>
      </c>
      <c r="C118" s="125"/>
      <c r="D118" s="125"/>
      <c r="E118" s="125"/>
      <c r="F118" s="125"/>
      <c r="G118" s="125"/>
      <c r="H118" s="15">
        <f t="shared" si="4"/>
        <v>0</v>
      </c>
      <c r="I118" s="97">
        <f>IF(F127=10%,G127,0)</f>
        <v>0</v>
      </c>
    </row>
    <row r="119" spans="1:12" ht="15" customHeight="1" x14ac:dyDescent="0.25">
      <c r="A119" s="101">
        <v>3</v>
      </c>
      <c r="B119" s="126" t="s">
        <v>112</v>
      </c>
      <c r="C119" s="126"/>
      <c r="D119" s="126"/>
      <c r="E119" s="126"/>
      <c r="F119" s="126"/>
      <c r="G119" s="126"/>
      <c r="H119" s="15">
        <f t="shared" si="4"/>
        <v>0</v>
      </c>
      <c r="I119" s="97">
        <v>0</v>
      </c>
    </row>
    <row r="120" spans="1:12" ht="15" customHeight="1" x14ac:dyDescent="0.25">
      <c r="A120" s="101">
        <v>4</v>
      </c>
      <c r="B120" s="126" t="s">
        <v>208</v>
      </c>
      <c r="C120" s="126"/>
      <c r="D120" s="126"/>
      <c r="E120" s="126"/>
      <c r="F120" s="126"/>
      <c r="G120" s="126"/>
      <c r="H120" s="15">
        <f t="shared" si="4"/>
        <v>0</v>
      </c>
      <c r="I120" s="97">
        <f>Equipamentos!D24</f>
        <v>0</v>
      </c>
    </row>
    <row r="121" spans="1:12" ht="15" customHeight="1" x14ac:dyDescent="0.25">
      <c r="A121" s="101">
        <v>5</v>
      </c>
      <c r="B121" s="126" t="s">
        <v>209</v>
      </c>
      <c r="C121" s="126"/>
      <c r="D121" s="126"/>
      <c r="E121" s="126"/>
      <c r="F121" s="126"/>
      <c r="G121" s="126"/>
      <c r="H121" s="15">
        <f t="shared" si="4"/>
        <v>0</v>
      </c>
      <c r="I121" s="97">
        <v>0</v>
      </c>
    </row>
    <row r="122" spans="1:12" ht="15" customHeight="1" x14ac:dyDescent="0.25">
      <c r="A122" s="101">
        <v>6</v>
      </c>
      <c r="B122" s="126" t="s">
        <v>210</v>
      </c>
      <c r="C122" s="126"/>
      <c r="D122" s="126"/>
      <c r="E122" s="126"/>
      <c r="F122" s="126"/>
      <c r="G122" s="126"/>
      <c r="H122" s="15">
        <f t="shared" si="4"/>
        <v>0</v>
      </c>
      <c r="I122" s="97">
        <v>0</v>
      </c>
    </row>
    <row r="123" spans="1:12" ht="15" customHeight="1" x14ac:dyDescent="0.25">
      <c r="A123" s="101">
        <v>7</v>
      </c>
      <c r="B123" s="126" t="s">
        <v>113</v>
      </c>
      <c r="C123" s="126"/>
      <c r="D123" s="126"/>
      <c r="E123" s="126"/>
      <c r="F123" s="126"/>
      <c r="G123" s="126"/>
      <c r="H123" s="15">
        <f t="shared" si="4"/>
        <v>0</v>
      </c>
      <c r="I123" s="97">
        <v>0</v>
      </c>
    </row>
    <row r="124" spans="1:12" ht="15" customHeight="1" x14ac:dyDescent="0.25">
      <c r="A124" s="145" t="s">
        <v>114</v>
      </c>
      <c r="B124" s="145"/>
      <c r="C124" s="145"/>
      <c r="D124" s="145"/>
      <c r="E124" s="145"/>
      <c r="F124" s="145"/>
      <c r="G124" s="145"/>
      <c r="H124" s="16">
        <f>H117+H118+H119+H120+H122+H123</f>
        <v>0</v>
      </c>
      <c r="I124" s="44">
        <f>SUM(I117:I123)</f>
        <v>0</v>
      </c>
      <c r="J124" s="25"/>
    </row>
    <row r="125" spans="1:12" ht="48" customHeight="1" x14ac:dyDescent="0.25">
      <c r="B125" s="151" t="s">
        <v>211</v>
      </c>
      <c r="C125" s="151"/>
      <c r="D125" s="151"/>
      <c r="E125" s="151"/>
      <c r="F125" s="151"/>
      <c r="G125" s="151"/>
      <c r="H125" s="151"/>
      <c r="I125" s="151"/>
    </row>
    <row r="126" spans="1:12" ht="5.25" customHeight="1" x14ac:dyDescent="0.25"/>
    <row r="127" spans="1:12" ht="48.75" customHeight="1" x14ac:dyDescent="0.25">
      <c r="A127" s="158" t="s">
        <v>115</v>
      </c>
      <c r="B127" s="158"/>
      <c r="C127" s="158"/>
      <c r="D127" s="158"/>
      <c r="E127" s="158"/>
      <c r="F127" s="45">
        <f>I29</f>
        <v>0.2</v>
      </c>
      <c r="G127" s="46">
        <f>I129*F127</f>
        <v>1386.0420374682751</v>
      </c>
      <c r="H127" s="99" t="s">
        <v>116</v>
      </c>
      <c r="I127" s="47">
        <f>I96</f>
        <v>47.34</v>
      </c>
    </row>
    <row r="128" spans="1:12" s="50" customFormat="1" ht="16.5" customHeight="1" x14ac:dyDescent="0.25">
      <c r="A128" s="159" t="s">
        <v>117</v>
      </c>
      <c r="B128" s="159"/>
      <c r="C128" s="99" t="s">
        <v>118</v>
      </c>
      <c r="D128" s="99" t="s">
        <v>119</v>
      </c>
      <c r="E128" s="99" t="s">
        <v>120</v>
      </c>
      <c r="F128" s="99" t="s">
        <v>121</v>
      </c>
      <c r="G128" s="99" t="s">
        <v>122</v>
      </c>
      <c r="H128" s="99" t="s">
        <v>123</v>
      </c>
      <c r="I128" s="48" t="s">
        <v>124</v>
      </c>
      <c r="J128" s="49"/>
    </row>
    <row r="129" spans="1:12" ht="16.5" customHeight="1" x14ac:dyDescent="0.25">
      <c r="A129" s="160">
        <f>I55</f>
        <v>3483.4210350000003</v>
      </c>
      <c r="B129" s="160"/>
      <c r="C129" s="100">
        <f>I66</f>
        <v>1281.8989408800001</v>
      </c>
      <c r="D129" s="100">
        <f>I78</f>
        <v>888.07380892600509</v>
      </c>
      <c r="E129" s="100">
        <f>I85</f>
        <v>247.88024085060002</v>
      </c>
      <c r="F129" s="100">
        <f>I89</f>
        <v>326.8111616847699</v>
      </c>
      <c r="G129" s="100">
        <f>I99</f>
        <v>749.46500000000003</v>
      </c>
      <c r="H129" s="100">
        <f>A129+C129+D129+E129+F129+G129</f>
        <v>6977.550187341375</v>
      </c>
      <c r="I129" s="100">
        <f>H129-I127</f>
        <v>6930.2101873413749</v>
      </c>
      <c r="J129" s="25"/>
    </row>
    <row r="130" spans="1:12" ht="4.5" customHeight="1" x14ac:dyDescent="0.25">
      <c r="A130" s="20"/>
      <c r="B130" s="161"/>
      <c r="C130" s="161"/>
      <c r="D130" s="161"/>
      <c r="E130" s="161"/>
      <c r="F130" s="161"/>
      <c r="G130" s="161"/>
      <c r="H130" s="161"/>
      <c r="I130" s="161"/>
    </row>
    <row r="131" spans="1:12" ht="33.75" customHeight="1" x14ac:dyDescent="0.25">
      <c r="A131" s="14" t="s">
        <v>49</v>
      </c>
      <c r="B131" s="143" t="s">
        <v>125</v>
      </c>
      <c r="C131" s="143"/>
      <c r="D131" s="143"/>
      <c r="E131" s="143"/>
      <c r="F131" s="143"/>
      <c r="G131" s="143"/>
      <c r="H131" s="14" t="s">
        <v>37</v>
      </c>
      <c r="I131" s="14" t="s">
        <v>38</v>
      </c>
    </row>
    <row r="132" spans="1:12" ht="15" customHeight="1" x14ac:dyDescent="0.25">
      <c r="A132" s="101">
        <v>1</v>
      </c>
      <c r="B132" s="126" t="s">
        <v>126</v>
      </c>
      <c r="C132" s="126"/>
      <c r="D132" s="126"/>
      <c r="E132" s="126"/>
      <c r="F132" s="126"/>
      <c r="G132" s="126"/>
      <c r="H132" s="15">
        <f>I132/$I$142</f>
        <v>0</v>
      </c>
      <c r="I132" s="97">
        <v>0</v>
      </c>
    </row>
    <row r="133" spans="1:12" ht="15" customHeight="1" x14ac:dyDescent="0.25">
      <c r="A133" s="101">
        <v>2</v>
      </c>
      <c r="B133" s="126" t="s">
        <v>127</v>
      </c>
      <c r="C133" s="126"/>
      <c r="D133" s="126"/>
      <c r="E133" s="126"/>
      <c r="F133" s="126"/>
      <c r="G133" s="126"/>
      <c r="H133" s="15">
        <f>I133/$I$142</f>
        <v>0</v>
      </c>
      <c r="I133" s="97">
        <v>0</v>
      </c>
    </row>
    <row r="134" spans="1:12" ht="33" customHeight="1" x14ac:dyDescent="0.25">
      <c r="A134" s="145" t="s">
        <v>193</v>
      </c>
      <c r="B134" s="145"/>
      <c r="C134" s="145"/>
      <c r="D134" s="145"/>
      <c r="E134" s="145"/>
      <c r="F134" s="145"/>
      <c r="G134" s="145"/>
      <c r="H134" s="16">
        <f>H132+H133</f>
        <v>0</v>
      </c>
      <c r="I134" s="17">
        <f>SUM(I132:I133)</f>
        <v>0</v>
      </c>
    </row>
    <row r="135" spans="1:12" ht="4.5" customHeight="1" x14ac:dyDescent="0.25"/>
    <row r="136" spans="1:12" ht="33.75" customHeight="1" x14ac:dyDescent="0.25">
      <c r="A136" s="14" t="s">
        <v>62</v>
      </c>
      <c r="B136" s="143" t="s">
        <v>128</v>
      </c>
      <c r="C136" s="143"/>
      <c r="D136" s="143"/>
      <c r="E136" s="143"/>
      <c r="F136" s="143"/>
      <c r="G136" s="143"/>
      <c r="H136" s="14" t="s">
        <v>37</v>
      </c>
      <c r="I136" s="14" t="s">
        <v>38</v>
      </c>
    </row>
    <row r="137" spans="1:12" ht="15" customHeight="1" x14ac:dyDescent="0.25">
      <c r="A137" s="101">
        <v>1</v>
      </c>
      <c r="B137" s="126" t="s">
        <v>128</v>
      </c>
      <c r="C137" s="126"/>
      <c r="D137" s="126"/>
      <c r="E137" s="126"/>
      <c r="F137" s="126"/>
      <c r="G137" s="126"/>
      <c r="H137" s="15">
        <f>I137/I142</f>
        <v>0</v>
      </c>
      <c r="I137" s="97">
        <v>0</v>
      </c>
    </row>
    <row r="138" spans="1:12" ht="34.15" customHeight="1" x14ac:dyDescent="0.25">
      <c r="A138" s="145" t="s">
        <v>192</v>
      </c>
      <c r="B138" s="145"/>
      <c r="C138" s="145"/>
      <c r="D138" s="145"/>
      <c r="E138" s="145"/>
      <c r="F138" s="145"/>
      <c r="G138" s="145"/>
      <c r="H138" s="16">
        <f>H137</f>
        <v>0</v>
      </c>
      <c r="I138" s="17">
        <f>I137</f>
        <v>0</v>
      </c>
      <c r="J138" s="25"/>
      <c r="K138" s="25"/>
      <c r="L138" s="2"/>
    </row>
    <row r="139" spans="1:12" ht="4.5" customHeight="1" x14ac:dyDescent="0.25">
      <c r="A139" s="103"/>
      <c r="B139" s="103"/>
      <c r="C139" s="103"/>
      <c r="D139" s="103"/>
      <c r="E139" s="103"/>
      <c r="F139" s="103"/>
      <c r="G139" s="103"/>
      <c r="H139" s="26"/>
      <c r="I139" s="27"/>
    </row>
    <row r="140" spans="1:12" ht="39" customHeight="1" x14ac:dyDescent="0.25">
      <c r="A140" s="162" t="s">
        <v>129</v>
      </c>
      <c r="B140" s="162"/>
      <c r="C140" s="162"/>
      <c r="D140" s="162"/>
      <c r="E140" s="162"/>
      <c r="F140" s="45">
        <v>0.18</v>
      </c>
      <c r="G140" s="46">
        <f>I142*F140</f>
        <v>1247.4378337214475</v>
      </c>
      <c r="H140" s="99" t="s">
        <v>116</v>
      </c>
      <c r="I140" s="47">
        <f>I96</f>
        <v>47.34</v>
      </c>
      <c r="L140" s="2"/>
    </row>
    <row r="141" spans="1:12" s="50" customFormat="1" ht="16.5" customHeight="1" x14ac:dyDescent="0.25">
      <c r="A141" s="159" t="s">
        <v>117</v>
      </c>
      <c r="B141" s="159"/>
      <c r="C141" s="99" t="s">
        <v>118</v>
      </c>
      <c r="D141" s="99" t="s">
        <v>119</v>
      </c>
      <c r="E141" s="99" t="s">
        <v>120</v>
      </c>
      <c r="F141" s="99" t="s">
        <v>121</v>
      </c>
      <c r="G141" s="99" t="s">
        <v>122</v>
      </c>
      <c r="H141" s="99" t="s">
        <v>123</v>
      </c>
      <c r="I141" s="48" t="s">
        <v>124</v>
      </c>
      <c r="J141" s="49"/>
      <c r="L141" s="49"/>
    </row>
    <row r="142" spans="1:12" ht="16.5" customHeight="1" x14ac:dyDescent="0.25">
      <c r="A142" s="160">
        <f>I55</f>
        <v>3483.4210350000003</v>
      </c>
      <c r="B142" s="160"/>
      <c r="C142" s="100">
        <f>I66</f>
        <v>1281.8989408800001</v>
      </c>
      <c r="D142" s="100">
        <f>I78</f>
        <v>888.07380892600509</v>
      </c>
      <c r="E142" s="100">
        <f>I85</f>
        <v>247.88024085060002</v>
      </c>
      <c r="F142" s="100">
        <f>I89</f>
        <v>326.8111616847699</v>
      </c>
      <c r="G142" s="100">
        <f>I99</f>
        <v>749.46500000000003</v>
      </c>
      <c r="H142" s="100">
        <f>A142+C142+D142+E142+F142+G142</f>
        <v>6977.550187341375</v>
      </c>
      <c r="I142" s="100">
        <f>H142-I140</f>
        <v>6930.2101873413749</v>
      </c>
      <c r="J142" s="25"/>
      <c r="L142" s="2"/>
    </row>
    <row r="143" spans="1:12" ht="4.5" customHeight="1" x14ac:dyDescent="0.25"/>
    <row r="144" spans="1:12" ht="12" customHeight="1" x14ac:dyDescent="0.25">
      <c r="A144" s="156" t="s">
        <v>130</v>
      </c>
      <c r="B144" s="156"/>
      <c r="C144" s="156"/>
      <c r="D144" s="156"/>
      <c r="E144" s="156"/>
      <c r="F144" s="156"/>
      <c r="G144" s="156"/>
      <c r="H144" s="37">
        <f>H124+H134+H138</f>
        <v>0</v>
      </c>
      <c r="I144" s="38">
        <f>I124+I134+I138</f>
        <v>0</v>
      </c>
    </row>
    <row r="145" spans="1:10" ht="4.5" customHeight="1" x14ac:dyDescent="0.25"/>
    <row r="146" spans="1:10" ht="11.25" customHeight="1" x14ac:dyDescent="0.25">
      <c r="A146" s="142" t="s">
        <v>131</v>
      </c>
      <c r="B146" s="142"/>
      <c r="C146" s="142"/>
      <c r="D146" s="142"/>
      <c r="E146" s="142"/>
      <c r="F146" s="142"/>
      <c r="G146" s="142"/>
      <c r="H146" s="142"/>
      <c r="I146" s="142"/>
    </row>
    <row r="147" spans="1:10" ht="33.75" customHeight="1" x14ac:dyDescent="0.25">
      <c r="A147" s="14" t="s">
        <v>35</v>
      </c>
      <c r="B147" s="143" t="s">
        <v>132</v>
      </c>
      <c r="C147" s="143"/>
      <c r="D147" s="143"/>
      <c r="E147" s="143"/>
      <c r="F147" s="143"/>
      <c r="G147" s="143"/>
      <c r="H147" s="14" t="s">
        <v>37</v>
      </c>
      <c r="I147" s="14" t="s">
        <v>38</v>
      </c>
    </row>
    <row r="148" spans="1:10" ht="15" customHeight="1" x14ac:dyDescent="0.25">
      <c r="A148" s="101">
        <v>1</v>
      </c>
      <c r="B148" s="126" t="s">
        <v>133</v>
      </c>
      <c r="C148" s="126"/>
      <c r="D148" s="126"/>
      <c r="E148" s="126"/>
      <c r="F148" s="126"/>
      <c r="G148" s="126"/>
      <c r="H148" s="15">
        <f>I148/$I$113</f>
        <v>6.9259456579648373E-3</v>
      </c>
      <c r="I148" s="97">
        <f>($D$158/$E$160)*H158</f>
        <v>48.326133423248741</v>
      </c>
    </row>
    <row r="149" spans="1:10" ht="15" customHeight="1" x14ac:dyDescent="0.25">
      <c r="A149" s="101">
        <v>2</v>
      </c>
      <c r="B149" s="126" t="s">
        <v>134</v>
      </c>
      <c r="C149" s="126"/>
      <c r="D149" s="126"/>
      <c r="E149" s="126"/>
      <c r="F149" s="126"/>
      <c r="G149" s="126"/>
      <c r="H149" s="15">
        <f>I149/$I$113</f>
        <v>3.1965903036760786E-2</v>
      </c>
      <c r="I149" s="97">
        <f>($D$158/$E$160)*H159</f>
        <v>223.0436927226865</v>
      </c>
    </row>
    <row r="150" spans="1:10" ht="15" customHeight="1" x14ac:dyDescent="0.25">
      <c r="A150" s="101">
        <v>3</v>
      </c>
      <c r="B150" s="126" t="s">
        <v>14</v>
      </c>
      <c r="C150" s="126"/>
      <c r="D150" s="126"/>
      <c r="E150" s="126"/>
      <c r="F150" s="126"/>
      <c r="G150" s="126"/>
      <c r="H150" s="15">
        <f>I150/$I$113</f>
        <v>2.6638252530633993E-2</v>
      </c>
      <c r="I150" s="97">
        <f>($D$158/$E$160)*H160</f>
        <v>185.8697439355721</v>
      </c>
    </row>
    <row r="151" spans="1:10" ht="15" customHeight="1" x14ac:dyDescent="0.25">
      <c r="A151" s="101">
        <v>4</v>
      </c>
      <c r="B151" s="126" t="s">
        <v>135</v>
      </c>
      <c r="C151" s="126"/>
      <c r="D151" s="126"/>
      <c r="E151" s="126"/>
      <c r="F151" s="126"/>
      <c r="G151" s="126"/>
      <c r="H151" s="15">
        <f>I151/$I$113</f>
        <v>0</v>
      </c>
      <c r="I151" s="97">
        <f>($D$158/$E$160)*H161</f>
        <v>0</v>
      </c>
    </row>
    <row r="152" spans="1:10" ht="15" customHeight="1" x14ac:dyDescent="0.25">
      <c r="A152" s="101">
        <v>5</v>
      </c>
      <c r="B152" s="126" t="s">
        <v>136</v>
      </c>
      <c r="C152" s="126"/>
      <c r="D152" s="126"/>
      <c r="E152" s="126"/>
      <c r="F152" s="126"/>
      <c r="G152" s="126"/>
      <c r="H152" s="15">
        <f>I152/$I$113</f>
        <v>0</v>
      </c>
      <c r="I152" s="97">
        <f>($D$158/$E$160)*H162</f>
        <v>0</v>
      </c>
    </row>
    <row r="153" spans="1:10" ht="15" customHeight="1" x14ac:dyDescent="0.25">
      <c r="A153" s="145" t="s">
        <v>137</v>
      </c>
      <c r="B153" s="145"/>
      <c r="C153" s="145"/>
      <c r="D153" s="145"/>
      <c r="E153" s="145"/>
      <c r="F153" s="145"/>
      <c r="G153" s="145"/>
      <c r="H153" s="16">
        <f>H148+H149+H150+H151+H152</f>
        <v>6.5530101225359613E-2</v>
      </c>
      <c r="I153" s="17">
        <f>SUM(I148:I152)</f>
        <v>457.23957008150734</v>
      </c>
    </row>
    <row r="154" spans="1:10" ht="11.25" customHeight="1" x14ac:dyDescent="0.25">
      <c r="A154" s="20" t="s">
        <v>138</v>
      </c>
      <c r="B154" s="151" t="s">
        <v>139</v>
      </c>
      <c r="C154" s="151"/>
      <c r="D154" s="151"/>
      <c r="E154" s="151"/>
      <c r="F154" s="151"/>
      <c r="G154" s="151"/>
      <c r="H154" s="151"/>
      <c r="I154" s="151"/>
    </row>
    <row r="155" spans="1:10" ht="20.25" customHeight="1" x14ac:dyDescent="0.25">
      <c r="A155" s="20" t="s">
        <v>140</v>
      </c>
      <c r="B155" s="163" t="s">
        <v>141</v>
      </c>
      <c r="C155" s="163"/>
      <c r="D155" s="163"/>
      <c r="E155" s="163"/>
      <c r="F155" s="163"/>
      <c r="G155" s="163"/>
      <c r="H155" s="163"/>
      <c r="I155" s="163"/>
    </row>
    <row r="156" spans="1:10" ht="13.5" customHeight="1" x14ac:dyDescent="0.25">
      <c r="A156" s="153" t="s">
        <v>142</v>
      </c>
      <c r="B156" s="153"/>
      <c r="C156" s="153"/>
      <c r="D156" s="153"/>
      <c r="E156" s="153"/>
      <c r="F156" s="153"/>
      <c r="G156" s="153"/>
      <c r="H156" s="153"/>
      <c r="I156" s="153"/>
    </row>
    <row r="157" spans="1:10" ht="13.5" customHeight="1" x14ac:dyDescent="0.25">
      <c r="A157" s="127" t="s">
        <v>143</v>
      </c>
      <c r="B157" s="127"/>
      <c r="C157" s="98" t="s">
        <v>144</v>
      </c>
      <c r="D157" s="164" t="s">
        <v>145</v>
      </c>
      <c r="E157" s="164"/>
      <c r="F157" s="98" t="s">
        <v>146</v>
      </c>
      <c r="G157" s="98" t="s">
        <v>147</v>
      </c>
      <c r="H157" s="165" t="s">
        <v>148</v>
      </c>
      <c r="I157" s="165"/>
    </row>
    <row r="158" spans="1:10" ht="13.5" customHeight="1" x14ac:dyDescent="0.25">
      <c r="A158" s="166">
        <f>I113</f>
        <v>6977.5501873413759</v>
      </c>
      <c r="B158" s="166"/>
      <c r="C158" s="97">
        <f>I144</f>
        <v>0</v>
      </c>
      <c r="D158" s="167">
        <f>A158+C158</f>
        <v>6977.5501873413759</v>
      </c>
      <c r="E158" s="167"/>
      <c r="F158" s="101" t="s">
        <v>133</v>
      </c>
      <c r="G158" s="33">
        <v>1.6500000000000001E-2</v>
      </c>
      <c r="H158" s="168">
        <v>6.4999999999999997E-3</v>
      </c>
      <c r="I158" s="168"/>
      <c r="J158" s="25"/>
    </row>
    <row r="159" spans="1:10" ht="13.5" customHeight="1" x14ac:dyDescent="0.25">
      <c r="A159" s="193" t="s">
        <v>149</v>
      </c>
      <c r="B159" s="193"/>
      <c r="C159" s="101">
        <v>1</v>
      </c>
      <c r="D159" s="51">
        <f>G163/1</f>
        <v>0.11749999999999999</v>
      </c>
      <c r="E159" s="52">
        <f>C159-D159</f>
        <v>0.88250000000000006</v>
      </c>
      <c r="F159" s="101" t="s">
        <v>134</v>
      </c>
      <c r="G159" s="33">
        <v>7.5999999999999998E-2</v>
      </c>
      <c r="H159" s="168">
        <v>0.03</v>
      </c>
      <c r="I159" s="168"/>
    </row>
    <row r="160" spans="1:10" ht="13.5" customHeight="1" x14ac:dyDescent="0.25">
      <c r="A160" s="172" t="s">
        <v>150</v>
      </c>
      <c r="B160" s="172"/>
      <c r="C160" s="101">
        <v>1</v>
      </c>
      <c r="D160" s="51">
        <f>H163</f>
        <v>6.1499999999999999E-2</v>
      </c>
      <c r="E160" s="53">
        <f>C160-D160</f>
        <v>0.9385</v>
      </c>
      <c r="F160" s="101" t="s">
        <v>14</v>
      </c>
      <c r="G160" s="33">
        <f>I11</f>
        <v>2.5000000000000001E-2</v>
      </c>
      <c r="H160" s="168">
        <f>I11</f>
        <v>2.5000000000000001E-2</v>
      </c>
      <c r="I160" s="168"/>
    </row>
    <row r="161" spans="1:10" ht="13.5" customHeight="1" x14ac:dyDescent="0.25">
      <c r="A161" s="172" t="s">
        <v>151</v>
      </c>
      <c r="B161" s="172"/>
      <c r="C161" s="101">
        <v>1</v>
      </c>
      <c r="D161" s="54">
        <v>0.09</v>
      </c>
      <c r="E161" s="55">
        <f>C161-D161</f>
        <v>0.91</v>
      </c>
      <c r="F161" s="101" t="s">
        <v>152</v>
      </c>
      <c r="G161" s="33">
        <v>0</v>
      </c>
      <c r="H161" s="168">
        <v>0</v>
      </c>
      <c r="I161" s="168"/>
    </row>
    <row r="162" spans="1:10" ht="13.5" customHeight="1" thickBot="1" x14ac:dyDescent="0.3">
      <c r="A162" s="191" t="s">
        <v>153</v>
      </c>
      <c r="B162" s="191" t="s">
        <v>154</v>
      </c>
      <c r="C162" s="191"/>
      <c r="D162" s="191"/>
      <c r="E162" s="191"/>
      <c r="F162" s="105" t="s">
        <v>155</v>
      </c>
      <c r="G162" s="33">
        <v>0</v>
      </c>
      <c r="H162" s="168">
        <v>0</v>
      </c>
      <c r="I162" s="168"/>
    </row>
    <row r="163" spans="1:10" ht="18" customHeight="1" thickBot="1" x14ac:dyDescent="0.3">
      <c r="A163" s="191"/>
      <c r="B163" s="191"/>
      <c r="C163" s="191"/>
      <c r="D163" s="191"/>
      <c r="E163" s="191"/>
      <c r="F163" s="98" t="s">
        <v>156</v>
      </c>
      <c r="G163" s="56">
        <f>SUM(G158:G162)</f>
        <v>0.11749999999999999</v>
      </c>
      <c r="H163" s="170">
        <f>SUM(H158:I162)</f>
        <v>6.1499999999999999E-2</v>
      </c>
      <c r="I163" s="170"/>
    </row>
    <row r="164" spans="1:10" ht="59.25" customHeight="1" thickBot="1" x14ac:dyDescent="0.3">
      <c r="A164" s="192" t="s">
        <v>157</v>
      </c>
      <c r="B164" s="192"/>
      <c r="C164" s="192"/>
      <c r="D164" s="192"/>
      <c r="E164" s="192"/>
      <c r="F164" s="192"/>
      <c r="G164" s="192"/>
      <c r="H164" s="192"/>
      <c r="I164" s="192"/>
    </row>
    <row r="165" spans="1:10" ht="13.5" customHeight="1" x14ac:dyDescent="0.25">
      <c r="A165" s="20" t="s">
        <v>158</v>
      </c>
      <c r="B165" s="163" t="s">
        <v>159</v>
      </c>
      <c r="C165" s="163"/>
      <c r="D165" s="163"/>
      <c r="E165" s="163"/>
      <c r="F165" s="163"/>
      <c r="G165" s="163"/>
      <c r="H165" s="163"/>
      <c r="I165" s="163"/>
    </row>
    <row r="166" spans="1:10" ht="4.5" customHeight="1" x14ac:dyDescent="0.25">
      <c r="A166" s="57"/>
      <c r="B166" s="188"/>
      <c r="C166" s="188"/>
      <c r="D166" s="188"/>
      <c r="E166" s="188"/>
      <c r="F166" s="188"/>
      <c r="G166" s="188"/>
      <c r="H166" s="188"/>
      <c r="I166" s="188"/>
    </row>
    <row r="167" spans="1:10" ht="12" customHeight="1" x14ac:dyDescent="0.25">
      <c r="A167" s="156" t="s">
        <v>160</v>
      </c>
      <c r="B167" s="156"/>
      <c r="C167" s="156"/>
      <c r="D167" s="156"/>
      <c r="E167" s="156"/>
      <c r="F167" s="156"/>
      <c r="G167" s="156"/>
      <c r="H167" s="37">
        <f>H153</f>
        <v>6.5530101225359613E-2</v>
      </c>
      <c r="I167" s="38">
        <f>I153</f>
        <v>457.23957008150734</v>
      </c>
    </row>
    <row r="168" spans="1:10" ht="4.5" customHeight="1" x14ac:dyDescent="0.25"/>
    <row r="169" spans="1:10" ht="11.25" customHeight="1" x14ac:dyDescent="0.25">
      <c r="A169" s="189" t="s">
        <v>161</v>
      </c>
      <c r="B169" s="189"/>
      <c r="C169" s="189"/>
      <c r="D169" s="189"/>
      <c r="E169" s="189"/>
      <c r="F169" s="189"/>
      <c r="G169" s="189"/>
      <c r="H169" s="189"/>
      <c r="I169" s="189"/>
    </row>
    <row r="170" spans="1:10" ht="11.25" customHeight="1" x14ac:dyDescent="0.25">
      <c r="A170" s="142" t="s">
        <v>34</v>
      </c>
      <c r="B170" s="142"/>
      <c r="C170" s="142"/>
      <c r="D170" s="142"/>
      <c r="E170" s="142"/>
      <c r="F170" s="142"/>
      <c r="G170" s="142"/>
      <c r="H170" s="142"/>
      <c r="I170" s="142"/>
    </row>
    <row r="171" spans="1:10" ht="15" customHeight="1" x14ac:dyDescent="0.25">
      <c r="A171" s="101">
        <v>1</v>
      </c>
      <c r="B171" s="126" t="s">
        <v>162</v>
      </c>
      <c r="C171" s="126"/>
      <c r="D171" s="126"/>
      <c r="E171" s="126"/>
      <c r="F171" s="126"/>
      <c r="G171" s="126"/>
      <c r="H171" s="15">
        <f>I171/$G$194</f>
        <v>0.46852986414607861</v>
      </c>
      <c r="I171" s="58">
        <f>I55</f>
        <v>3483.4210350000003</v>
      </c>
    </row>
    <row r="172" spans="1:10" ht="15" customHeight="1" x14ac:dyDescent="0.25">
      <c r="A172" s="101">
        <v>2</v>
      </c>
      <c r="B172" s="126" t="s">
        <v>163</v>
      </c>
      <c r="C172" s="126"/>
      <c r="D172" s="126"/>
      <c r="E172" s="126"/>
      <c r="F172" s="126"/>
      <c r="G172" s="126"/>
      <c r="H172" s="15">
        <f>I172/$G$194</f>
        <v>0.36916499886242327</v>
      </c>
      <c r="I172" s="58">
        <f>I66+I78+I85+I89</f>
        <v>2744.664152341375</v>
      </c>
    </row>
    <row r="173" spans="1:10" ht="15" customHeight="1" x14ac:dyDescent="0.25">
      <c r="A173" s="101">
        <v>3</v>
      </c>
      <c r="B173" s="126" t="s">
        <v>164</v>
      </c>
      <c r="C173" s="126"/>
      <c r="D173" s="126"/>
      <c r="E173" s="126"/>
      <c r="F173" s="126"/>
      <c r="G173" s="126"/>
      <c r="H173" s="15">
        <f>I173/$G$194</f>
        <v>0.10080513699149801</v>
      </c>
      <c r="I173" s="58">
        <f>I99</f>
        <v>749.46500000000003</v>
      </c>
    </row>
    <row r="174" spans="1:10" s="19" customFormat="1" ht="15" customHeight="1" x14ac:dyDescent="0.25">
      <c r="A174" s="156" t="s">
        <v>165</v>
      </c>
      <c r="B174" s="156"/>
      <c r="C174" s="156"/>
      <c r="D174" s="156"/>
      <c r="E174" s="156"/>
      <c r="F174" s="156"/>
      <c r="G174" s="156"/>
      <c r="H174" s="37">
        <f>H171+H172+H173</f>
        <v>0.93849999999999989</v>
      </c>
      <c r="I174" s="38">
        <f>SUM(I171:I173)</f>
        <v>6977.5501873413759</v>
      </c>
      <c r="J174" s="26"/>
    </row>
    <row r="175" spans="1:10" ht="4.5" customHeight="1" x14ac:dyDescent="0.25"/>
    <row r="176" spans="1:10" ht="11.25" customHeight="1" x14ac:dyDescent="0.25">
      <c r="A176" s="142" t="s">
        <v>108</v>
      </c>
      <c r="B176" s="142"/>
      <c r="C176" s="142"/>
      <c r="D176" s="142"/>
      <c r="E176" s="142"/>
      <c r="F176" s="142"/>
      <c r="G176" s="142"/>
      <c r="H176" s="142"/>
      <c r="I176" s="142"/>
    </row>
    <row r="177" spans="1:11" ht="15" customHeight="1" x14ac:dyDescent="0.25">
      <c r="A177" s="101">
        <v>1</v>
      </c>
      <c r="B177" s="126" t="s">
        <v>166</v>
      </c>
      <c r="C177" s="126"/>
      <c r="D177" s="126"/>
      <c r="E177" s="126"/>
      <c r="F177" s="126"/>
      <c r="G177" s="126"/>
      <c r="H177" s="15">
        <f>I177/$G$194</f>
        <v>0</v>
      </c>
      <c r="I177" s="97">
        <f>I124</f>
        <v>0</v>
      </c>
    </row>
    <row r="178" spans="1:11" ht="15" customHeight="1" x14ac:dyDescent="0.25">
      <c r="A178" s="101">
        <v>2</v>
      </c>
      <c r="B178" s="126" t="s">
        <v>167</v>
      </c>
      <c r="C178" s="126"/>
      <c r="D178" s="126"/>
      <c r="E178" s="126"/>
      <c r="F178" s="126"/>
      <c r="G178" s="126"/>
      <c r="H178" s="15">
        <f>I178/$G$194</f>
        <v>0</v>
      </c>
      <c r="I178" s="97">
        <f>I134</f>
        <v>0</v>
      </c>
    </row>
    <row r="179" spans="1:11" ht="15" customHeight="1" x14ac:dyDescent="0.25">
      <c r="A179" s="101">
        <v>3</v>
      </c>
      <c r="B179" s="126" t="s">
        <v>168</v>
      </c>
      <c r="C179" s="126"/>
      <c r="D179" s="126"/>
      <c r="E179" s="126"/>
      <c r="F179" s="126"/>
      <c r="G179" s="126"/>
      <c r="H179" s="15">
        <f>I179/$G$194</f>
        <v>0</v>
      </c>
      <c r="I179" s="97">
        <f>I138</f>
        <v>0</v>
      </c>
    </row>
    <row r="180" spans="1:11" ht="15" customHeight="1" x14ac:dyDescent="0.25">
      <c r="A180" s="156" t="s">
        <v>169</v>
      </c>
      <c r="B180" s="156"/>
      <c r="C180" s="156"/>
      <c r="D180" s="156"/>
      <c r="E180" s="156"/>
      <c r="F180" s="156"/>
      <c r="G180" s="156"/>
      <c r="H180" s="37">
        <f>H177+H178+H179</f>
        <v>0</v>
      </c>
      <c r="I180" s="38">
        <f>I177+I178+I179</f>
        <v>0</v>
      </c>
    </row>
    <row r="181" spans="1:11" ht="4.5" customHeight="1" x14ac:dyDescent="0.25"/>
    <row r="182" spans="1:11" ht="11.25" customHeight="1" x14ac:dyDescent="0.25">
      <c r="A182" s="142" t="s">
        <v>131</v>
      </c>
      <c r="B182" s="142"/>
      <c r="C182" s="142"/>
      <c r="D182" s="142"/>
      <c r="E182" s="142"/>
      <c r="F182" s="142"/>
      <c r="G182" s="142"/>
      <c r="H182" s="142"/>
      <c r="I182" s="142"/>
    </row>
    <row r="183" spans="1:11" ht="15" customHeight="1" x14ac:dyDescent="0.25">
      <c r="A183" s="101">
        <v>1</v>
      </c>
      <c r="B183" s="126" t="s">
        <v>170</v>
      </c>
      <c r="C183" s="126"/>
      <c r="D183" s="126"/>
      <c r="E183" s="126"/>
      <c r="F183" s="126"/>
      <c r="G183" s="126"/>
      <c r="H183" s="15">
        <f>I183/$G$194</f>
        <v>6.1499999999999999E-2</v>
      </c>
      <c r="I183" s="97">
        <f>I153</f>
        <v>457.23957008150734</v>
      </c>
    </row>
    <row r="184" spans="1:11" ht="15" customHeight="1" x14ac:dyDescent="0.25">
      <c r="A184" s="156" t="s">
        <v>171</v>
      </c>
      <c r="B184" s="156"/>
      <c r="C184" s="156"/>
      <c r="D184" s="156"/>
      <c r="E184" s="156"/>
      <c r="F184" s="156"/>
      <c r="G184" s="156"/>
      <c r="H184" s="37">
        <f>H183</f>
        <v>6.1499999999999999E-2</v>
      </c>
      <c r="I184" s="38">
        <f>I153</f>
        <v>457.23957008150734</v>
      </c>
      <c r="K184" s="31"/>
    </row>
    <row r="185" spans="1:11" ht="4.5" customHeight="1" x14ac:dyDescent="0.25"/>
    <row r="186" spans="1:11" ht="11.25" customHeight="1" x14ac:dyDescent="0.25">
      <c r="A186" s="177" t="s">
        <v>202</v>
      </c>
      <c r="B186" s="177"/>
      <c r="C186" s="177"/>
      <c r="D186" s="177"/>
      <c r="E186" s="177"/>
      <c r="F186" s="177"/>
      <c r="G186" s="177"/>
      <c r="H186" s="177"/>
      <c r="I186" s="177"/>
    </row>
    <row r="187" spans="1:11" ht="4.9000000000000004" customHeight="1" x14ac:dyDescent="0.25">
      <c r="A187" s="181"/>
      <c r="B187" s="181"/>
      <c r="C187" s="181"/>
      <c r="D187" s="181"/>
      <c r="E187" s="181"/>
      <c r="F187" s="181"/>
      <c r="G187" s="181"/>
      <c r="H187" s="181"/>
      <c r="I187" s="181"/>
    </row>
    <row r="188" spans="1:11" ht="22.5" customHeight="1" x14ac:dyDescent="0.25">
      <c r="A188" s="174" t="s">
        <v>207</v>
      </c>
      <c r="B188" s="175"/>
      <c r="C188" s="175"/>
      <c r="D188" s="175"/>
      <c r="E188" s="175"/>
      <c r="F188" s="175"/>
      <c r="G188" s="175"/>
      <c r="H188" s="176"/>
      <c r="I188" s="78">
        <f>I120*H194</f>
        <v>0</v>
      </c>
    </row>
    <row r="189" spans="1:11" ht="4.5" customHeight="1" x14ac:dyDescent="0.25">
      <c r="A189" s="95"/>
      <c r="B189" s="95"/>
      <c r="C189" s="95"/>
      <c r="D189" s="95"/>
      <c r="E189" s="95"/>
      <c r="F189" s="95"/>
      <c r="G189" s="79"/>
      <c r="H189" s="79"/>
      <c r="I189" s="79"/>
    </row>
    <row r="190" spans="1:11" ht="63.75" customHeight="1" x14ac:dyDescent="0.25">
      <c r="A190" s="177" t="s">
        <v>203</v>
      </c>
      <c r="B190" s="177"/>
      <c r="C190" s="177"/>
      <c r="D190" s="177"/>
      <c r="E190" s="177"/>
      <c r="F190" s="177"/>
      <c r="G190" s="190" t="s">
        <v>206</v>
      </c>
      <c r="H190" s="179"/>
      <c r="I190" s="180"/>
    </row>
    <row r="191" spans="1:11" ht="11.25" customHeight="1" x14ac:dyDescent="0.25">
      <c r="A191" s="177"/>
      <c r="B191" s="177"/>
      <c r="C191" s="177"/>
      <c r="D191" s="177"/>
      <c r="E191" s="177"/>
      <c r="F191" s="177"/>
      <c r="G191" s="77"/>
      <c r="H191" s="78"/>
      <c r="I191" s="78">
        <f>((H70+H76+H77+H82+H83+H84)+((H70+H76+H77+H82+H83+H84)*H66))*I55*H194</f>
        <v>2682.3890837829008</v>
      </c>
    </row>
    <row r="192" spans="1:11" ht="4.9000000000000004" customHeight="1" x14ac:dyDescent="0.25">
      <c r="A192" s="181"/>
      <c r="B192" s="181"/>
      <c r="C192" s="181"/>
      <c r="D192" s="181"/>
      <c r="E192" s="181"/>
      <c r="F192" s="181"/>
      <c r="G192" s="181"/>
      <c r="H192" s="181"/>
      <c r="I192" s="181"/>
    </row>
    <row r="193" spans="1:9" ht="35.450000000000003" customHeight="1" x14ac:dyDescent="0.25">
      <c r="A193" s="182" t="s">
        <v>204</v>
      </c>
      <c r="B193" s="183"/>
      <c r="C193" s="183"/>
      <c r="D193" s="183"/>
      <c r="E193" s="183"/>
      <c r="F193" s="184"/>
      <c r="G193" s="74" t="s">
        <v>172</v>
      </c>
      <c r="H193" s="74" t="s">
        <v>173</v>
      </c>
      <c r="I193" s="74" t="s">
        <v>174</v>
      </c>
    </row>
    <row r="194" spans="1:9" ht="14.45" customHeight="1" x14ac:dyDescent="0.25">
      <c r="A194" s="185"/>
      <c r="B194" s="186"/>
      <c r="C194" s="186"/>
      <c r="D194" s="186"/>
      <c r="E194" s="186"/>
      <c r="F194" s="187"/>
      <c r="G194" s="75">
        <f>I174+I180+I184</f>
        <v>7434.7897574228837</v>
      </c>
      <c r="H194" s="96">
        <v>2</v>
      </c>
      <c r="I194" s="76">
        <f>G194*H194</f>
        <v>14869.579514845767</v>
      </c>
    </row>
  </sheetData>
  <mergeCells count="191">
    <mergeCell ref="J1:O11"/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D25"/>
  <sheetViews>
    <sheetView view="pageBreakPreview" zoomScaleNormal="100" workbookViewId="0">
      <selection activeCell="I19" sqref="I19"/>
    </sheetView>
  </sheetViews>
  <sheetFormatPr defaultColWidth="8.42578125" defaultRowHeight="15" x14ac:dyDescent="0.25"/>
  <cols>
    <col min="1" max="1" width="33.42578125" style="62" customWidth="1"/>
    <col min="2" max="2" width="24.42578125" style="62" customWidth="1"/>
    <col min="3" max="3" width="16.5703125" style="62" customWidth="1"/>
    <col min="4" max="4" width="17.42578125" style="62" customWidth="1"/>
    <col min="5" max="16384" width="8.42578125" style="62"/>
  </cols>
  <sheetData>
    <row r="1" spans="1:4" ht="44.25" customHeight="1" x14ac:dyDescent="0.25">
      <c r="A1" s="209" t="s">
        <v>224</v>
      </c>
      <c r="B1" s="210"/>
      <c r="C1" s="210"/>
      <c r="D1" s="211"/>
    </row>
    <row r="2" spans="1:4" ht="28.15" customHeight="1" x14ac:dyDescent="0.25">
      <c r="A2" s="202" t="s">
        <v>225</v>
      </c>
      <c r="B2" s="203"/>
      <c r="C2" s="203"/>
      <c r="D2" s="204"/>
    </row>
    <row r="3" spans="1:4" ht="30" x14ac:dyDescent="0.25">
      <c r="A3" s="80" t="s">
        <v>226</v>
      </c>
      <c r="B3" s="80" t="s">
        <v>212</v>
      </c>
      <c r="C3" s="80" t="s">
        <v>213</v>
      </c>
      <c r="D3" s="80" t="s">
        <v>214</v>
      </c>
    </row>
    <row r="4" spans="1:4" x14ac:dyDescent="0.25">
      <c r="A4" s="115" t="s">
        <v>249</v>
      </c>
      <c r="B4" s="119">
        <v>6</v>
      </c>
      <c r="C4" s="82">
        <v>5000</v>
      </c>
      <c r="D4" s="82"/>
    </row>
    <row r="5" spans="1:4" s="118" customFormat="1" x14ac:dyDescent="0.25">
      <c r="A5" s="116" t="s">
        <v>262</v>
      </c>
      <c r="B5" s="120">
        <v>96</v>
      </c>
      <c r="C5" s="117">
        <f>B5*10</f>
        <v>960</v>
      </c>
      <c r="D5" s="117"/>
    </row>
    <row r="6" spans="1:4" s="118" customFormat="1" x14ac:dyDescent="0.25">
      <c r="A6" s="116" t="s">
        <v>255</v>
      </c>
      <c r="B6" s="120">
        <v>6</v>
      </c>
      <c r="C6" s="117">
        <v>50</v>
      </c>
      <c r="D6" s="117"/>
    </row>
    <row r="7" spans="1:4" x14ac:dyDescent="0.25">
      <c r="A7" s="115" t="s">
        <v>250</v>
      </c>
      <c r="B7" s="119">
        <v>6</v>
      </c>
      <c r="C7" s="82">
        <v>5</v>
      </c>
      <c r="D7" s="82"/>
    </row>
    <row r="8" spans="1:4" x14ac:dyDescent="0.25">
      <c r="A8" s="115" t="s">
        <v>251</v>
      </c>
      <c r="B8" s="119">
        <v>2</v>
      </c>
      <c r="C8" s="82">
        <v>100</v>
      </c>
      <c r="D8" s="82"/>
    </row>
    <row r="9" spans="1:4" x14ac:dyDescent="0.25">
      <c r="A9" s="115" t="s">
        <v>252</v>
      </c>
      <c r="B9" s="119">
        <v>6</v>
      </c>
      <c r="C9" s="82">
        <v>100</v>
      </c>
      <c r="D9" s="82"/>
    </row>
    <row r="10" spans="1:4" x14ac:dyDescent="0.25">
      <c r="A10" s="115" t="s">
        <v>253</v>
      </c>
      <c r="B10" s="119">
        <v>6</v>
      </c>
      <c r="C10" s="82">
        <v>50</v>
      </c>
      <c r="D10" s="82"/>
    </row>
    <row r="11" spans="1:4" x14ac:dyDescent="0.25">
      <c r="A11" s="115" t="s">
        <v>254</v>
      </c>
      <c r="B11" s="119">
        <v>6</v>
      </c>
      <c r="C11" s="82">
        <v>30</v>
      </c>
      <c r="D11" s="82"/>
    </row>
    <row r="12" spans="1:4" x14ac:dyDescent="0.25">
      <c r="A12" s="115" t="s">
        <v>256</v>
      </c>
      <c r="B12" s="119">
        <f>6*4</f>
        <v>24</v>
      </c>
      <c r="C12" s="82">
        <v>5</v>
      </c>
      <c r="D12" s="82"/>
    </row>
    <row r="13" spans="1:4" x14ac:dyDescent="0.25">
      <c r="A13" s="115" t="s">
        <v>257</v>
      </c>
      <c r="B13" s="119">
        <f>6*4</f>
        <v>24</v>
      </c>
      <c r="C13" s="82">
        <v>5</v>
      </c>
      <c r="D13" s="82"/>
    </row>
    <row r="14" spans="1:4" x14ac:dyDescent="0.25">
      <c r="A14" s="115" t="s">
        <v>258</v>
      </c>
      <c r="B14" s="119">
        <v>5</v>
      </c>
      <c r="C14" s="82">
        <v>500</v>
      </c>
      <c r="D14" s="82"/>
    </row>
    <row r="15" spans="1:4" x14ac:dyDescent="0.25">
      <c r="A15" s="115" t="s">
        <v>259</v>
      </c>
      <c r="B15" s="119">
        <v>5</v>
      </c>
      <c r="C15" s="82">
        <v>10</v>
      </c>
      <c r="D15" s="82"/>
    </row>
    <row r="16" spans="1:4" x14ac:dyDescent="0.25">
      <c r="A16" s="115" t="s">
        <v>260</v>
      </c>
      <c r="B16" s="119">
        <v>5</v>
      </c>
      <c r="C16" s="82">
        <v>1000</v>
      </c>
      <c r="D16" s="82"/>
    </row>
    <row r="17" spans="1:4" x14ac:dyDescent="0.25">
      <c r="A17" s="115" t="s">
        <v>261</v>
      </c>
      <c r="B17" s="119">
        <v>5</v>
      </c>
      <c r="C17" s="82">
        <v>150</v>
      </c>
      <c r="D17" s="82"/>
    </row>
    <row r="18" spans="1:4" x14ac:dyDescent="0.25">
      <c r="A18" s="115"/>
      <c r="B18" s="119"/>
      <c r="C18" s="82"/>
      <c r="D18" s="82"/>
    </row>
    <row r="19" spans="1:4" x14ac:dyDescent="0.25">
      <c r="A19" s="81"/>
      <c r="B19" s="119"/>
      <c r="C19" s="82"/>
      <c r="D19" s="82"/>
    </row>
    <row r="20" spans="1:4" x14ac:dyDescent="0.25">
      <c r="A20" s="81"/>
      <c r="B20" s="119"/>
      <c r="C20" s="82"/>
      <c r="D20" s="82"/>
    </row>
    <row r="21" spans="1:4" ht="6" customHeight="1" x14ac:dyDescent="0.25">
      <c r="A21" s="205"/>
      <c r="B21" s="206"/>
      <c r="C21" s="206"/>
      <c r="D21" s="206"/>
    </row>
    <row r="22" spans="1:4" ht="23.25" customHeight="1" x14ac:dyDescent="0.25">
      <c r="A22" s="207" t="s">
        <v>215</v>
      </c>
      <c r="B22" s="208"/>
      <c r="C22" s="208"/>
      <c r="D22" s="83">
        <f>SUM(D4:D20)</f>
        <v>0</v>
      </c>
    </row>
    <row r="23" spans="1:4" ht="6" customHeight="1" x14ac:dyDescent="0.25">
      <c r="A23" s="110"/>
      <c r="B23" s="111"/>
      <c r="C23" s="111"/>
      <c r="D23" s="111"/>
    </row>
    <row r="24" spans="1:4" ht="27.75" customHeight="1" x14ac:dyDescent="0.25">
      <c r="A24" s="207" t="s">
        <v>263</v>
      </c>
      <c r="B24" s="208"/>
      <c r="C24" s="208"/>
      <c r="D24" s="83">
        <f>D22/12/24</f>
        <v>0</v>
      </c>
    </row>
    <row r="25" spans="1:4" ht="6.75" customHeight="1" x14ac:dyDescent="0.25">
      <c r="A25" s="205"/>
      <c r="B25" s="206"/>
      <c r="C25" s="206"/>
      <c r="D25" s="206"/>
    </row>
  </sheetData>
  <mergeCells count="6">
    <mergeCell ref="A2:D2"/>
    <mergeCell ref="A21:D21"/>
    <mergeCell ref="A24:C24"/>
    <mergeCell ref="A25:D25"/>
    <mergeCell ref="A1:D1"/>
    <mergeCell ref="A22:C22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9"/>
  <sheetViews>
    <sheetView view="pageBreakPreview" zoomScaleNormal="100" zoomScaleSheetLayoutView="100" workbookViewId="0">
      <selection activeCell="H28" sqref="H28"/>
    </sheetView>
  </sheetViews>
  <sheetFormatPr defaultColWidth="8.42578125" defaultRowHeight="15" x14ac:dyDescent="0.25"/>
  <cols>
    <col min="1" max="1" width="28" style="62" customWidth="1"/>
    <col min="2" max="2" width="20" style="62" customWidth="1"/>
    <col min="3" max="3" width="12.7109375" style="62" customWidth="1"/>
    <col min="4" max="4" width="11.5703125" style="62" customWidth="1"/>
    <col min="5" max="5" width="14.5703125" style="62" customWidth="1"/>
    <col min="6" max="6" width="15" style="62" customWidth="1"/>
    <col min="7" max="7" width="14.5703125" style="62" customWidth="1"/>
    <col min="8" max="8" width="14.85546875" style="62" customWidth="1"/>
    <col min="9" max="9" width="18.42578125" style="62" customWidth="1"/>
    <col min="10" max="10" width="15" style="62" customWidth="1"/>
    <col min="11" max="16384" width="8.42578125" style="62"/>
  </cols>
  <sheetData>
    <row r="1" spans="1:10" ht="76.5" customHeight="1" x14ac:dyDescent="0.25">
      <c r="A1" s="66" t="s">
        <v>185</v>
      </c>
      <c r="B1" s="66" t="s">
        <v>186</v>
      </c>
      <c r="C1" s="67" t="s">
        <v>187</v>
      </c>
      <c r="D1" s="67" t="s">
        <v>188</v>
      </c>
      <c r="E1" s="68" t="s">
        <v>189</v>
      </c>
      <c r="F1" s="68" t="s">
        <v>216</v>
      </c>
      <c r="G1" s="69" t="s">
        <v>217</v>
      </c>
      <c r="H1" s="70" t="s">
        <v>218</v>
      </c>
      <c r="I1" s="70" t="s">
        <v>201</v>
      </c>
      <c r="J1" s="69" t="s">
        <v>223</v>
      </c>
    </row>
    <row r="2" spans="1:10" x14ac:dyDescent="0.25">
      <c r="A2" s="63" t="s">
        <v>230</v>
      </c>
      <c r="B2" s="63" t="s">
        <v>227</v>
      </c>
      <c r="C2" s="71" t="s">
        <v>228</v>
      </c>
      <c r="D2" s="64" t="s">
        <v>229</v>
      </c>
      <c r="E2" s="72">
        <v>3</v>
      </c>
      <c r="F2" s="84">
        <f>'Dia Poa'!I188</f>
        <v>0</v>
      </c>
      <c r="G2" s="85">
        <f ca="1">OFFSET(INDIRECT(SUBSTITUTE(_xlfn.FORMULATEXT(I2),"=","")), -3, 0)</f>
        <v>6730.291801318177</v>
      </c>
      <c r="H2" s="85">
        <f ca="1">G2*E2</f>
        <v>20190.875403954531</v>
      </c>
      <c r="I2" s="86">
        <f>'Dia Poa'!I194</f>
        <v>37744.595309950979</v>
      </c>
      <c r="J2" s="86">
        <f>I2</f>
        <v>37744.595309950979</v>
      </c>
    </row>
    <row r="3" spans="1:10" x14ac:dyDescent="0.25">
      <c r="A3" s="63" t="s">
        <v>231</v>
      </c>
      <c r="B3" s="63" t="s">
        <v>227</v>
      </c>
      <c r="C3" s="64" t="s">
        <v>228</v>
      </c>
      <c r="D3" s="64" t="s">
        <v>229</v>
      </c>
      <c r="E3" s="65">
        <v>3</v>
      </c>
      <c r="F3" s="84">
        <f>'Noite Poa'!I188</f>
        <v>0</v>
      </c>
      <c r="G3" s="85">
        <f t="shared" ref="G3:G9" ca="1" si="0">OFFSET(INDIRECT(SUBSTITUTE(_xlfn.FORMULATEXT(I3),"=","")), -3, 0)</f>
        <v>8047.1672513487028</v>
      </c>
      <c r="H3" s="85">
        <f t="shared" ref="H2:H9" ca="1" si="1">G3*E3</f>
        <v>24141.501754046109</v>
      </c>
      <c r="I3" s="87">
        <f>'Noite Poa'!I194</f>
        <v>44474.481751782907</v>
      </c>
      <c r="J3" s="87">
        <f>I3</f>
        <v>44474.481751782907</v>
      </c>
    </row>
    <row r="4" spans="1:10" x14ac:dyDescent="0.25">
      <c r="A4" s="63" t="s">
        <v>230</v>
      </c>
      <c r="B4" s="63" t="s">
        <v>238</v>
      </c>
      <c r="C4" s="64" t="s">
        <v>228</v>
      </c>
      <c r="D4" s="64" t="s">
        <v>229</v>
      </c>
      <c r="E4" s="65">
        <v>1</v>
      </c>
      <c r="F4" s="84">
        <f>'Dia Guaíba'!I188</f>
        <v>0</v>
      </c>
      <c r="G4" s="85">
        <f t="shared" ca="1" si="0"/>
        <v>2243.4306004393925</v>
      </c>
      <c r="H4" s="85">
        <f t="shared" ca="1" si="1"/>
        <v>2243.4306004393925</v>
      </c>
      <c r="I4" s="87">
        <f>'Dia Guaíba'!I194</f>
        <v>12546.369276643223</v>
      </c>
      <c r="J4" s="87">
        <f t="shared" ref="J4:J8" si="2">I4</f>
        <v>12546.369276643223</v>
      </c>
    </row>
    <row r="5" spans="1:10" x14ac:dyDescent="0.25">
      <c r="A5" s="63" t="s">
        <v>231</v>
      </c>
      <c r="B5" s="63" t="s">
        <v>238</v>
      </c>
      <c r="C5" s="64" t="s">
        <v>228</v>
      </c>
      <c r="D5" s="64" t="s">
        <v>229</v>
      </c>
      <c r="E5" s="65">
        <v>1</v>
      </c>
      <c r="F5" s="84">
        <f>'Noite Guaíba'!I188</f>
        <v>0</v>
      </c>
      <c r="G5" s="85">
        <f t="shared" ca="1" si="0"/>
        <v>2682.3890837829008</v>
      </c>
      <c r="H5" s="85">
        <f t="shared" ca="1" si="1"/>
        <v>2682.3890837829008</v>
      </c>
      <c r="I5" s="87">
        <f>'Noite Guaíba'!I194</f>
        <v>14789.664757253864</v>
      </c>
      <c r="J5" s="87">
        <f t="shared" si="2"/>
        <v>14789.664757253864</v>
      </c>
    </row>
    <row r="6" spans="1:10" x14ac:dyDescent="0.25">
      <c r="A6" s="63" t="s">
        <v>230</v>
      </c>
      <c r="B6" s="63" t="s">
        <v>239</v>
      </c>
      <c r="C6" s="64" t="s">
        <v>228</v>
      </c>
      <c r="D6" s="64" t="s">
        <v>229</v>
      </c>
      <c r="E6" s="65">
        <v>1</v>
      </c>
      <c r="F6" s="84">
        <f>'Dia Esteio'!I188</f>
        <v>0</v>
      </c>
      <c r="G6" s="85">
        <f t="shared" ca="1" si="0"/>
        <v>2243.4306004393925</v>
      </c>
      <c r="H6" s="85">
        <f t="shared" ca="1" si="1"/>
        <v>2243.4306004393925</v>
      </c>
      <c r="I6" s="87">
        <f>'Dia Esteio'!I194</f>
        <v>12581.53176998366</v>
      </c>
      <c r="J6" s="87">
        <f t="shared" si="2"/>
        <v>12581.53176998366</v>
      </c>
    </row>
    <row r="7" spans="1:10" x14ac:dyDescent="0.25">
      <c r="A7" s="63" t="s">
        <v>231</v>
      </c>
      <c r="B7" s="63" t="s">
        <v>239</v>
      </c>
      <c r="C7" s="64" t="s">
        <v>228</v>
      </c>
      <c r="D7" s="64" t="s">
        <v>229</v>
      </c>
      <c r="E7" s="65">
        <v>1</v>
      </c>
      <c r="F7" s="84">
        <f>'Noite Esteio'!I188</f>
        <v>0</v>
      </c>
      <c r="G7" s="85">
        <f t="shared" ca="1" si="0"/>
        <v>2682.3890837829008</v>
      </c>
      <c r="H7" s="85">
        <f t="shared" ca="1" si="1"/>
        <v>2682.3890837829008</v>
      </c>
      <c r="I7" s="87">
        <f>'Noite Esteio'!I194</f>
        <v>14824.827250594302</v>
      </c>
      <c r="J7" s="87">
        <f t="shared" si="2"/>
        <v>14824.827250594302</v>
      </c>
    </row>
    <row r="8" spans="1:10" x14ac:dyDescent="0.25">
      <c r="A8" s="63" t="s">
        <v>230</v>
      </c>
      <c r="B8" s="63" t="s">
        <v>240</v>
      </c>
      <c r="C8" s="64" t="s">
        <v>228</v>
      </c>
      <c r="D8" s="64" t="s">
        <v>229</v>
      </c>
      <c r="E8" s="65">
        <v>1</v>
      </c>
      <c r="F8" s="84">
        <f>'Dia Lajeado'!I188</f>
        <v>0</v>
      </c>
      <c r="G8" s="85">
        <f t="shared" ca="1" si="0"/>
        <v>2243.4306004393925</v>
      </c>
      <c r="H8" s="85">
        <f t="shared" ca="1" si="1"/>
        <v>2243.4306004393925</v>
      </c>
      <c r="I8" s="87">
        <f>'Dia Lajeado'!I194</f>
        <v>12626.284034235125</v>
      </c>
      <c r="J8" s="87">
        <f t="shared" si="2"/>
        <v>12626.284034235125</v>
      </c>
    </row>
    <row r="9" spans="1:10" x14ac:dyDescent="0.25">
      <c r="A9" s="63" t="s">
        <v>231</v>
      </c>
      <c r="B9" s="63" t="s">
        <v>240</v>
      </c>
      <c r="C9" s="64" t="s">
        <v>228</v>
      </c>
      <c r="D9" s="64" t="s">
        <v>229</v>
      </c>
      <c r="E9" s="65">
        <v>1</v>
      </c>
      <c r="F9" s="84">
        <f>'Noite Lajeado'!I188</f>
        <v>0</v>
      </c>
      <c r="G9" s="85">
        <f t="shared" ca="1" si="0"/>
        <v>2682.3890837829008</v>
      </c>
      <c r="H9" s="85">
        <f t="shared" ca="1" si="1"/>
        <v>2682.3890837829008</v>
      </c>
      <c r="I9" s="87">
        <f>'Noite Lajeado'!I194</f>
        <v>14869.579514845767</v>
      </c>
      <c r="J9" s="87">
        <f>E9*I9</f>
        <v>14869.579514845767</v>
      </c>
    </row>
    <row r="10" spans="1:10" ht="6" customHeight="1" x14ac:dyDescent="0.25">
      <c r="A10" s="205"/>
      <c r="B10" s="206"/>
      <c r="C10" s="206"/>
      <c r="D10" s="206"/>
      <c r="E10" s="206"/>
      <c r="F10" s="206"/>
      <c r="G10" s="206"/>
      <c r="H10" s="206"/>
      <c r="I10" s="206"/>
      <c r="J10" s="212"/>
    </row>
    <row r="11" spans="1:10" ht="78" customHeight="1" x14ac:dyDescent="0.25">
      <c r="A11" s="122" t="s">
        <v>220</v>
      </c>
      <c r="B11" s="123"/>
      <c r="C11" s="123"/>
      <c r="D11" s="88">
        <f>SUM(E2:E9)</f>
        <v>12</v>
      </c>
      <c r="E11" s="89" t="s">
        <v>215</v>
      </c>
      <c r="F11" s="90">
        <f>SUM(F2:F9)</f>
        <v>0</v>
      </c>
      <c r="G11" s="91" t="s">
        <v>222</v>
      </c>
      <c r="H11" s="92">
        <f ca="1">SUM(H2:H9)</f>
        <v>59109.836210667534</v>
      </c>
      <c r="I11" s="93" t="s">
        <v>219</v>
      </c>
      <c r="J11" s="94">
        <f ca="1">H11/J13</f>
        <v>0.35942353492712126</v>
      </c>
    </row>
    <row r="12" spans="1:10" ht="6" customHeight="1" x14ac:dyDescent="0.25">
      <c r="A12" s="213"/>
      <c r="B12" s="214"/>
      <c r="C12" s="214"/>
      <c r="D12" s="214"/>
      <c r="E12" s="214"/>
      <c r="F12" s="214"/>
      <c r="G12" s="214"/>
      <c r="H12" s="214"/>
      <c r="I12" s="214"/>
      <c r="J12" s="215"/>
    </row>
    <row r="13" spans="1:10" ht="26.45" customHeight="1" x14ac:dyDescent="0.25">
      <c r="A13" s="216" t="s">
        <v>221</v>
      </c>
      <c r="B13" s="217"/>
      <c r="C13" s="217"/>
      <c r="D13" s="217"/>
      <c r="E13" s="217"/>
      <c r="F13" s="217"/>
      <c r="G13" s="217"/>
      <c r="H13" s="217"/>
      <c r="I13" s="218"/>
      <c r="J13" s="73">
        <f>SUM(J2:J9)</f>
        <v>164457.33366528983</v>
      </c>
    </row>
    <row r="14" spans="1:10" ht="6" customHeight="1" x14ac:dyDescent="0.25">
      <c r="A14" s="205"/>
      <c r="B14" s="206"/>
      <c r="C14" s="206"/>
      <c r="D14" s="206"/>
      <c r="E14" s="206"/>
      <c r="F14" s="206"/>
      <c r="G14" s="206"/>
      <c r="H14" s="206"/>
      <c r="I14" s="206"/>
      <c r="J14" s="212"/>
    </row>
    <row r="19" spans="6:6" x14ac:dyDescent="0.25">
      <c r="F19" s="121"/>
    </row>
  </sheetData>
  <mergeCells count="4">
    <mergeCell ref="A14:J14"/>
    <mergeCell ref="A10:J10"/>
    <mergeCell ref="A12:J12"/>
    <mergeCell ref="A13:I13"/>
  </mergeCells>
  <pageMargins left="0.51180555555555596" right="0.51180555555555596" top="0.78749999999999998" bottom="0.78749999999999998" header="0.511811023622047" footer="0.511811023622047"/>
  <pageSetup paperSize="9" scale="5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8</vt:i4>
      </vt:variant>
    </vt:vector>
  </HeadingPairs>
  <TitlesOfParts>
    <vt:vector size="18" baseType="lpstr">
      <vt:lpstr>Dia Poa</vt:lpstr>
      <vt:lpstr>Noite Poa</vt:lpstr>
      <vt:lpstr>Dia Guaíba</vt:lpstr>
      <vt:lpstr>Noite Guaíba</vt:lpstr>
      <vt:lpstr>Dia Esteio</vt:lpstr>
      <vt:lpstr>Noite Esteio</vt:lpstr>
      <vt:lpstr>Dia Lajeado</vt:lpstr>
      <vt:lpstr>Noite Lajeado</vt:lpstr>
      <vt:lpstr>Equipamentos</vt:lpstr>
      <vt:lpstr>Resumo</vt:lpstr>
      <vt:lpstr>'Dia Esteio'!Area_de_impressao</vt:lpstr>
      <vt:lpstr>'Dia Guaíba'!Area_de_impressao</vt:lpstr>
      <vt:lpstr>'Dia Lajeado'!Area_de_impressao</vt:lpstr>
      <vt:lpstr>'Dia Poa'!Area_de_impressao</vt:lpstr>
      <vt:lpstr>'Noite Esteio'!Area_de_impressao</vt:lpstr>
      <vt:lpstr>'Noite Guaíba'!Area_de_impressao</vt:lpstr>
      <vt:lpstr>'Noite Lajeado'!Area_de_impressao</vt:lpstr>
      <vt:lpstr>'Noite Poa'!Area_de_impressao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Usuário do Windows</cp:lastModifiedBy>
  <cp:revision>1</cp:revision>
  <cp:lastPrinted>2026-02-11T14:04:05Z</cp:lastPrinted>
  <dcterms:created xsi:type="dcterms:W3CDTF">2019-04-12T20:03:09Z</dcterms:created>
  <dcterms:modified xsi:type="dcterms:W3CDTF">2026-05-20T14:24:53Z</dcterms:modified>
  <dc:language>pt-BR</dc:language>
</cp:coreProperties>
</file>