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10" tabRatio="500"/>
  </bookViews>
  <sheets>
    <sheet name="11ª CR Lajeado" sheetId="11" r:id="rId1"/>
    <sheet name="EQUIPAMENTOS" sheetId="15" r:id="rId2"/>
    <sheet name="MATERIAIS" sheetId="14" r:id="rId3"/>
    <sheet name="UNIFORMES" sheetId="13" r:id="rId4"/>
    <sheet name="Resumo" sheetId="3" r:id="rId5"/>
  </sheets>
  <externalReferences>
    <externalReference r:id="rId6"/>
    <externalReference r:id="rId7"/>
  </externalReferences>
  <definedNames>
    <definedName name="_xlnm.Print_Area" localSheetId="0">'11ª CR Lajeado'!$B$2:$L$195</definedName>
    <definedName name="_xlnm.Print_Area" localSheetId="1">EQUIPAMENTOS!$B$2:$I$15</definedName>
    <definedName name="_xlnm.Print_Area" localSheetId="2">MATERIAIS!$B$2:$K$52</definedName>
    <definedName name="_xlnm.Print_Area" localSheetId="4">Resumo!$B$2:$L$10</definedName>
    <definedName name="_xlnm.Print_Area" localSheetId="3">UNIFORMES!$B$2:$I$16</definedName>
    <definedName name="Auxiliar" localSheetId="0">#REF!</definedName>
    <definedName name="Auxiliar">#REF!</definedName>
    <definedName name="CUSTO_VALE_TRANSPORTE" localSheetId="0">#REF!</definedName>
    <definedName name="CUSTO_VALE_TRANSPORTE">#REF!</definedName>
    <definedName name="ecwece4c" localSheetId="0">#REF!</definedName>
    <definedName name="ecwece4c">#REF!</definedName>
    <definedName name="MOMB4">'[1]SERVENTE MANUTENCAO'!$I$144</definedName>
    <definedName name="MONA1" localSheetId="0">#REF!</definedName>
    <definedName name="MONA1">#REF!</definedName>
    <definedName name="MONA2" localSheetId="0">#REF!</definedName>
    <definedName name="MONA2">#REF!</definedName>
    <definedName name="MONA3">[2]HIDRAULICO!$I$138</definedName>
    <definedName name="MONA4">'[2]SERVENTE (AUX PRODUCAO)'!$I$138</definedName>
    <definedName name="MONA5" localSheetId="0">#REF!</definedName>
    <definedName name="MONA5">#REF!</definedName>
    <definedName name="MONA6" localSheetId="0">#REF!</definedName>
    <definedName name="MONA6">#REF!</definedName>
    <definedName name="MONA7" localSheetId="0">#REF!</definedName>
    <definedName name="MONA7">#REF!</definedName>
    <definedName name="MONA8">[2]MECANICO_REFRIGERACAO!$I$138</definedName>
    <definedName name="MONB1" localSheetId="0">#REF!</definedName>
    <definedName name="MONB1">#REF!</definedName>
    <definedName name="MONB2" localSheetId="0">#REF!</definedName>
    <definedName name="MONB2">#REF!</definedName>
    <definedName name="MONB3">[2]HIDRAULICO!$I$144</definedName>
    <definedName name="MONB4">'[2]SERVENTE (AUX PRODUCAO)'!$I$144</definedName>
    <definedName name="MONB5" localSheetId="0">#REF!</definedName>
    <definedName name="MONB5">#REF!</definedName>
    <definedName name="MONB6" localSheetId="0">#REF!</definedName>
    <definedName name="MONB6">#REF!</definedName>
    <definedName name="MONB7" localSheetId="0">#REF!</definedName>
    <definedName name="MONB7">#REF!</definedName>
    <definedName name="MONB8">[2]MECANICO_REFRIGERACAO!$I$144</definedName>
    <definedName name="MONC1" localSheetId="0">#REF!</definedName>
    <definedName name="MONC1">#REF!</definedName>
    <definedName name="MONC2" localSheetId="0">#REF!</definedName>
    <definedName name="MONC2">#REF!</definedName>
    <definedName name="MONC3">[2]HIDRAULICO!$I$148</definedName>
    <definedName name="MONC4">'[2]SERVENTE (AUX PRODUCAO)'!$I$148</definedName>
    <definedName name="MONC5" localSheetId="0">#REF!</definedName>
    <definedName name="MONC5">#REF!</definedName>
    <definedName name="MONC6" localSheetId="0">#REF!</definedName>
    <definedName name="MONC6">#REF!</definedName>
    <definedName name="MONC7" localSheetId="0">#REF!</definedName>
    <definedName name="MONC7">#REF!</definedName>
    <definedName name="MONC8">[2]MECANICO_REFRIGERACAO!$I$148</definedName>
    <definedName name="mont" localSheetId="0">#REF!</definedName>
    <definedName name="mont">#REF!</definedName>
    <definedName name="MONTANTEA" localSheetId="0">#REF!</definedName>
    <definedName name="MONTANTEA">#REF!</definedName>
    <definedName name="MONTANTEA1" localSheetId="0">#REF!</definedName>
    <definedName name="MONTANTEA1">#REF!</definedName>
    <definedName name="MONTANTEA2" localSheetId="0">#REF!</definedName>
    <definedName name="MONTANTEA2">#REF!</definedName>
    <definedName name="MONTANTEB" localSheetId="0">#REF!</definedName>
    <definedName name="MONTANTEB">#REF!</definedName>
    <definedName name="MONTANTEB1" localSheetId="0">#REF!</definedName>
    <definedName name="MONTANTEB1">#REF!</definedName>
    <definedName name="MONTANTEB2" localSheetId="0">#REF!</definedName>
    <definedName name="MONTANTEB2">#REF!</definedName>
    <definedName name="MONTANTEC" localSheetId="0">#REF!</definedName>
    <definedName name="MONTANTEC">#REF!</definedName>
    <definedName name="MONTANTEC1" localSheetId="0">#REF!</definedName>
    <definedName name="MONTANTEC1">#REF!</definedName>
    <definedName name="MONTANTEC2" localSheetId="0">#REF!</definedName>
    <definedName name="MONTANTEC2">#REF!</definedName>
    <definedName name="ok" localSheetId="0">#REF!</definedName>
    <definedName name="ok">#REF!</definedName>
    <definedName name="REMUNERACAO1" localSheetId="0">#REF!</definedName>
    <definedName name="REMUNERACAO1">#REF!</definedName>
    <definedName name="REMUNERACAO2" localSheetId="0">#REF!</definedName>
    <definedName name="REMUNERACAO2">#REF!</definedName>
    <definedName name="REMUNERACAO3">[2]HIDRAULICO!$I$30</definedName>
    <definedName name="REMUNERACAO4">'[2]SERVENTE (AUX PRODUCAO)'!$I$30</definedName>
    <definedName name="REMUNERACAO5" localSheetId="0">#REF!</definedName>
    <definedName name="REMUNERACAO5">#REF!</definedName>
    <definedName name="REMUNERACAO6" localSheetId="0">#REF!</definedName>
    <definedName name="REMUNERACAO6">#REF!</definedName>
    <definedName name="REMUNERACAO7" localSheetId="0">#REF!</definedName>
    <definedName name="REMUNERACAO7">#REF!</definedName>
    <definedName name="REMUNERACAO8">[2]MECANICO_REFRIGERACAO!$I$30</definedName>
    <definedName name="TOTAL_MONT_A" localSheetId="0">#REF!</definedName>
    <definedName name="TOTAL_MONT_A">#REF!</definedName>
    <definedName name="TOTAL1" localSheetId="0">#REF!</definedName>
    <definedName name="TOTAL1">#REF!</definedName>
    <definedName name="TOTAL2" localSheetId="0">#REF!</definedName>
    <definedName name="TOTAL2">#REF!</definedName>
    <definedName name="VALE_TRANSPORTE" localSheetId="0">#REF!</definedName>
    <definedName name="VALE_TRANSPORTE">#REF!</definedName>
  </definedNames>
  <calcPr calcId="145621"/>
  <extLst>
    <ext xmlns:loext="http://schemas.libreoffice.org/" uri="{7626C862-2A13-11E5-B345-FEFF819CDC9F}">
      <loext:extCalcPr stringRefSyntax="ExcelA1"/>
    </ext>
  </extLst>
</workbook>
</file>

<file path=xl/calcChain.xml><?xml version="1.0" encoding="utf-8"?>
<calcChain xmlns="http://schemas.openxmlformats.org/spreadsheetml/2006/main">
  <c r="H13" i="13" l="1"/>
  <c r="H12" i="13"/>
  <c r="H11" i="13"/>
  <c r="H10" i="13"/>
  <c r="H9" i="13"/>
  <c r="H8" i="13"/>
  <c r="H7" i="13"/>
  <c r="H6" i="13"/>
  <c r="H14" i="13" s="1"/>
  <c r="H15" i="13" s="1"/>
  <c r="I49" i="14"/>
  <c r="J49" i="14" s="1"/>
  <c r="I48" i="14"/>
  <c r="J48" i="14" s="1"/>
  <c r="I47" i="14"/>
  <c r="J47" i="14" s="1"/>
  <c r="I46" i="14"/>
  <c r="J46" i="14" s="1"/>
  <c r="I45" i="14"/>
  <c r="J45" i="14" s="1"/>
  <c r="I44" i="14"/>
  <c r="J44" i="14" s="1"/>
  <c r="I43" i="14"/>
  <c r="J43" i="14" s="1"/>
  <c r="I42" i="14"/>
  <c r="J42" i="14" s="1"/>
  <c r="I41" i="14"/>
  <c r="J41" i="14" s="1"/>
  <c r="I40" i="14"/>
  <c r="J40" i="14" s="1"/>
  <c r="I39" i="14"/>
  <c r="J39" i="14" s="1"/>
  <c r="I38" i="14"/>
  <c r="J38" i="14" s="1"/>
  <c r="I37" i="14"/>
  <c r="J37" i="14" s="1"/>
  <c r="I36" i="14"/>
  <c r="J36" i="14" s="1"/>
  <c r="I35" i="14"/>
  <c r="J35" i="14" s="1"/>
  <c r="I34" i="14"/>
  <c r="J34" i="14" s="1"/>
  <c r="I33" i="14"/>
  <c r="J33" i="14" s="1"/>
  <c r="I32" i="14"/>
  <c r="J32" i="14" s="1"/>
  <c r="I31" i="14"/>
  <c r="J31" i="14" s="1"/>
  <c r="I30" i="14"/>
  <c r="J30" i="14" s="1"/>
  <c r="I29" i="14"/>
  <c r="J29" i="14" s="1"/>
  <c r="I28" i="14"/>
  <c r="J28" i="14" s="1"/>
  <c r="I27" i="14"/>
  <c r="J27" i="14" s="1"/>
  <c r="I26" i="14"/>
  <c r="J26" i="14" s="1"/>
  <c r="I25" i="14"/>
  <c r="J25" i="14" s="1"/>
  <c r="I24" i="14"/>
  <c r="J24" i="14" s="1"/>
  <c r="I23" i="14"/>
  <c r="J23" i="14" s="1"/>
  <c r="I22" i="14"/>
  <c r="J22" i="14" s="1"/>
  <c r="I21" i="14"/>
  <c r="J21" i="14" s="1"/>
  <c r="I20" i="14"/>
  <c r="J20" i="14" s="1"/>
  <c r="I19" i="14"/>
  <c r="J19" i="14" s="1"/>
  <c r="I18" i="14"/>
  <c r="J18" i="14" s="1"/>
  <c r="I17" i="14"/>
  <c r="J17" i="14" s="1"/>
  <c r="I16" i="14"/>
  <c r="J16" i="14" s="1"/>
  <c r="I15" i="14"/>
  <c r="J15" i="14" s="1"/>
  <c r="I14" i="14"/>
  <c r="J14" i="14" s="1"/>
  <c r="I13" i="14"/>
  <c r="J13" i="14" s="1"/>
  <c r="I12" i="14"/>
  <c r="J12" i="14" s="1"/>
  <c r="I11" i="14"/>
  <c r="J11" i="14" s="1"/>
  <c r="I10" i="14"/>
  <c r="J10" i="14" s="1"/>
  <c r="I9" i="14"/>
  <c r="J9" i="14" s="1"/>
  <c r="I8" i="14"/>
  <c r="J8" i="14" s="1"/>
  <c r="I7" i="14"/>
  <c r="J7" i="14" s="1"/>
  <c r="I6" i="14"/>
  <c r="J6" i="14" s="1"/>
  <c r="F6" i="15"/>
  <c r="G6" i="15" s="1"/>
  <c r="H6" i="15" s="1"/>
  <c r="F12" i="15"/>
  <c r="G12" i="15" s="1"/>
  <c r="H12" i="15" s="1"/>
  <c r="F11" i="15"/>
  <c r="G11" i="15" s="1"/>
  <c r="H11" i="15" s="1"/>
  <c r="F10" i="15"/>
  <c r="G10" i="15" s="1"/>
  <c r="H10" i="15" s="1"/>
  <c r="F9" i="15"/>
  <c r="G9" i="15" s="1"/>
  <c r="H9" i="15" s="1"/>
  <c r="F8" i="15"/>
  <c r="G8" i="15" s="1"/>
  <c r="H8" i="15" s="1"/>
  <c r="F7" i="15"/>
  <c r="G7" i="15" s="1"/>
  <c r="H7" i="15" s="1"/>
  <c r="J50" i="14" l="1"/>
  <c r="J51" i="14" s="1"/>
  <c r="H13" i="15"/>
  <c r="H14" i="15" s="1"/>
  <c r="K91" i="11" l="1"/>
  <c r="K49" i="11"/>
  <c r="K28" i="11"/>
  <c r="K45" i="11"/>
  <c r="K23" i="11" l="1"/>
  <c r="G8" i="3" l="1"/>
  <c r="J194" i="11" l="1"/>
  <c r="G164" i="11"/>
  <c r="J163" i="11"/>
  <c r="J166" i="11" s="1"/>
  <c r="F163" i="11" s="1"/>
  <c r="G163" i="11" s="1"/>
  <c r="I163" i="11"/>
  <c r="I166" i="11" s="1"/>
  <c r="F162" i="11" s="1"/>
  <c r="G162" i="11" s="1"/>
  <c r="H163" i="11"/>
  <c r="H162" i="11"/>
  <c r="H161" i="11"/>
  <c r="K137" i="11"/>
  <c r="K180" i="11" s="1"/>
  <c r="H130" i="11"/>
  <c r="I115" i="11"/>
  <c r="E115" i="11"/>
  <c r="C115" i="11"/>
  <c r="J114" i="11"/>
  <c r="H113" i="11"/>
  <c r="I111" i="11"/>
  <c r="E111" i="11"/>
  <c r="C111" i="11"/>
  <c r="I107" i="11"/>
  <c r="E107" i="11"/>
  <c r="C107" i="11"/>
  <c r="K102" i="11"/>
  <c r="K101" i="11"/>
  <c r="C98" i="11"/>
  <c r="C99" i="11" s="1"/>
  <c r="C100" i="11" s="1"/>
  <c r="C101" i="11" s="1"/>
  <c r="C102" i="11" s="1"/>
  <c r="J88" i="11"/>
  <c r="J81" i="11"/>
  <c r="J69" i="11"/>
  <c r="K48" i="11"/>
  <c r="K44" i="11"/>
  <c r="K43" i="11"/>
  <c r="K42" i="11"/>
  <c r="C42" i="11"/>
  <c r="C43" i="11" s="1"/>
  <c r="C44" i="11" s="1"/>
  <c r="C45" i="11" s="1"/>
  <c r="C46" i="11" s="1"/>
  <c r="C47" i="11" s="1"/>
  <c r="C48" i="11" s="1"/>
  <c r="I13" i="11"/>
  <c r="C8" i="11"/>
  <c r="K7" i="11"/>
  <c r="K41" i="11" s="1"/>
  <c r="I7" i="11"/>
  <c r="G107" i="11" l="1"/>
  <c r="G115" i="11"/>
  <c r="J91" i="11"/>
  <c r="J92" i="11" s="1"/>
  <c r="J94" i="11" s="1"/>
  <c r="G111" i="11"/>
  <c r="H111" i="11" s="1"/>
  <c r="J111" i="11" s="1"/>
  <c r="K111" i="11" s="1"/>
  <c r="K98" i="11" s="1"/>
  <c r="K46" i="11"/>
  <c r="K47" i="11" s="1"/>
  <c r="H107" i="11"/>
  <c r="J107" i="11" s="1"/>
  <c r="K122" i="11"/>
  <c r="H115" i="11"/>
  <c r="J115" i="11" s="1"/>
  <c r="K115" i="11" s="1"/>
  <c r="K97" i="11" s="1"/>
  <c r="K107" i="11" l="1"/>
  <c r="K100" i="11" s="1"/>
  <c r="K191" i="11"/>
  <c r="H4" i="3" s="1"/>
  <c r="I4" i="3" s="1"/>
  <c r="H6" i="3" s="1"/>
  <c r="K80" i="11"/>
  <c r="K130" i="11"/>
  <c r="K143" i="11"/>
  <c r="K103" i="11"/>
  <c r="J47" i="11" l="1"/>
  <c r="C132" i="11"/>
  <c r="K67" i="11"/>
  <c r="K66" i="11"/>
  <c r="K74" i="11"/>
  <c r="K73" i="11"/>
  <c r="K85" i="11"/>
  <c r="J98" i="11"/>
  <c r="J100" i="11"/>
  <c r="J48" i="11"/>
  <c r="K62" i="11"/>
  <c r="J44" i="11"/>
  <c r="K77" i="11"/>
  <c r="J102" i="11"/>
  <c r="K75" i="11"/>
  <c r="J42" i="11"/>
  <c r="K79" i="11"/>
  <c r="K76" i="11"/>
  <c r="J45" i="11"/>
  <c r="J41" i="11"/>
  <c r="K92" i="11"/>
  <c r="H132" i="11" s="1"/>
  <c r="K173" i="11"/>
  <c r="J43" i="11"/>
  <c r="K68" i="11"/>
  <c r="K87" i="11"/>
  <c r="J97" i="11"/>
  <c r="K63" i="11"/>
  <c r="J46" i="11"/>
  <c r="C145" i="11"/>
  <c r="J99" i="11"/>
  <c r="K78" i="11"/>
  <c r="K64" i="11"/>
  <c r="K86" i="11"/>
  <c r="J101" i="11"/>
  <c r="K61" i="11"/>
  <c r="K65" i="11"/>
  <c r="I132" i="11"/>
  <c r="K175" i="11"/>
  <c r="I145" i="11"/>
  <c r="J49" i="11" l="1"/>
  <c r="J103" i="11"/>
  <c r="K88" i="11"/>
  <c r="G145" i="11" s="1"/>
  <c r="K81" i="11"/>
  <c r="F145" i="11" s="1"/>
  <c r="K69" i="11"/>
  <c r="H145" i="11"/>
  <c r="K174" i="11" l="1"/>
  <c r="K176" i="11" s="1"/>
  <c r="J117" i="11"/>
  <c r="K94" i="11"/>
  <c r="K117" i="11" s="1"/>
  <c r="C161" i="11" s="1"/>
  <c r="F132" i="11"/>
  <c r="G132" i="11"/>
  <c r="E145" i="11"/>
  <c r="J145" i="11" s="1"/>
  <c r="K145" i="11" s="1"/>
  <c r="I143" i="11" s="1"/>
  <c r="J140" i="11" s="1"/>
  <c r="J141" i="11" s="1"/>
  <c r="E132" i="11"/>
  <c r="J132" i="11" l="1"/>
  <c r="K132" i="11" s="1"/>
  <c r="J121" i="11" s="1"/>
  <c r="J135" i="11"/>
  <c r="J136" i="11"/>
  <c r="K141" i="11"/>
  <c r="J123" i="11" l="1"/>
  <c r="J122" i="11"/>
  <c r="J126" i="11"/>
  <c r="I130" i="11"/>
  <c r="K127" i="11" s="1"/>
  <c r="K179" i="11" s="1"/>
  <c r="J137" i="11"/>
  <c r="J125" i="11"/>
  <c r="K181" i="11"/>
  <c r="J124" i="11" l="1"/>
  <c r="J127" i="11" s="1"/>
  <c r="J147" i="11" s="1"/>
  <c r="K147" i="11"/>
  <c r="E161" i="11" s="1"/>
  <c r="F161" i="11" s="1"/>
  <c r="K182" i="11"/>
  <c r="K155" i="11" l="1"/>
  <c r="J155" i="11" s="1"/>
  <c r="K154" i="11"/>
  <c r="J154" i="11" s="1"/>
  <c r="K153" i="11"/>
  <c r="K152" i="11"/>
  <c r="J152" i="11" s="1"/>
  <c r="K151" i="11"/>
  <c r="J151" i="11" s="1"/>
  <c r="J153" i="11"/>
  <c r="J156" i="11" l="1"/>
  <c r="J169" i="11" s="1"/>
  <c r="K156" i="11"/>
  <c r="K186" i="11" s="1"/>
  <c r="I194" i="11" s="1"/>
  <c r="K194" i="11" s="1"/>
  <c r="J4" i="3" s="1"/>
  <c r="K4" i="3" s="1"/>
  <c r="K8" i="3" s="1"/>
  <c r="K6" i="3" s="1"/>
  <c r="J174" i="11" l="1"/>
  <c r="J173" i="11"/>
  <c r="K185" i="11"/>
  <c r="J185" i="11" s="1"/>
  <c r="J186" i="11" s="1"/>
  <c r="J175" i="11"/>
  <c r="K169" i="11"/>
  <c r="J181" i="11"/>
  <c r="J179" i="11"/>
  <c r="J180" i="11"/>
  <c r="J176" i="11" l="1"/>
  <c r="J182" i="11"/>
</calcChain>
</file>

<file path=xl/comments1.xml><?xml version="1.0" encoding="utf-8"?>
<comments xmlns="http://schemas.openxmlformats.org/spreadsheetml/2006/main">
  <authors>
    <author>gn</author>
    <author/>
  </authors>
  <commentList>
    <comment ref="E4" authorId="0">
      <text>
        <r>
          <rPr>
            <b/>
            <sz val="9"/>
            <color indexed="81"/>
            <rFont val="Segoe UI"/>
            <family val="2"/>
          </rPr>
          <t>Informar o número do processo</t>
        </r>
      </text>
    </comment>
    <comment ref="F7" authorId="1">
      <text>
        <r>
          <rPr>
            <sz val="11"/>
            <color rgb="FF000000"/>
            <rFont val="Calibri"/>
            <family val="2"/>
            <charset val="1"/>
          </rPr>
          <t>Informar o nome do cargo</t>
        </r>
      </text>
    </comment>
    <comment ref="F8" authorId="1">
      <text>
        <r>
          <rPr>
            <sz val="11"/>
            <color rgb="FF000000"/>
            <rFont val="Calibri"/>
            <family val="2"/>
            <charset val="1"/>
          </rPr>
          <t>Informar as horas semanais (exemplo: 20, 40, 44...). 
Obs. 1: incluir apenas número.
Obs. 2: caso o regime de trabalho seja 12x36, incluir a expressão "12x36" sem aspas e sem espaços.</t>
        </r>
      </text>
    </comment>
    <comment ref="K9" authorId="1">
      <text>
        <r>
          <rPr>
            <sz val="11"/>
            <color rgb="FF000000"/>
            <rFont val="Calibri"/>
            <family val="2"/>
            <charset val="1"/>
          </rPr>
          <t>Caso deva ser pago adicional de insalubridade (10%, 20% ou 40%) deverá ser indicado aqui a porcentagem correspondente. Caso não deva ser pago tal adicional, deverá constar "Não aplicável".</t>
        </r>
      </text>
    </comment>
    <comment ref="F10" authorId="1">
      <text>
        <r>
          <rPr>
            <sz val="11"/>
            <color rgb="FF000000"/>
            <rFont val="Calibri"/>
            <family val="2"/>
            <charset val="1"/>
          </rPr>
          <t>Informar a origem do salário (exemplo: CCT, Lei, Sindicato, etc). Geralmente o salário consta na CCT da categoria.</t>
        </r>
      </text>
    </comment>
    <comment ref="F11" authorId="1">
      <text>
        <r>
          <rPr>
            <sz val="11"/>
            <color rgb="FF000000"/>
            <rFont val="Calibri"/>
            <family val="2"/>
            <charset val="1"/>
          </rPr>
          <t>Informar a cidade de prestação dos serviços</t>
        </r>
      </text>
    </comment>
    <comment ref="K11" authorId="1">
      <text>
        <r>
          <rPr>
            <sz val="11"/>
            <color rgb="FF000000"/>
            <rFont val="Calibri"/>
            <family val="2"/>
            <charset val="1"/>
          </rPr>
          <t>Caso deva ser pago adicional de periculosidade (30%) deverá ser indicado aqui a porcentagem de 30%. Caso não deva ser pago tal adicional, deverá constar "Não aplicável".
Para postos de Vigilantes e Eletricistas sempre deve ser pago este adicional.</t>
        </r>
      </text>
    </comment>
    <comment ref="J12" authorId="1">
      <text>
        <r>
          <rPr>
            <sz val="11"/>
            <color rgb="FF000000"/>
            <rFont val="Calibri"/>
            <family val="2"/>
            <charset val="1"/>
          </rPr>
          <t>Informar o número de horas correspondente ao salário normativo (exemplo: 220, 180, etc).</t>
        </r>
      </text>
    </comment>
    <comment ref="K13" authorId="1">
      <text>
        <r>
          <rPr>
            <sz val="11"/>
            <color rgb="FF000000"/>
            <rFont val="Calibri"/>
            <family val="2"/>
            <charset val="1"/>
          </rPr>
          <t>Informar a alíquota do ISS relativo ao serviço do posto de trabalho</t>
        </r>
      </text>
    </comment>
    <comment ref="K14" authorId="1">
      <text>
        <r>
          <rPr>
            <sz val="11"/>
            <color rgb="FF000000"/>
            <rFont val="Calibri"/>
            <family val="2"/>
            <charset val="1"/>
          </rPr>
          <t>Informar o valor do VT da cidade que o posto de trabalho irá exercer suas funções</t>
        </r>
      </text>
    </comment>
    <comment ref="K15" authorId="1">
      <text>
        <r>
          <rPr>
            <sz val="11"/>
            <color rgb="FF000000"/>
            <rFont val="Calibri"/>
            <family val="2"/>
            <charset val="1"/>
          </rPr>
          <t>Informar o número de dias por mês que o posto irá trabalhar. 
Caso seja de segunda a sexta, utilizar 22.
Caso seja 12x36, utilizar 15.
Caso seja segunda a sábado, utilizar 26.</t>
        </r>
      </text>
    </comment>
    <comment ref="K16" authorId="1">
      <text>
        <r>
          <rPr>
            <sz val="11"/>
            <color rgb="FF000000"/>
            <rFont val="Calibri"/>
            <family val="2"/>
            <charset val="1"/>
          </rPr>
          <t>Informar o valor do desconto do VT. Geralmente é 6%, porém a CCT pode indicar outra porcentagem</t>
        </r>
      </text>
    </comment>
    <comment ref="K17" authorId="1">
      <text>
        <r>
          <rPr>
            <sz val="11"/>
            <color rgb="FF000000"/>
            <rFont val="Calibri"/>
            <family val="2"/>
            <charset val="1"/>
          </rPr>
          <t>Informar o valor do vale alimentação caso conste na CCT. 
Caso não conste na CCT, incluir o valor 0 ou a expressão Não aplicável
Obs. 2: para postos da CCT SINDASSEIO e SEEAC (limpeza, copeiro, aux. administrativo e outros) que trabalham 44h, de segunda a sábado, sendo de segunda a sexta 8h diárias e nos sábados, 4h, há necessidade de pagamento do Auxílio Alimentação e do Auxílio Lanche, sendo 22 dias para o Aux. Alimentação e 4 dias para o Aux. Lanche.</t>
        </r>
      </text>
    </comment>
    <comment ref="K18" authorId="1">
      <text>
        <r>
          <rPr>
            <sz val="11"/>
            <color rgb="FF000000"/>
            <rFont val="Calibri"/>
            <family val="2"/>
            <charset val="1"/>
          </rPr>
          <t>Informar o número de dias por mês que o posto irá trabalhar. 
Caso seja de segunda a sexta, utilizar 22.
Caso seja 12x36, utilizar 15.
Caso seja segunda a sábado, utilizar 26.</t>
        </r>
      </text>
    </comment>
    <comment ref="K19" authorId="1">
      <text>
        <r>
          <rPr>
            <sz val="11"/>
            <color rgb="FF000000"/>
            <rFont val="Calibri"/>
            <family val="2"/>
            <charset val="1"/>
          </rPr>
          <t>Informar o valor do desconto do VA. Geralmente é 20%, porém a CCT pode indicar outra porcentagem</t>
        </r>
      </text>
    </comment>
    <comment ref="K20" authorId="1">
      <text>
        <r>
          <rPr>
            <sz val="11"/>
            <color rgb="FF000000"/>
            <rFont val="Calibri"/>
            <family val="2"/>
            <charset val="1"/>
          </rPr>
          <t>Informar o valor do vale lanche caso seja necessário o pagamento conforme CCT. 
Caso não conste na CCT, incluir o valor 0  ou a expressão Não aplicável
Obs. 1: caso conste na CCT que deverá ser fornecido lanche, porém não especifica nenhum valor, utilizar o valor atribuído aos servidores estaduais conforme Leis 10.002/93 e  15.011/16 (o valor atualizado em 01/06/20 é de R$ 10,13).
Obs. 2: para postos da CCT SINDASSEIO e SEEAC (limpeza, copeiro, aux. administrativo e outros) que trabalham 44h, de segunda a sábado, sendo de segunda a sexta 8h diárias e nos sábados, 4h, há necessidade de pagamento do Auxílio Alimentação e do Auxílio Lanche, sendo 22 dias para o Aux. Alimentação e 4 dias para o Aux. Lanche.</t>
        </r>
      </text>
    </comment>
    <comment ref="K21" authorId="1">
      <text>
        <r>
          <rPr>
            <sz val="11"/>
            <color rgb="FF000000"/>
            <rFont val="Calibri"/>
            <family val="2"/>
            <charset val="1"/>
          </rPr>
          <t>Informar o número de dias por mês que o posto irá receber o VL.</t>
        </r>
      </text>
    </comment>
    <comment ref="K22" authorId="1">
      <text>
        <r>
          <rPr>
            <sz val="11"/>
            <color rgb="FF000000"/>
            <rFont val="Calibri"/>
            <family val="2"/>
            <charset val="1"/>
          </rPr>
          <t>Informar o valor do desconto do VL. Geralmente é 20%, porém a CCT pode indicar outra porcentagem</t>
        </r>
      </text>
    </comment>
    <comment ref="K23" authorId="1">
      <text>
        <r>
          <rPr>
            <sz val="11"/>
            <color rgb="FF000000"/>
            <rFont val="Calibri"/>
            <family val="2"/>
            <charset val="1"/>
          </rPr>
          <t>Caso haja necessidade de pagamento de outros benefícios previstos na CCT, incluir aqui o valor mensal indicando a que se trata tal valor. Caso não haja necessidade, incluir a expressão "Não aplicável".</t>
        </r>
      </text>
    </comment>
    <comment ref="K27" authorId="1">
      <text>
        <r>
          <rPr>
            <sz val="11"/>
            <color rgb="FF000000"/>
            <rFont val="Calibri"/>
            <family val="2"/>
            <charset val="1"/>
          </rPr>
          <t>Caso haja necessidade de pagamento de adicional de supervisão ao posto, incluir o número "37". Caso não haja necessidade, manter a expressão "Não aplicável".</t>
        </r>
      </text>
    </comment>
    <comment ref="K28" authorId="1">
      <text>
        <r>
          <rPr>
            <sz val="11"/>
            <color rgb="FF000000"/>
            <rFont val="Calibri"/>
            <family val="2"/>
            <charset val="1"/>
          </rPr>
          <t xml:space="preserve">Informar o valor para base de cálculo da insalubridade. 
Conforme art. 192 da CLT, o exercício de trabalho em condições insalubres, acima dos limites de tolerância estabelecidos pelo Ministério do Trabalho, assegura a percepção de adicional respectivamente de 40%, 20% e 10% do </t>
        </r>
        <r>
          <rPr>
            <b/>
            <u/>
            <sz val="7"/>
            <color rgb="FF000000"/>
            <rFont val="Tahoma"/>
            <family val="2"/>
            <charset val="1"/>
          </rPr>
          <t>salário-mínimo</t>
        </r>
        <r>
          <rPr>
            <b/>
            <sz val="7"/>
            <color rgb="FF000000"/>
            <rFont val="Tahoma"/>
            <family val="2"/>
            <charset val="1"/>
          </rPr>
          <t xml:space="preserve"> da região - LEI Nº 16.311, DE 10 DE JUNHO DE 2025
(https://www.normaslegais.com.br/legislacao/lei-rs-16311-2025.htm -</t>
        </r>
        <r>
          <rPr>
            <b/>
            <sz val="8.5"/>
            <color rgb="FF000000"/>
            <rFont val="Tahoma"/>
            <family val="2"/>
            <charset val="1"/>
          </rPr>
          <t xml:space="preserve"> VER SEMPRE SE TEM UMA NOVA LEI</t>
        </r>
        <r>
          <rPr>
            <b/>
            <sz val="7"/>
            <color rgb="FF000000"/>
            <rFont val="Tahoma"/>
            <family val="2"/>
            <charset val="1"/>
          </rPr>
          <t xml:space="preserve">)
</t>
        </r>
        <r>
          <rPr>
            <b/>
            <u/>
            <sz val="7"/>
            <color rgb="FF000000"/>
            <rFont val="Tahoma"/>
            <family val="2"/>
            <charset val="1"/>
          </rPr>
          <t xml:space="preserve">
Obs. 1: a CCT poderá indicar outra base de cálculo da insalubridade.
</t>
        </r>
        <r>
          <rPr>
            <b/>
            <sz val="7"/>
            <color rgb="FF000000"/>
            <rFont val="Tahoma"/>
            <family val="2"/>
            <charset val="1"/>
          </rPr>
          <t xml:space="preserve">
Obs. 2: caso não seja necessário o pagamento da insalubridade, incluir a expressão "Não aplicável".
Obs. 3: para postos de limpeza e demais postos da CCT da SINDASSEIO, a base de cálculo da insalubridade é o </t>
        </r>
        <r>
          <rPr>
            <b/>
            <u/>
            <sz val="7"/>
            <color rgb="FF000000"/>
            <rFont val="Tahoma"/>
            <family val="2"/>
            <charset val="1"/>
          </rPr>
          <t>salário proporcional do posto</t>
        </r>
        <r>
          <rPr>
            <b/>
            <sz val="7"/>
            <color rgb="FF000000"/>
            <rFont val="Tahoma"/>
            <family val="2"/>
            <charset val="1"/>
          </rPr>
          <t>, ou seja, o salário informado no "MONTANTE A" &gt; "Remuneração - Grupo I", portanto, colocar aqui o valor proporcional do salário e readequar o título deste item.
Referente ao exposto acima dos postos de limpeza, em agosto/2020 houveram algumas impugnações referente a insalubridade ser calculada sobre o valor proporcional. Portanto, foi encaminhado à PGE questionamento sobre a base de cálculo a ser utilizada nos postos da CCT de limpeza, se o salário proporcional ou cheio. O número do PROA é 20/2000-0034874-2. A resposta da PGE foi que o cálculo nas planilhas deve ser feito pelo salário proporcional, mas os licitantes podem alterar para o salário cheio se for melhor para a empresa.</t>
        </r>
      </text>
    </comment>
    <comment ref="K29" authorId="1">
      <text>
        <r>
          <rPr>
            <sz val="11"/>
            <color rgb="FF000000"/>
            <rFont val="Calibri"/>
            <family val="2"/>
            <charset val="1"/>
          </rPr>
          <t>Caso o posto tenha que trabalhar nos feriados, incluir neste campo o quantitativo estimado mensal de horas em feriados.
Normalmente utilizamos 1 feriado por mês como média. Com isso, se for um posto de 8h diárias, incluir neste campo o número 8.</t>
        </r>
      </text>
    </comment>
    <comment ref="K30" authorId="1">
      <text>
        <r>
          <rPr>
            <sz val="11"/>
            <color rgb="FF000000"/>
            <rFont val="Calibri"/>
            <family val="2"/>
            <charset val="1"/>
          </rPr>
          <t>Incluir neste campo a porcentagem de acréscimo da HORA EXTRA EM FERIADOS.
O padrão é utilizar 100%, mas deve sempre ser verificado se consta outra porcentagem na CCT.</t>
        </r>
      </text>
    </comment>
    <comment ref="K31" authorId="1">
      <text>
        <r>
          <rPr>
            <sz val="11"/>
            <color rgb="FF000000"/>
            <rFont val="Calibri"/>
            <family val="2"/>
            <charset val="1"/>
          </rPr>
          <t>Caso seja necessário o pagamento da hora intervalar, indicar o número de horas mensais correspondentes. Caso não haja necessidade, manter a expressão "Não aplicável". 
Obs. 1: a hora intervalar normalmente é indicada para postos com regime de trabalho 12x36 em que o posto não pode ficar descoberto durante o intervalo.
Obs. 2: caso haja necessidade de pagamento e o posto for 12x36, incluir o número 15, pois são 15 horas de intervalo que cada funcionário iria fazer.</t>
        </r>
      </text>
    </comment>
    <comment ref="K32" authorId="1">
      <text>
        <r>
          <rPr>
            <sz val="11"/>
            <color rgb="FF000000"/>
            <rFont val="Calibri"/>
            <family val="2"/>
            <charset val="1"/>
          </rPr>
          <t>Informar a porcentagem de 10% ou 20%.
Obs.: fornecimento  de uniformes (roupa, crachá, etc) não é considerado materiais/equipamentos.</t>
        </r>
      </text>
    </comment>
  </commentList>
</comments>
</file>

<file path=xl/sharedStrings.xml><?xml version="1.0" encoding="utf-8"?>
<sst xmlns="http://schemas.openxmlformats.org/spreadsheetml/2006/main" count="473" uniqueCount="311">
  <si>
    <r>
      <rPr>
        <b/>
        <sz val="8"/>
        <color rgb="FF000000"/>
        <rFont val="Calibri"/>
        <family val="2"/>
        <charset val="1"/>
      </rPr>
      <t xml:space="preserve">PLANILHA DE CUSTOS E FORMAÇÃO DE PREÇOS DE SERVIÇOS CONTINUADOS </t>
    </r>
    <r>
      <rPr>
        <b/>
        <u/>
        <sz val="10"/>
        <color rgb="FFFF0000"/>
        <rFont val="Calibri"/>
        <family val="2"/>
        <charset val="1"/>
      </rPr>
      <t>COM DEDICAÇÃO EXCLUSIVA</t>
    </r>
    <r>
      <rPr>
        <b/>
        <sz val="8"/>
        <color rgb="FF000000"/>
        <rFont val="Calibri"/>
        <family val="2"/>
        <charset val="1"/>
      </rPr>
      <t xml:space="preserve"> DE MÃO DE OBRA (ANEXO III - DECRETO 52.768 de 15.12.2015)</t>
    </r>
  </si>
  <si>
    <t>PROCESSO:</t>
  </si>
  <si>
    <t>LICITAÇÃO/EDITAL</t>
  </si>
  <si>
    <t>ABERTURA:</t>
  </si>
  <si>
    <t>Cargo/Função:</t>
  </si>
  <si>
    <t>Convenção Coletiva de Trabalho:</t>
  </si>
  <si>
    <t>INSALUBRIDADE (10%, 20%, 40%)</t>
  </si>
  <si>
    <t>Origem do salário:</t>
  </si>
  <si>
    <t>Cidade:</t>
  </si>
  <si>
    <t>PERICULOSIDADE (30%)</t>
  </si>
  <si>
    <t>Vlr. do salário e nº de horas correspondentes</t>
  </si>
  <si>
    <t>ISS</t>
  </si>
  <si>
    <t>Alíquota</t>
  </si>
  <si>
    <t>Tarifa Transporte</t>
  </si>
  <si>
    <t>CCT</t>
  </si>
  <si>
    <t>Vr. Unitário</t>
  </si>
  <si>
    <t>Dias</t>
  </si>
  <si>
    <t>Desconto</t>
  </si>
  <si>
    <t>Auxílio Alimentação</t>
  </si>
  <si>
    <t>Auxílio Lanche</t>
  </si>
  <si>
    <t>Valor mensal</t>
  </si>
  <si>
    <t>Adicional de Supervisor (37%)</t>
  </si>
  <si>
    <t>Porcentagem</t>
  </si>
  <si>
    <t>Valor</t>
  </si>
  <si>
    <t>Quantitativo de horas trabalhadas em feriados no mês (estimado) - Não aplicável para postos 12x36</t>
  </si>
  <si>
    <t>Horas por mês</t>
  </si>
  <si>
    <t>Acréscimo da hora extra</t>
  </si>
  <si>
    <t>Hora Intervalar (somente para postos 12x36, quando for o caso)</t>
  </si>
  <si>
    <t>Sem fornecimento de materiais ou apenas fornecimento de EPIs ou uniformes, utilizar 10%.       Com fornecimento de materiais ou equipamentos, utilizar 20%.                                                               (Decreto 52.768/2015, alterado pelo Decreto 53.424/2017)</t>
  </si>
  <si>
    <t>MONTANTE A</t>
  </si>
  <si>
    <t>I</t>
  </si>
  <si>
    <t>Remuneração - Grupo I</t>
  </si>
  <si>
    <t>%</t>
  </si>
  <si>
    <t>Valor Mensal/unidade de serviço (R$)</t>
  </si>
  <si>
    <t>Salário</t>
  </si>
  <si>
    <r>
      <rPr>
        <sz val="8"/>
        <color rgb="FF000000"/>
        <rFont val="Calibri"/>
        <family val="2"/>
        <charset val="1"/>
      </rPr>
      <t xml:space="preserve">Adicional Periculosidade 30% </t>
    </r>
    <r>
      <rPr>
        <b/>
        <sz val="5"/>
        <color rgb="FF000000"/>
        <rFont val="Calibri"/>
        <family val="2"/>
        <charset val="1"/>
      </rPr>
      <t>(Ver súmulas 364, 132 e 191 do TST)</t>
    </r>
  </si>
  <si>
    <r>
      <rPr>
        <sz val="8"/>
        <color rgb="FF000000"/>
        <rFont val="Calibri"/>
        <family val="2"/>
        <charset val="1"/>
      </rPr>
      <t xml:space="preserve">Adicional Insalubridade 10% </t>
    </r>
    <r>
      <rPr>
        <b/>
        <sz val="5"/>
        <color rgb="FF000000"/>
        <rFont val="Calibri"/>
        <family val="2"/>
        <charset val="1"/>
      </rPr>
      <t>(Ver súmula 228 e 139 TST)</t>
    </r>
  </si>
  <si>
    <r>
      <rPr>
        <sz val="8"/>
        <color rgb="FF000000"/>
        <rFont val="Calibri"/>
        <family val="2"/>
        <charset val="1"/>
      </rPr>
      <t xml:space="preserve">Adicional Insalubridade 20% </t>
    </r>
    <r>
      <rPr>
        <b/>
        <sz val="5"/>
        <color rgb="FF000000"/>
        <rFont val="Calibri"/>
        <family val="2"/>
        <charset val="1"/>
      </rPr>
      <t>(Ver súmula 228 e 139 TST)</t>
    </r>
  </si>
  <si>
    <r>
      <rPr>
        <sz val="8"/>
        <color rgb="FF000000"/>
        <rFont val="Calibri"/>
        <family val="2"/>
        <charset val="1"/>
      </rPr>
      <t xml:space="preserve">Adicional Insalubridade 40% </t>
    </r>
    <r>
      <rPr>
        <b/>
        <sz val="5"/>
        <color rgb="FF000000"/>
        <rFont val="Calibri"/>
        <family val="2"/>
        <charset val="1"/>
      </rPr>
      <t>(Ver súmula 228 e 139 TST)</t>
    </r>
  </si>
  <si>
    <t>Feriados</t>
  </si>
  <si>
    <t>DSR =  número total das horas extras do mês / número de dias úteis X domingos e feriados do mês X valor da hora extra com acréscimo</t>
  </si>
  <si>
    <t>Total de Remuneração</t>
  </si>
  <si>
    <t>II</t>
  </si>
  <si>
    <t>Encargos Sociais - Grupo II: Obrigações Sociais</t>
  </si>
  <si>
    <r>
      <rPr>
        <sz val="8"/>
        <color rgb="FF000000"/>
        <rFont val="Calibri"/>
        <family val="2"/>
        <charset val="1"/>
      </rPr>
      <t xml:space="preserve">INSS </t>
    </r>
    <r>
      <rPr>
        <b/>
        <sz val="5"/>
        <color rgb="FF000000"/>
        <rFont val="Calibri"/>
        <family val="2"/>
        <charset val="1"/>
      </rPr>
      <t>(art. 22, inc. I, Lei nº 8.212/91)</t>
    </r>
  </si>
  <si>
    <r>
      <rPr>
        <sz val="8"/>
        <color rgb="FF000000"/>
        <rFont val="Calibri"/>
        <family val="2"/>
        <charset val="1"/>
      </rPr>
      <t xml:space="preserve">SESI ou SESC </t>
    </r>
    <r>
      <rPr>
        <b/>
        <sz val="5"/>
        <color rgb="FF000000"/>
        <rFont val="Calibri"/>
        <family val="2"/>
        <charset val="1"/>
      </rPr>
      <t>(art. 30, Lei nº 8.036/90)</t>
    </r>
  </si>
  <si>
    <r>
      <rPr>
        <sz val="8"/>
        <color rgb="FF000000"/>
        <rFont val="Calibri"/>
        <family val="2"/>
        <charset val="1"/>
      </rPr>
      <t xml:space="preserve">SENAI ou SENAC </t>
    </r>
    <r>
      <rPr>
        <b/>
        <sz val="5"/>
        <color rgb="FF000000"/>
        <rFont val="Calibri"/>
        <family val="2"/>
        <charset val="1"/>
      </rPr>
      <t>(Decreto-Lei nº 2.318/86)</t>
    </r>
  </si>
  <si>
    <r>
      <rPr>
        <sz val="8"/>
        <color rgb="FF000000"/>
        <rFont val="Calibri"/>
        <family val="2"/>
        <charset val="1"/>
      </rPr>
      <t xml:space="preserve">INCRA </t>
    </r>
    <r>
      <rPr>
        <b/>
        <sz val="5"/>
        <color rgb="FF000000"/>
        <rFont val="Calibri"/>
        <family val="2"/>
        <charset val="1"/>
      </rPr>
      <t>(art. 15I, Lei Complementar nº 011/71)</t>
    </r>
  </si>
  <si>
    <r>
      <rPr>
        <sz val="8"/>
        <color rgb="FF000000"/>
        <rFont val="Calibri"/>
        <family val="2"/>
        <charset val="1"/>
      </rPr>
      <t xml:space="preserve">SALÁRIO EDUCAÇÃO </t>
    </r>
    <r>
      <rPr>
        <b/>
        <sz val="5"/>
        <color rgb="FF000000"/>
        <rFont val="Calibri"/>
        <family val="2"/>
        <charset val="1"/>
      </rPr>
      <t>(art. , inc. I, Decreto nº 87.043/82)</t>
    </r>
  </si>
  <si>
    <r>
      <rPr>
        <sz val="8"/>
        <color rgb="FF000000"/>
        <rFont val="Calibri"/>
        <family val="2"/>
        <charset val="1"/>
      </rPr>
      <t>FGTS</t>
    </r>
    <r>
      <rPr>
        <b/>
        <sz val="5"/>
        <color rgb="FF000000"/>
        <rFont val="Calibri"/>
        <family val="2"/>
        <charset val="1"/>
      </rPr>
      <t xml:space="preserve"> (art. 15, Lei nº 8.036/90)</t>
    </r>
  </si>
  <si>
    <r>
      <rPr>
        <sz val="8"/>
        <color rgb="FF000000"/>
        <rFont val="Calibri"/>
        <family val="2"/>
        <charset val="1"/>
      </rPr>
      <t xml:space="preserve">SEG. ACIDENTE DO TRABALHO 1%, 2% e 3% </t>
    </r>
    <r>
      <rPr>
        <b/>
        <sz val="5"/>
        <color rgb="FF000000"/>
        <rFont val="Calibri"/>
        <family val="2"/>
        <charset val="1"/>
      </rPr>
      <t>(art. 22, inc. II, alíneas "b" e "c", da Lei nº 8.212/91)</t>
    </r>
  </si>
  <si>
    <r>
      <rPr>
        <sz val="8"/>
        <color rgb="FF000000"/>
        <rFont val="Calibri"/>
        <family val="2"/>
        <charset val="1"/>
      </rPr>
      <t xml:space="preserve">SEBRAE </t>
    </r>
    <r>
      <rPr>
        <b/>
        <sz val="5"/>
        <color rgb="FF000000"/>
        <rFont val="Calibri"/>
        <family val="2"/>
        <charset val="1"/>
      </rPr>
      <t>(§ 3º, art. 8º, Lei nº 8.029/90)</t>
    </r>
  </si>
  <si>
    <t>Total do Grupo II</t>
  </si>
  <si>
    <t>Os percentuais para o SAT podem variar de 0,50% a 6,00% em função do Fator de Acidente Previdenciário (FAP), Decreto nº 6.957/2009</t>
  </si>
  <si>
    <t>Deverá obrigatoriamente acompanhar a proposta de preços e a planilha de custos e formação de preços a prova do Fator Acidentário de Prevenção – FAP por meio de impressão de consulta ao site do Ministério da Previdência Social (que pode ser obtido no endereço eletrônico http://www2.dataprev.gov.br/fap/fap.htm), independentemente de alteração da alíquota da parcela do Seguro Acidente de Trabalho disposta no Quadro II da referida planilha.</t>
  </si>
  <si>
    <t>III</t>
  </si>
  <si>
    <t>Encargos Sociais - Grupo III: Tempo Não Trabalhado</t>
  </si>
  <si>
    <t>FÉRIAS GOZADAS + ADICIONAL DE FÉRIAS</t>
  </si>
  <si>
    <r>
      <rPr>
        <sz val="8"/>
        <color rgb="FF000000"/>
        <rFont val="Calibri"/>
        <family val="2"/>
        <charset val="1"/>
      </rPr>
      <t>FALTAS ABONADAS</t>
    </r>
    <r>
      <rPr>
        <b/>
        <vertAlign val="superscript"/>
        <sz val="8"/>
        <color rgb="FF000000"/>
        <rFont val="Calibri"/>
        <family val="2"/>
        <charset val="1"/>
      </rPr>
      <t xml:space="preserve"> (3)</t>
    </r>
  </si>
  <si>
    <r>
      <rPr>
        <sz val="8"/>
        <color rgb="FF000000"/>
        <rFont val="Calibri"/>
        <family val="2"/>
        <charset val="1"/>
      </rPr>
      <t xml:space="preserve">FALTAS LEGAIS </t>
    </r>
    <r>
      <rPr>
        <vertAlign val="superscript"/>
        <sz val="8"/>
        <color rgb="FF000000"/>
        <rFont val="Calibri"/>
        <family val="2"/>
        <charset val="1"/>
      </rPr>
      <t>(4)</t>
    </r>
  </si>
  <si>
    <t>LICENÇA MATERNIDADE</t>
  </si>
  <si>
    <t>LICENÇA PATERNIDADE</t>
  </si>
  <si>
    <t>ACIDENTE DE TRABALHO</t>
  </si>
  <si>
    <t>AVISO PRÉVIO TRABALHADO</t>
  </si>
  <si>
    <t>13º SALÁRIO</t>
  </si>
  <si>
    <t>Total do Grupo III</t>
  </si>
  <si>
    <t>(3)</t>
  </si>
  <si>
    <t>Faltas Justificadas por Auxílio Doença</t>
  </si>
  <si>
    <t>(4)</t>
  </si>
  <si>
    <t>Faltas Legais - Art. 473 CLT</t>
  </si>
  <si>
    <t>IV</t>
  </si>
  <si>
    <t>Encargos Sociais - Grupo IV: Indenizações</t>
  </si>
  <si>
    <t>INDENIZAÇÕES</t>
  </si>
  <si>
    <t>FGTS SOBRE INDENIZAÇÕES</t>
  </si>
  <si>
    <t>INDENIZAÇÃO COMPENSATÓRIA POR DEMISSÃO SEM JUSTA CAUSA</t>
  </si>
  <si>
    <t>Total do Grupo IV</t>
  </si>
  <si>
    <t>V</t>
  </si>
  <si>
    <t>Encargos Sociais - Grupo V: Incidências</t>
  </si>
  <si>
    <t>INCIDÊNCIA GRUPO II (Obrigações Sociais) X GRUPO III (Tempo Não Trabalhado)</t>
  </si>
  <si>
    <t>Total do Grupo V</t>
  </si>
  <si>
    <t>VI</t>
  </si>
  <si>
    <t>Demais custos relativos à Norma Coletiva ou Disposições Legais - Grupo VI</t>
  </si>
  <si>
    <t>Vale-Transporte⁽⁵⁾</t>
  </si>
  <si>
    <t>Adicional Intervalar</t>
  </si>
  <si>
    <t>Outros</t>
  </si>
  <si>
    <t>Total do Grupo VI</t>
  </si>
  <si>
    <t>(5)</t>
  </si>
  <si>
    <t>O valor do vale-transporte pode variar de acordo com o modal fornecido pelo empregador.</t>
  </si>
  <si>
    <t>MEMÓRIA DE CÁLCULO DO VALE TRANSPORTE</t>
  </si>
  <si>
    <t>Valor Unitário</t>
  </si>
  <si>
    <t>Dias de Trabalho</t>
  </si>
  <si>
    <t>Vale p/dia</t>
  </si>
  <si>
    <t>Custo total</t>
  </si>
  <si>
    <t>Base de cálculo</t>
  </si>
  <si>
    <t>Percentual de desconto</t>
  </si>
  <si>
    <t>Valor desconto</t>
  </si>
  <si>
    <t>Custo efetivo</t>
  </si>
  <si>
    <t>MEMÓRIA DE CÁLCULO DO VALE LANCHE</t>
  </si>
  <si>
    <t>Dias por mês</t>
  </si>
  <si>
    <t>TOTAL DO MONTANTE A (I + II + III+ IV + V +VI)</t>
  </si>
  <si>
    <t>MONTANTE B</t>
  </si>
  <si>
    <t>Despesas Diretas</t>
  </si>
  <si>
    <r>
      <rPr>
        <sz val="8"/>
        <color rgb="FF000000"/>
        <rFont val="Calibri"/>
        <family val="2"/>
        <charset val="1"/>
      </rPr>
      <t xml:space="preserve">Transporte </t>
    </r>
    <r>
      <rPr>
        <vertAlign val="superscript"/>
        <sz val="8"/>
        <color rgb="FF000000"/>
        <rFont val="Calibri"/>
        <family val="2"/>
        <charset val="1"/>
      </rPr>
      <t xml:space="preserve">(6) </t>
    </r>
  </si>
  <si>
    <r>
      <rPr>
        <sz val="8"/>
        <color rgb="FF000000"/>
        <rFont val="Calibri"/>
        <family val="2"/>
        <charset val="1"/>
      </rPr>
      <t>Uniformes/EPI</t>
    </r>
    <r>
      <rPr>
        <vertAlign val="superscript"/>
        <sz val="8"/>
        <color rgb="FF000000"/>
        <rFont val="Calibri"/>
        <family val="2"/>
        <charset val="1"/>
      </rPr>
      <t xml:space="preserve"> (6a) </t>
    </r>
  </si>
  <si>
    <t>Seguro de vida</t>
  </si>
  <si>
    <t>Materiais/Equipamentos</t>
  </si>
  <si>
    <r>
      <rPr>
        <sz val="8"/>
        <color rgb="FF000000"/>
        <rFont val="Calibri"/>
        <family val="2"/>
        <charset val="1"/>
      </rPr>
      <t>Mobilização</t>
    </r>
    <r>
      <rPr>
        <vertAlign val="superscript"/>
        <sz val="8"/>
        <color rgb="FF000000"/>
        <rFont val="Calibri"/>
        <family val="2"/>
        <charset val="1"/>
      </rPr>
      <t xml:space="preserve"> (7)</t>
    </r>
  </si>
  <si>
    <t>Outros (especificar)</t>
  </si>
  <si>
    <t>Total de Despesas Diretas</t>
  </si>
  <si>
    <t>LIMITE QUADRO I (Despesas Diretas) sobre Montante A (exceto Vale-transporte), conforme alíneas "b.2" e "b.3", Inc. II, art. 7º, do Decreto 52.768/2015, alterado pelo Decreto 53.424/2017: 10% SEM MATERIAIS/EQUIPAMENTOS; 20% COM MATERIAIS/EQUIPAMENTOS</t>
  </si>
  <si>
    <t>Dedução Vale Transporte</t>
  </si>
  <si>
    <t>Remuneração (Grupo I)</t>
  </si>
  <si>
    <t>Obrigações Sociais (Grupo II)</t>
  </si>
  <si>
    <t>Tempo Não Trabalhado (Grupo III)</t>
  </si>
  <si>
    <t>Indenizações (Grupo IV)</t>
  </si>
  <si>
    <t>Incidências (Grupo V)</t>
  </si>
  <si>
    <t>Demais Custos CCT</t>
  </si>
  <si>
    <t>Total Montante A</t>
  </si>
  <si>
    <t>Base de Cálculo</t>
  </si>
  <si>
    <t>Despesas Indiretas</t>
  </si>
  <si>
    <t>Despesas Administrativas</t>
  </si>
  <si>
    <t>Seguros</t>
  </si>
  <si>
    <t>Lucro</t>
  </si>
  <si>
    <t>LIMITE DOS QUADROS II (Despesas Indiretas) e III (Lucro) sobre Montante A (exceto Vale-transporte), conforme alínea "b1", Inc. II, art. 7º, do Decreto 52.768</t>
  </si>
  <si>
    <t>TOTAL DO MONTANTE B (I + II + III)</t>
  </si>
  <si>
    <t>MONTANTE C</t>
  </si>
  <si>
    <r>
      <rPr>
        <b/>
        <sz val="10"/>
        <color rgb="FF000000"/>
        <rFont val="Calibri"/>
        <family val="2"/>
        <charset val="1"/>
      </rPr>
      <t xml:space="preserve">Tributos </t>
    </r>
    <r>
      <rPr>
        <b/>
        <vertAlign val="superscript"/>
        <sz val="10"/>
        <color rgb="FF000000"/>
        <rFont val="Calibri"/>
        <family val="2"/>
        <charset val="1"/>
      </rPr>
      <t>(8)</t>
    </r>
  </si>
  <si>
    <t>PIS</t>
  </si>
  <si>
    <t>COFINS</t>
  </si>
  <si>
    <r>
      <rPr>
        <sz val="8"/>
        <color rgb="FF000000"/>
        <rFont val="Calibri"/>
        <family val="2"/>
        <charset val="1"/>
      </rPr>
      <t xml:space="preserve">SIMPLES </t>
    </r>
    <r>
      <rPr>
        <vertAlign val="superscript"/>
        <sz val="8"/>
        <color rgb="FF000000"/>
        <rFont val="Calibri"/>
        <family val="2"/>
        <charset val="1"/>
      </rPr>
      <t>(9)</t>
    </r>
  </si>
  <si>
    <t>Outros (CPRB)</t>
  </si>
  <si>
    <t>Total de Tributos</t>
  </si>
  <si>
    <t>(8)</t>
  </si>
  <si>
    <t>O valor referente a tributos é obtido aplicando-se o percentual sobre o valor do faturamento.</t>
  </si>
  <si>
    <t>(9)</t>
  </si>
  <si>
    <t>As empresas optantes pelo SIMPLES que se enquadrarem nas exceções previstas nos parágrafos 5º-B a 5º-E do artigo 18 da Lei Complementar 123/2006, deverão preencher apenas a linha 4 da planilha</t>
  </si>
  <si>
    <t>MEMÓRIA DE CÁLCULO DOS TRIBUTOS</t>
  </si>
  <si>
    <t>Montante A</t>
  </si>
  <si>
    <t>Montante B</t>
  </si>
  <si>
    <t>Custo total por empregado</t>
  </si>
  <si>
    <t>TRIBUTOS</t>
  </si>
  <si>
    <t>LUCRO REAL</t>
  </si>
  <si>
    <t>LUCRO PRESUMIDO</t>
  </si>
  <si>
    <t>Coeficiente L. Real</t>
  </si>
  <si>
    <t>Coeficiente L. Presumido</t>
  </si>
  <si>
    <r>
      <rPr>
        <sz val="6"/>
        <color rgb="FF000000"/>
        <rFont val="Calibri"/>
        <family val="2"/>
        <charset val="1"/>
      </rPr>
      <t>Coef SIMPLES</t>
    </r>
    <r>
      <rPr>
        <i/>
        <vertAlign val="superscript"/>
        <sz val="6"/>
        <color rgb="FF000000"/>
        <rFont val="Calibri"/>
        <family val="2"/>
        <charset val="1"/>
      </rPr>
      <t xml:space="preserve"> (*)</t>
    </r>
  </si>
  <si>
    <t>SIMPLES</t>
  </si>
  <si>
    <t>(*)</t>
  </si>
  <si>
    <t>Segunda faixa: Receita Bruta em 12 meses De 180.000,01 a 360.000,00- Alíquota de 9,00%</t>
  </si>
  <si>
    <r>
      <rPr>
        <sz val="8"/>
        <color rgb="FF000000"/>
        <rFont val="Calibri"/>
        <family val="2"/>
        <charset val="1"/>
      </rPr>
      <t xml:space="preserve">Outros (CPRB) </t>
    </r>
    <r>
      <rPr>
        <vertAlign val="superscript"/>
        <sz val="8"/>
        <color rgb="FF000000"/>
        <rFont val="Calibri"/>
        <family val="2"/>
        <charset val="1"/>
      </rPr>
      <t>(1)</t>
    </r>
  </si>
  <si>
    <t>TOTAL</t>
  </si>
  <si>
    <t>(1)</t>
  </si>
  <si>
    <t>As empresas optantes pela desoneração da Folha de Pagamento prevista na Lei Federal nº 12.546/2011 devem preencher a alíquota no campo "Outros (CPRB)"</t>
  </si>
  <si>
    <t>TOTAL DO MONTANTE C</t>
  </si>
  <si>
    <t>QUADRO RESUMO</t>
  </si>
  <si>
    <t>Remuneração (I)</t>
  </si>
  <si>
    <t>Encargos Sociais (II + III + IV + V)</t>
  </si>
  <si>
    <t>Demais Custos realtivos a Norma Coletiva ou Disposições Legais (VI)</t>
  </si>
  <si>
    <t xml:space="preserve">Total do Montante A </t>
  </si>
  <si>
    <t>Despesas Diretas (I)</t>
  </si>
  <si>
    <t>Despesas Indiretas (II)</t>
  </si>
  <si>
    <t>Lucro (III)</t>
  </si>
  <si>
    <t xml:space="preserve">Total do Montante B </t>
  </si>
  <si>
    <t>Tributos (I)</t>
  </si>
  <si>
    <t xml:space="preserve">Total do Montante C </t>
  </si>
  <si>
    <t>Valor Mensal por Unidade de Serviço (A + B + C)</t>
  </si>
  <si>
    <t>Quantidade de Unidade de Serviços</t>
  </si>
  <si>
    <t>Valor mensal do serviço</t>
  </si>
  <si>
    <t>Função</t>
  </si>
  <si>
    <t>Cidade</t>
  </si>
  <si>
    <t>Carga Horária</t>
  </si>
  <si>
    <t>Dias da semana</t>
  </si>
  <si>
    <t>Nº de Postos</t>
  </si>
  <si>
    <r>
      <t xml:space="preserve">Adicional de Supervisor </t>
    </r>
    <r>
      <rPr>
        <b/>
        <sz val="5"/>
        <color rgb="FF000000"/>
        <rFont val="Calibri"/>
        <family val="2"/>
        <charset val="1"/>
      </rPr>
      <t>(IN 05/2017 MPOG SLTI)</t>
    </r>
  </si>
  <si>
    <t>MEMÓRIA DE CÁLCULO DO</t>
  </si>
  <si>
    <t>Plano de Saúde</t>
  </si>
  <si>
    <r>
      <t xml:space="preserve">Total do Lucro                                                                                                                                                                          </t>
    </r>
    <r>
      <rPr>
        <u/>
        <sz val="7.5"/>
        <color rgb="FF000000"/>
        <rFont val="Calibri"/>
        <family val="2"/>
      </rPr>
      <t>Obs.: conforme item b.1 do inciso II do art. 7º do Decreto 52.768/2015, a soma das Despesas Indiretas + Lucro não poderá ultrapassar o valor constante na célula G125.</t>
    </r>
  </si>
  <si>
    <r>
      <t xml:space="preserve">Total de Despesas Indiretas                                                                                                                                                 </t>
    </r>
    <r>
      <rPr>
        <u/>
        <sz val="7.5"/>
        <color rgb="FF000000"/>
        <rFont val="Calibri"/>
        <family val="2"/>
      </rPr>
      <t>Obs.: conforme item b.1 do inciso II do art. 7º do Decreto 52.768/2015, a soma das Despesas Indiretas + Lucro não poderá ultrapassar o valor constante na célula G125.</t>
    </r>
  </si>
  <si>
    <t xml:space="preserve">Auxílio Alimentação </t>
  </si>
  <si>
    <t xml:space="preserve">Salário Normativo </t>
  </si>
  <si>
    <t>(6)   Somente será preenchido quando o licitante fornecer transporte próprio, pagamento de combustível ou quando for necessário outro modal para transporte do funcionário
(6a)  EPI - Equipamento de Proteção Individual
(7)   Tais custos de mobilização não são renováveis, devendo ser eliminados após o primeiro ano de contrato caso haja prorrogação</t>
  </si>
  <si>
    <t>TOTAL DOS ENCARGOS SOCIAIS (II + III + IV + V)</t>
  </si>
  <si>
    <t>Valor unitário mensal do posto</t>
  </si>
  <si>
    <t>Valor total mensal</t>
  </si>
  <si>
    <t>Conta vinculada</t>
  </si>
  <si>
    <t>Valor total do posto</t>
  </si>
  <si>
    <t>QUADRO RESUMO UNITÁRIO</t>
  </si>
  <si>
    <t>Valor unitário de retenção para a conta vinculada</t>
  </si>
  <si>
    <t>Valor total de retenção para a conta vinculada</t>
  </si>
  <si>
    <t>VALOR GLOBAL MENSAL</t>
  </si>
  <si>
    <t>Não aplicável</t>
  </si>
  <si>
    <t>VALOR MENSAL PARA RETENÇÃO EM CONTA VINCULADA</t>
  </si>
  <si>
    <t>TOTAL DE POSTOS</t>
  </si>
  <si>
    <t>PORCENTAGEM CORRESPONDENTE EM RELAÇÃO AO VALOR TOTAL PARA RETENÇÃO EM CONTA VINCULADA</t>
  </si>
  <si>
    <r>
      <rPr>
        <u/>
        <sz val="7"/>
        <color rgb="FF000000"/>
        <rFont val="Calibri"/>
        <family val="2"/>
      </rPr>
      <t>Valor unitário de retenção</t>
    </r>
    <r>
      <rPr>
        <sz val="7"/>
        <color rgb="FF000000"/>
        <rFont val="Calibri"/>
        <family val="2"/>
      </rPr>
      <t xml:space="preserve"> (total da remuneração X soma das porcentagens de Férias Gozadas, Aviso Prévio Trabalhado, 13º salário, indenizações e incidências X unidades de serviço)</t>
    </r>
  </si>
  <si>
    <t>Base de Cálculo da Insalubridade</t>
  </si>
  <si>
    <r>
      <t xml:space="preserve">REGIME DE TRIBUTAÇÃO: </t>
    </r>
    <r>
      <rPr>
        <b/>
        <sz val="14"/>
        <color rgb="FFFF0000"/>
        <rFont val="Calibri"/>
        <family val="2"/>
        <charset val="1"/>
      </rPr>
      <t>LUCRO PRESUMIDO</t>
    </r>
  </si>
  <si>
    <t>Servente de Limpeza</t>
  </si>
  <si>
    <t>RS000095/2026</t>
  </si>
  <si>
    <t>Lajeado - RS</t>
  </si>
  <si>
    <t>Prêmio Assiduidade (Cláusula 9ª CCT) e Plano de Benefício Social Familiar (Cláusula 31ª CCT)</t>
  </si>
  <si>
    <t>002/2026</t>
  </si>
  <si>
    <t>30h</t>
  </si>
  <si>
    <t xml:space="preserve">Segunda - Sexta </t>
  </si>
  <si>
    <t>CUSTO ESTIMATIVO DOS EQUIPAMENTOS</t>
  </si>
  <si>
    <t>INSTRUÇÕES DE PREENCHIMENTO - Alterar somente as células destacadas na cor amarela, de acordo com o valor unitário da proposta.</t>
  </si>
  <si>
    <t>QUANTIDADE</t>
  </si>
  <si>
    <t>DESCRIÇÃO D0 EQUIPAMENTO</t>
  </si>
  <si>
    <t>VALOR UNITÁRIO</t>
  </si>
  <si>
    <t>VALOR TOTAL</t>
  </si>
  <si>
    <t>DEPRECIAÇÃO 10% a.a.</t>
  </si>
  <si>
    <t>DEPRECIAÇÃO MENSAL</t>
  </si>
  <si>
    <t>Aspirador de pó e de água, com potência mínima de 1200 W, tensão de alimentação: 220V ou bivolt, capacidade mínima de 10 litros, acompanhado de mangueira, tubos, bocal para piso, canto e estofados e adaptador. Garantia mínima de 12 Meses.</t>
  </si>
  <si>
    <t>Lavadora de alta pressão Marca Kärcher K3 1500W 220v ou similar, alta potência de 1.450W no mínimo, pressão máxima no mínimo de 1.800psi, proteção em caso de superaquecimento, ajuste de jato regulável, rodas e alça retrátil para transporte.</t>
  </si>
  <si>
    <t>Lavadora e secadora de pisos Marca Kärcher BR 30/4 C 220V, produtividade teórica de  200m²/h, potência 820W.</t>
  </si>
  <si>
    <r>
      <t>Escada de alumínio tipo "</t>
    </r>
    <r>
      <rPr>
        <i/>
        <sz val="11"/>
        <color rgb="FF000000"/>
        <rFont val="Calibri"/>
        <family val="2"/>
      </rPr>
      <t>cavalete</t>
    </r>
    <r>
      <rPr>
        <sz val="11"/>
        <color rgb="FF000000"/>
        <rFont val="Calibri"/>
        <family val="2"/>
        <charset val="1"/>
      </rPr>
      <t>" 7 degraus, com pés antiderrapantes e trava de segurança, capacidade 120 kg, tipo dobrável.</t>
    </r>
  </si>
  <si>
    <r>
      <t>Extensão elétrica mofásica, cabo do tipo "</t>
    </r>
    <r>
      <rPr>
        <i/>
        <sz val="11"/>
        <color rgb="FF000000"/>
        <rFont val="Calibri"/>
        <family val="2"/>
      </rPr>
      <t>PP</t>
    </r>
    <r>
      <rPr>
        <sz val="11"/>
        <color rgb="FF000000"/>
        <rFont val="Calibri"/>
        <family val="2"/>
        <charset val="1"/>
      </rPr>
      <t>" 2x2,5mm - 25m a 30m.</t>
    </r>
  </si>
  <si>
    <t>Mangueira de BOA QUALIDADE, 1/2" 300 libras, com engate rápido e esguicho - 50m.</t>
  </si>
  <si>
    <t>Carretel tipo enrolador para mangueira de jardim, modelo móvel acoplado a carrinho ,com material estrutural em aço ou alumínio, capacidade para 50 metros de mangueira, com engate rápido e mangotinho.</t>
  </si>
  <si>
    <t xml:space="preserve">SOMA:  </t>
  </si>
  <si>
    <t xml:space="preserve">CÁLCULO VALOR DO REPASSE MENSAL: </t>
  </si>
  <si>
    <t>CUSTO ESTIMATIVO DOS MATERIAS</t>
  </si>
  <si>
    <t>DESCRIÇÃO DO MATERIAL</t>
  </si>
  <si>
    <t>UNIDADE</t>
  </si>
  <si>
    <t>MARCA DE REFERÊNCIA</t>
  </si>
  <si>
    <t>PERIODICIDADE</t>
  </si>
  <si>
    <t>VALOR ANUAL</t>
  </si>
  <si>
    <t>Álcool em gel 70% - gel à base de álcool a 70% com ação antisséptica, complementar na higienização. Composição: álcool etílico, polímero carboxílico, neutralizante, umectante, conservante, quelante e água deionizada. Prazo de validade: 24 meses a partir da data de fabricação. Embalagem: 5 litros</t>
  </si>
  <si>
    <t>galão</t>
  </si>
  <si>
    <t>Semestral</t>
  </si>
  <si>
    <t>Álcool líquido 70% - etílico hidratado, para limpeza em geral, teor alcoolico 70 INPM. Com aprovação Anvisa. Embalagem: 1 litro</t>
  </si>
  <si>
    <t xml:space="preserve">litro </t>
  </si>
  <si>
    <t>Mensal</t>
  </si>
  <si>
    <t>Balde plástico de polietileno de alta densidade, alta resistência a impacto, com paredes e fundo reforçados, com reforço no encaixe da alça de aço zincado constando no corpo a marcado fabricante - Capacidade de 8 litros.</t>
  </si>
  <si>
    <t>UND</t>
  </si>
  <si>
    <t>Balde plástico de polietileno de alta densidade, alta resistência a impacto, com paredes e fundo reforçados, com reforço no encaixe da alça de aço zincado constando no corpo a marcado fabricante - Capacidade de 20 litros.</t>
  </si>
  <si>
    <t>Borrifador de Plástico 500ml - Transparente</t>
  </si>
  <si>
    <t>Desentupidor de pia tipo sanfonado, de borracha flexível, cabo longo.</t>
  </si>
  <si>
    <t>Desentupidor de vaso sanitário tipo sanfonado, de borracha flexível, cabo longo.</t>
  </si>
  <si>
    <t>Desinfetante floral concentrado, para eliminação de odores e desinfecção,limpeza de uso geral. Embalagem: 5 litros</t>
  </si>
  <si>
    <t xml:space="preserve">Desodorizador  aerosol aromatizante de ambiente  a base de emulsificante, antioxidante, fragrância, veículo e propelentes. Embalagem: frasco de 360ml </t>
  </si>
  <si>
    <t>Bom Ar, Glaide  ou similar</t>
  </si>
  <si>
    <t>Detergente líquido neutro, biodegradável, para louça, com tampa . Deverá conter glicerina e ser testado e aprovado por dermatologistas. Com aprovação Anvisa. Embalagem de 500ml</t>
  </si>
  <si>
    <t>Limpol, Ipê ou similar</t>
  </si>
  <si>
    <t>Escova para lavar multiuso, oval, base plástica e cerdas de nylon.</t>
  </si>
  <si>
    <t>Escova para vaso sanitário redonda, base plástica branca, cerdas de nylon, com pote para armazenamento.Embalagem contendo 01 escova para vaso sanitário e 01 suporte redondo com tamanho: 14 x 42 cm</t>
  </si>
  <si>
    <t>Esponja para lavagem de louças e limpeza em geral, dupla face sintética, um lado em espuma poliuretano e outro em fibra sintética abrasiva, antibacteriana, formato retangular, medindo aproximadamente 110mm X 75mm X 20mm . Embalagem: pacote com 4 unidades.</t>
  </si>
  <si>
    <t>Filtro de pano para aspirador, confeccionado em tecido resistente, lavável e reutilizável, com borda reforçada e compatível com o modelo do equipamento utilizado.</t>
  </si>
  <si>
    <t>Flanela branca para limpeza de móveis, vidros e objetos, 100 % algodão, com bainha de costura reforçada medindo no mínimo 35 cm X 55 cm, 120 g/m² de gramatura mínima. OBS: Deverá vir em embalagem original de fábrica, com identificação e etiqueta ou vir acompanhado de declaração do fabricante que informe o material em que é fabricado.</t>
  </si>
  <si>
    <t>Gel adesivo para vaso sanitário a base de água, álcool etoxilado, éter de polietileno glicol isotridecílico, umectante, formador de filme, corante e fragrância, acompanhado de aplicador. Embalagem com 7 doses(38gr).</t>
  </si>
  <si>
    <t>Lã de aço, composição básica em aço carbono abrasivo, para limpeza em geral, acondicionada em embalagem plástica original do fabricante, peso líquido aproximado de 60g. Embalagem: pacote com 08 unidades.</t>
  </si>
  <si>
    <t>Bombril, Assolan ou similar</t>
  </si>
  <si>
    <t>Limpador clorado concentrado para desinfecção, limpeza e clareamento das superfícies, com ação bactericida. Com aprovação Anvisa. Embalagem: 5 litros.</t>
  </si>
  <si>
    <t>Qboa, Ipê ou similar</t>
  </si>
  <si>
    <r>
      <t>Líquido para limpeza de vidros, a base de lauril éter sulfato de sódio, hidróxido de amônia, solventes, conservante, sequestrante, desnaturante, fragrância, corante e água. Embalagem "</t>
    </r>
    <r>
      <rPr>
        <i/>
        <sz val="11"/>
        <color rgb="FF000000"/>
        <rFont val="Calibri"/>
        <family val="2"/>
      </rPr>
      <t>Squeeze"</t>
    </r>
    <r>
      <rPr>
        <sz val="11"/>
        <color rgb="FF000000"/>
        <rFont val="Calibri"/>
        <family val="2"/>
        <charset val="1"/>
      </rPr>
      <t xml:space="preserve"> 500ml.</t>
    </r>
  </si>
  <si>
    <t>Limpador multiuso concentrado para limpeza pesada, composto a base de alquil benzeno sulfonato de sódio, solvente, coadjuvantes, conservante, sequestrante, corante, fragrância e água. A base de tensoativo biodegradável. Embalagem: 500 ml</t>
  </si>
  <si>
    <t>Ajax, Veja ou similar</t>
  </si>
  <si>
    <t xml:space="preserve">Lustra móveis composto por emulsão aquosa cremosa, perfumada, para aplicação em móveis e superfícies lisas e aromas diversos - Embalagem: frasco plástico de 500ml com bico econômico. </t>
  </si>
  <si>
    <t>Poliflor, Destac ou similar</t>
  </si>
  <si>
    <t>Luva segurança com forro, material 100% látex nitrílico ,para manuseio de reagentes químicos, pulso com bainha, palma antiderrapante, ambidestra. Tamanho: M. Cor: Verde</t>
  </si>
  <si>
    <t>Mucambo ou similar</t>
  </si>
  <si>
    <t>Luva segurança com forro, material 100% látex nitrílico ,para manuseio de reagentes químicos, pulso com bainha, palma antiderrapante, ambidestra. Tamanho: G. Cor: Verde</t>
  </si>
  <si>
    <r>
      <t xml:space="preserve">Multiuso para limpeza, para remoção de gorduras, fuligem e poeira ,a base de alquil benzeno, sulfonato de sódio, álcool etoxilado, coadjuvantes, sequestrante, fragrância e água. Embalagem </t>
    </r>
    <r>
      <rPr>
        <i/>
        <sz val="11"/>
        <color rgb="FF000000"/>
        <rFont val="Calibri"/>
        <family val="2"/>
      </rPr>
      <t>"Squeeze"</t>
    </r>
    <r>
      <rPr>
        <sz val="11"/>
        <color rgb="FF000000"/>
        <rFont val="Calibri"/>
        <family val="2"/>
        <charset val="1"/>
      </rPr>
      <t xml:space="preserve"> 500ml.</t>
    </r>
  </si>
  <si>
    <t>Veja, Bombril ou similar</t>
  </si>
  <si>
    <t>Pá para lixo cabo curto (plástico)</t>
  </si>
  <si>
    <t>Pá para lixo cabo de 70cm (metal)</t>
  </si>
  <si>
    <t>Pano multiuso alta absorção, cor azul, resitente, 25x30cm, em rolo de 600 unidades.</t>
  </si>
  <si>
    <t xml:space="preserve">Papel higiênico branco, folha dupla, de alta qualidade, com dimensões 10cm X 30m, com a marca do fabricante e indicação na embalagem, absorvente e resistente. Embalagem: fardo com 64 rolos de 30 metros. </t>
  </si>
  <si>
    <t>Neve, Personal ou similar</t>
  </si>
  <si>
    <t>Papel toalha Interfolhado, 2 dobras, 100% fibras celulósicas, cor branco, extra luxo, sem pintas ou outros tipos de sujidades,1ª qualidade , medindo aproximadamente 20cm x 20,7 cm. Embalagem com 1000 folhas</t>
  </si>
  <si>
    <t>Papel toalha em rolo, folha dupla, 100% fibras celulósicas, cor branco, extra luxo, sem pintas ou outros tipos de sujidades,1ª qualidade , medindo aproximadamente 20cm x 22cm, com no mínimo 55 papeis toalhas em cada rolo. Embalagem: 3 rolos.</t>
  </si>
  <si>
    <t>Refil de encaixe de rosca para MOP, confeccionado em material de alta resistência, como microfibra ou algodão, adequado para limpeza de pisos.</t>
  </si>
  <si>
    <t>Rodo de plástico e borracha dupla expandida de 40cm de largura, acompanha cabo longo de madeira plastificado de aproximadamente 1,26m, com garras pontiagudas nas laterais para melhor fixar panos de chão.</t>
  </si>
  <si>
    <t>Rodo de plástico e borracha dupla expandida de 60cm de largura, acompanha cabo longo de madeira plastificado de aproximadamente 1,26m, com garras pontiagudas nas laterais para melhor fixar panos de chão.</t>
  </si>
  <si>
    <t>Sabão em barra glicerinado, neutro. Embalagem:  Pacote 900g com 5 unidades.</t>
  </si>
  <si>
    <t>Ipê, Minuano ou similar</t>
  </si>
  <si>
    <t>Sabão em pó, convencional, de primeira linha, para lavar roupas e limpeza em geral. Embalagem: 4 kg.</t>
  </si>
  <si>
    <t>Omo, Brilhante ou similar</t>
  </si>
  <si>
    <t xml:space="preserve">	Sabonte líquido erva doce, concentrado, cremoso perolizado, pronto pra uso. Embalagem: 5 litros.</t>
  </si>
  <si>
    <t xml:space="preserve">	Saco de algodão alvejado 80 x 60, 24 batidas, dupla face.</t>
  </si>
  <si>
    <t>Saco plástico reforçado para lixo em polietileno, com capacidade de 20 litros, com estanqueidade suficiente para que não haja vazamento de lixo líquido. com espessura mínima de 10 micra, cores sortidas no padrão previsto para coletas seletivas. Pacote com 100 unidades</t>
  </si>
  <si>
    <t>Saco plástico reforçado para lixo em polietileno, com capacidade de 100 litros, com estanqueidade suficiente para que não haja vazamento de lixo líquido. com espessura mínima de 10 micra, cores sortidas no padrão previsto para coletas seletivas. Pacote com 100 unidades.</t>
  </si>
  <si>
    <t>Saco de lixo reforçado 200L, cores sortidas no padrão previsto para coletas seletivas. Pacote com 100 unidades.</t>
  </si>
  <si>
    <r>
      <t xml:space="preserve">Saponáceo cremoso multiuso, princípio ativo alquil benzeno sulfonato de sódio,tensoativo aniônico, tensoativo não-iônico, abrasivo, coadjuvantes, atenuador de espuma, conservante, fragrância e água. Embalagem </t>
    </r>
    <r>
      <rPr>
        <i/>
        <sz val="11"/>
        <color rgb="FF000000"/>
        <rFont val="Calibri"/>
        <family val="2"/>
      </rPr>
      <t>"Squeeze"</t>
    </r>
    <r>
      <rPr>
        <sz val="11"/>
        <color rgb="FF000000"/>
        <rFont val="Calibri"/>
        <family val="2"/>
        <charset val="1"/>
      </rPr>
      <t xml:space="preserve"> 450ml.</t>
    </r>
  </si>
  <si>
    <t>Vassoura de pelo 40 cm  com cerdas de pelo sintético, comprimento da cepa 40 cm, companha cabo longo de madeira plastificado de aproximadamente 1,26m.</t>
  </si>
  <si>
    <t>Vassoura limpa teto, com cerdas macias de sisal e cabo de madeira de 2,70 metros, ideal para uso na limpeza de locais de difícil acesso.</t>
  </si>
  <si>
    <t>Vassoura com cerdas de  para limpeza piaçava com cepa de madeira 40x5x4 cm,comprimento mínimo das cerdas de 13 cm, cabo de madeira.</t>
  </si>
  <si>
    <t>CUSTO ESTIMATIVO DOS UNIFORMES</t>
  </si>
  <si>
    <t>CATEGORIA</t>
  </si>
  <si>
    <t>UNIFORME</t>
  </si>
  <si>
    <t>DESCRIÇÃO D0 UNIFORME</t>
  </si>
  <si>
    <t>PREÇO UNITÁRIO</t>
  </si>
  <si>
    <t>SERVENTE DE LIMPEZA COM ATRIBUIÇÃO DE BANHEIRISTa (CBO – 5143)</t>
  </si>
  <si>
    <t>Calça</t>
  </si>
  <si>
    <t>Brim Santista, Santansense ou similar; leve, com bolso faca na frente e com elástico na cintura.</t>
  </si>
  <si>
    <t>Camisa manga curta</t>
  </si>
  <si>
    <r>
      <t>Modelo unissex, confeccionado em malha "</t>
    </r>
    <r>
      <rPr>
        <i/>
        <sz val="11"/>
        <color rgb="FF000000"/>
        <rFont val="Calibri"/>
        <family val="2"/>
      </rPr>
      <t>PV</t>
    </r>
    <r>
      <rPr>
        <sz val="11"/>
        <color rgb="FF000000"/>
        <rFont val="Calibri"/>
        <family val="2"/>
        <charset val="1"/>
      </rPr>
      <t>", com gramatura de 180g/m² ou superior, em tecido sem transparência, com manga curta, sem punho, gola redonda e barra reta. Com logotipo da empresa.</t>
    </r>
  </si>
  <si>
    <t>Camisa manga longa</t>
  </si>
  <si>
    <r>
      <t>Modelo unissex, confeccionado em malha "</t>
    </r>
    <r>
      <rPr>
        <i/>
        <sz val="11"/>
        <color rgb="FF000000"/>
        <rFont val="Calibri"/>
        <family val="2"/>
      </rPr>
      <t>PV</t>
    </r>
    <r>
      <rPr>
        <sz val="11"/>
        <color rgb="FF000000"/>
        <rFont val="Calibri"/>
        <family val="2"/>
        <charset val="1"/>
      </rPr>
      <t>", com gramatura de 180g/m² ou superior, em tecido sem transparência, com manga longa, com punho, gola redonda e barra reta. Com logotipo da empresa.</t>
    </r>
  </si>
  <si>
    <t>Sapato</t>
  </si>
  <si>
    <t xml:space="preserve">Botina de segurança com biqueira de polipropileno, cano curto, sola antiderrapante, em conformidade com as exigências das normas de segurança do trabalho.Marca  MARLUVAS ou similar. </t>
  </si>
  <si>
    <t>Meia</t>
  </si>
  <si>
    <t>Meia de algodão,comprimento 3/4, suave compressão.</t>
  </si>
  <si>
    <t>Óculos</t>
  </si>
  <si>
    <t>Óculos de segurança incolor, em conformidade com as exigências das normas de segurança do trabalho.</t>
  </si>
  <si>
    <t>Blusão/casaco</t>
  </si>
  <si>
    <t xml:space="preserve">Moletom fechado sem ziper, malha flanelada, composição 100% algodão, decote redondo, com punho e barras em ribana profissional penteada 100% algodão, logotipo da empresa bordado no lado esquerdo, sem bolsos. Etiqueta de composição e identificação do tecido, confecção, tamanho da peça e instruções de lavagem, conforme determinação do INMETRO. </t>
  </si>
  <si>
    <t>Bota de borracha cano médio</t>
  </si>
  <si>
    <t>Bota em PVC, cano médio, em conformidade com as exigências das normas de segurança do trabalho. Marca Sete Léguas, Alpargatas ou similar.</t>
  </si>
  <si>
    <t>Auxiliar de Limpeza</t>
  </si>
  <si>
    <t>26/0435-0004864-4</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</si>
</sst>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R$&quot;\ * #,##0.00_-;\-&quot;R$&quot;\ * #,##0.00_-;_-&quot;R$&quot;\ * &quot;-&quot;??_-;_-@_-"/>
    <numFmt numFmtId="164" formatCode="_-&quot;R$ &quot;* #,##0.00_-;&quot;-R$ &quot;* #,##0.00_-;_-&quot;R$ &quot;* \-??_-;_-@_-"/>
    <numFmt numFmtId="165" formatCode="0.0000%"/>
    <numFmt numFmtId="166" formatCode="00\/0000\-0000000\-0"/>
    <numFmt numFmtId="167" formatCode="&quot;R$ &quot;#,##0.00"/>
    <numFmt numFmtId="168" formatCode="0.0%"/>
    <numFmt numFmtId="169" formatCode="0.0000"/>
    <numFmt numFmtId="170" formatCode="[$R$-416]\ #,##0.00;[Red][$R$-416]\ #,##0.00"/>
  </numFmts>
  <fonts count="47" x14ac:knownFonts="1">
    <font>
      <sz val="11"/>
      <color rgb="FF000000"/>
      <name val="Calibri"/>
      <family val="2"/>
      <charset val="1"/>
    </font>
    <font>
      <u/>
      <sz val="11"/>
      <color rgb="FF0563C1"/>
      <name val="Calibri"/>
      <family val="2"/>
      <charset val="1"/>
    </font>
    <font>
      <sz val="8"/>
      <color rgb="FF000000"/>
      <name val="Calibri"/>
      <family val="2"/>
      <charset val="1"/>
    </font>
    <font>
      <b/>
      <sz val="8"/>
      <color rgb="FF000000"/>
      <name val="Calibri"/>
      <family val="2"/>
      <charset val="1"/>
    </font>
    <font>
      <b/>
      <u/>
      <sz val="10"/>
      <color rgb="FFFF0000"/>
      <name val="Calibri"/>
      <family val="2"/>
      <charset val="1"/>
    </font>
    <font>
      <b/>
      <sz val="12"/>
      <name val="Calibri"/>
      <family val="2"/>
      <charset val="1"/>
    </font>
    <font>
      <b/>
      <sz val="14"/>
      <color rgb="FF000000"/>
      <name val="Calibri"/>
      <family val="2"/>
      <charset val="1"/>
    </font>
    <font>
      <b/>
      <sz val="14"/>
      <color rgb="FFFF0000"/>
      <name val="Calibri"/>
      <family val="2"/>
      <charset val="1"/>
    </font>
    <font>
      <sz val="7.5"/>
      <color rgb="FF000000"/>
      <name val="Calibri"/>
      <family val="2"/>
      <charset val="1"/>
    </font>
    <font>
      <sz val="7"/>
      <color rgb="FF000000"/>
      <name val="Calibri"/>
      <family val="2"/>
      <charset val="1"/>
    </font>
    <font>
      <sz val="6"/>
      <color rgb="FF000000"/>
      <name val="Calibri"/>
      <family val="2"/>
      <charset val="1"/>
    </font>
    <font>
      <b/>
      <sz val="10"/>
      <color rgb="FF000000"/>
      <name val="Calibri"/>
      <family val="2"/>
      <charset val="1"/>
    </font>
    <font>
      <b/>
      <sz val="5"/>
      <color rgb="FF000000"/>
      <name val="Calibri"/>
      <family val="2"/>
      <charset val="1"/>
    </font>
    <font>
      <b/>
      <sz val="9"/>
      <color rgb="FF000000"/>
      <name val="Calibri"/>
      <family val="2"/>
      <charset val="1"/>
    </font>
    <font>
      <sz val="9"/>
      <color rgb="FF000000"/>
      <name val="Calibri"/>
      <family val="2"/>
      <charset val="1"/>
    </font>
    <font>
      <i/>
      <sz val="7"/>
      <color rgb="FF000000"/>
      <name val="Calibri"/>
      <family val="2"/>
      <charset val="1"/>
    </font>
    <font>
      <b/>
      <vertAlign val="superscript"/>
      <sz val="8"/>
      <color rgb="FF000000"/>
      <name val="Calibri"/>
      <family val="2"/>
      <charset val="1"/>
    </font>
    <font>
      <vertAlign val="superscript"/>
      <sz val="8"/>
      <color rgb="FF000000"/>
      <name val="Calibri"/>
      <family val="2"/>
      <charset val="1"/>
    </font>
    <font>
      <i/>
      <sz val="6"/>
      <color rgb="FF000000"/>
      <name val="Calibri"/>
      <family val="2"/>
      <charset val="1"/>
    </font>
    <font>
      <b/>
      <vertAlign val="superscript"/>
      <sz val="10"/>
      <color rgb="FF000000"/>
      <name val="Calibri"/>
      <family val="2"/>
      <charset val="1"/>
    </font>
    <font>
      <i/>
      <vertAlign val="superscript"/>
      <sz val="6"/>
      <color rgb="FF000000"/>
      <name val="Calibri"/>
      <family val="2"/>
      <charset val="1"/>
    </font>
    <font>
      <b/>
      <i/>
      <sz val="6"/>
      <color rgb="FF000000"/>
      <name val="Calibri"/>
      <family val="2"/>
      <charset val="1"/>
    </font>
    <font>
      <sz val="5"/>
      <color rgb="FF000000"/>
      <name val="Calibri"/>
      <family val="2"/>
      <charset val="1"/>
    </font>
    <font>
      <b/>
      <u/>
      <sz val="7"/>
      <color rgb="FF000000"/>
      <name val="Tahoma"/>
      <family val="2"/>
      <charset val="1"/>
    </font>
    <font>
      <b/>
      <sz val="7"/>
      <color rgb="FF000000"/>
      <name val="Tahoma"/>
      <family val="2"/>
      <charset val="1"/>
    </font>
    <font>
      <b/>
      <sz val="8.5"/>
      <color rgb="FF000000"/>
      <name val="Tahoma"/>
      <family val="2"/>
      <charset val="1"/>
    </font>
    <font>
      <b/>
      <sz val="11"/>
      <color rgb="FF000000"/>
      <name val="Calibri"/>
      <family val="2"/>
      <charset val="1"/>
    </font>
    <font>
      <b/>
      <sz val="11"/>
      <name val="Calibri"/>
      <family val="2"/>
      <charset val="1"/>
    </font>
    <font>
      <sz val="11"/>
      <color rgb="FFFF0000"/>
      <name val="Calibri"/>
      <family val="2"/>
      <charset val="1"/>
    </font>
    <font>
      <sz val="11"/>
      <color rgb="FF000000"/>
      <name val="Calibri"/>
      <family val="2"/>
      <charset val="1"/>
    </font>
    <font>
      <u/>
      <sz val="7.5"/>
      <color rgb="FF000000"/>
      <name val="Calibri"/>
      <family val="2"/>
    </font>
    <font>
      <b/>
      <sz val="9"/>
      <color indexed="81"/>
      <name val="Segoe UI"/>
      <family val="2"/>
    </font>
    <font>
      <sz val="7"/>
      <color rgb="FF0070C0"/>
      <name val="Calibri"/>
      <family val="2"/>
      <charset val="1"/>
    </font>
    <font>
      <b/>
      <u/>
      <sz val="10"/>
      <color theme="5" tint="0.39997558519241921"/>
      <name val="Calibri"/>
      <family val="2"/>
    </font>
    <font>
      <b/>
      <sz val="8"/>
      <color rgb="FF000000"/>
      <name val="Calibri"/>
      <family val="2"/>
    </font>
    <font>
      <sz val="7"/>
      <color rgb="FF000000"/>
      <name val="Calibri"/>
      <family val="2"/>
    </font>
    <font>
      <b/>
      <u/>
      <sz val="10"/>
      <color rgb="FF000000"/>
      <name val="Calibri"/>
      <family val="2"/>
    </font>
    <font>
      <u/>
      <sz val="7"/>
      <color rgb="FF000000"/>
      <name val="Calibri"/>
      <family val="2"/>
    </font>
    <font>
      <sz val="10"/>
      <color rgb="FF000000"/>
      <name val="Calibri"/>
      <family val="2"/>
      <charset val="1"/>
    </font>
    <font>
      <sz val="8"/>
      <color theme="0"/>
      <name val="Calibri"/>
      <family val="2"/>
      <charset val="1"/>
    </font>
    <font>
      <sz val="7"/>
      <name val="Calibri"/>
      <family val="2"/>
      <charset val="1"/>
    </font>
    <font>
      <sz val="8"/>
      <name val="Calibri"/>
      <family val="2"/>
      <charset val="1"/>
    </font>
    <font>
      <b/>
      <sz val="10"/>
      <name val="Calibri"/>
      <family val="2"/>
      <charset val="1"/>
    </font>
    <font>
      <sz val="11"/>
      <name val="Calibri"/>
      <family val="2"/>
      <charset val="1"/>
    </font>
    <font>
      <b/>
      <sz val="9"/>
      <name val="Calibri"/>
      <family val="2"/>
      <charset val="1"/>
    </font>
    <font>
      <i/>
      <sz val="11"/>
      <color rgb="FF000000"/>
      <name val="Calibri"/>
      <family val="2"/>
    </font>
    <font>
      <b/>
      <sz val="11"/>
      <color rgb="FF000000"/>
      <name val="Calibri"/>
      <family val="2"/>
    </font>
  </fonts>
  <fills count="17">
    <fill>
      <patternFill patternType="none"/>
    </fill>
    <fill>
      <patternFill patternType="gray125"/>
    </fill>
    <fill>
      <patternFill patternType="solid">
        <fgColor rgb="FFFFFFFF"/>
        <bgColor rgb="FFFFF2CC"/>
      </patternFill>
    </fill>
    <fill>
      <patternFill patternType="solid">
        <fgColor rgb="FFFFFF00"/>
        <bgColor rgb="FFFFFF00"/>
      </patternFill>
    </fill>
    <fill>
      <patternFill patternType="solid">
        <fgColor rgb="FFD9D9D9"/>
        <bgColor rgb="FFDBDBDB"/>
      </patternFill>
    </fill>
    <fill>
      <patternFill patternType="solid">
        <fgColor rgb="FFD6DCE5"/>
        <bgColor rgb="FFDBDBDB"/>
      </patternFill>
    </fill>
    <fill>
      <patternFill patternType="solid">
        <fgColor rgb="FFFFF2CC"/>
        <bgColor rgb="FFFFE699"/>
      </patternFill>
    </fill>
    <fill>
      <patternFill patternType="solid">
        <fgColor rgb="FFC5E0B4"/>
        <bgColor rgb="FFD9D9D9"/>
      </patternFill>
    </fill>
    <fill>
      <patternFill patternType="solid">
        <fgColor rgb="FFA5A5A5"/>
        <bgColor rgb="FF95B3D7"/>
      </patternFill>
    </fill>
    <fill>
      <patternFill patternType="solid">
        <fgColor rgb="FFFFE699"/>
        <bgColor rgb="FFFFF2CC"/>
      </patternFill>
    </fill>
    <fill>
      <patternFill patternType="solid">
        <fgColor rgb="FFDBDBDB"/>
        <bgColor rgb="FFD9D9D9"/>
      </patternFill>
    </fill>
    <fill>
      <patternFill patternType="solid">
        <fgColor theme="0" tint="-0.14999847407452621"/>
        <bgColor indexed="64"/>
      </patternFill>
    </fill>
    <fill>
      <patternFill patternType="solid">
        <fgColor theme="4" tint="0.59999389629810485"/>
        <bgColor rgb="FFD6DCE5"/>
      </patternFill>
    </fill>
    <fill>
      <patternFill patternType="solid">
        <fgColor theme="4" tint="0.59999389629810485"/>
        <bgColor indexed="64"/>
      </patternFill>
    </fill>
    <fill>
      <patternFill patternType="solid">
        <fgColor rgb="FFFFFF00"/>
        <bgColor indexed="64"/>
      </patternFill>
    </fill>
    <fill>
      <patternFill patternType="solid">
        <fgColor theme="0"/>
        <bgColor rgb="FFFFFF00"/>
      </patternFill>
    </fill>
    <fill>
      <patternFill patternType="solid">
        <fgColor theme="0" tint="-4.9989318521683403E-2"/>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indexed="64"/>
      </left>
      <right/>
      <top/>
      <bottom/>
      <diagonal/>
    </border>
    <border>
      <left/>
      <right/>
      <top/>
      <bottom style="medium">
        <color auto="1"/>
      </bottom>
      <diagonal/>
    </border>
    <border>
      <left style="medium">
        <color indexed="64"/>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auto="1"/>
      </left>
      <right/>
      <top style="medium">
        <color indexed="64"/>
      </top>
      <bottom style="thin">
        <color auto="1"/>
      </bottom>
      <diagonal/>
    </border>
    <border>
      <left/>
      <right/>
      <top style="medium">
        <color indexed="64"/>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medium">
        <color auto="1"/>
      </right>
      <top/>
      <bottom style="medium">
        <color auto="1"/>
      </bottom>
      <diagonal/>
    </border>
    <border>
      <left/>
      <right style="medium">
        <color auto="1"/>
      </right>
      <top style="medium">
        <color indexed="64"/>
      </top>
      <bottom style="thin">
        <color auto="1"/>
      </bottom>
      <diagonal/>
    </border>
    <border>
      <left style="thin">
        <color auto="1"/>
      </left>
      <right/>
      <top/>
      <bottom style="medium">
        <color auto="1"/>
      </bottom>
      <diagonal/>
    </border>
    <border>
      <left/>
      <right style="medium">
        <color auto="1"/>
      </right>
      <top/>
      <bottom style="medium">
        <color auto="1"/>
      </bottom>
      <diagonal/>
    </border>
  </borders>
  <cellStyleXfs count="10">
    <xf numFmtId="0" fontId="0" fillId="0" borderId="0"/>
    <xf numFmtId="0" fontId="1" fillId="0" borderId="0" applyBorder="0" applyProtection="0"/>
    <xf numFmtId="0" fontId="1" fillId="0" borderId="0" applyBorder="0" applyProtection="0"/>
    <xf numFmtId="164" fontId="29" fillId="0" borderId="0" applyBorder="0" applyProtection="0"/>
    <xf numFmtId="0" fontId="29" fillId="0" borderId="0"/>
    <xf numFmtId="0" fontId="29" fillId="0" borderId="0"/>
    <xf numFmtId="0" fontId="29" fillId="0" borderId="0"/>
    <xf numFmtId="9" fontId="29" fillId="0" borderId="0" applyBorder="0" applyProtection="0"/>
    <xf numFmtId="44" fontId="29" fillId="0" borderId="0" applyFont="0" applyFill="0" applyBorder="0" applyAlignment="0" applyProtection="0"/>
    <xf numFmtId="9" fontId="29" fillId="0" borderId="0" applyFont="0" applyFill="0" applyBorder="0" applyAlignment="0" applyProtection="0"/>
  </cellStyleXfs>
  <cellXfs count="274">
    <xf numFmtId="0" fontId="0" fillId="0" borderId="0" xfId="0"/>
    <xf numFmtId="0" fontId="2" fillId="0" borderId="0" xfId="0" applyFont="1" applyAlignment="1">
      <alignment horizontal="center" vertical="center" wrapText="1"/>
    </xf>
    <xf numFmtId="165" fontId="2" fillId="0" borderId="0" xfId="0" applyNumberFormat="1" applyFont="1" applyAlignment="1">
      <alignment horizontal="center" vertical="center" wrapText="1"/>
    </xf>
    <xf numFmtId="0" fontId="1" fillId="0" borderId="0" xfId="1" applyBorder="1" applyAlignment="1" applyProtection="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167" fontId="2" fillId="4" borderId="1" xfId="0" applyNumberFormat="1" applyFont="1" applyFill="1" applyBorder="1" applyAlignment="1">
      <alignment horizontal="center" vertical="center" wrapText="1"/>
    </xf>
    <xf numFmtId="10" fontId="2" fillId="4" borderId="1" xfId="0" applyNumberFormat="1" applyFont="1" applyFill="1" applyBorder="1" applyAlignment="1">
      <alignment horizontal="center" vertical="center" wrapText="1"/>
    </xf>
    <xf numFmtId="3" fontId="2" fillId="4" borderId="1" xfId="0" applyNumberFormat="1" applyFont="1" applyFill="1" applyBorder="1" applyAlignment="1">
      <alignment horizontal="center" vertical="center" wrapText="1"/>
    </xf>
    <xf numFmtId="9" fontId="2" fillId="4" borderId="3"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165" fontId="2" fillId="0" borderId="1" xfId="0" applyNumberFormat="1" applyFont="1" applyBorder="1" applyAlignment="1">
      <alignment horizontal="center" vertical="center" wrapText="1"/>
    </xf>
    <xf numFmtId="165" fontId="13" fillId="0" borderId="1" xfId="0" applyNumberFormat="1" applyFont="1" applyBorder="1" applyAlignment="1">
      <alignment horizontal="center" vertical="center" wrapText="1"/>
    </xf>
    <xf numFmtId="4" fontId="13" fillId="0" borderId="1" xfId="0" applyNumberFormat="1" applyFont="1" applyBorder="1" applyAlignment="1">
      <alignment horizontal="center" vertical="center" wrapText="1"/>
    </xf>
    <xf numFmtId="2" fontId="14" fillId="0" borderId="0" xfId="0" applyNumberFormat="1" applyFont="1" applyAlignment="1">
      <alignment horizontal="center" vertical="center" wrapText="1"/>
    </xf>
    <xf numFmtId="0" fontId="13" fillId="0" borderId="0" xfId="0" applyFont="1" applyAlignment="1">
      <alignment horizontal="center" vertical="center" wrapText="1"/>
    </xf>
    <xf numFmtId="0" fontId="12" fillId="0" borderId="0" xfId="0" applyFont="1" applyAlignment="1">
      <alignment horizontal="center" vertical="center" wrapText="1"/>
    </xf>
    <xf numFmtId="2" fontId="13" fillId="0" borderId="0" xfId="0" applyNumberFormat="1" applyFont="1" applyAlignment="1">
      <alignment horizontal="center" vertical="center" wrapText="1"/>
    </xf>
    <xf numFmtId="168" fontId="2" fillId="0" borderId="0" xfId="0" applyNumberFormat="1" applyFont="1" applyAlignment="1">
      <alignment horizontal="center" vertical="center" wrapText="1"/>
    </xf>
    <xf numFmtId="165" fontId="13" fillId="4" borderId="1" xfId="0" applyNumberFormat="1" applyFont="1" applyFill="1" applyBorder="1" applyAlignment="1">
      <alignment horizontal="center" vertical="center" wrapText="1"/>
    </xf>
    <xf numFmtId="4" fontId="13" fillId="4" borderId="1" xfId="0" applyNumberFormat="1" applyFont="1" applyFill="1" applyBorder="1" applyAlignment="1">
      <alignment horizontal="center" vertical="center" wrapText="1"/>
    </xf>
    <xf numFmtId="2" fontId="2" fillId="0" borderId="0" xfId="0" applyNumberFormat="1" applyFont="1" applyAlignment="1">
      <alignment horizontal="center" vertical="center" wrapText="1"/>
    </xf>
    <xf numFmtId="165" fontId="13" fillId="0" borderId="0" xfId="0" applyNumberFormat="1" applyFont="1" applyAlignment="1">
      <alignment horizontal="center" vertical="center" wrapText="1"/>
    </xf>
    <xf numFmtId="4" fontId="13" fillId="0" borderId="0" xfId="0" applyNumberFormat="1" applyFont="1" applyAlignment="1">
      <alignment horizontal="center" vertical="center" wrapText="1"/>
    </xf>
    <xf numFmtId="9" fontId="2" fillId="0" borderId="1" xfId="0" applyNumberFormat="1" applyFont="1" applyBorder="1" applyAlignment="1">
      <alignment horizontal="center" vertical="center" wrapText="1"/>
    </xf>
    <xf numFmtId="167" fontId="2" fillId="0" borderId="0" xfId="0" applyNumberFormat="1" applyFont="1" applyAlignment="1">
      <alignment horizontal="center" vertical="center" wrapText="1"/>
    </xf>
    <xf numFmtId="9" fontId="2" fillId="0" borderId="0" xfId="0" applyNumberFormat="1" applyFont="1" applyAlignment="1">
      <alignment horizontal="center" vertical="center" wrapText="1"/>
    </xf>
    <xf numFmtId="4" fontId="2" fillId="0" borderId="0" xfId="0" applyNumberFormat="1" applyFont="1" applyAlignment="1">
      <alignment horizontal="center" vertical="center" wrapText="1"/>
    </xf>
    <xf numFmtId="1" fontId="2" fillId="0" borderId="1" xfId="0" applyNumberFormat="1" applyFont="1" applyBorder="1" applyAlignment="1">
      <alignment horizontal="center" vertical="center" wrapText="1"/>
    </xf>
    <xf numFmtId="0" fontId="14" fillId="0" borderId="0" xfId="0" applyFont="1" applyAlignment="1">
      <alignment horizontal="center" vertical="center" wrapText="1"/>
    </xf>
    <xf numFmtId="9" fontId="14" fillId="0" borderId="0" xfId="0" applyNumberFormat="1" applyFont="1" applyAlignment="1">
      <alignment horizontal="center" vertical="center" wrapText="1"/>
    </xf>
    <xf numFmtId="4" fontId="14" fillId="0" borderId="0" xfId="0" applyNumberFormat="1" applyFont="1" applyAlignment="1">
      <alignment horizontal="center" vertical="center" wrapText="1"/>
    </xf>
    <xf numFmtId="165" fontId="13" fillId="7" borderId="1" xfId="0" applyNumberFormat="1" applyFont="1" applyFill="1" applyBorder="1" applyAlignment="1">
      <alignment horizontal="center" vertical="center" wrapText="1"/>
    </xf>
    <xf numFmtId="4" fontId="13" fillId="7" borderId="1" xfId="0" applyNumberFormat="1" applyFont="1" applyFill="1" applyBorder="1" applyAlignment="1">
      <alignment horizontal="center" vertical="center" wrapText="1"/>
    </xf>
    <xf numFmtId="0" fontId="13" fillId="2" borderId="0" xfId="0" applyFont="1" applyFill="1" applyAlignment="1">
      <alignment horizontal="center" vertical="center" wrapText="1"/>
    </xf>
    <xf numFmtId="165" fontId="13" fillId="2" borderId="0" xfId="0" applyNumberFormat="1" applyFont="1" applyFill="1" applyAlignment="1">
      <alignment horizontal="center" vertical="center" wrapText="1"/>
    </xf>
    <xf numFmtId="4" fontId="13" fillId="2" borderId="0" xfId="0" applyNumberFormat="1" applyFont="1" applyFill="1" applyAlignment="1">
      <alignment horizontal="center" vertical="center" wrapText="1"/>
    </xf>
    <xf numFmtId="2" fontId="2" fillId="2" borderId="0" xfId="0" applyNumberFormat="1" applyFont="1" applyFill="1" applyAlignment="1">
      <alignment horizontal="center" vertical="center" wrapText="1"/>
    </xf>
    <xf numFmtId="0" fontId="2" fillId="2" borderId="0" xfId="0" applyFont="1" applyFill="1" applyAlignment="1">
      <alignment horizontal="center" vertical="center" wrapText="1"/>
    </xf>
    <xf numFmtId="4" fontId="13" fillId="3" borderId="1" xfId="0" applyNumberFormat="1" applyFont="1" applyFill="1" applyBorder="1" applyAlignment="1">
      <alignment horizontal="center" vertical="center" wrapText="1"/>
    </xf>
    <xf numFmtId="9" fontId="3" fillId="8" borderId="1" xfId="0" applyNumberFormat="1" applyFont="1" applyFill="1" applyBorder="1" applyAlignment="1">
      <alignment horizontal="center" vertical="center" wrapText="1"/>
    </xf>
    <xf numFmtId="2" fontId="3" fillId="3" borderId="1" xfId="0" applyNumberFormat="1" applyFont="1" applyFill="1" applyBorder="1" applyAlignment="1">
      <alignment horizontal="center" vertical="center" wrapText="1"/>
    </xf>
    <xf numFmtId="2" fontId="10" fillId="2" borderId="1" xfId="0" applyNumberFormat="1" applyFont="1" applyFill="1" applyBorder="1" applyAlignment="1">
      <alignment horizontal="center" vertical="center" wrapText="1"/>
    </xf>
    <xf numFmtId="10" fontId="10" fillId="2" borderId="1" xfId="0" applyNumberFormat="1" applyFont="1" applyFill="1" applyBorder="1" applyAlignment="1">
      <alignment horizontal="center" vertical="center" wrapText="1"/>
    </xf>
    <xf numFmtId="165" fontId="10" fillId="0" borderId="0" xfId="0" applyNumberFormat="1" applyFont="1" applyAlignment="1">
      <alignment horizontal="center" vertical="center" wrapText="1"/>
    </xf>
    <xf numFmtId="0" fontId="10" fillId="0" borderId="0" xfId="0" applyFont="1" applyAlignment="1">
      <alignment horizontal="center" vertical="center" wrapText="1"/>
    </xf>
    <xf numFmtId="169" fontId="2" fillId="2" borderId="1" xfId="0" applyNumberFormat="1" applyFont="1" applyFill="1" applyBorder="1" applyAlignment="1">
      <alignment horizontal="center" vertical="center" wrapText="1"/>
    </xf>
    <xf numFmtId="169" fontId="13" fillId="2" borderId="1" xfId="0" applyNumberFormat="1" applyFont="1" applyFill="1" applyBorder="1" applyAlignment="1">
      <alignment horizontal="center" vertical="center" wrapText="1"/>
    </xf>
    <xf numFmtId="0" fontId="22" fillId="0" borderId="0" xfId="0" applyFont="1" applyAlignment="1">
      <alignment horizontal="center" vertical="center" wrapText="1"/>
    </xf>
    <xf numFmtId="4" fontId="3" fillId="0" borderId="1" xfId="0" applyNumberFormat="1" applyFont="1" applyBorder="1" applyAlignment="1">
      <alignment horizontal="center" vertical="center" wrapText="1"/>
    </xf>
    <xf numFmtId="0" fontId="29" fillId="0" borderId="0" xfId="4"/>
    <xf numFmtId="0" fontId="28" fillId="0" borderId="0" xfId="4" applyFont="1"/>
    <xf numFmtId="165"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29" fillId="0" borderId="0" xfId="4" applyAlignment="1">
      <alignment vertical="center"/>
    </xf>
    <xf numFmtId="9" fontId="2" fillId="4"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2" fillId="4" borderId="3"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2" fontId="2" fillId="0" borderId="1" xfId="0" applyNumberFormat="1" applyFont="1" applyBorder="1" applyAlignment="1">
      <alignment horizontal="center" vertical="center" wrapText="1"/>
    </xf>
    <xf numFmtId="0" fontId="10"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10" fontId="2" fillId="0" borderId="1" xfId="0" applyNumberFormat="1" applyFont="1" applyBorder="1" applyAlignment="1">
      <alignment horizontal="center" vertical="center" wrapText="1"/>
    </xf>
    <xf numFmtId="4" fontId="2" fillId="0" borderId="1" xfId="0" applyNumberFormat="1" applyFont="1" applyBorder="1" applyAlignment="1">
      <alignment horizontal="center" vertical="center" wrapText="1"/>
    </xf>
    <xf numFmtId="0" fontId="34" fillId="10" borderId="1" xfId="0" applyFont="1" applyFill="1" applyBorder="1" applyAlignment="1">
      <alignment horizontal="center" vertical="center" wrapText="1"/>
    </xf>
    <xf numFmtId="0" fontId="35" fillId="10" borderId="1" xfId="0" applyFont="1" applyFill="1" applyBorder="1" applyAlignment="1">
      <alignment horizontal="center" vertical="center" wrapText="1"/>
    </xf>
    <xf numFmtId="0" fontId="0" fillId="0" borderId="2" xfId="4" applyFont="1" applyBorder="1" applyAlignment="1">
      <alignment horizontal="center"/>
    </xf>
    <xf numFmtId="0" fontId="29" fillId="0" borderId="2" xfId="4" applyBorder="1" applyAlignment="1">
      <alignment horizontal="center"/>
    </xf>
    <xf numFmtId="0" fontId="27" fillId="12" borderId="1" xfId="4" applyFont="1" applyFill="1" applyBorder="1" applyAlignment="1">
      <alignment horizontal="center" vertical="center" wrapText="1"/>
    </xf>
    <xf numFmtId="0" fontId="27" fillId="12" borderId="3" xfId="4" applyFont="1" applyFill="1" applyBorder="1" applyAlignment="1">
      <alignment horizontal="center" vertical="center" wrapText="1"/>
    </xf>
    <xf numFmtId="0" fontId="26" fillId="12" borderId="5" xfId="4" applyFont="1" applyFill="1" applyBorder="1" applyAlignment="1">
      <alignment horizontal="center" vertical="center" wrapText="1"/>
    </xf>
    <xf numFmtId="0" fontId="26" fillId="12" borderId="1" xfId="4" applyFont="1" applyFill="1" applyBorder="1" applyAlignment="1">
      <alignment horizontal="center" vertical="center" wrapText="1"/>
    </xf>
    <xf numFmtId="0" fontId="26" fillId="12" borderId="10" xfId="4" applyFont="1" applyFill="1" applyBorder="1" applyAlignment="1">
      <alignment horizontal="center" vertical="center" wrapText="1"/>
    </xf>
    <xf numFmtId="4" fontId="34" fillId="10" borderId="1" xfId="0" applyNumberFormat="1" applyFont="1" applyFill="1" applyBorder="1" applyAlignment="1">
      <alignment horizontal="center" vertical="center" wrapText="1"/>
    </xf>
    <xf numFmtId="4" fontId="36" fillId="10" borderId="1" xfId="0" applyNumberFormat="1" applyFont="1" applyFill="1" applyBorder="1" applyAlignment="1">
      <alignment horizontal="center" vertical="center" wrapText="1"/>
    </xf>
    <xf numFmtId="10" fontId="11" fillId="11" borderId="1" xfId="9" applyNumberFormat="1" applyFont="1" applyFill="1" applyBorder="1" applyAlignment="1">
      <alignment horizontal="center" vertical="center"/>
    </xf>
    <xf numFmtId="0" fontId="2" fillId="0" borderId="8" xfId="0" applyFont="1" applyBorder="1" applyAlignment="1">
      <alignment vertical="center" wrapText="1"/>
    </xf>
    <xf numFmtId="0" fontId="39" fillId="0" borderId="8" xfId="0" applyFont="1" applyBorder="1" applyAlignment="1">
      <alignment vertical="center" wrapText="1"/>
    </xf>
    <xf numFmtId="44" fontId="34" fillId="10" borderId="5" xfId="8" applyFont="1" applyFill="1" applyBorder="1" applyAlignment="1">
      <alignment vertical="center" wrapText="1"/>
    </xf>
    <xf numFmtId="44" fontId="34" fillId="10" borderId="7" xfId="8" applyFont="1" applyFill="1" applyBorder="1" applyAlignment="1">
      <alignment vertical="center" wrapText="1"/>
    </xf>
    <xf numFmtId="0" fontId="2" fillId="14" borderId="1" xfId="0" applyFont="1" applyFill="1" applyBorder="1" applyAlignment="1">
      <alignment horizontal="center" vertical="center" wrapText="1"/>
    </xf>
    <xf numFmtId="49" fontId="2" fillId="14" borderId="1" xfId="0" applyNumberFormat="1" applyFont="1" applyFill="1" applyBorder="1" applyAlignment="1">
      <alignment horizontal="center" vertical="center" wrapText="1"/>
    </xf>
    <xf numFmtId="49" fontId="13" fillId="14" borderId="5" xfId="0" applyNumberFormat="1" applyFont="1" applyFill="1" applyBorder="1" applyAlignment="1">
      <alignment horizontal="center" vertical="center" wrapText="1"/>
    </xf>
    <xf numFmtId="0" fontId="2" fillId="15" borderId="1" xfId="0" applyFont="1" applyFill="1" applyBorder="1" applyAlignment="1">
      <alignment horizontal="center" vertical="center" wrapText="1"/>
    </xf>
    <xf numFmtId="49" fontId="2" fillId="15" borderId="1" xfId="0" applyNumberFormat="1" applyFont="1" applyFill="1" applyBorder="1" applyAlignment="1">
      <alignment horizontal="center" vertical="center" wrapText="1"/>
    </xf>
    <xf numFmtId="49" fontId="13" fillId="15" borderId="1" xfId="0" applyNumberFormat="1" applyFont="1" applyFill="1" applyBorder="1" applyAlignment="1">
      <alignment horizontal="center" vertical="center" wrapText="1"/>
    </xf>
    <xf numFmtId="10" fontId="2" fillId="15" borderId="1" xfId="0" applyNumberFormat="1" applyFont="1" applyFill="1" applyBorder="1" applyAlignment="1">
      <alignment horizontal="center" vertical="center" wrapText="1"/>
    </xf>
    <xf numFmtId="10" fontId="3" fillId="15" borderId="1" xfId="0" applyNumberFormat="1" applyFont="1" applyFill="1" applyBorder="1" applyAlignment="1">
      <alignment horizontal="center" vertical="center" wrapText="1"/>
    </xf>
    <xf numFmtId="165" fontId="41" fillId="0" borderId="1" xfId="0" applyNumberFormat="1" applyFont="1" applyBorder="1" applyAlignment="1">
      <alignment horizontal="center" vertical="center" wrapText="1"/>
    </xf>
    <xf numFmtId="0" fontId="5" fillId="2" borderId="4" xfId="0" applyFont="1" applyFill="1" applyBorder="1" applyAlignment="1">
      <alignment horizontal="center" vertical="center" wrapText="1"/>
    </xf>
    <xf numFmtId="0" fontId="3" fillId="0" borderId="10" xfId="0" applyFont="1" applyBorder="1" applyAlignment="1">
      <alignment horizontal="center" vertical="center" wrapText="1"/>
    </xf>
    <xf numFmtId="14" fontId="5" fillId="2" borderId="2" xfId="0" applyNumberFormat="1" applyFont="1" applyFill="1" applyBorder="1" applyAlignment="1">
      <alignment horizontal="center" vertical="center" wrapText="1"/>
    </xf>
    <xf numFmtId="0" fontId="0" fillId="0" borderId="1" xfId="4" applyFont="1" applyBorder="1" applyAlignment="1">
      <alignment horizontal="center"/>
    </xf>
    <xf numFmtId="44" fontId="29" fillId="0" borderId="2" xfId="8" applyNumberFormat="1" applyBorder="1" applyAlignment="1">
      <alignment horizontal="right"/>
    </xf>
    <xf numFmtId="44" fontId="29" fillId="0" borderId="2" xfId="8" applyBorder="1" applyAlignment="1">
      <alignment horizontal="right"/>
    </xf>
    <xf numFmtId="164" fontId="29" fillId="0" borderId="2" xfId="4" applyNumberFormat="1" applyBorder="1" applyAlignment="1">
      <alignment horizontal="right"/>
    </xf>
    <xf numFmtId="164" fontId="11" fillId="11" borderId="1" xfId="4" applyNumberFormat="1" applyFont="1" applyFill="1" applyBorder="1" applyAlignment="1">
      <alignment horizontal="right" vertical="center"/>
    </xf>
    <xf numFmtId="0" fontId="11" fillId="11" borderId="1" xfId="4" applyFont="1" applyFill="1" applyBorder="1" applyAlignment="1">
      <alignment horizontal="center" vertical="center"/>
    </xf>
    <xf numFmtId="44" fontId="11" fillId="11" borderId="1" xfId="4" applyNumberFormat="1" applyFont="1" applyFill="1" applyBorder="1" applyAlignment="1">
      <alignment horizontal="right" vertical="center"/>
    </xf>
    <xf numFmtId="0" fontId="5" fillId="0" borderId="0" xfId="6" applyFont="1" applyFill="1" applyBorder="1" applyAlignment="1">
      <alignment vertical="center"/>
    </xf>
    <xf numFmtId="0" fontId="42" fillId="0" borderId="0" xfId="0" applyFont="1" applyFill="1" applyBorder="1" applyAlignment="1">
      <alignment vertical="center" wrapText="1"/>
    </xf>
    <xf numFmtId="0" fontId="43" fillId="0" borderId="0" xfId="6" applyFont="1"/>
    <xf numFmtId="0" fontId="44" fillId="16" borderId="17" xfId="6" applyFont="1" applyFill="1" applyBorder="1" applyAlignment="1">
      <alignment horizontal="center" vertical="center"/>
    </xf>
    <xf numFmtId="0" fontId="44" fillId="16" borderId="18" xfId="6" applyFont="1" applyFill="1" applyBorder="1" applyAlignment="1">
      <alignment horizontal="center" vertical="center"/>
    </xf>
    <xf numFmtId="2" fontId="44" fillId="16" borderId="18" xfId="6" applyNumberFormat="1" applyFont="1" applyFill="1" applyBorder="1" applyAlignment="1">
      <alignment horizontal="center" vertical="center" wrapText="1"/>
    </xf>
    <xf numFmtId="2" fontId="44" fillId="16" borderId="19" xfId="6" applyNumberFormat="1" applyFont="1" applyFill="1" applyBorder="1" applyAlignment="1">
      <alignment horizontal="center" vertical="center" wrapText="1"/>
    </xf>
    <xf numFmtId="4" fontId="44" fillId="16" borderId="20" xfId="6" applyNumberFormat="1" applyFont="1" applyFill="1" applyBorder="1" applyAlignment="1">
      <alignment horizontal="center" vertical="center" wrapText="1"/>
    </xf>
    <xf numFmtId="0" fontId="0" fillId="0" borderId="21" xfId="0" applyBorder="1" applyAlignment="1">
      <alignment horizontal="center" vertical="center"/>
    </xf>
    <xf numFmtId="0" fontId="0" fillId="0" borderId="22" xfId="0" applyBorder="1" applyAlignment="1">
      <alignment wrapText="1"/>
    </xf>
    <xf numFmtId="170" fontId="0" fillId="14" borderId="23" xfId="0" applyNumberFormat="1" applyFill="1" applyBorder="1" applyAlignment="1">
      <alignment horizontal="right" vertical="center"/>
    </xf>
    <xf numFmtId="170" fontId="0" fillId="0" borderId="24" xfId="0" applyNumberFormat="1" applyFill="1" applyBorder="1" applyAlignment="1">
      <alignment horizontal="right" vertical="center"/>
    </xf>
    <xf numFmtId="170" fontId="0" fillId="0" borderId="25" xfId="0" applyNumberFormat="1" applyBorder="1" applyAlignment="1">
      <alignment horizontal="right" vertical="center"/>
    </xf>
    <xf numFmtId="0" fontId="0" fillId="0" borderId="26" xfId="0" applyBorder="1" applyAlignment="1">
      <alignment horizontal="center" vertical="center"/>
    </xf>
    <xf numFmtId="0" fontId="0" fillId="0" borderId="1" xfId="0" applyBorder="1" applyAlignment="1">
      <alignment wrapText="1"/>
    </xf>
    <xf numFmtId="170" fontId="0" fillId="14" borderId="14" xfId="0" applyNumberFormat="1" applyFill="1" applyBorder="1" applyAlignment="1">
      <alignment horizontal="right" vertical="center"/>
    </xf>
    <xf numFmtId="170" fontId="0" fillId="0" borderId="4" xfId="0" applyNumberFormat="1" applyFill="1" applyBorder="1" applyAlignment="1">
      <alignment horizontal="right" vertical="center"/>
    </xf>
    <xf numFmtId="170" fontId="0" fillId="0" borderId="27" xfId="0" applyNumberFormat="1" applyBorder="1" applyAlignment="1">
      <alignment horizontal="right" vertical="center"/>
    </xf>
    <xf numFmtId="0" fontId="0" fillId="0" borderId="28" xfId="0" applyBorder="1" applyAlignment="1">
      <alignment horizontal="center" vertical="center"/>
    </xf>
    <xf numFmtId="170" fontId="0" fillId="0" borderId="5" xfId="0" applyNumberFormat="1" applyFill="1" applyBorder="1" applyAlignment="1">
      <alignment horizontal="right"/>
    </xf>
    <xf numFmtId="0" fontId="0" fillId="0" borderId="5" xfId="0" applyFill="1" applyBorder="1" applyAlignment="1">
      <alignment horizontal="right"/>
    </xf>
    <xf numFmtId="170" fontId="0" fillId="0" borderId="29" xfId="0" applyNumberFormat="1" applyBorder="1" applyAlignment="1">
      <alignment horizontal="right"/>
    </xf>
    <xf numFmtId="0" fontId="0" fillId="0" borderId="30" xfId="0" applyBorder="1" applyAlignment="1">
      <alignment horizontal="center" vertical="center"/>
    </xf>
    <xf numFmtId="0" fontId="0" fillId="0" borderId="31" xfId="0" applyBorder="1" applyAlignment="1">
      <alignment wrapText="1"/>
    </xf>
    <xf numFmtId="170" fontId="0" fillId="0" borderId="15" xfId="0" applyNumberFormat="1" applyFill="1" applyBorder="1" applyAlignment="1">
      <alignment horizontal="right" vertical="center"/>
    </xf>
    <xf numFmtId="4" fontId="42" fillId="0" borderId="0" xfId="6" applyNumberFormat="1" applyFont="1" applyBorder="1" applyAlignment="1">
      <alignment vertical="center"/>
    </xf>
    <xf numFmtId="170" fontId="46" fillId="0" borderId="36" xfId="0" applyNumberFormat="1" applyFont="1" applyBorder="1" applyAlignment="1">
      <alignment horizontal="right" vertical="center"/>
    </xf>
    <xf numFmtId="2" fontId="5" fillId="0" borderId="0" xfId="6" applyNumberFormat="1" applyFont="1" applyFill="1" applyBorder="1" applyAlignment="1">
      <alignment horizontal="center" vertical="center"/>
    </xf>
    <xf numFmtId="0" fontId="44" fillId="16" borderId="19" xfId="6" applyFont="1" applyFill="1" applyBorder="1" applyAlignment="1">
      <alignment horizontal="center" vertical="center"/>
    </xf>
    <xf numFmtId="0" fontId="44" fillId="16" borderId="19" xfId="6" applyFont="1" applyFill="1" applyBorder="1" applyAlignment="1">
      <alignment horizontal="center" vertical="center" wrapText="1"/>
    </xf>
    <xf numFmtId="2" fontId="0" fillId="0" borderId="21" xfId="0" applyNumberFormat="1" applyBorder="1" applyAlignment="1">
      <alignment horizontal="center" vertical="center"/>
    </xf>
    <xf numFmtId="0" fontId="0" fillId="0" borderId="22" xfId="0" applyBorder="1" applyAlignment="1">
      <alignment horizontal="justify" vertical="center" wrapText="1"/>
    </xf>
    <xf numFmtId="0" fontId="0" fillId="0" borderId="24" xfId="0" applyBorder="1" applyAlignment="1">
      <alignment horizontal="center" vertical="center" wrapText="1"/>
    </xf>
    <xf numFmtId="170" fontId="0" fillId="0" borderId="24" xfId="0" applyNumberFormat="1" applyFill="1" applyBorder="1" applyAlignment="1">
      <alignment horizontal="center" vertical="center" wrapText="1"/>
    </xf>
    <xf numFmtId="170" fontId="0" fillId="14" borderId="24" xfId="0" applyNumberFormat="1" applyFill="1" applyBorder="1" applyAlignment="1">
      <alignment horizontal="center" vertical="center" wrapText="1"/>
    </xf>
    <xf numFmtId="170" fontId="0" fillId="0" borderId="25" xfId="0" applyNumberFormat="1" applyBorder="1" applyAlignment="1">
      <alignment horizontal="center" vertical="center" wrapText="1"/>
    </xf>
    <xf numFmtId="2" fontId="0" fillId="0" borderId="26" xfId="0" applyNumberFormat="1" applyBorder="1" applyAlignment="1">
      <alignment horizontal="center" vertical="center"/>
    </xf>
    <xf numFmtId="0" fontId="0" fillId="0" borderId="2" xfId="0" applyBorder="1" applyAlignment="1">
      <alignment horizontal="justify" vertical="center" wrapText="1"/>
    </xf>
    <xf numFmtId="0" fontId="0" fillId="0" borderId="4" xfId="0" applyBorder="1" applyAlignment="1">
      <alignment horizontal="center" vertical="center" wrapText="1"/>
    </xf>
    <xf numFmtId="170" fontId="0" fillId="0" borderId="4" xfId="0" applyNumberFormat="1" applyFill="1" applyBorder="1" applyAlignment="1">
      <alignment horizontal="center" vertical="center" wrapText="1"/>
    </xf>
    <xf numFmtId="170" fontId="0" fillId="14" borderId="4" xfId="0" applyNumberFormat="1" applyFill="1" applyBorder="1" applyAlignment="1">
      <alignment horizontal="center" vertical="center" wrapText="1"/>
    </xf>
    <xf numFmtId="170" fontId="0" fillId="0" borderId="27" xfId="0" applyNumberFormat="1" applyBorder="1" applyAlignment="1">
      <alignment horizontal="center" vertical="center" wrapText="1"/>
    </xf>
    <xf numFmtId="2" fontId="43" fillId="0" borderId="26" xfId="0" applyNumberFormat="1" applyFont="1" applyBorder="1" applyAlignment="1">
      <alignment horizontal="center" vertical="center"/>
    </xf>
    <xf numFmtId="0" fontId="44" fillId="0" borderId="33" xfId="6" applyFont="1" applyFill="1" applyBorder="1" applyAlignment="1">
      <alignment horizontal="right" vertical="center"/>
    </xf>
    <xf numFmtId="0" fontId="44" fillId="16" borderId="16" xfId="6" applyFont="1" applyFill="1" applyBorder="1" applyAlignment="1">
      <alignment horizontal="right" vertical="center"/>
    </xf>
    <xf numFmtId="1" fontId="44" fillId="16" borderId="19" xfId="6" applyNumberFormat="1" applyFont="1" applyFill="1" applyBorder="1" applyAlignment="1">
      <alignment horizontal="center" vertical="center"/>
    </xf>
    <xf numFmtId="4" fontId="44" fillId="16" borderId="20" xfId="6" applyNumberFormat="1" applyFont="1" applyFill="1" applyBorder="1" applyAlignment="1">
      <alignment horizontal="center" vertical="center"/>
    </xf>
    <xf numFmtId="0" fontId="0" fillId="0" borderId="22" xfId="0" applyBorder="1" applyAlignment="1">
      <alignment horizontal="center" vertical="center"/>
    </xf>
    <xf numFmtId="170" fontId="0" fillId="14" borderId="4" xfId="0" applyNumberFormat="1" applyFill="1" applyBorder="1" applyAlignment="1">
      <alignment horizontal="right" vertical="center"/>
    </xf>
    <xf numFmtId="0" fontId="0" fillId="0" borderId="1" xfId="0" applyBorder="1" applyAlignment="1">
      <alignment horizontal="center" vertical="center"/>
    </xf>
    <xf numFmtId="170" fontId="0" fillId="0" borderId="29" xfId="0" applyNumberFormat="1" applyBorder="1"/>
    <xf numFmtId="0" fontId="0" fillId="0" borderId="31" xfId="0" applyBorder="1" applyAlignment="1">
      <alignment horizontal="center" vertical="center"/>
    </xf>
    <xf numFmtId="170" fontId="0" fillId="0" borderId="36" xfId="0" applyNumberFormat="1" applyBorder="1" applyAlignment="1">
      <alignment horizontal="right" vertical="center"/>
    </xf>
    <xf numFmtId="170" fontId="0" fillId="0" borderId="24" xfId="0" applyNumberFormat="1" applyBorder="1" applyAlignment="1">
      <alignment horizontal="right" vertical="center"/>
    </xf>
    <xf numFmtId="170" fontId="0" fillId="0" borderId="37" xfId="0" applyNumberFormat="1" applyBorder="1" applyAlignment="1">
      <alignment horizontal="right" vertical="center"/>
    </xf>
    <xf numFmtId="170" fontId="0" fillId="0" borderId="38" xfId="0" applyNumberFormat="1" applyBorder="1" applyAlignment="1">
      <alignment horizontal="right" vertical="center"/>
    </xf>
    <xf numFmtId="170" fontId="46" fillId="0" borderId="39" xfId="0" applyNumberFormat="1" applyFont="1" applyBorder="1" applyAlignment="1">
      <alignment horizontal="right" vertical="center"/>
    </xf>
    <xf numFmtId="4" fontId="35" fillId="10" borderId="5" xfId="0" applyNumberFormat="1" applyFont="1" applyFill="1" applyBorder="1" applyAlignment="1">
      <alignment horizontal="center" vertical="center" wrapText="1"/>
    </xf>
    <xf numFmtId="4" fontId="35" fillId="10" borderId="7" xfId="0" applyNumberFormat="1" applyFont="1" applyFill="1" applyBorder="1" applyAlignment="1">
      <alignment horizontal="center" vertical="center" wrapText="1"/>
    </xf>
    <xf numFmtId="4" fontId="35" fillId="10" borderId="10" xfId="0" applyNumberFormat="1" applyFont="1" applyFill="1" applyBorder="1" applyAlignment="1">
      <alignment horizontal="center" vertical="center" wrapText="1"/>
    </xf>
    <xf numFmtId="0" fontId="13" fillId="10" borderId="7" xfId="0" applyFont="1" applyFill="1" applyBorder="1" applyAlignment="1">
      <alignment horizontal="center" vertical="center" wrapText="1"/>
    </xf>
    <xf numFmtId="0" fontId="34" fillId="10" borderId="1" xfId="0" applyFont="1" applyFill="1" applyBorder="1" applyAlignment="1">
      <alignment horizontal="center" vertical="center" wrapText="1"/>
    </xf>
    <xf numFmtId="0" fontId="34" fillId="10" borderId="6" xfId="0" applyFont="1" applyFill="1" applyBorder="1" applyAlignment="1">
      <alignment horizontal="center" vertical="center" wrapText="1"/>
    </xf>
    <xf numFmtId="0" fontId="34" fillId="10" borderId="8" xfId="0" applyFont="1" applyFill="1" applyBorder="1" applyAlignment="1">
      <alignment horizontal="center" vertical="center" wrapText="1"/>
    </xf>
    <xf numFmtId="0" fontId="34" fillId="10" borderId="12" xfId="0" applyFont="1" applyFill="1" applyBorder="1" applyAlignment="1">
      <alignment horizontal="center" vertical="center" wrapText="1"/>
    </xf>
    <xf numFmtId="0" fontId="34" fillId="10" borderId="4" xfId="0" applyFont="1" applyFill="1" applyBorder="1" applyAlignment="1">
      <alignment horizontal="center" vertical="center" wrapText="1"/>
    </xf>
    <xf numFmtId="0" fontId="34" fillId="10" borderId="9" xfId="0" applyFont="1" applyFill="1" applyBorder="1" applyAlignment="1">
      <alignment horizontal="center" vertical="center" wrapText="1"/>
    </xf>
    <xf numFmtId="0" fontId="34" fillId="10" borderId="14" xfId="0" applyFont="1" applyFill="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8" fillId="4" borderId="1" xfId="0" applyFont="1" applyFill="1" applyBorder="1" applyAlignment="1">
      <alignment horizontal="center" vertical="center" wrapText="1"/>
    </xf>
    <xf numFmtId="9" fontId="2" fillId="4" borderId="1" xfId="0" applyNumberFormat="1" applyFont="1" applyFill="1" applyBorder="1" applyAlignment="1">
      <alignment horizontal="center" vertical="center" wrapText="1"/>
    </xf>
    <xf numFmtId="0" fontId="2" fillId="0" borderId="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horizontal="center" vertical="center" wrapText="1"/>
    </xf>
    <xf numFmtId="166" fontId="5" fillId="2" borderId="1" xfId="0" applyNumberFormat="1" applyFont="1" applyFill="1" applyBorder="1" applyAlignment="1">
      <alignment horizontal="center" vertical="top" wrapText="1"/>
    </xf>
    <xf numFmtId="0" fontId="6" fillId="3" borderId="1" xfId="0" applyFont="1" applyFill="1" applyBorder="1" applyAlignment="1">
      <alignment horizontal="center" vertical="center" wrapText="1"/>
    </xf>
    <xf numFmtId="0" fontId="3" fillId="0" borderId="1" xfId="0" applyFont="1" applyBorder="1" applyAlignment="1">
      <alignment horizontal="left" vertical="center"/>
    </xf>
    <xf numFmtId="0" fontId="2"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2" xfId="0" applyFont="1" applyFill="1" applyBorder="1" applyAlignment="1">
      <alignment horizontal="center" vertical="center" wrapText="1"/>
    </xf>
    <xf numFmtId="167" fontId="2" fillId="4" borderId="3" xfId="0" applyNumberFormat="1" applyFont="1" applyFill="1" applyBorder="1" applyAlignment="1">
      <alignment horizontal="center" vertical="center" wrapText="1"/>
    </xf>
    <xf numFmtId="167" fontId="2" fillId="4" borderId="11" xfId="0" applyNumberFormat="1" applyFont="1" applyFill="1" applyBorder="1" applyAlignment="1">
      <alignment horizontal="center" vertical="center" wrapText="1"/>
    </xf>
    <xf numFmtId="167" fontId="2" fillId="4" borderId="2" xfId="0" applyNumberFormat="1" applyFont="1" applyFill="1" applyBorder="1" applyAlignment="1">
      <alignment horizontal="center" vertical="center" wrapText="1"/>
    </xf>
    <xf numFmtId="0" fontId="40" fillId="0" borderId="15" xfId="0" applyFont="1" applyBorder="1" applyAlignment="1">
      <alignment horizontal="center" vertical="center" wrapText="1"/>
    </xf>
    <xf numFmtId="0" fontId="40" fillId="0" borderId="0" xfId="0" applyFont="1" applyBorder="1" applyAlignment="1">
      <alignment horizontal="center" vertical="center" wrapText="1"/>
    </xf>
    <xf numFmtId="0" fontId="40" fillId="0" borderId="13"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13"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9" xfId="0" applyFont="1" applyBorder="1" applyAlignment="1">
      <alignment horizontal="center" vertical="center" wrapText="1"/>
    </xf>
    <xf numFmtId="0" fontId="33"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9" xfId="0" applyFont="1" applyBorder="1" applyAlignment="1">
      <alignment horizontal="center" vertical="center" wrapText="1"/>
    </xf>
    <xf numFmtId="0" fontId="15" fillId="0" borderId="8" xfId="0" applyFont="1" applyBorder="1" applyAlignment="1">
      <alignment horizontal="left" vertical="center" wrapText="1"/>
    </xf>
    <xf numFmtId="0" fontId="15" fillId="0" borderId="9" xfId="0" applyFont="1" applyBorder="1" applyAlignment="1">
      <alignment horizontal="justify" vertical="center" wrapText="1"/>
    </xf>
    <xf numFmtId="0" fontId="15" fillId="0" borderId="9" xfId="0" applyFont="1" applyBorder="1" applyAlignment="1">
      <alignment horizontal="left"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10"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2" fontId="2" fillId="0" borderId="1" xfId="0" applyNumberFormat="1" applyFont="1" applyBorder="1" applyAlignment="1">
      <alignment horizontal="center" vertical="center" wrapText="1"/>
    </xf>
    <xf numFmtId="0" fontId="13" fillId="3" borderId="5" xfId="0" applyFont="1" applyFill="1" applyBorder="1" applyAlignment="1">
      <alignment horizontal="right" vertical="center" wrapText="1"/>
    </xf>
    <xf numFmtId="0" fontId="13" fillId="3" borderId="7" xfId="0" applyFont="1" applyFill="1" applyBorder="1" applyAlignment="1">
      <alignment horizontal="right" vertical="center" wrapText="1"/>
    </xf>
    <xf numFmtId="0" fontId="13" fillId="3" borderId="7" xfId="0" applyFont="1" applyFill="1" applyBorder="1" applyAlignment="1">
      <alignment horizontal="left" vertical="center" wrapText="1"/>
    </xf>
    <xf numFmtId="0" fontId="13" fillId="3" borderId="10" xfId="0" applyFont="1" applyFill="1" applyBorder="1" applyAlignment="1">
      <alignment horizontal="left" vertical="center" wrapText="1"/>
    </xf>
    <xf numFmtId="0" fontId="15" fillId="0" borderId="7" xfId="0" applyFont="1" applyBorder="1" applyAlignment="1">
      <alignment horizontal="left" vertical="center" wrapText="1"/>
    </xf>
    <xf numFmtId="167" fontId="2" fillId="0" borderId="1" xfId="0" applyNumberFormat="1" applyFont="1" applyBorder="1" applyAlignment="1">
      <alignment horizontal="center" vertical="center" wrapText="1"/>
    </xf>
    <xf numFmtId="0" fontId="13" fillId="7"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1" xfId="0" applyFont="1" applyFill="1" applyBorder="1" applyAlignment="1">
      <alignment vertical="top" wrapText="1"/>
    </xf>
    <xf numFmtId="0" fontId="10"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18" fillId="0" borderId="9" xfId="0" applyFont="1" applyBorder="1" applyAlignment="1">
      <alignment horizontal="left" vertical="center" wrapText="1"/>
    </xf>
    <xf numFmtId="0" fontId="3" fillId="15" borderId="1" xfId="0" applyFont="1" applyFill="1" applyBorder="1" applyAlignment="1">
      <alignment horizontal="left" vertical="center" wrapText="1"/>
    </xf>
    <xf numFmtId="10" fontId="2" fillId="14" borderId="1" xfId="0" applyNumberFormat="1" applyFont="1" applyFill="1" applyBorder="1" applyAlignment="1">
      <alignment horizontal="center" vertical="center" wrapText="1"/>
    </xf>
    <xf numFmtId="0" fontId="10" fillId="14" borderId="1" xfId="0" applyFont="1" applyFill="1" applyBorder="1" applyAlignment="1">
      <alignment horizontal="left" vertical="center" wrapText="1"/>
    </xf>
    <xf numFmtId="0" fontId="10" fillId="0" borderId="1" xfId="0" applyFont="1" applyBorder="1" applyAlignment="1">
      <alignment horizontal="center" vertical="center" wrapText="1"/>
    </xf>
    <xf numFmtId="0" fontId="15" fillId="0" borderId="0" xfId="0" applyFont="1" applyAlignment="1">
      <alignment horizontal="left" vertical="center" wrapText="1"/>
    </xf>
    <xf numFmtId="0" fontId="2" fillId="14" borderId="1" xfId="0" applyFont="1" applyFill="1" applyBorder="1" applyAlignment="1">
      <alignment horizontal="center" vertical="center" wrapText="1"/>
    </xf>
    <xf numFmtId="4" fontId="2" fillId="0" borderId="1" xfId="0" applyNumberFormat="1" applyFont="1" applyBorder="1" applyAlignment="1">
      <alignment horizontal="center" vertical="center" wrapText="1"/>
    </xf>
    <xf numFmtId="4" fontId="13" fillId="0" borderId="5" xfId="0" applyNumberFormat="1" applyFont="1" applyBorder="1" applyAlignment="1">
      <alignment horizontal="center" vertical="center" wrapText="1"/>
    </xf>
    <xf numFmtId="0" fontId="3" fillId="9"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10" fontId="3" fillId="14" borderId="1" xfId="0" applyNumberFormat="1" applyFont="1" applyFill="1" applyBorder="1" applyAlignment="1">
      <alignment horizontal="center" vertical="center" wrapText="1"/>
    </xf>
    <xf numFmtId="0" fontId="10" fillId="0" borderId="9" xfId="0" applyFont="1" applyBorder="1" applyAlignment="1">
      <alignment horizontal="left" vertical="center" wrapText="1"/>
    </xf>
    <xf numFmtId="0" fontId="5" fillId="0" borderId="0" xfId="6" applyFont="1" applyFill="1" applyBorder="1" applyAlignment="1">
      <alignment horizontal="center" vertical="center"/>
    </xf>
    <xf numFmtId="0" fontId="42" fillId="0" borderId="16" xfId="0" applyFont="1" applyFill="1" applyBorder="1" applyAlignment="1">
      <alignment horizontal="center" vertical="center" wrapText="1"/>
    </xf>
    <xf numFmtId="0" fontId="44" fillId="0" borderId="32" xfId="6" applyFont="1" applyFill="1" applyBorder="1" applyAlignment="1">
      <alignment horizontal="right" vertical="center"/>
    </xf>
    <xf numFmtId="0" fontId="44" fillId="0" borderId="33" xfId="6" applyFont="1" applyFill="1" applyBorder="1" applyAlignment="1">
      <alignment horizontal="right" vertical="center"/>
    </xf>
    <xf numFmtId="0" fontId="44" fillId="16" borderId="34" xfId="6" applyFont="1" applyFill="1" applyBorder="1" applyAlignment="1">
      <alignment horizontal="right" vertical="center"/>
    </xf>
    <xf numFmtId="0" fontId="44" fillId="16" borderId="35" xfId="6" applyFont="1" applyFill="1" applyBorder="1" applyAlignment="1">
      <alignment horizontal="right" vertical="center"/>
    </xf>
    <xf numFmtId="0" fontId="44" fillId="0" borderId="21" xfId="6" applyFont="1" applyBorder="1" applyAlignment="1">
      <alignment horizontal="center" vertical="center" textRotation="90"/>
    </xf>
    <xf numFmtId="0" fontId="44" fillId="0" borderId="28" xfId="6" applyFont="1" applyBorder="1" applyAlignment="1">
      <alignment horizontal="center" vertical="center" textRotation="90"/>
    </xf>
    <xf numFmtId="0" fontId="44" fillId="0" borderId="30" xfId="6" applyFont="1" applyBorder="1" applyAlignment="1">
      <alignment horizontal="center" vertical="center" textRotation="90"/>
    </xf>
    <xf numFmtId="0" fontId="44" fillId="0" borderId="28" xfId="6" applyFont="1" applyFill="1" applyBorder="1" applyAlignment="1">
      <alignment horizontal="right" vertical="center"/>
    </xf>
    <xf numFmtId="0" fontId="44" fillId="0" borderId="1" xfId="6" applyFont="1" applyFill="1" applyBorder="1" applyAlignment="1">
      <alignment horizontal="right" vertical="center"/>
    </xf>
    <xf numFmtId="0" fontId="44" fillId="16" borderId="30" xfId="6" applyFont="1" applyFill="1" applyBorder="1" applyAlignment="1">
      <alignment horizontal="right" vertical="center"/>
    </xf>
    <xf numFmtId="0" fontId="44" fillId="16" borderId="31" xfId="6" applyFont="1" applyFill="1" applyBorder="1" applyAlignment="1">
      <alignment horizontal="right" vertical="center"/>
    </xf>
    <xf numFmtId="0" fontId="38" fillId="13" borderId="5" xfId="4" applyFont="1" applyFill="1" applyBorder="1" applyAlignment="1">
      <alignment horizontal="center"/>
    </xf>
    <xf numFmtId="0" fontId="38" fillId="13" borderId="7" xfId="4" applyFont="1" applyFill="1" applyBorder="1" applyAlignment="1">
      <alignment horizontal="center"/>
    </xf>
    <xf numFmtId="0" fontId="38" fillId="13" borderId="10" xfId="4" applyFont="1" applyFill="1" applyBorder="1" applyAlignment="1">
      <alignment horizontal="center"/>
    </xf>
    <xf numFmtId="0" fontId="0" fillId="13" borderId="5" xfId="4" applyFont="1" applyFill="1" applyBorder="1" applyAlignment="1">
      <alignment horizontal="center"/>
    </xf>
    <xf numFmtId="0" fontId="0" fillId="13" borderId="7" xfId="4" applyFont="1" applyFill="1" applyBorder="1" applyAlignment="1">
      <alignment horizontal="center"/>
    </xf>
    <xf numFmtId="0" fontId="0" fillId="13" borderId="10" xfId="4" applyFont="1" applyFill="1" applyBorder="1" applyAlignment="1">
      <alignment horizontal="center"/>
    </xf>
    <xf numFmtId="0" fontId="11" fillId="11" borderId="5" xfId="4" applyFont="1" applyFill="1" applyBorder="1" applyAlignment="1">
      <alignment horizontal="right" vertical="center"/>
    </xf>
    <xf numFmtId="0" fontId="11" fillId="11" borderId="7" xfId="4" applyFont="1" applyFill="1" applyBorder="1" applyAlignment="1">
      <alignment horizontal="right" vertical="center"/>
    </xf>
    <xf numFmtId="44" fontId="11" fillId="11" borderId="5" xfId="4" applyNumberFormat="1" applyFont="1" applyFill="1" applyBorder="1" applyAlignment="1">
      <alignment horizontal="center" vertical="center" wrapText="1"/>
    </xf>
    <xf numFmtId="44" fontId="11" fillId="11" borderId="10" xfId="4" applyNumberFormat="1" applyFont="1" applyFill="1" applyBorder="1" applyAlignment="1">
      <alignment horizontal="center" vertical="center" wrapText="1"/>
    </xf>
    <xf numFmtId="0" fontId="11" fillId="11" borderId="10" xfId="4" applyFont="1" applyFill="1" applyBorder="1" applyAlignment="1">
      <alignment horizontal="right" vertical="center"/>
    </xf>
  </cellXfs>
  <cellStyles count="10">
    <cellStyle name="Hiperlink" xfId="1" builtinId="8"/>
    <cellStyle name="Hiperlink 2" xfId="2"/>
    <cellStyle name="Moeda" xfId="8" builtinId="4"/>
    <cellStyle name="Moeda 2" xfId="3"/>
    <cellStyle name="Normal" xfId="0" builtinId="0"/>
    <cellStyle name="Normal 2" xfId="4"/>
    <cellStyle name="Normal 2 2" xfId="5"/>
    <cellStyle name="Normal 3" xfId="6"/>
    <cellStyle name="Porcentagem" xfId="9" builtinId="5"/>
    <cellStyle name="Porcentagem 2" xfId="7"/>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9D9D9"/>
      <rgbColor rgb="FF808080"/>
      <rgbColor rgb="FF9999FF"/>
      <rgbColor rgb="FF993366"/>
      <rgbColor rgb="FFFFF2CC"/>
      <rgbColor rgb="FFD6DCE5"/>
      <rgbColor rgb="FF660066"/>
      <rgbColor rgb="FFFF8080"/>
      <rgbColor rgb="FF0563C1"/>
      <rgbColor rgb="FFC6D9F1"/>
      <rgbColor rgb="FF000080"/>
      <rgbColor rgb="FFFF00FF"/>
      <rgbColor rgb="FFFFFF00"/>
      <rgbColor rgb="FF00FFFF"/>
      <rgbColor rgb="FF800080"/>
      <rgbColor rgb="FF800000"/>
      <rgbColor rgb="FF008080"/>
      <rgbColor rgb="FF0000FF"/>
      <rgbColor rgb="FF00CCFF"/>
      <rgbColor rgb="FFDBDBDB"/>
      <rgbColor rgb="FFC5E0B4"/>
      <rgbColor rgb="FFFFE699"/>
      <rgbColor rgb="FF95B3D7"/>
      <rgbColor rgb="FFFF99CC"/>
      <rgbColor rgb="FFCC99FF"/>
      <rgbColor rgb="FFFFCC99"/>
      <rgbColor rgb="FF3366FF"/>
      <rgbColor rgb="FF33CCCC"/>
      <rgbColor rgb="FF99CC00"/>
      <rgbColor rgb="FFFFCC00"/>
      <rgbColor rgb="FFFF9900"/>
      <rgbColor rgb="FFFF6600"/>
      <rgbColor rgb="FF666699"/>
      <rgbColor rgb="FFA5A5A5"/>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arhpaefs01\deplan\AAAA\INFORMACOES%20EXPEDIENTES%20SPI%20PROA\EXPEDIENTE%20209921400167%20SEFAZ%20SERVICOS%20GERAIS\EXPEDIENTE%20209921400167%20SEFAZ%20SERVICOS%20GERAIS%20PLANILHAS%20DE%20CUSTO%20E%20FORMACAO%20DE%20PRECO%20RETIFICADA%20IMPUGNACA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plagpaefs02.seplag.intra.rs.gov.br\Direcao\1PLANILHAS%20DE%20FORMACAO%20DE%20PRECO\EPESQ\DAER%20Manut%20Predial%200000960435166\DAER%20Manut%20Predial%2096043516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TRICISTA"/>
      <sheetName val="SUPERVISOR"/>
      <sheetName val="PEDREI MARC PINTOR"/>
      <sheetName val="HIDRAULICO"/>
      <sheetName val="SERVENTE MANUTENCAO"/>
      <sheetName val="TEC TELEF CLIMAT REFRIG"/>
      <sheetName val="postos"/>
      <sheetName val="Plan4"/>
      <sheetName val="Plan3"/>
    </sheetNames>
    <sheetDataSet>
      <sheetData sheetId="0">
        <row r="30">
          <cell r="I30">
            <v>1899.8733930000001</v>
          </cell>
        </row>
      </sheetData>
      <sheetData sheetId="1">
        <row r="30">
          <cell r="I30">
            <v>1899.8733930000001</v>
          </cell>
        </row>
      </sheetData>
      <sheetData sheetId="2">
        <row r="30">
          <cell r="I30">
            <v>1386.7689</v>
          </cell>
        </row>
      </sheetData>
      <sheetData sheetId="3">
        <row r="30">
          <cell r="I30">
            <v>1919.06</v>
          </cell>
        </row>
      </sheetData>
      <sheetData sheetId="4">
        <row r="30">
          <cell r="I30">
            <v>1058.9871600000001</v>
          </cell>
        </row>
        <row r="144">
          <cell r="I144">
            <v>825.35302235154268</v>
          </cell>
        </row>
      </sheetData>
      <sheetData sheetId="5">
        <row r="30">
          <cell r="I30">
            <v>2006.4000000000003</v>
          </cell>
        </row>
      </sheetData>
      <sheetData sheetId="6">
        <row r="5">
          <cell r="E5">
            <v>1386.7689</v>
          </cell>
        </row>
      </sheetData>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RAULICO"/>
      <sheetName val="ELETRICISTA"/>
      <sheetName val="PEDREIRO MARCENEIRO CARPINT"/>
      <sheetName val="JARDINEIRO"/>
      <sheetName val="SERVENTE (AUX PRODUCAO)"/>
      <sheetName val="MECANICO_REFRIGERACAO"/>
      <sheetName val="PINTOR"/>
      <sheetName val="RESUMO"/>
      <sheetName val="postos"/>
      <sheetName val="Plan4"/>
      <sheetName val="Plan3"/>
    </sheetNames>
    <sheetDataSet>
      <sheetData sheetId="0">
        <row r="30">
          <cell r="I30">
            <v>1542.2</v>
          </cell>
        </row>
        <row r="138">
          <cell r="I138">
            <v>2964.7446123120003</v>
          </cell>
        </row>
        <row r="144">
          <cell r="I144">
            <v>1076.4680326785601</v>
          </cell>
        </row>
        <row r="148">
          <cell r="I148">
            <v>671.57178065440803</v>
          </cell>
        </row>
      </sheetData>
      <sheetData sheetId="1"/>
      <sheetData sheetId="2">
        <row r="30">
          <cell r="I30">
            <v>1190.2</v>
          </cell>
        </row>
      </sheetData>
      <sheetData sheetId="3">
        <row r="30">
          <cell r="I30">
            <v>2292.4</v>
          </cell>
        </row>
      </sheetData>
      <sheetData sheetId="4">
        <row r="30">
          <cell r="I30">
            <v>1190.2</v>
          </cell>
        </row>
        <row r="138">
          <cell r="I138">
            <v>2399.0197863920002</v>
          </cell>
        </row>
        <row r="144">
          <cell r="I144">
            <v>857.47979882895993</v>
          </cell>
        </row>
        <row r="148">
          <cell r="I148">
            <v>541.16756955566984</v>
          </cell>
        </row>
      </sheetData>
      <sheetData sheetId="5">
        <row r="30">
          <cell r="I30">
            <v>2292.4</v>
          </cell>
        </row>
        <row r="138">
          <cell r="I138">
            <v>4035.5526163040004</v>
          </cell>
        </row>
        <row r="144">
          <cell r="I144">
            <v>1518.0607141955199</v>
          </cell>
        </row>
        <row r="148">
          <cell r="I148">
            <v>922.90367299846264</v>
          </cell>
        </row>
      </sheetData>
      <sheetData sheetId="6"/>
      <sheetData sheetId="7"/>
      <sheetData sheetId="8"/>
      <sheetData sheetId="9"/>
      <sheetData sheetId="10"/>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C3:O195"/>
  <sheetViews>
    <sheetView showGridLines="0" tabSelected="1" view="pageBreakPreview" topLeftCell="B1" zoomScale="110" zoomScaleNormal="130" zoomScaleSheetLayoutView="110" zoomScalePageLayoutView="130" workbookViewId="0">
      <selection activeCell="E4" sqref="E4:F4"/>
    </sheetView>
  </sheetViews>
  <sheetFormatPr defaultColWidth="9.28515625" defaultRowHeight="11.25" x14ac:dyDescent="0.25"/>
  <cols>
    <col min="1" max="2" width="3.7109375" style="1" customWidth="1"/>
    <col min="3" max="3" width="2.7109375" style="1" customWidth="1"/>
    <col min="4" max="4" width="11.42578125" style="1" customWidth="1"/>
    <col min="5" max="5" width="12.28515625" style="1" customWidth="1"/>
    <col min="6" max="6" width="12.7109375" style="1" customWidth="1"/>
    <col min="7" max="7" width="12.28515625" style="1" customWidth="1"/>
    <col min="8" max="8" width="12.5703125" style="1" bestFit="1" customWidth="1"/>
    <col min="9" max="9" width="11.42578125" style="1" customWidth="1"/>
    <col min="10" max="10" width="9.42578125" style="1" customWidth="1"/>
    <col min="11" max="11" width="11.5703125" style="1" customWidth="1"/>
    <col min="12" max="12" width="3.7109375" style="2" customWidth="1"/>
    <col min="13" max="13" width="10" style="1" customWidth="1"/>
    <col min="14" max="14" width="9.28515625" style="1"/>
    <col min="15" max="17" width="22.42578125" style="1" customWidth="1"/>
    <col min="18" max="16384" width="9.28515625" style="1"/>
  </cols>
  <sheetData>
    <row r="3" spans="3:13" ht="27.75" customHeight="1" x14ac:dyDescent="0.25">
      <c r="C3" s="187" t="s">
        <v>0</v>
      </c>
      <c r="D3" s="187"/>
      <c r="E3" s="187"/>
      <c r="F3" s="187"/>
      <c r="G3" s="187"/>
      <c r="H3" s="187"/>
      <c r="I3" s="187"/>
      <c r="J3" s="187"/>
      <c r="K3" s="187"/>
      <c r="M3" s="3"/>
    </row>
    <row r="4" spans="3:13" ht="22.5" customHeight="1" x14ac:dyDescent="0.25">
      <c r="C4" s="187" t="s">
        <v>1</v>
      </c>
      <c r="D4" s="187"/>
      <c r="E4" s="188" t="s">
        <v>310</v>
      </c>
      <c r="F4" s="188"/>
      <c r="G4" s="189" t="s">
        <v>196</v>
      </c>
      <c r="H4" s="189"/>
      <c r="I4" s="189"/>
      <c r="J4" s="189"/>
      <c r="K4" s="189"/>
    </row>
    <row r="5" spans="3:13" ht="15.75" x14ac:dyDescent="0.25">
      <c r="C5" s="187" t="s">
        <v>2</v>
      </c>
      <c r="D5" s="187"/>
      <c r="E5" s="96" t="s">
        <v>201</v>
      </c>
      <c r="F5" s="97"/>
      <c r="G5" s="5" t="s">
        <v>3</v>
      </c>
      <c r="H5" s="98">
        <v>46134</v>
      </c>
      <c r="I5" s="4"/>
      <c r="J5" s="4"/>
      <c r="K5" s="4"/>
    </row>
    <row r="6" spans="3:13" ht="4.5" customHeight="1" x14ac:dyDescent="0.25"/>
    <row r="7" spans="3:13" ht="18.75" customHeight="1" x14ac:dyDescent="0.25">
      <c r="C7" s="174" t="s">
        <v>4</v>
      </c>
      <c r="D7" s="174"/>
      <c r="E7" s="174"/>
      <c r="F7" s="190" t="s">
        <v>197</v>
      </c>
      <c r="G7" s="190"/>
      <c r="H7" s="190"/>
      <c r="I7" s="191" t="str">
        <f>IF(F8="12x36","Regime de trabalho:","Quantidade de HORAS/MÊS")</f>
        <v>Quantidade de HORAS/MÊS</v>
      </c>
      <c r="J7" s="191"/>
      <c r="K7" s="192">
        <f>IF(F8="12x36",F8,5*F8)</f>
        <v>150</v>
      </c>
    </row>
    <row r="8" spans="3:13" ht="18.75" customHeight="1" x14ac:dyDescent="0.25">
      <c r="C8" s="174" t="str">
        <f>IF(F8="12x36","Regime de trabalho:","Regime de trabalho (horas semanais):")</f>
        <v>Regime de trabalho (horas semanais):</v>
      </c>
      <c r="D8" s="174"/>
      <c r="E8" s="174"/>
      <c r="F8" s="174">
        <v>30</v>
      </c>
      <c r="G8" s="174"/>
      <c r="H8" s="174"/>
      <c r="I8" s="191"/>
      <c r="J8" s="191"/>
      <c r="K8" s="192"/>
    </row>
    <row r="9" spans="3:13" ht="22.5" customHeight="1" x14ac:dyDescent="0.25">
      <c r="C9" s="174" t="s">
        <v>5</v>
      </c>
      <c r="D9" s="174"/>
      <c r="E9" s="174"/>
      <c r="F9" s="175" t="s">
        <v>198</v>
      </c>
      <c r="G9" s="175"/>
      <c r="H9" s="175"/>
      <c r="I9" s="176" t="s">
        <v>6</v>
      </c>
      <c r="J9" s="176"/>
      <c r="K9" s="177">
        <v>0.4</v>
      </c>
    </row>
    <row r="10" spans="3:13" ht="22.5" customHeight="1" x14ac:dyDescent="0.25">
      <c r="C10" s="174" t="s">
        <v>7</v>
      </c>
      <c r="D10" s="174"/>
      <c r="E10" s="174"/>
      <c r="F10" s="175" t="s">
        <v>14</v>
      </c>
      <c r="G10" s="175"/>
      <c r="H10" s="175"/>
      <c r="I10" s="176"/>
      <c r="J10" s="176"/>
      <c r="K10" s="177"/>
    </row>
    <row r="11" spans="3:13" ht="24.75" customHeight="1" x14ac:dyDescent="0.25">
      <c r="C11" s="174" t="s">
        <v>8</v>
      </c>
      <c r="D11" s="174"/>
      <c r="E11" s="174"/>
      <c r="F11" s="174" t="s">
        <v>199</v>
      </c>
      <c r="G11" s="174"/>
      <c r="H11" s="174"/>
      <c r="I11" s="176" t="s">
        <v>9</v>
      </c>
      <c r="J11" s="176"/>
      <c r="K11" s="58" t="s">
        <v>190</v>
      </c>
    </row>
    <row r="12" spans="3:13" ht="32.25" customHeight="1" x14ac:dyDescent="0.25">
      <c r="C12" s="186" t="s">
        <v>179</v>
      </c>
      <c r="D12" s="186"/>
      <c r="E12" s="186"/>
      <c r="F12" s="186"/>
      <c r="G12" s="186"/>
      <c r="H12" s="186"/>
      <c r="I12" s="61" t="s">
        <v>10</v>
      </c>
      <c r="J12" s="63">
        <v>220</v>
      </c>
      <c r="K12" s="6">
        <v>1765.86</v>
      </c>
    </row>
    <row r="13" spans="3:13" ht="11.25" customHeight="1" x14ac:dyDescent="0.25">
      <c r="C13" s="178" t="s">
        <v>11</v>
      </c>
      <c r="D13" s="178"/>
      <c r="E13" s="178"/>
      <c r="F13" s="178"/>
      <c r="G13" s="178"/>
      <c r="H13" s="178"/>
      <c r="I13" s="63" t="str">
        <f>F11</f>
        <v>Lajeado - RS</v>
      </c>
      <c r="J13" s="63" t="s">
        <v>12</v>
      </c>
      <c r="K13" s="7">
        <v>2.5000000000000001E-2</v>
      </c>
    </row>
    <row r="14" spans="3:13" ht="15" customHeight="1" x14ac:dyDescent="0.25">
      <c r="C14" s="178" t="s">
        <v>13</v>
      </c>
      <c r="D14" s="178"/>
      <c r="E14" s="178"/>
      <c r="F14" s="178"/>
      <c r="G14" s="178"/>
      <c r="H14" s="178"/>
      <c r="I14" s="179" t="s">
        <v>14</v>
      </c>
      <c r="J14" s="63" t="s">
        <v>15</v>
      </c>
      <c r="K14" s="6">
        <v>5.75</v>
      </c>
    </row>
    <row r="15" spans="3:13" x14ac:dyDescent="0.25">
      <c r="C15" s="178"/>
      <c r="D15" s="178"/>
      <c r="E15" s="178"/>
      <c r="F15" s="178"/>
      <c r="G15" s="178"/>
      <c r="H15" s="178"/>
      <c r="I15" s="179"/>
      <c r="J15" s="63" t="s">
        <v>16</v>
      </c>
      <c r="K15" s="8">
        <v>22</v>
      </c>
    </row>
    <row r="16" spans="3:13" x14ac:dyDescent="0.25">
      <c r="C16" s="178"/>
      <c r="D16" s="178"/>
      <c r="E16" s="178"/>
      <c r="F16" s="178"/>
      <c r="G16" s="178"/>
      <c r="H16" s="178"/>
      <c r="I16" s="179"/>
      <c r="J16" s="63" t="s">
        <v>17</v>
      </c>
      <c r="K16" s="58">
        <v>0.06</v>
      </c>
    </row>
    <row r="17" spans="3:12" ht="11.25" customHeight="1" x14ac:dyDescent="0.25">
      <c r="C17" s="178" t="s">
        <v>178</v>
      </c>
      <c r="D17" s="178"/>
      <c r="E17" s="178"/>
      <c r="F17" s="178"/>
      <c r="G17" s="178"/>
      <c r="H17" s="178"/>
      <c r="I17" s="179" t="s">
        <v>14</v>
      </c>
      <c r="J17" s="63" t="s">
        <v>15</v>
      </c>
      <c r="K17" s="6">
        <v>0</v>
      </c>
    </row>
    <row r="18" spans="3:12" ht="11.25" customHeight="1" x14ac:dyDescent="0.25">
      <c r="C18" s="178"/>
      <c r="D18" s="178"/>
      <c r="E18" s="178"/>
      <c r="F18" s="178"/>
      <c r="G18" s="178"/>
      <c r="H18" s="178"/>
      <c r="I18" s="179"/>
      <c r="J18" s="63" t="s">
        <v>16</v>
      </c>
      <c r="K18" s="8">
        <v>22</v>
      </c>
    </row>
    <row r="19" spans="3:12" x14ac:dyDescent="0.25">
      <c r="C19" s="178"/>
      <c r="D19" s="178"/>
      <c r="E19" s="178"/>
      <c r="F19" s="178"/>
      <c r="G19" s="178"/>
      <c r="H19" s="178"/>
      <c r="I19" s="179"/>
      <c r="J19" s="63" t="s">
        <v>17</v>
      </c>
      <c r="K19" s="58">
        <v>0.19</v>
      </c>
      <c r="L19" s="1"/>
    </row>
    <row r="20" spans="3:12" ht="11.25" customHeight="1" x14ac:dyDescent="0.25">
      <c r="C20" s="178" t="s">
        <v>19</v>
      </c>
      <c r="D20" s="178"/>
      <c r="E20" s="178"/>
      <c r="F20" s="178"/>
      <c r="G20" s="178"/>
      <c r="H20" s="178"/>
      <c r="I20" s="179" t="s">
        <v>14</v>
      </c>
      <c r="J20" s="63" t="s">
        <v>15</v>
      </c>
      <c r="K20" s="6">
        <v>13.57</v>
      </c>
      <c r="L20" s="1"/>
    </row>
    <row r="21" spans="3:12" x14ac:dyDescent="0.25">
      <c r="C21" s="178"/>
      <c r="D21" s="178"/>
      <c r="E21" s="178"/>
      <c r="F21" s="178"/>
      <c r="G21" s="178"/>
      <c r="H21" s="178"/>
      <c r="I21" s="179"/>
      <c r="J21" s="63" t="s">
        <v>16</v>
      </c>
      <c r="K21" s="8">
        <v>22</v>
      </c>
      <c r="L21" s="1"/>
    </row>
    <row r="22" spans="3:12" x14ac:dyDescent="0.25">
      <c r="C22" s="180"/>
      <c r="D22" s="180"/>
      <c r="E22" s="180"/>
      <c r="F22" s="180"/>
      <c r="G22" s="180"/>
      <c r="H22" s="180"/>
      <c r="I22" s="179"/>
      <c r="J22" s="63" t="s">
        <v>17</v>
      </c>
      <c r="K22" s="58">
        <v>0.19</v>
      </c>
      <c r="L22" s="1"/>
    </row>
    <row r="23" spans="3:12" ht="14.25" customHeight="1" x14ac:dyDescent="0.25">
      <c r="C23" s="180"/>
      <c r="D23" s="181"/>
      <c r="E23" s="181"/>
      <c r="F23" s="181"/>
      <c r="G23" s="181"/>
      <c r="H23" s="182"/>
      <c r="I23" s="183" t="s">
        <v>14</v>
      </c>
      <c r="J23" s="191" t="s">
        <v>20</v>
      </c>
      <c r="K23" s="198">
        <f>40+25.52</f>
        <v>65.52</v>
      </c>
      <c r="L23" s="1"/>
    </row>
    <row r="24" spans="3:12" ht="16.5" customHeight="1" x14ac:dyDescent="0.25">
      <c r="C24" s="201" t="s">
        <v>200</v>
      </c>
      <c r="D24" s="202"/>
      <c r="E24" s="202"/>
      <c r="F24" s="202"/>
      <c r="G24" s="202"/>
      <c r="H24" s="203"/>
      <c r="I24" s="184"/>
      <c r="J24" s="196"/>
      <c r="K24" s="199"/>
      <c r="L24" s="1"/>
    </row>
    <row r="25" spans="3:12" x14ac:dyDescent="0.25">
      <c r="C25" s="204"/>
      <c r="D25" s="205"/>
      <c r="E25" s="205"/>
      <c r="F25" s="205"/>
      <c r="G25" s="205"/>
      <c r="H25" s="206"/>
      <c r="I25" s="184"/>
      <c r="J25" s="196"/>
      <c r="K25" s="199"/>
      <c r="L25" s="1"/>
    </row>
    <row r="26" spans="3:12" ht="12.75" customHeight="1" x14ac:dyDescent="0.25">
      <c r="C26" s="207"/>
      <c r="D26" s="208"/>
      <c r="E26" s="208"/>
      <c r="F26" s="208"/>
      <c r="G26" s="208"/>
      <c r="H26" s="209"/>
      <c r="I26" s="185"/>
      <c r="J26" s="197"/>
      <c r="K26" s="200"/>
      <c r="L26" s="1"/>
    </row>
    <row r="27" spans="3:12" ht="22.5" customHeight="1" x14ac:dyDescent="0.25">
      <c r="C27" s="210" t="s">
        <v>21</v>
      </c>
      <c r="D27" s="210"/>
      <c r="E27" s="210"/>
      <c r="F27" s="210"/>
      <c r="G27" s="210"/>
      <c r="H27" s="210"/>
      <c r="I27" s="60"/>
      <c r="J27" s="60" t="s">
        <v>22</v>
      </c>
      <c r="K27" s="9" t="s">
        <v>190</v>
      </c>
      <c r="L27" s="1"/>
    </row>
    <row r="28" spans="3:12" ht="34.5" customHeight="1" x14ac:dyDescent="0.25">
      <c r="C28" s="193" t="s">
        <v>195</v>
      </c>
      <c r="D28" s="193"/>
      <c r="E28" s="193"/>
      <c r="F28" s="193"/>
      <c r="G28" s="193"/>
      <c r="H28" s="193"/>
      <c r="I28" s="63"/>
      <c r="J28" s="63" t="s">
        <v>23</v>
      </c>
      <c r="K28" s="6">
        <f>K41</f>
        <v>1203.9954545454545</v>
      </c>
      <c r="L28" s="1"/>
    </row>
    <row r="29" spans="3:12" ht="15" customHeight="1" x14ac:dyDescent="0.25">
      <c r="C29" s="193" t="s">
        <v>24</v>
      </c>
      <c r="D29" s="193"/>
      <c r="E29" s="193"/>
      <c r="F29" s="193"/>
      <c r="G29" s="193"/>
      <c r="H29" s="193"/>
      <c r="I29" s="60"/>
      <c r="J29" s="10" t="s">
        <v>25</v>
      </c>
      <c r="K29" s="11" t="s">
        <v>190</v>
      </c>
      <c r="L29" s="1"/>
    </row>
    <row r="30" spans="3:12" ht="15" customHeight="1" x14ac:dyDescent="0.25">
      <c r="C30" s="193"/>
      <c r="D30" s="193"/>
      <c r="E30" s="193"/>
      <c r="F30" s="193"/>
      <c r="G30" s="193"/>
      <c r="H30" s="193"/>
      <c r="I30" s="60"/>
      <c r="J30" s="12" t="s">
        <v>26</v>
      </c>
      <c r="K30" s="58" t="s">
        <v>190</v>
      </c>
      <c r="L30" s="1"/>
    </row>
    <row r="31" spans="3:12" ht="26.25" customHeight="1" x14ac:dyDescent="0.25">
      <c r="C31" s="193" t="s">
        <v>27</v>
      </c>
      <c r="D31" s="193"/>
      <c r="E31" s="193"/>
      <c r="F31" s="193"/>
      <c r="G31" s="193"/>
      <c r="H31" s="193"/>
      <c r="I31" s="60"/>
      <c r="J31" s="63" t="s">
        <v>25</v>
      </c>
      <c r="K31" s="11" t="s">
        <v>190</v>
      </c>
      <c r="L31" s="1"/>
    </row>
    <row r="32" spans="3:12" ht="35.25" customHeight="1" x14ac:dyDescent="0.25">
      <c r="C32" s="193" t="s">
        <v>28</v>
      </c>
      <c r="D32" s="193"/>
      <c r="E32" s="193"/>
      <c r="F32" s="193"/>
      <c r="G32" s="193"/>
      <c r="H32" s="193"/>
      <c r="I32" s="63"/>
      <c r="J32" s="61" t="s">
        <v>22</v>
      </c>
      <c r="K32" s="58">
        <v>0.2</v>
      </c>
      <c r="L32" s="1"/>
    </row>
    <row r="33" spans="3:12" ht="1.1499999999999999" customHeight="1" x14ac:dyDescent="0.25">
      <c r="C33" s="83"/>
      <c r="D33" s="83"/>
      <c r="E33" s="83"/>
      <c r="F33" s="83"/>
      <c r="G33" s="83"/>
      <c r="H33" s="83"/>
      <c r="I33" s="83"/>
      <c r="J33" s="83"/>
      <c r="K33" s="84" t="s">
        <v>190</v>
      </c>
      <c r="L33" s="1"/>
    </row>
    <row r="34" spans="3:12" ht="1.1499999999999999" customHeight="1" x14ac:dyDescent="0.25">
      <c r="C34" s="211"/>
      <c r="D34" s="211"/>
      <c r="E34" s="211"/>
      <c r="F34" s="211"/>
      <c r="G34" s="211"/>
      <c r="H34" s="211"/>
      <c r="I34" s="211"/>
      <c r="J34" s="211"/>
      <c r="K34" s="211"/>
      <c r="L34" s="1"/>
    </row>
    <row r="35" spans="3:12" ht="1.1499999999999999" customHeight="1" x14ac:dyDescent="0.25">
      <c r="C35" s="211"/>
      <c r="D35" s="211"/>
      <c r="E35" s="211"/>
      <c r="F35" s="211"/>
      <c r="G35" s="211"/>
      <c r="H35" s="211"/>
      <c r="I35" s="211"/>
      <c r="J35" s="211"/>
      <c r="K35" s="211"/>
    </row>
    <row r="36" spans="3:12" ht="1.1499999999999999" customHeight="1" x14ac:dyDescent="0.25">
      <c r="C36" s="211"/>
      <c r="D36" s="211"/>
      <c r="E36" s="211"/>
      <c r="F36" s="211"/>
      <c r="G36" s="211"/>
      <c r="H36" s="211"/>
      <c r="I36" s="211"/>
      <c r="J36" s="211"/>
      <c r="K36" s="211"/>
    </row>
    <row r="37" spans="3:12" ht="1.1499999999999999" customHeight="1" x14ac:dyDescent="0.25">
      <c r="C37" s="211"/>
      <c r="D37" s="211"/>
      <c r="E37" s="211"/>
      <c r="F37" s="211"/>
      <c r="G37" s="211"/>
      <c r="H37" s="211"/>
      <c r="I37" s="211"/>
      <c r="J37" s="211"/>
      <c r="K37" s="211"/>
    </row>
    <row r="38" spans="3:12" ht="1.1499999999999999" customHeight="1" x14ac:dyDescent="0.25">
      <c r="C38" s="212"/>
      <c r="D38" s="212"/>
      <c r="E38" s="212"/>
      <c r="F38" s="212"/>
      <c r="G38" s="212"/>
      <c r="H38" s="212"/>
      <c r="I38" s="212"/>
      <c r="J38" s="212"/>
      <c r="K38" s="212"/>
    </row>
    <row r="39" spans="3:12" ht="8.25" customHeight="1" x14ac:dyDescent="0.25">
      <c r="C39" s="194" t="s">
        <v>29</v>
      </c>
      <c r="D39" s="194"/>
      <c r="E39" s="194"/>
      <c r="F39" s="194"/>
      <c r="G39" s="194"/>
      <c r="H39" s="194"/>
      <c r="I39" s="194"/>
      <c r="J39" s="194"/>
      <c r="K39" s="194"/>
    </row>
    <row r="40" spans="3:12" ht="33.75" customHeight="1" x14ac:dyDescent="0.25">
      <c r="C40" s="13" t="s">
        <v>30</v>
      </c>
      <c r="D40" s="195" t="s">
        <v>31</v>
      </c>
      <c r="E40" s="195"/>
      <c r="F40" s="195"/>
      <c r="G40" s="195"/>
      <c r="H40" s="195"/>
      <c r="I40" s="195"/>
      <c r="J40" s="13" t="s">
        <v>32</v>
      </c>
      <c r="K40" s="13" t="s">
        <v>33</v>
      </c>
    </row>
    <row r="41" spans="3:12" ht="15" customHeight="1" x14ac:dyDescent="0.25">
      <c r="C41" s="65">
        <v>1</v>
      </c>
      <c r="D41" s="175" t="s">
        <v>34</v>
      </c>
      <c r="E41" s="175"/>
      <c r="F41" s="175"/>
      <c r="G41" s="175"/>
      <c r="H41" s="175"/>
      <c r="I41" s="175"/>
      <c r="J41" s="14">
        <f t="shared" ref="J41:J48" si="0">K41/$K$49</f>
        <v>0.71428571428571419</v>
      </c>
      <c r="K41" s="70">
        <f>IF(F8="12x36",K12,K12/J12*K7)</f>
        <v>1203.9954545454545</v>
      </c>
    </row>
    <row r="42" spans="3:12" ht="15" customHeight="1" x14ac:dyDescent="0.25">
      <c r="C42" s="65">
        <f t="shared" ref="C42:C48" si="1">C41+1</f>
        <v>2</v>
      </c>
      <c r="D42" s="175" t="s">
        <v>35</v>
      </c>
      <c r="E42" s="175"/>
      <c r="F42" s="175"/>
      <c r="G42" s="175"/>
      <c r="H42" s="175"/>
      <c r="I42" s="175"/>
      <c r="J42" s="14">
        <f t="shared" si="0"/>
        <v>0</v>
      </c>
      <c r="K42" s="70">
        <f>IF(K11=30%,K41*K11,0)</f>
        <v>0</v>
      </c>
    </row>
    <row r="43" spans="3:12" ht="15" customHeight="1" x14ac:dyDescent="0.25">
      <c r="C43" s="65">
        <f t="shared" si="1"/>
        <v>3</v>
      </c>
      <c r="D43" s="175" t="s">
        <v>36</v>
      </c>
      <c r="E43" s="175"/>
      <c r="F43" s="175"/>
      <c r="G43" s="175"/>
      <c r="H43" s="175"/>
      <c r="I43" s="175"/>
      <c r="J43" s="14">
        <f t="shared" si="0"/>
        <v>0</v>
      </c>
      <c r="K43" s="70">
        <f>IF(K9=10%,K28*K9,0)</f>
        <v>0</v>
      </c>
    </row>
    <row r="44" spans="3:12" ht="15" customHeight="1" x14ac:dyDescent="0.25">
      <c r="C44" s="65">
        <f t="shared" si="1"/>
        <v>4</v>
      </c>
      <c r="D44" s="175" t="s">
        <v>37</v>
      </c>
      <c r="E44" s="175"/>
      <c r="F44" s="175"/>
      <c r="G44" s="175"/>
      <c r="H44" s="175"/>
      <c r="I44" s="175"/>
      <c r="J44" s="14">
        <f t="shared" si="0"/>
        <v>0</v>
      </c>
      <c r="K44" s="70">
        <f>IF(K9=20%,K28*K9,0)</f>
        <v>0</v>
      </c>
    </row>
    <row r="45" spans="3:12" ht="15" customHeight="1" x14ac:dyDescent="0.25">
      <c r="C45" s="65">
        <f t="shared" si="1"/>
        <v>5</v>
      </c>
      <c r="D45" s="175" t="s">
        <v>38</v>
      </c>
      <c r="E45" s="175"/>
      <c r="F45" s="175"/>
      <c r="G45" s="175"/>
      <c r="H45" s="175"/>
      <c r="I45" s="175"/>
      <c r="J45" s="14">
        <f t="shared" si="0"/>
        <v>0.2857142857142857</v>
      </c>
      <c r="K45" s="70">
        <f>IF(K9=40%,K28*K9,0)</f>
        <v>481.59818181818184</v>
      </c>
    </row>
    <row r="46" spans="3:12" ht="15" customHeight="1" x14ac:dyDescent="0.25">
      <c r="C46" s="65">
        <f t="shared" si="1"/>
        <v>6</v>
      </c>
      <c r="D46" s="175" t="s">
        <v>173</v>
      </c>
      <c r="E46" s="175"/>
      <c r="F46" s="175"/>
      <c r="G46" s="175"/>
      <c r="H46" s="175"/>
      <c r="I46" s="175"/>
      <c r="J46" s="14">
        <f t="shared" si="0"/>
        <v>0</v>
      </c>
      <c r="K46" s="70">
        <f>IF(K27="Não aplicável",0,K41*K27)</f>
        <v>0</v>
      </c>
    </row>
    <row r="47" spans="3:12" ht="15" customHeight="1" x14ac:dyDescent="0.25">
      <c r="C47" s="65">
        <f t="shared" si="1"/>
        <v>7</v>
      </c>
      <c r="D47" s="175" t="s">
        <v>39</v>
      </c>
      <c r="E47" s="175"/>
      <c r="F47" s="175"/>
      <c r="G47" s="175"/>
      <c r="H47" s="175"/>
      <c r="I47" s="175"/>
      <c r="J47" s="14">
        <f t="shared" si="0"/>
        <v>0</v>
      </c>
      <c r="K47" s="70">
        <f>IF(K29="Não aplicável",0,(K41+K42+K43+K44+K45+K46)/K7*K29*(1+K30))</f>
        <v>0</v>
      </c>
    </row>
    <row r="48" spans="3:12" ht="23.25" customHeight="1" x14ac:dyDescent="0.25">
      <c r="C48" s="65">
        <f t="shared" si="1"/>
        <v>8</v>
      </c>
      <c r="D48" s="175" t="s">
        <v>40</v>
      </c>
      <c r="E48" s="175"/>
      <c r="F48" s="175"/>
      <c r="G48" s="175"/>
      <c r="H48" s="175"/>
      <c r="I48" s="175"/>
      <c r="J48" s="14">
        <f t="shared" si="0"/>
        <v>0</v>
      </c>
      <c r="K48" s="70">
        <f>IF(K29="Não aplicável",0,K29/K15*5*(K12/J12*(1+K30)))</f>
        <v>0</v>
      </c>
    </row>
    <row r="49" spans="3:12" s="18" customFormat="1" ht="15" customHeight="1" x14ac:dyDescent="0.25">
      <c r="C49" s="213" t="s">
        <v>41</v>
      </c>
      <c r="D49" s="213"/>
      <c r="E49" s="213"/>
      <c r="F49" s="213"/>
      <c r="G49" s="213"/>
      <c r="H49" s="213"/>
      <c r="I49" s="213"/>
      <c r="J49" s="15">
        <f>SUM(J41:J48)</f>
        <v>0.99999999999999989</v>
      </c>
      <c r="K49" s="16">
        <f>SUM(K41:K48)</f>
        <v>1685.5936363636365</v>
      </c>
      <c r="L49" s="17"/>
    </row>
    <row r="50" spans="3:12" s="18" customFormat="1" ht="1.1499999999999999" customHeight="1" x14ac:dyDescent="0.25">
      <c r="C50" s="214"/>
      <c r="D50" s="214"/>
      <c r="E50" s="214"/>
      <c r="F50" s="214"/>
      <c r="G50" s="214"/>
      <c r="H50" s="214"/>
      <c r="I50" s="214"/>
      <c r="J50" s="214"/>
      <c r="K50" s="214"/>
      <c r="L50" s="17"/>
    </row>
    <row r="51" spans="3:12" s="18" customFormat="1" ht="1.1499999999999999" customHeight="1" x14ac:dyDescent="0.25">
      <c r="C51" s="215"/>
      <c r="D51" s="215"/>
      <c r="E51" s="215"/>
      <c r="F51" s="215"/>
      <c r="G51" s="215"/>
      <c r="H51" s="215"/>
      <c r="I51" s="215"/>
      <c r="J51" s="215"/>
      <c r="K51" s="215"/>
      <c r="L51" s="17"/>
    </row>
    <row r="52" spans="3:12" s="18" customFormat="1" ht="1.1499999999999999" customHeight="1" x14ac:dyDescent="0.25">
      <c r="C52" s="215"/>
      <c r="D52" s="215"/>
      <c r="E52" s="215"/>
      <c r="F52" s="215"/>
      <c r="G52" s="215"/>
      <c r="H52" s="215"/>
      <c r="I52" s="215"/>
      <c r="J52" s="215"/>
      <c r="K52" s="215"/>
      <c r="L52" s="17"/>
    </row>
    <row r="53" spans="3:12" s="18" customFormat="1" ht="1.1499999999999999" customHeight="1" x14ac:dyDescent="0.25">
      <c r="C53" s="215"/>
      <c r="D53" s="215"/>
      <c r="E53" s="215"/>
      <c r="F53" s="215"/>
      <c r="G53" s="215"/>
      <c r="H53" s="215"/>
      <c r="I53" s="215"/>
      <c r="J53" s="215"/>
      <c r="K53" s="215"/>
      <c r="L53" s="17"/>
    </row>
    <row r="54" spans="3:12" s="18" customFormat="1" ht="1.1499999999999999" customHeight="1" x14ac:dyDescent="0.25">
      <c r="C54" s="215"/>
      <c r="D54" s="215"/>
      <c r="E54" s="215"/>
      <c r="F54" s="215"/>
      <c r="G54" s="215"/>
      <c r="H54" s="215"/>
      <c r="I54" s="215"/>
      <c r="J54" s="215"/>
      <c r="K54" s="215"/>
      <c r="L54" s="17"/>
    </row>
    <row r="55" spans="3:12" s="18" customFormat="1" ht="1.1499999999999999" customHeight="1" x14ac:dyDescent="0.25">
      <c r="C55" s="215"/>
      <c r="D55" s="215"/>
      <c r="E55" s="215"/>
      <c r="F55" s="215"/>
      <c r="G55" s="215"/>
      <c r="H55" s="215"/>
      <c r="I55" s="215"/>
      <c r="J55" s="215"/>
      <c r="K55" s="215"/>
      <c r="L55" s="17"/>
    </row>
    <row r="56" spans="3:12" s="18" customFormat="1" ht="1.1499999999999999" customHeight="1" x14ac:dyDescent="0.25">
      <c r="C56" s="215"/>
      <c r="D56" s="215"/>
      <c r="E56" s="215"/>
      <c r="F56" s="215"/>
      <c r="G56" s="215"/>
      <c r="H56" s="215"/>
      <c r="I56" s="215"/>
      <c r="J56" s="215"/>
      <c r="K56" s="215"/>
      <c r="L56" s="17"/>
    </row>
    <row r="57" spans="3:12" s="18" customFormat="1" ht="1.1499999999999999" customHeight="1" x14ac:dyDescent="0.25">
      <c r="C57" s="215"/>
      <c r="D57" s="215"/>
      <c r="E57" s="215"/>
      <c r="F57" s="215"/>
      <c r="G57" s="215"/>
      <c r="H57" s="215"/>
      <c r="I57" s="215"/>
      <c r="J57" s="215"/>
      <c r="K57" s="215"/>
      <c r="L57" s="17"/>
    </row>
    <row r="58" spans="3:12" s="18" customFormat="1" ht="1.1499999999999999" customHeight="1" x14ac:dyDescent="0.25">
      <c r="C58" s="215"/>
      <c r="D58" s="215"/>
      <c r="E58" s="215"/>
      <c r="F58" s="215"/>
      <c r="G58" s="215"/>
      <c r="H58" s="215"/>
      <c r="I58" s="215"/>
      <c r="J58" s="215"/>
      <c r="K58" s="215"/>
      <c r="L58" s="17"/>
    </row>
    <row r="59" spans="3:12" ht="1.1499999999999999" customHeight="1" x14ac:dyDescent="0.25">
      <c r="C59" s="216"/>
      <c r="D59" s="216"/>
      <c r="E59" s="216"/>
      <c r="F59" s="216"/>
      <c r="G59" s="216"/>
      <c r="H59" s="216"/>
      <c r="I59" s="216"/>
      <c r="J59" s="216"/>
      <c r="K59" s="216"/>
    </row>
    <row r="60" spans="3:12" ht="33.75" customHeight="1" x14ac:dyDescent="0.25">
      <c r="C60" s="13" t="s">
        <v>42</v>
      </c>
      <c r="D60" s="195" t="s">
        <v>43</v>
      </c>
      <c r="E60" s="195"/>
      <c r="F60" s="195"/>
      <c r="G60" s="195"/>
      <c r="H60" s="195"/>
      <c r="I60" s="195"/>
      <c r="J60" s="13" t="s">
        <v>32</v>
      </c>
      <c r="K60" s="13" t="s">
        <v>33</v>
      </c>
    </row>
    <row r="61" spans="3:12" ht="15" customHeight="1" x14ac:dyDescent="0.25">
      <c r="C61" s="65">
        <v>1</v>
      </c>
      <c r="D61" s="175" t="s">
        <v>44</v>
      </c>
      <c r="E61" s="175"/>
      <c r="F61" s="175"/>
      <c r="G61" s="175"/>
      <c r="H61" s="175"/>
      <c r="I61" s="175"/>
      <c r="J61" s="14">
        <v>0.2</v>
      </c>
      <c r="K61" s="70">
        <f t="shared" ref="K61:K68" si="2">$K$49*J61</f>
        <v>337.11872727272731</v>
      </c>
    </row>
    <row r="62" spans="3:12" ht="15" customHeight="1" x14ac:dyDescent="0.25">
      <c r="C62" s="65">
        <v>2</v>
      </c>
      <c r="D62" s="175" t="s">
        <v>45</v>
      </c>
      <c r="E62" s="175"/>
      <c r="F62" s="175"/>
      <c r="G62" s="175"/>
      <c r="H62" s="175"/>
      <c r="I62" s="175"/>
      <c r="J62" s="14">
        <v>1.4999999999999999E-2</v>
      </c>
      <c r="K62" s="70">
        <f t="shared" si="2"/>
        <v>25.283904545454547</v>
      </c>
    </row>
    <row r="63" spans="3:12" ht="15" customHeight="1" x14ac:dyDescent="0.25">
      <c r="C63" s="65">
        <v>3</v>
      </c>
      <c r="D63" s="175" t="s">
        <v>46</v>
      </c>
      <c r="E63" s="175"/>
      <c r="F63" s="175"/>
      <c r="G63" s="175"/>
      <c r="H63" s="175"/>
      <c r="I63" s="175"/>
      <c r="J63" s="14">
        <v>0.01</v>
      </c>
      <c r="K63" s="70">
        <f t="shared" si="2"/>
        <v>16.855936363636367</v>
      </c>
    </row>
    <row r="64" spans="3:12" ht="15" customHeight="1" x14ac:dyDescent="0.25">
      <c r="C64" s="65">
        <v>4</v>
      </c>
      <c r="D64" s="175" t="s">
        <v>47</v>
      </c>
      <c r="E64" s="175"/>
      <c r="F64" s="175"/>
      <c r="G64" s="175"/>
      <c r="H64" s="175"/>
      <c r="I64" s="175"/>
      <c r="J64" s="14">
        <v>2E-3</v>
      </c>
      <c r="K64" s="70">
        <f t="shared" si="2"/>
        <v>3.3711872727272731</v>
      </c>
    </row>
    <row r="65" spans="3:12" ht="15" customHeight="1" x14ac:dyDescent="0.25">
      <c r="C65" s="65">
        <v>5</v>
      </c>
      <c r="D65" s="175" t="s">
        <v>48</v>
      </c>
      <c r="E65" s="175"/>
      <c r="F65" s="175"/>
      <c r="G65" s="175"/>
      <c r="H65" s="175"/>
      <c r="I65" s="175"/>
      <c r="J65" s="14">
        <v>2.5000000000000001E-2</v>
      </c>
      <c r="K65" s="70">
        <f t="shared" si="2"/>
        <v>42.139840909090914</v>
      </c>
    </row>
    <row r="66" spans="3:12" ht="15" customHeight="1" x14ac:dyDescent="0.25">
      <c r="C66" s="65">
        <v>6</v>
      </c>
      <c r="D66" s="175" t="s">
        <v>49</v>
      </c>
      <c r="E66" s="175"/>
      <c r="F66" s="175"/>
      <c r="G66" s="175"/>
      <c r="H66" s="175"/>
      <c r="I66" s="175"/>
      <c r="J66" s="14">
        <v>0.08</v>
      </c>
      <c r="K66" s="70">
        <f t="shared" si="2"/>
        <v>134.84749090909094</v>
      </c>
    </row>
    <row r="67" spans="3:12" ht="15" customHeight="1" x14ac:dyDescent="0.25">
      <c r="C67" s="65">
        <v>7</v>
      </c>
      <c r="D67" s="175" t="s">
        <v>50</v>
      </c>
      <c r="E67" s="175"/>
      <c r="F67" s="175"/>
      <c r="G67" s="175"/>
      <c r="H67" s="175"/>
      <c r="I67" s="175"/>
      <c r="J67" s="14">
        <v>0.03</v>
      </c>
      <c r="K67" s="70">
        <f t="shared" si="2"/>
        <v>50.567809090909094</v>
      </c>
    </row>
    <row r="68" spans="3:12" ht="15" customHeight="1" x14ac:dyDescent="0.25">
      <c r="C68" s="65">
        <v>8</v>
      </c>
      <c r="D68" s="175" t="s">
        <v>51</v>
      </c>
      <c r="E68" s="175"/>
      <c r="F68" s="175"/>
      <c r="G68" s="175"/>
      <c r="H68" s="175"/>
      <c r="I68" s="175"/>
      <c r="J68" s="14">
        <v>6.0000000000000001E-3</v>
      </c>
      <c r="K68" s="70">
        <f t="shared" si="2"/>
        <v>10.11356181818182</v>
      </c>
    </row>
    <row r="69" spans="3:12" s="18" customFormat="1" ht="15" customHeight="1" x14ac:dyDescent="0.25">
      <c r="C69" s="213" t="s">
        <v>52</v>
      </c>
      <c r="D69" s="213"/>
      <c r="E69" s="213"/>
      <c r="F69" s="213"/>
      <c r="G69" s="213"/>
      <c r="H69" s="213"/>
      <c r="I69" s="213"/>
      <c r="J69" s="15">
        <f>SUM(J61:J68)</f>
        <v>0.3680000000000001</v>
      </c>
      <c r="K69" s="16">
        <f>SUM(K61:K68)</f>
        <v>620.29845818181832</v>
      </c>
      <c r="L69" s="17"/>
    </row>
    <row r="70" spans="3:12" ht="15" customHeight="1" x14ac:dyDescent="0.25">
      <c r="C70" s="217" t="s">
        <v>53</v>
      </c>
      <c r="D70" s="217"/>
      <c r="E70" s="217"/>
      <c r="F70" s="217"/>
      <c r="G70" s="217"/>
      <c r="H70" s="217"/>
      <c r="I70" s="217"/>
      <c r="J70" s="217"/>
      <c r="K70" s="217"/>
    </row>
    <row r="71" spans="3:12" ht="30.75" customHeight="1" x14ac:dyDescent="0.25">
      <c r="C71" s="218" t="s">
        <v>54</v>
      </c>
      <c r="D71" s="218"/>
      <c r="E71" s="218"/>
      <c r="F71" s="218"/>
      <c r="G71" s="218"/>
      <c r="H71" s="218"/>
      <c r="I71" s="218"/>
      <c r="J71" s="218"/>
      <c r="K71" s="218"/>
    </row>
    <row r="72" spans="3:12" ht="33.75" customHeight="1" x14ac:dyDescent="0.25">
      <c r="C72" s="13" t="s">
        <v>55</v>
      </c>
      <c r="D72" s="195" t="s">
        <v>56</v>
      </c>
      <c r="E72" s="195"/>
      <c r="F72" s="195"/>
      <c r="G72" s="195"/>
      <c r="H72" s="195"/>
      <c r="I72" s="195"/>
      <c r="J72" s="13" t="s">
        <v>32</v>
      </c>
      <c r="K72" s="13" t="s">
        <v>33</v>
      </c>
    </row>
    <row r="73" spans="3:12" ht="15" customHeight="1" x14ac:dyDescent="0.25">
      <c r="C73" s="65">
        <v>1</v>
      </c>
      <c r="D73" s="175" t="s">
        <v>57</v>
      </c>
      <c r="E73" s="175"/>
      <c r="F73" s="175"/>
      <c r="G73" s="175"/>
      <c r="H73" s="175"/>
      <c r="I73" s="175"/>
      <c r="J73" s="14">
        <v>0.119314</v>
      </c>
      <c r="K73" s="70">
        <f t="shared" ref="K73:K80" si="3">$K$49*J73</f>
        <v>201.11491912909094</v>
      </c>
    </row>
    <row r="74" spans="3:12" ht="15" customHeight="1" x14ac:dyDescent="0.25">
      <c r="C74" s="65">
        <v>2</v>
      </c>
      <c r="D74" s="175" t="s">
        <v>58</v>
      </c>
      <c r="E74" s="175"/>
      <c r="F74" s="175"/>
      <c r="G74" s="175"/>
      <c r="H74" s="175"/>
      <c r="I74" s="175"/>
      <c r="J74" s="14">
        <v>2.0479000000000001E-2</v>
      </c>
      <c r="K74" s="70">
        <f t="shared" si="3"/>
        <v>34.519272079090911</v>
      </c>
    </row>
    <row r="75" spans="3:12" ht="15" customHeight="1" x14ac:dyDescent="0.25">
      <c r="C75" s="65">
        <v>3</v>
      </c>
      <c r="D75" s="175" t="s">
        <v>59</v>
      </c>
      <c r="E75" s="175"/>
      <c r="F75" s="175"/>
      <c r="G75" s="175"/>
      <c r="H75" s="175"/>
      <c r="I75" s="175"/>
      <c r="J75" s="14">
        <v>1.2123E-2</v>
      </c>
      <c r="K75" s="70">
        <f t="shared" si="3"/>
        <v>20.434451653636366</v>
      </c>
    </row>
    <row r="76" spans="3:12" ht="15" customHeight="1" x14ac:dyDescent="0.25">
      <c r="C76" s="65">
        <v>4</v>
      </c>
      <c r="D76" s="175" t="s">
        <v>60</v>
      </c>
      <c r="E76" s="175"/>
      <c r="F76" s="175"/>
      <c r="G76" s="175"/>
      <c r="H76" s="175"/>
      <c r="I76" s="175"/>
      <c r="J76" s="14">
        <v>1.1436E-2</v>
      </c>
      <c r="K76" s="70">
        <f t="shared" si="3"/>
        <v>19.276448825454548</v>
      </c>
    </row>
    <row r="77" spans="3:12" ht="15" customHeight="1" x14ac:dyDescent="0.25">
      <c r="C77" s="65">
        <v>5</v>
      </c>
      <c r="D77" s="175" t="s">
        <v>61</v>
      </c>
      <c r="E77" s="175"/>
      <c r="F77" s="175"/>
      <c r="G77" s="175"/>
      <c r="H77" s="175"/>
      <c r="I77" s="175"/>
      <c r="J77" s="14">
        <v>1.74E-4</v>
      </c>
      <c r="K77" s="70">
        <f t="shared" si="3"/>
        <v>0.29329329272727278</v>
      </c>
    </row>
    <row r="78" spans="3:12" ht="15" customHeight="1" x14ac:dyDescent="0.25">
      <c r="C78" s="65">
        <v>6</v>
      </c>
      <c r="D78" s="175" t="s">
        <v>62</v>
      </c>
      <c r="E78" s="175"/>
      <c r="F78" s="175"/>
      <c r="G78" s="175"/>
      <c r="H78" s="175"/>
      <c r="I78" s="175"/>
      <c r="J78" s="14">
        <v>4.4200000000000001E-4</v>
      </c>
      <c r="K78" s="70">
        <f t="shared" si="3"/>
        <v>0.74503238727272736</v>
      </c>
    </row>
    <row r="79" spans="3:12" ht="15" customHeight="1" x14ac:dyDescent="0.25">
      <c r="C79" s="65">
        <v>7</v>
      </c>
      <c r="D79" s="175" t="s">
        <v>63</v>
      </c>
      <c r="E79" s="175"/>
      <c r="F79" s="175"/>
      <c r="G79" s="175"/>
      <c r="H79" s="175"/>
      <c r="I79" s="175"/>
      <c r="J79" s="14">
        <v>1.85E-4</v>
      </c>
      <c r="K79" s="70">
        <f t="shared" si="3"/>
        <v>0.31183482272727275</v>
      </c>
    </row>
    <row r="80" spans="3:12" ht="15" customHeight="1" x14ac:dyDescent="0.25">
      <c r="C80" s="65">
        <v>8</v>
      </c>
      <c r="D80" s="175" t="s">
        <v>64</v>
      </c>
      <c r="E80" s="175"/>
      <c r="F80" s="175"/>
      <c r="G80" s="175"/>
      <c r="H80" s="175"/>
      <c r="I80" s="175"/>
      <c r="J80" s="14">
        <v>9.0789999999999996E-2</v>
      </c>
      <c r="K80" s="70">
        <f t="shared" si="3"/>
        <v>153.03504624545454</v>
      </c>
    </row>
    <row r="81" spans="3:13" s="18" customFormat="1" ht="15" customHeight="1" x14ac:dyDescent="0.25">
      <c r="C81" s="213" t="s">
        <v>65</v>
      </c>
      <c r="D81" s="213"/>
      <c r="E81" s="213"/>
      <c r="F81" s="213"/>
      <c r="G81" s="213"/>
      <c r="H81" s="213"/>
      <c r="I81" s="213"/>
      <c r="J81" s="15">
        <f>SUM(J73:J80)</f>
        <v>0.25494299999999998</v>
      </c>
      <c r="K81" s="16">
        <f>SUM(K73:K80)</f>
        <v>429.73029843545464</v>
      </c>
      <c r="L81" s="17"/>
    </row>
    <row r="82" spans="3:13" ht="11.25" customHeight="1" x14ac:dyDescent="0.25">
      <c r="C82" s="19" t="s">
        <v>66</v>
      </c>
      <c r="D82" s="217" t="s">
        <v>67</v>
      </c>
      <c r="E82" s="217"/>
      <c r="F82" s="217"/>
      <c r="G82" s="217"/>
      <c r="H82" s="217"/>
      <c r="I82" s="217"/>
      <c r="J82" s="217"/>
      <c r="K82" s="217"/>
    </row>
    <row r="83" spans="3:13" ht="15" customHeight="1" x14ac:dyDescent="0.25">
      <c r="C83" s="19" t="s">
        <v>68</v>
      </c>
      <c r="D83" s="219" t="s">
        <v>69</v>
      </c>
      <c r="E83" s="219"/>
      <c r="F83" s="219"/>
      <c r="G83" s="219"/>
      <c r="H83" s="219"/>
      <c r="I83" s="219"/>
      <c r="J83" s="219"/>
      <c r="K83" s="219"/>
    </row>
    <row r="84" spans="3:13" ht="33.75" customHeight="1" x14ac:dyDescent="0.25">
      <c r="C84" s="13" t="s">
        <v>70</v>
      </c>
      <c r="D84" s="195" t="s">
        <v>71</v>
      </c>
      <c r="E84" s="195"/>
      <c r="F84" s="195"/>
      <c r="G84" s="195"/>
      <c r="H84" s="195"/>
      <c r="I84" s="195"/>
      <c r="J84" s="13" t="s">
        <v>32</v>
      </c>
      <c r="K84" s="13" t="s">
        <v>33</v>
      </c>
    </row>
    <row r="85" spans="3:13" ht="15" customHeight="1" x14ac:dyDescent="0.25">
      <c r="C85" s="65">
        <v>1</v>
      </c>
      <c r="D85" s="175" t="s">
        <v>72</v>
      </c>
      <c r="E85" s="175"/>
      <c r="F85" s="175"/>
      <c r="G85" s="175"/>
      <c r="H85" s="175"/>
      <c r="I85" s="175"/>
      <c r="J85" s="95">
        <v>2.3626999999999999E-2</v>
      </c>
      <c r="K85" s="70">
        <f>$K$49*J85</f>
        <v>39.825520846363638</v>
      </c>
    </row>
    <row r="86" spans="3:13" ht="15" customHeight="1" x14ac:dyDescent="0.25">
      <c r="C86" s="65">
        <v>2</v>
      </c>
      <c r="D86" s="175" t="s">
        <v>73</v>
      </c>
      <c r="E86" s="175"/>
      <c r="F86" s="175"/>
      <c r="G86" s="175"/>
      <c r="H86" s="175"/>
      <c r="I86" s="175"/>
      <c r="J86" s="95">
        <v>1.717E-3</v>
      </c>
      <c r="K86" s="70">
        <f>$K$49*J86</f>
        <v>2.8941642736363637</v>
      </c>
    </row>
    <row r="87" spans="3:13" ht="15" customHeight="1" x14ac:dyDescent="0.25">
      <c r="C87" s="65">
        <v>3</v>
      </c>
      <c r="D87" s="175" t="s">
        <v>74</v>
      </c>
      <c r="E87" s="175"/>
      <c r="F87" s="175"/>
      <c r="G87" s="175"/>
      <c r="H87" s="175"/>
      <c r="I87" s="175"/>
      <c r="J87" s="95">
        <v>9.4509999999999993E-3</v>
      </c>
      <c r="K87" s="70">
        <f>$K$49*J87</f>
        <v>15.930545457272727</v>
      </c>
    </row>
    <row r="88" spans="3:13" s="18" customFormat="1" ht="15" customHeight="1" x14ac:dyDescent="0.25">
      <c r="C88" s="213" t="s">
        <v>75</v>
      </c>
      <c r="D88" s="213"/>
      <c r="E88" s="213"/>
      <c r="F88" s="213"/>
      <c r="G88" s="213"/>
      <c r="H88" s="213"/>
      <c r="I88" s="213"/>
      <c r="J88" s="15">
        <f>SUM(J85:J87)</f>
        <v>3.4795E-2</v>
      </c>
      <c r="K88" s="16">
        <f>SUM(K85:K87)</f>
        <v>58.65023057727273</v>
      </c>
      <c r="L88" s="17"/>
    </row>
    <row r="89" spans="3:13" ht="4.5" customHeight="1" x14ac:dyDescent="0.25"/>
    <row r="90" spans="3:13" ht="33.75" customHeight="1" x14ac:dyDescent="0.25">
      <c r="C90" s="13" t="s">
        <v>76</v>
      </c>
      <c r="D90" s="195" t="s">
        <v>77</v>
      </c>
      <c r="E90" s="195"/>
      <c r="F90" s="195"/>
      <c r="G90" s="195"/>
      <c r="H90" s="195"/>
      <c r="I90" s="195"/>
      <c r="J90" s="13" t="s">
        <v>32</v>
      </c>
      <c r="K90" s="13" t="s">
        <v>33</v>
      </c>
    </row>
    <row r="91" spans="3:13" ht="15" customHeight="1" x14ac:dyDescent="0.25">
      <c r="C91" s="65">
        <v>1</v>
      </c>
      <c r="D91" s="175" t="s">
        <v>78</v>
      </c>
      <c r="E91" s="175"/>
      <c r="F91" s="175"/>
      <c r="G91" s="175"/>
      <c r="H91" s="175"/>
      <c r="I91" s="175"/>
      <c r="J91" s="14">
        <f>(J69*J81)</f>
        <v>9.3819024000000015E-2</v>
      </c>
      <c r="K91" s="70">
        <f>$K$49*J91</f>
        <v>158.14074982424731</v>
      </c>
    </row>
    <row r="92" spans="3:13" s="18" customFormat="1" ht="15" customHeight="1" x14ac:dyDescent="0.25">
      <c r="C92" s="213" t="s">
        <v>79</v>
      </c>
      <c r="D92" s="213"/>
      <c r="E92" s="213"/>
      <c r="F92" s="213"/>
      <c r="G92" s="213"/>
      <c r="H92" s="213"/>
      <c r="I92" s="213"/>
      <c r="J92" s="15">
        <f>SUM(J91:J91)</f>
        <v>9.3819024000000015E-2</v>
      </c>
      <c r="K92" s="16">
        <f>K91</f>
        <v>158.14074982424731</v>
      </c>
      <c r="L92" s="17"/>
      <c r="M92" s="20"/>
    </row>
    <row r="93" spans="3:13" ht="4.5" customHeight="1" x14ac:dyDescent="0.25">
      <c r="L93" s="21"/>
    </row>
    <row r="94" spans="3:13" s="18" customFormat="1" ht="12" customHeight="1" x14ac:dyDescent="0.25">
      <c r="C94" s="223" t="s">
        <v>181</v>
      </c>
      <c r="D94" s="223"/>
      <c r="E94" s="223"/>
      <c r="F94" s="223"/>
      <c r="G94" s="223"/>
      <c r="H94" s="223"/>
      <c r="I94" s="223"/>
      <c r="J94" s="22">
        <f>J69+J81+J88+J92</f>
        <v>0.75155702400000002</v>
      </c>
      <c r="K94" s="23">
        <f>K69+K81+K88+K92</f>
        <v>1266.8197370187927</v>
      </c>
      <c r="L94" s="17"/>
    </row>
    <row r="95" spans="3:13" ht="4.5" customHeight="1" x14ac:dyDescent="0.25"/>
    <row r="96" spans="3:13" ht="33.75" customHeight="1" x14ac:dyDescent="0.25">
      <c r="C96" s="13" t="s">
        <v>80</v>
      </c>
      <c r="D96" s="195" t="s">
        <v>81</v>
      </c>
      <c r="E96" s="195"/>
      <c r="F96" s="195"/>
      <c r="G96" s="195"/>
      <c r="H96" s="195"/>
      <c r="I96" s="195"/>
      <c r="J96" s="13" t="s">
        <v>32</v>
      </c>
      <c r="K96" s="13" t="s">
        <v>33</v>
      </c>
    </row>
    <row r="97" spans="3:12" ht="15" customHeight="1" x14ac:dyDescent="0.25">
      <c r="C97" s="65">
        <v>1</v>
      </c>
      <c r="D97" s="175" t="s">
        <v>18</v>
      </c>
      <c r="E97" s="175"/>
      <c r="F97" s="175"/>
      <c r="G97" s="175"/>
      <c r="H97" s="175"/>
      <c r="I97" s="175"/>
      <c r="J97" s="14">
        <f t="shared" ref="J97:J102" si="4">K97/$K$49</f>
        <v>0</v>
      </c>
      <c r="K97" s="70">
        <f>K115</f>
        <v>0</v>
      </c>
    </row>
    <row r="98" spans="3:12" ht="15" customHeight="1" x14ac:dyDescent="0.25">
      <c r="C98" s="65">
        <f>C97+1</f>
        <v>2</v>
      </c>
      <c r="D98" s="175" t="s">
        <v>19</v>
      </c>
      <c r="E98" s="175"/>
      <c r="F98" s="175"/>
      <c r="G98" s="175"/>
      <c r="H98" s="175"/>
      <c r="I98" s="175"/>
      <c r="J98" s="14">
        <f t="shared" si="4"/>
        <v>0.14346126775945675</v>
      </c>
      <c r="K98" s="70">
        <f>K111</f>
        <v>241.81740000000002</v>
      </c>
    </row>
    <row r="99" spans="3:12" ht="15" customHeight="1" x14ac:dyDescent="0.25">
      <c r="C99" s="65">
        <f t="shared" ref="C99:C102" si="5">C98+1</f>
        <v>3</v>
      </c>
      <c r="D99" s="220" t="s">
        <v>175</v>
      </c>
      <c r="E99" s="221"/>
      <c r="F99" s="221"/>
      <c r="G99" s="221"/>
      <c r="H99" s="221"/>
      <c r="I99" s="222"/>
      <c r="J99" s="14">
        <f t="shared" si="4"/>
        <v>0</v>
      </c>
      <c r="K99" s="70">
        <v>0</v>
      </c>
    </row>
    <row r="100" spans="3:12" ht="15" customHeight="1" x14ac:dyDescent="0.25">
      <c r="C100" s="65">
        <f t="shared" si="5"/>
        <v>4</v>
      </c>
      <c r="D100" s="175" t="s">
        <v>82</v>
      </c>
      <c r="E100" s="175"/>
      <c r="F100" s="175"/>
      <c r="G100" s="175"/>
      <c r="H100" s="175"/>
      <c r="I100" s="175"/>
      <c r="J100" s="14">
        <f t="shared" si="4"/>
        <v>0.10723834548713078</v>
      </c>
      <c r="K100" s="70">
        <f>K107</f>
        <v>180.76027272727273</v>
      </c>
    </row>
    <row r="101" spans="3:12" ht="15" customHeight="1" x14ac:dyDescent="0.25">
      <c r="C101" s="65">
        <f t="shared" si="5"/>
        <v>5</v>
      </c>
      <c r="D101" s="175" t="s">
        <v>83</v>
      </c>
      <c r="E101" s="175"/>
      <c r="F101" s="175"/>
      <c r="G101" s="175"/>
      <c r="H101" s="175"/>
      <c r="I101" s="175"/>
      <c r="J101" s="14">
        <f t="shared" si="4"/>
        <v>0</v>
      </c>
      <c r="K101" s="70">
        <f>IF(K31="Não aplicável",0,((K12/J12)*1.5*K31))</f>
        <v>0</v>
      </c>
    </row>
    <row r="102" spans="3:12" ht="15" customHeight="1" x14ac:dyDescent="0.25">
      <c r="C102" s="65">
        <f t="shared" si="5"/>
        <v>6</v>
      </c>
      <c r="D102" s="175" t="s">
        <v>84</v>
      </c>
      <c r="E102" s="175"/>
      <c r="F102" s="175"/>
      <c r="G102" s="175"/>
      <c r="H102" s="175"/>
      <c r="I102" s="175"/>
      <c r="J102" s="14">
        <f t="shared" si="4"/>
        <v>3.8870578641568405E-2</v>
      </c>
      <c r="K102" s="70">
        <f>IF(K23="Não aplicável",0,K23)</f>
        <v>65.52</v>
      </c>
    </row>
    <row r="103" spans="3:12" ht="15" customHeight="1" x14ac:dyDescent="0.25">
      <c r="C103" s="213" t="s">
        <v>85</v>
      </c>
      <c r="D103" s="213"/>
      <c r="E103" s="213"/>
      <c r="F103" s="213"/>
      <c r="G103" s="213"/>
      <c r="H103" s="213"/>
      <c r="I103" s="213"/>
      <c r="J103" s="15">
        <f>SUM(J97:J102)</f>
        <v>0.28957019188815591</v>
      </c>
      <c r="K103" s="16">
        <f>SUM(K97:K102)</f>
        <v>488.09767272727277</v>
      </c>
      <c r="L103" s="24"/>
    </row>
    <row r="104" spans="3:12" ht="18" customHeight="1" x14ac:dyDescent="0.25">
      <c r="C104" s="19" t="s">
        <v>86</v>
      </c>
      <c r="D104" s="230" t="s">
        <v>87</v>
      </c>
      <c r="E104" s="230"/>
      <c r="F104" s="230"/>
      <c r="G104" s="230"/>
      <c r="H104" s="230"/>
      <c r="I104" s="230"/>
      <c r="J104" s="25"/>
      <c r="K104" s="26"/>
    </row>
    <row r="105" spans="3:12" ht="15" customHeight="1" x14ac:dyDescent="0.25">
      <c r="C105" s="224" t="s">
        <v>88</v>
      </c>
      <c r="D105" s="224"/>
      <c r="E105" s="224"/>
      <c r="F105" s="224"/>
      <c r="G105" s="224"/>
      <c r="H105" s="224"/>
      <c r="I105" s="224"/>
      <c r="J105" s="224"/>
      <c r="K105" s="224"/>
    </row>
    <row r="106" spans="3:12" ht="24" customHeight="1" x14ac:dyDescent="0.25">
      <c r="C106" s="193" t="s">
        <v>89</v>
      </c>
      <c r="D106" s="193"/>
      <c r="E106" s="65" t="s">
        <v>90</v>
      </c>
      <c r="F106" s="65" t="s">
        <v>91</v>
      </c>
      <c r="G106" s="65" t="s">
        <v>92</v>
      </c>
      <c r="H106" s="65" t="s">
        <v>93</v>
      </c>
      <c r="I106" s="65" t="s">
        <v>94</v>
      </c>
      <c r="J106" s="14" t="s">
        <v>95</v>
      </c>
      <c r="K106" s="70" t="s">
        <v>96</v>
      </c>
    </row>
    <row r="107" spans="3:12" ht="15" customHeight="1" x14ac:dyDescent="0.25">
      <c r="C107" s="231">
        <f>IF(K14="Não aplicável",0,K14)</f>
        <v>5.75</v>
      </c>
      <c r="D107" s="231"/>
      <c r="E107" s="65">
        <f>IF(K15="Não aplicável",0,K15)</f>
        <v>22</v>
      </c>
      <c r="F107" s="65">
        <v>2</v>
      </c>
      <c r="G107" s="66">
        <f>C107*E107*F107</f>
        <v>253</v>
      </c>
      <c r="H107" s="66">
        <f>K41</f>
        <v>1203.9954545454545</v>
      </c>
      <c r="I107" s="27">
        <f>IF(K16="Não aplicável",0,K16)</f>
        <v>0.06</v>
      </c>
      <c r="J107" s="66">
        <f>H107*I107</f>
        <v>72.239727272727265</v>
      </c>
      <c r="K107" s="70">
        <f>IF((G107-J107)&gt;0,G107-J107,0)</f>
        <v>180.76027272727273</v>
      </c>
    </row>
    <row r="108" spans="3:12" ht="3.75" customHeight="1" x14ac:dyDescent="0.25">
      <c r="C108" s="28"/>
      <c r="G108" s="24"/>
      <c r="H108" s="24"/>
      <c r="I108" s="29"/>
      <c r="J108" s="24"/>
      <c r="K108" s="30"/>
    </row>
    <row r="109" spans="3:12" ht="15" customHeight="1" x14ac:dyDescent="0.25">
      <c r="C109" s="224" t="s">
        <v>97</v>
      </c>
      <c r="D109" s="224"/>
      <c r="E109" s="224"/>
      <c r="F109" s="224"/>
      <c r="G109" s="224"/>
      <c r="H109" s="224"/>
      <c r="I109" s="224"/>
      <c r="J109" s="224"/>
      <c r="K109" s="224"/>
    </row>
    <row r="110" spans="3:12" ht="23.25" customHeight="1" x14ac:dyDescent="0.25">
      <c r="C110" s="193" t="s">
        <v>89</v>
      </c>
      <c r="D110" s="193"/>
      <c r="E110" s="65" t="s">
        <v>98</v>
      </c>
      <c r="F110" s="65" t="s">
        <v>91</v>
      </c>
      <c r="G110" s="65" t="s">
        <v>92</v>
      </c>
      <c r="H110" s="65" t="s">
        <v>93</v>
      </c>
      <c r="I110" s="65" t="s">
        <v>94</v>
      </c>
      <c r="J110" s="14" t="s">
        <v>95</v>
      </c>
      <c r="K110" s="70" t="s">
        <v>96</v>
      </c>
    </row>
    <row r="111" spans="3:12" ht="15" customHeight="1" x14ac:dyDescent="0.25">
      <c r="C111" s="225">
        <f>IF(K20="Não aplicável",0,K20)</f>
        <v>13.57</v>
      </c>
      <c r="D111" s="225"/>
      <c r="E111" s="31">
        <f>IF(K21="Não aplicável",0,K21)</f>
        <v>22</v>
      </c>
      <c r="F111" s="65">
        <v>1</v>
      </c>
      <c r="G111" s="66">
        <f>C111*E111*F111</f>
        <v>298.54000000000002</v>
      </c>
      <c r="H111" s="66">
        <f>G111</f>
        <v>298.54000000000002</v>
      </c>
      <c r="I111" s="69">
        <f>IF(K22="Não aplicável",0,K22)</f>
        <v>0.19</v>
      </c>
      <c r="J111" s="66">
        <f>H111*I111</f>
        <v>56.722600000000007</v>
      </c>
      <c r="K111" s="70">
        <f>G111-J111</f>
        <v>241.81740000000002</v>
      </c>
    </row>
    <row r="112" spans="3:12" ht="4.5" customHeight="1" x14ac:dyDescent="0.25">
      <c r="C112" s="32"/>
      <c r="D112" s="32"/>
      <c r="E112" s="32"/>
      <c r="F112" s="32"/>
      <c r="G112" s="17"/>
      <c r="H112" s="17"/>
      <c r="I112" s="33"/>
      <c r="J112" s="17"/>
      <c r="K112" s="34"/>
    </row>
    <row r="113" spans="3:14" ht="15" customHeight="1" x14ac:dyDescent="0.25">
      <c r="C113" s="226" t="s">
        <v>174</v>
      </c>
      <c r="D113" s="227"/>
      <c r="E113" s="227"/>
      <c r="F113" s="227"/>
      <c r="G113" s="227"/>
      <c r="H113" s="228" t="str">
        <f>C17</f>
        <v xml:space="preserve">Auxílio Alimentação </v>
      </c>
      <c r="I113" s="228"/>
      <c r="J113" s="228"/>
      <c r="K113" s="229"/>
    </row>
    <row r="114" spans="3:14" ht="23.25" customHeight="1" x14ac:dyDescent="0.25">
      <c r="C114" s="210" t="s">
        <v>89</v>
      </c>
      <c r="D114" s="210"/>
      <c r="E114" s="64" t="s">
        <v>98</v>
      </c>
      <c r="F114" s="64" t="s">
        <v>91</v>
      </c>
      <c r="G114" s="64" t="s">
        <v>92</v>
      </c>
      <c r="H114" s="64" t="s">
        <v>93</v>
      </c>
      <c r="I114" s="64" t="s">
        <v>94</v>
      </c>
      <c r="J114" s="55" t="str">
        <f>J106</f>
        <v>Valor desconto</v>
      </c>
      <c r="K114" s="56" t="s">
        <v>96</v>
      </c>
    </row>
    <row r="115" spans="3:14" ht="15" customHeight="1" x14ac:dyDescent="0.25">
      <c r="C115" s="225">
        <f>IF(K17="Não aplicável",0,K17)</f>
        <v>0</v>
      </c>
      <c r="D115" s="225"/>
      <c r="E115" s="31">
        <f>IF(K18="Não aplicável",0,K18)</f>
        <v>22</v>
      </c>
      <c r="F115" s="65">
        <v>1</v>
      </c>
      <c r="G115" s="66">
        <f>C115*E115*F115</f>
        <v>0</v>
      </c>
      <c r="H115" s="66">
        <f>G115</f>
        <v>0</v>
      </c>
      <c r="I115" s="69">
        <f>IF(K19="Não aplicável",0,K19)</f>
        <v>0.19</v>
      </c>
      <c r="J115" s="66">
        <f>H115*I115</f>
        <v>0</v>
      </c>
      <c r="K115" s="70">
        <f>G115-J115</f>
        <v>0</v>
      </c>
    </row>
    <row r="116" spans="3:14" ht="4.5" customHeight="1" x14ac:dyDescent="0.25"/>
    <row r="117" spans="3:14" ht="12" customHeight="1" x14ac:dyDescent="0.25">
      <c r="C117" s="232" t="s">
        <v>99</v>
      </c>
      <c r="D117" s="232"/>
      <c r="E117" s="232"/>
      <c r="F117" s="232"/>
      <c r="G117" s="232"/>
      <c r="H117" s="232"/>
      <c r="I117" s="232"/>
      <c r="J117" s="35">
        <f>J49+J94+J103</f>
        <v>2.0411272158881557</v>
      </c>
      <c r="K117" s="36">
        <f>K49+K94+K103</f>
        <v>3440.511046109702</v>
      </c>
      <c r="L117" s="24"/>
      <c r="N117" s="24"/>
    </row>
    <row r="118" spans="3:14" s="41" customFormat="1" ht="4.5" customHeight="1" x14ac:dyDescent="0.25">
      <c r="C118" s="37"/>
      <c r="D118" s="37"/>
      <c r="E118" s="37"/>
      <c r="F118" s="37"/>
      <c r="G118" s="37"/>
      <c r="H118" s="37"/>
      <c r="I118" s="37"/>
      <c r="J118" s="38"/>
      <c r="K118" s="39"/>
      <c r="L118" s="40"/>
      <c r="N118" s="40"/>
    </row>
    <row r="119" spans="3:14" ht="11.25" customHeight="1" x14ac:dyDescent="0.25">
      <c r="C119" s="194" t="s">
        <v>100</v>
      </c>
      <c r="D119" s="194"/>
      <c r="E119" s="194"/>
      <c r="F119" s="194"/>
      <c r="G119" s="194"/>
      <c r="H119" s="194"/>
      <c r="I119" s="194"/>
      <c r="J119" s="194"/>
      <c r="K119" s="194"/>
    </row>
    <row r="120" spans="3:14" ht="33.75" customHeight="1" x14ac:dyDescent="0.25">
      <c r="C120" s="13" t="s">
        <v>30</v>
      </c>
      <c r="D120" s="195" t="s">
        <v>101</v>
      </c>
      <c r="E120" s="195"/>
      <c r="F120" s="195"/>
      <c r="G120" s="195"/>
      <c r="H120" s="195"/>
      <c r="I120" s="195"/>
      <c r="J120" s="13" t="s">
        <v>32</v>
      </c>
      <c r="K120" s="13" t="s">
        <v>33</v>
      </c>
    </row>
    <row r="121" spans="3:14" ht="15" customHeight="1" x14ac:dyDescent="0.25">
      <c r="C121" s="65">
        <v>1</v>
      </c>
      <c r="D121" s="175" t="s">
        <v>102</v>
      </c>
      <c r="E121" s="175"/>
      <c r="F121" s="175"/>
      <c r="G121" s="175"/>
      <c r="H121" s="175"/>
      <c r="I121" s="175"/>
      <c r="J121" s="14">
        <f t="shared" ref="J121:J126" si="6">K121/$K$132</f>
        <v>0</v>
      </c>
      <c r="K121" s="70">
        <v>0</v>
      </c>
    </row>
    <row r="122" spans="3:14" ht="15" customHeight="1" x14ac:dyDescent="0.25">
      <c r="C122" s="65">
        <v>2</v>
      </c>
      <c r="D122" s="174" t="s">
        <v>103</v>
      </c>
      <c r="E122" s="174"/>
      <c r="F122" s="174"/>
      <c r="G122" s="174"/>
      <c r="H122" s="174"/>
      <c r="I122" s="174"/>
      <c r="J122" s="14">
        <f t="shared" si="6"/>
        <v>0</v>
      </c>
      <c r="K122" s="70">
        <f>IF(H130=10%,I130,0)</f>
        <v>0</v>
      </c>
    </row>
    <row r="123" spans="3:14" ht="15" customHeight="1" x14ac:dyDescent="0.25">
      <c r="C123" s="65">
        <v>3</v>
      </c>
      <c r="D123" s="175" t="s">
        <v>104</v>
      </c>
      <c r="E123" s="175"/>
      <c r="F123" s="175"/>
      <c r="G123" s="175"/>
      <c r="H123" s="175"/>
      <c r="I123" s="175"/>
      <c r="J123" s="14">
        <f t="shared" si="6"/>
        <v>0</v>
      </c>
      <c r="K123" s="70">
        <v>0</v>
      </c>
    </row>
    <row r="124" spans="3:14" ht="15" customHeight="1" x14ac:dyDescent="0.25">
      <c r="C124" s="65">
        <v>4</v>
      </c>
      <c r="D124" s="174" t="s">
        <v>105</v>
      </c>
      <c r="E124" s="174"/>
      <c r="F124" s="174"/>
      <c r="G124" s="174"/>
      <c r="H124" s="174"/>
      <c r="I124" s="174"/>
      <c r="J124" s="14">
        <f t="shared" si="6"/>
        <v>0</v>
      </c>
      <c r="K124" s="70">
        <v>0</v>
      </c>
    </row>
    <row r="125" spans="3:14" ht="15" customHeight="1" x14ac:dyDescent="0.25">
      <c r="C125" s="65">
        <v>5</v>
      </c>
      <c r="D125" s="175" t="s">
        <v>106</v>
      </c>
      <c r="E125" s="175"/>
      <c r="F125" s="175"/>
      <c r="G125" s="175"/>
      <c r="H125" s="175"/>
      <c r="I125" s="175"/>
      <c r="J125" s="14">
        <f t="shared" si="6"/>
        <v>0</v>
      </c>
      <c r="K125" s="70">
        <v>0</v>
      </c>
    </row>
    <row r="126" spans="3:14" ht="15" customHeight="1" x14ac:dyDescent="0.25">
      <c r="C126" s="65">
        <v>6</v>
      </c>
      <c r="D126" s="175" t="s">
        <v>107</v>
      </c>
      <c r="E126" s="175"/>
      <c r="F126" s="175"/>
      <c r="G126" s="175"/>
      <c r="H126" s="175"/>
      <c r="I126" s="175"/>
      <c r="J126" s="14">
        <f t="shared" si="6"/>
        <v>0</v>
      </c>
      <c r="K126" s="70">
        <v>0</v>
      </c>
    </row>
    <row r="127" spans="3:14" ht="15" customHeight="1" x14ac:dyDescent="0.25">
      <c r="C127" s="213" t="s">
        <v>108</v>
      </c>
      <c r="D127" s="213"/>
      <c r="E127" s="213"/>
      <c r="F127" s="213"/>
      <c r="G127" s="213"/>
      <c r="H127" s="213"/>
      <c r="I127" s="213"/>
      <c r="J127" s="15">
        <f>J121+J122+J123+J124+J125+J126</f>
        <v>0</v>
      </c>
      <c r="K127" s="42">
        <f>SUM(K121:K126)</f>
        <v>0</v>
      </c>
      <c r="L127" s="24"/>
    </row>
    <row r="128" spans="3:14" ht="36" customHeight="1" x14ac:dyDescent="0.25">
      <c r="D128" s="217" t="s">
        <v>180</v>
      </c>
      <c r="E128" s="217"/>
      <c r="F128" s="217"/>
      <c r="G128" s="217"/>
      <c r="H128" s="217"/>
      <c r="I128" s="217"/>
      <c r="J128" s="217"/>
      <c r="K128" s="217"/>
    </row>
    <row r="129" spans="3:14" ht="5.25" customHeight="1" x14ac:dyDescent="0.25"/>
    <row r="130" spans="3:14" ht="48.75" customHeight="1" x14ac:dyDescent="0.25">
      <c r="C130" s="234" t="s">
        <v>109</v>
      </c>
      <c r="D130" s="234"/>
      <c r="E130" s="234"/>
      <c r="F130" s="234"/>
      <c r="G130" s="234"/>
      <c r="H130" s="43">
        <f>K32</f>
        <v>0.2</v>
      </c>
      <c r="I130" s="44">
        <f>K132*H130</f>
        <v>651.95015467648591</v>
      </c>
      <c r="J130" s="67" t="s">
        <v>110</v>
      </c>
      <c r="K130" s="45">
        <f>K100</f>
        <v>180.76027272727273</v>
      </c>
    </row>
    <row r="131" spans="3:14" s="48" customFormat="1" ht="16.5" customHeight="1" x14ac:dyDescent="0.25">
      <c r="C131" s="235" t="s">
        <v>111</v>
      </c>
      <c r="D131" s="235"/>
      <c r="E131" s="67" t="s">
        <v>112</v>
      </c>
      <c r="F131" s="67" t="s">
        <v>113</v>
      </c>
      <c r="G131" s="67" t="s">
        <v>114</v>
      </c>
      <c r="H131" s="67" t="s">
        <v>115</v>
      </c>
      <c r="I131" s="67" t="s">
        <v>116</v>
      </c>
      <c r="J131" s="67" t="s">
        <v>117</v>
      </c>
      <c r="K131" s="46" t="s">
        <v>118</v>
      </c>
      <c r="L131" s="47"/>
    </row>
    <row r="132" spans="3:14" ht="16.5" customHeight="1" x14ac:dyDescent="0.25">
      <c r="C132" s="236">
        <f>K49</f>
        <v>1685.5936363636365</v>
      </c>
      <c r="D132" s="236"/>
      <c r="E132" s="68">
        <f>K69</f>
        <v>620.29845818181832</v>
      </c>
      <c r="F132" s="68">
        <f>K81</f>
        <v>429.73029843545464</v>
      </c>
      <c r="G132" s="68">
        <f>K88</f>
        <v>58.65023057727273</v>
      </c>
      <c r="H132" s="68">
        <f>K92</f>
        <v>158.14074982424731</v>
      </c>
      <c r="I132" s="68">
        <f>K103</f>
        <v>488.09767272727277</v>
      </c>
      <c r="J132" s="68">
        <f>C132+E132+F132+G132+H132+I132</f>
        <v>3440.5110461097024</v>
      </c>
      <c r="K132" s="68">
        <f>J132-K130</f>
        <v>3259.7507733824295</v>
      </c>
      <c r="L132" s="24"/>
    </row>
    <row r="133" spans="3:14" ht="4.5" customHeight="1" x14ac:dyDescent="0.25">
      <c r="C133" s="19"/>
      <c r="D133" s="237"/>
      <c r="E133" s="237"/>
      <c r="F133" s="237"/>
      <c r="G133" s="237"/>
      <c r="H133" s="237"/>
      <c r="I133" s="237"/>
      <c r="J133" s="237"/>
      <c r="K133" s="237"/>
    </row>
    <row r="134" spans="3:14" ht="33.75" customHeight="1" x14ac:dyDescent="0.25">
      <c r="C134" s="13" t="s">
        <v>42</v>
      </c>
      <c r="D134" s="195" t="s">
        <v>119</v>
      </c>
      <c r="E134" s="195"/>
      <c r="F134" s="195"/>
      <c r="G134" s="195"/>
      <c r="H134" s="195"/>
      <c r="I134" s="195"/>
      <c r="J134" s="13" t="s">
        <v>32</v>
      </c>
      <c r="K134" s="13" t="s">
        <v>33</v>
      </c>
    </row>
    <row r="135" spans="3:14" ht="15" customHeight="1" x14ac:dyDescent="0.25">
      <c r="C135" s="65">
        <v>1</v>
      </c>
      <c r="D135" s="175" t="s">
        <v>120</v>
      </c>
      <c r="E135" s="175"/>
      <c r="F135" s="175"/>
      <c r="G135" s="175"/>
      <c r="H135" s="175"/>
      <c r="I135" s="175"/>
      <c r="J135" s="14">
        <f>K135/$K$145</f>
        <v>0</v>
      </c>
      <c r="K135" s="70">
        <v>0</v>
      </c>
    </row>
    <row r="136" spans="3:14" ht="15" customHeight="1" x14ac:dyDescent="0.25">
      <c r="C136" s="65">
        <v>2</v>
      </c>
      <c r="D136" s="175" t="s">
        <v>121</v>
      </c>
      <c r="E136" s="175"/>
      <c r="F136" s="175"/>
      <c r="G136" s="175"/>
      <c r="H136" s="175"/>
      <c r="I136" s="175"/>
      <c r="J136" s="14">
        <f>K136/$K$145</f>
        <v>0</v>
      </c>
      <c r="K136" s="70">
        <v>0</v>
      </c>
    </row>
    <row r="137" spans="3:14" ht="35.65" customHeight="1" x14ac:dyDescent="0.25">
      <c r="C137" s="213" t="s">
        <v>177</v>
      </c>
      <c r="D137" s="213"/>
      <c r="E137" s="213"/>
      <c r="F137" s="213"/>
      <c r="G137" s="213"/>
      <c r="H137" s="213"/>
      <c r="I137" s="213"/>
      <c r="J137" s="15">
        <f>J135+J136</f>
        <v>0</v>
      </c>
      <c r="K137" s="16">
        <f>SUM(K135:K136)</f>
        <v>0</v>
      </c>
    </row>
    <row r="138" spans="3:14" ht="4.5" customHeight="1" x14ac:dyDescent="0.25"/>
    <row r="139" spans="3:14" ht="33.75" customHeight="1" x14ac:dyDescent="0.25">
      <c r="C139" s="13" t="s">
        <v>55</v>
      </c>
      <c r="D139" s="195" t="s">
        <v>122</v>
      </c>
      <c r="E139" s="195"/>
      <c r="F139" s="195"/>
      <c r="G139" s="195"/>
      <c r="H139" s="195"/>
      <c r="I139" s="195"/>
      <c r="J139" s="13" t="s">
        <v>32</v>
      </c>
      <c r="K139" s="13" t="s">
        <v>33</v>
      </c>
    </row>
    <row r="140" spans="3:14" ht="15" customHeight="1" x14ac:dyDescent="0.25">
      <c r="C140" s="65">
        <v>1</v>
      </c>
      <c r="D140" s="175" t="s">
        <v>122</v>
      </c>
      <c r="E140" s="175"/>
      <c r="F140" s="175"/>
      <c r="G140" s="175"/>
      <c r="H140" s="175"/>
      <c r="I140" s="175"/>
      <c r="J140" s="14">
        <f>K140/K145</f>
        <v>0</v>
      </c>
      <c r="K140" s="70">
        <v>0</v>
      </c>
    </row>
    <row r="141" spans="3:14" ht="36.6" customHeight="1" x14ac:dyDescent="0.25">
      <c r="C141" s="213" t="s">
        <v>176</v>
      </c>
      <c r="D141" s="213"/>
      <c r="E141" s="213"/>
      <c r="F141" s="213"/>
      <c r="G141" s="213"/>
      <c r="H141" s="213"/>
      <c r="I141" s="213"/>
      <c r="J141" s="15">
        <f>J140</f>
        <v>0</v>
      </c>
      <c r="K141" s="16">
        <f>K140</f>
        <v>0</v>
      </c>
      <c r="L141" s="24"/>
      <c r="M141" s="24"/>
      <c r="N141" s="2"/>
    </row>
    <row r="142" spans="3:14" ht="4.5" customHeight="1" x14ac:dyDescent="0.25">
      <c r="C142" s="18"/>
      <c r="D142" s="18"/>
      <c r="E142" s="18"/>
      <c r="F142" s="18"/>
      <c r="G142" s="18"/>
      <c r="H142" s="18"/>
      <c r="I142" s="18"/>
      <c r="J142" s="25"/>
      <c r="K142" s="26"/>
    </row>
    <row r="143" spans="3:14" ht="39" customHeight="1" x14ac:dyDescent="0.25">
      <c r="C143" s="233" t="s">
        <v>123</v>
      </c>
      <c r="D143" s="233"/>
      <c r="E143" s="233"/>
      <c r="F143" s="233"/>
      <c r="G143" s="233"/>
      <c r="H143" s="43">
        <v>0.18</v>
      </c>
      <c r="I143" s="44">
        <f>K145*H143</f>
        <v>586.75513920883725</v>
      </c>
      <c r="J143" s="67" t="s">
        <v>110</v>
      </c>
      <c r="K143" s="45">
        <f>K100</f>
        <v>180.76027272727273</v>
      </c>
      <c r="N143" s="2"/>
    </row>
    <row r="144" spans="3:14" s="48" customFormat="1" ht="16.5" customHeight="1" x14ac:dyDescent="0.25">
      <c r="C144" s="235" t="s">
        <v>111</v>
      </c>
      <c r="D144" s="235"/>
      <c r="E144" s="67" t="s">
        <v>112</v>
      </c>
      <c r="F144" s="67" t="s">
        <v>113</v>
      </c>
      <c r="G144" s="67" t="s">
        <v>114</v>
      </c>
      <c r="H144" s="67" t="s">
        <v>115</v>
      </c>
      <c r="I144" s="67" t="s">
        <v>116</v>
      </c>
      <c r="J144" s="67" t="s">
        <v>117</v>
      </c>
      <c r="K144" s="46" t="s">
        <v>118</v>
      </c>
      <c r="L144" s="47"/>
      <c r="N144" s="47"/>
    </row>
    <row r="145" spans="3:14" ht="16.5" customHeight="1" x14ac:dyDescent="0.25">
      <c r="C145" s="236">
        <f>K49</f>
        <v>1685.5936363636365</v>
      </c>
      <c r="D145" s="236"/>
      <c r="E145" s="68">
        <f>K69</f>
        <v>620.29845818181832</v>
      </c>
      <c r="F145" s="68">
        <f>K81</f>
        <v>429.73029843545464</v>
      </c>
      <c r="G145" s="68">
        <f>K88</f>
        <v>58.65023057727273</v>
      </c>
      <c r="H145" s="68">
        <f>K92</f>
        <v>158.14074982424731</v>
      </c>
      <c r="I145" s="68">
        <f>K103</f>
        <v>488.09767272727277</v>
      </c>
      <c r="J145" s="68">
        <f>C145+E145+F145+G145+H145+I145</f>
        <v>3440.5110461097024</v>
      </c>
      <c r="K145" s="68">
        <f>J145-K143</f>
        <v>3259.7507733824295</v>
      </c>
      <c r="L145" s="24"/>
      <c r="N145" s="2"/>
    </row>
    <row r="146" spans="3:14" ht="4.5" customHeight="1" x14ac:dyDescent="0.25"/>
    <row r="147" spans="3:14" ht="12" customHeight="1" x14ac:dyDescent="0.25">
      <c r="C147" s="232" t="s">
        <v>124</v>
      </c>
      <c r="D147" s="232"/>
      <c r="E147" s="232"/>
      <c r="F147" s="232"/>
      <c r="G147" s="232"/>
      <c r="H147" s="232"/>
      <c r="I147" s="232"/>
      <c r="J147" s="35">
        <f>J127+J137+J141</f>
        <v>0</v>
      </c>
      <c r="K147" s="36">
        <f>K127+K137+K141</f>
        <v>0</v>
      </c>
    </row>
    <row r="148" spans="3:14" ht="4.5" customHeight="1" x14ac:dyDescent="0.25"/>
    <row r="149" spans="3:14" ht="11.25" customHeight="1" x14ac:dyDescent="0.25">
      <c r="C149" s="194" t="s">
        <v>125</v>
      </c>
      <c r="D149" s="194"/>
      <c r="E149" s="194"/>
      <c r="F149" s="194"/>
      <c r="G149" s="194"/>
      <c r="H149" s="194"/>
      <c r="I149" s="194"/>
      <c r="J149" s="194"/>
      <c r="K149" s="194"/>
    </row>
    <row r="150" spans="3:14" ht="33.75" customHeight="1" x14ac:dyDescent="0.25">
      <c r="C150" s="13" t="s">
        <v>30</v>
      </c>
      <c r="D150" s="195" t="s">
        <v>126</v>
      </c>
      <c r="E150" s="195"/>
      <c r="F150" s="195"/>
      <c r="G150" s="195"/>
      <c r="H150" s="195"/>
      <c r="I150" s="195"/>
      <c r="J150" s="13" t="s">
        <v>32</v>
      </c>
      <c r="K150" s="13" t="s">
        <v>33</v>
      </c>
    </row>
    <row r="151" spans="3:14" ht="15" customHeight="1" x14ac:dyDescent="0.25">
      <c r="C151" s="65">
        <v>1</v>
      </c>
      <c r="D151" s="175" t="s">
        <v>127</v>
      </c>
      <c r="E151" s="175"/>
      <c r="F151" s="175"/>
      <c r="G151" s="175"/>
      <c r="H151" s="175"/>
      <c r="I151" s="175"/>
      <c r="J151" s="14">
        <f>K151/$K$117</f>
        <v>1.7581246670218435E-2</v>
      </c>
      <c r="K151" s="70">
        <f>($F$161/$G$163)*I161</f>
        <v>60.48847337326594</v>
      </c>
    </row>
    <row r="152" spans="3:14" ht="15" customHeight="1" x14ac:dyDescent="0.25">
      <c r="C152" s="65">
        <v>2</v>
      </c>
      <c r="D152" s="175" t="s">
        <v>128</v>
      </c>
      <c r="E152" s="175"/>
      <c r="F152" s="175"/>
      <c r="G152" s="175"/>
      <c r="H152" s="175"/>
      <c r="I152" s="175"/>
      <c r="J152" s="14">
        <f>K152/$K$117</f>
        <v>8.0980287693127331E-2</v>
      </c>
      <c r="K152" s="70">
        <f>($F$161/$G$163)*I162</f>
        <v>278.61357432534612</v>
      </c>
    </row>
    <row r="153" spans="3:14" ht="15" customHeight="1" x14ac:dyDescent="0.25">
      <c r="C153" s="65">
        <v>3</v>
      </c>
      <c r="D153" s="175" t="s">
        <v>11</v>
      </c>
      <c r="E153" s="175"/>
      <c r="F153" s="175"/>
      <c r="G153" s="175"/>
      <c r="H153" s="175"/>
      <c r="I153" s="175"/>
      <c r="J153" s="14">
        <f>K153/$K$117</f>
        <v>2.6638252530633993E-2</v>
      </c>
      <c r="K153" s="70">
        <f>($F$161/$G$163)*I163</f>
        <v>91.649202080705976</v>
      </c>
    </row>
    <row r="154" spans="3:14" ht="15" customHeight="1" x14ac:dyDescent="0.25">
      <c r="C154" s="65">
        <v>4</v>
      </c>
      <c r="D154" s="175" t="s">
        <v>129</v>
      </c>
      <c r="E154" s="175"/>
      <c r="F154" s="175"/>
      <c r="G154" s="175"/>
      <c r="H154" s="175"/>
      <c r="I154" s="175"/>
      <c r="J154" s="14">
        <f>K154/$K$117</f>
        <v>0</v>
      </c>
      <c r="K154" s="70">
        <f>($F$161/$G$163)*I164</f>
        <v>0</v>
      </c>
    </row>
    <row r="155" spans="3:14" ht="15" customHeight="1" x14ac:dyDescent="0.25">
      <c r="C155" s="65">
        <v>5</v>
      </c>
      <c r="D155" s="175" t="s">
        <v>130</v>
      </c>
      <c r="E155" s="175"/>
      <c r="F155" s="175"/>
      <c r="G155" s="175"/>
      <c r="H155" s="175"/>
      <c r="I155" s="175"/>
      <c r="J155" s="14">
        <f>K155/$K$117</f>
        <v>0</v>
      </c>
      <c r="K155" s="70">
        <f>($F$161/$G$163)*I165</f>
        <v>0</v>
      </c>
    </row>
    <row r="156" spans="3:14" ht="15" customHeight="1" x14ac:dyDescent="0.25">
      <c r="C156" s="213" t="s">
        <v>131</v>
      </c>
      <c r="D156" s="213"/>
      <c r="E156" s="213"/>
      <c r="F156" s="213"/>
      <c r="G156" s="213"/>
      <c r="H156" s="213"/>
      <c r="I156" s="213"/>
      <c r="J156" s="15">
        <f>J151+J152+J153+J154+J155</f>
        <v>0.12519978689397976</v>
      </c>
      <c r="K156" s="16">
        <f>SUM(K151:K155)</f>
        <v>430.75124977931807</v>
      </c>
    </row>
    <row r="157" spans="3:14" ht="11.25" customHeight="1" x14ac:dyDescent="0.25">
      <c r="C157" s="19" t="s">
        <v>132</v>
      </c>
      <c r="D157" s="217" t="s">
        <v>133</v>
      </c>
      <c r="E157" s="217"/>
      <c r="F157" s="217"/>
      <c r="G157" s="217"/>
      <c r="H157" s="217"/>
      <c r="I157" s="217"/>
      <c r="J157" s="217"/>
      <c r="K157" s="217"/>
    </row>
    <row r="158" spans="3:14" ht="18.75" customHeight="1" x14ac:dyDescent="0.25">
      <c r="C158" s="19" t="s">
        <v>134</v>
      </c>
      <c r="D158" s="242" t="s">
        <v>135</v>
      </c>
      <c r="E158" s="242"/>
      <c r="F158" s="242"/>
      <c r="G158" s="242"/>
      <c r="H158" s="242"/>
      <c r="I158" s="242"/>
      <c r="J158" s="242"/>
      <c r="K158" s="242"/>
    </row>
    <row r="159" spans="3:14" ht="13.5" customHeight="1" x14ac:dyDescent="0.25">
      <c r="C159" s="224" t="s">
        <v>136</v>
      </c>
      <c r="D159" s="224"/>
      <c r="E159" s="224"/>
      <c r="F159" s="224"/>
      <c r="G159" s="224"/>
      <c r="H159" s="224"/>
      <c r="I159" s="224"/>
      <c r="J159" s="224"/>
      <c r="K159" s="224"/>
    </row>
    <row r="160" spans="3:14" ht="13.5" customHeight="1" x14ac:dyDescent="0.25">
      <c r="C160" s="193" t="s">
        <v>137</v>
      </c>
      <c r="D160" s="193"/>
      <c r="E160" s="65" t="s">
        <v>138</v>
      </c>
      <c r="F160" s="178" t="s">
        <v>139</v>
      </c>
      <c r="G160" s="178"/>
      <c r="H160" s="65" t="s">
        <v>140</v>
      </c>
      <c r="I160" s="90" t="s">
        <v>141</v>
      </c>
      <c r="J160" s="243" t="s">
        <v>142</v>
      </c>
      <c r="K160" s="243"/>
    </row>
    <row r="161" spans="3:12" ht="13.5" customHeight="1" x14ac:dyDescent="0.25">
      <c r="C161" s="244">
        <f>K117</f>
        <v>3440.511046109702</v>
      </c>
      <c r="D161" s="244"/>
      <c r="E161" s="70">
        <f>K147</f>
        <v>0</v>
      </c>
      <c r="F161" s="245">
        <f>C161+E161</f>
        <v>3440.511046109702</v>
      </c>
      <c r="G161" s="245"/>
      <c r="H161" s="65" t="str">
        <f>D151</f>
        <v>PIS</v>
      </c>
      <c r="I161" s="93">
        <v>1.6500000000000001E-2</v>
      </c>
      <c r="J161" s="239">
        <v>6.4999999999999997E-3</v>
      </c>
      <c r="K161" s="239"/>
      <c r="L161" s="24"/>
    </row>
    <row r="162" spans="3:12" ht="13.5" customHeight="1" x14ac:dyDescent="0.25">
      <c r="C162" s="238" t="s">
        <v>143</v>
      </c>
      <c r="D162" s="238"/>
      <c r="E162" s="90">
        <v>1</v>
      </c>
      <c r="F162" s="91">
        <f>I166/1</f>
        <v>0.11749999999999999</v>
      </c>
      <c r="G162" s="92">
        <f>E162-F162</f>
        <v>0.88250000000000006</v>
      </c>
      <c r="H162" s="65" t="str">
        <f>D152</f>
        <v>COFINS</v>
      </c>
      <c r="I162" s="93">
        <v>7.5999999999999998E-2</v>
      </c>
      <c r="J162" s="239">
        <v>0.03</v>
      </c>
      <c r="K162" s="239"/>
    </row>
    <row r="163" spans="3:12" ht="13.5" customHeight="1" x14ac:dyDescent="0.25">
      <c r="C163" s="240" t="s">
        <v>144</v>
      </c>
      <c r="D163" s="240"/>
      <c r="E163" s="87">
        <v>1</v>
      </c>
      <c r="F163" s="88">
        <f>J166</f>
        <v>6.1499999999999999E-2</v>
      </c>
      <c r="G163" s="89">
        <f>E163-F163</f>
        <v>0.9385</v>
      </c>
      <c r="H163" s="65" t="str">
        <f>D153</f>
        <v>ISS</v>
      </c>
      <c r="I163" s="93">
        <f>K13</f>
        <v>2.5000000000000001E-2</v>
      </c>
      <c r="J163" s="239">
        <f>K13</f>
        <v>2.5000000000000001E-2</v>
      </c>
      <c r="K163" s="239"/>
    </row>
    <row r="164" spans="3:12" ht="13.5" customHeight="1" x14ac:dyDescent="0.25">
      <c r="C164" s="241" t="s">
        <v>145</v>
      </c>
      <c r="D164" s="241"/>
      <c r="E164" s="65">
        <v>1</v>
      </c>
      <c r="F164" s="49">
        <v>0.09</v>
      </c>
      <c r="G164" s="50">
        <f>E164-F164</f>
        <v>0.91</v>
      </c>
      <c r="H164" s="65" t="s">
        <v>146</v>
      </c>
      <c r="I164" s="93">
        <v>0</v>
      </c>
      <c r="J164" s="239">
        <v>0</v>
      </c>
      <c r="K164" s="239"/>
    </row>
    <row r="165" spans="3:12" ht="13.5" customHeight="1" x14ac:dyDescent="0.25">
      <c r="C165" s="247" t="s">
        <v>147</v>
      </c>
      <c r="D165" s="247" t="s">
        <v>148</v>
      </c>
      <c r="E165" s="247"/>
      <c r="F165" s="247"/>
      <c r="G165" s="247"/>
      <c r="H165" s="62" t="s">
        <v>149</v>
      </c>
      <c r="I165" s="93">
        <v>0</v>
      </c>
      <c r="J165" s="239">
        <v>0</v>
      </c>
      <c r="K165" s="239"/>
    </row>
    <row r="166" spans="3:12" ht="18" customHeight="1" x14ac:dyDescent="0.25">
      <c r="C166" s="247"/>
      <c r="D166" s="247"/>
      <c r="E166" s="247"/>
      <c r="F166" s="247"/>
      <c r="G166" s="247"/>
      <c r="H166" s="59" t="s">
        <v>150</v>
      </c>
      <c r="I166" s="94">
        <f>SUM(I161:I165)</f>
        <v>0.11749999999999999</v>
      </c>
      <c r="J166" s="248">
        <f>SUM(J161:K165)</f>
        <v>6.1499999999999999E-2</v>
      </c>
      <c r="K166" s="248"/>
    </row>
    <row r="167" spans="3:12" ht="18" customHeight="1" x14ac:dyDescent="0.25">
      <c r="C167" s="19" t="s">
        <v>151</v>
      </c>
      <c r="D167" s="242" t="s">
        <v>152</v>
      </c>
      <c r="E167" s="242"/>
      <c r="F167" s="242"/>
      <c r="G167" s="242"/>
      <c r="H167" s="242"/>
      <c r="I167" s="242"/>
      <c r="J167" s="242"/>
      <c r="K167" s="242"/>
    </row>
    <row r="168" spans="3:12" ht="4.5" customHeight="1" x14ac:dyDescent="0.25">
      <c r="C168" s="51"/>
      <c r="D168" s="249"/>
      <c r="E168" s="249"/>
      <c r="F168" s="249"/>
      <c r="G168" s="249"/>
      <c r="H168" s="249"/>
      <c r="I168" s="249"/>
      <c r="J168" s="249"/>
      <c r="K168" s="249"/>
    </row>
    <row r="169" spans="3:12" ht="12" customHeight="1" x14ac:dyDescent="0.25">
      <c r="C169" s="232" t="s">
        <v>153</v>
      </c>
      <c r="D169" s="232"/>
      <c r="E169" s="232"/>
      <c r="F169" s="232"/>
      <c r="G169" s="232"/>
      <c r="H169" s="232"/>
      <c r="I169" s="232"/>
      <c r="J169" s="35">
        <f>J156</f>
        <v>0.12519978689397976</v>
      </c>
      <c r="K169" s="36">
        <f>K156</f>
        <v>430.75124977931807</v>
      </c>
    </row>
    <row r="170" spans="3:12" ht="4.5" customHeight="1" x14ac:dyDescent="0.25"/>
    <row r="171" spans="3:12" ht="11.25" customHeight="1" x14ac:dyDescent="0.25">
      <c r="C171" s="246" t="s">
        <v>154</v>
      </c>
      <c r="D171" s="246"/>
      <c r="E171" s="246"/>
      <c r="F171" s="246"/>
      <c r="G171" s="246"/>
      <c r="H171" s="246"/>
      <c r="I171" s="246"/>
      <c r="J171" s="246"/>
      <c r="K171" s="246"/>
    </row>
    <row r="172" spans="3:12" ht="11.25" customHeight="1" x14ac:dyDescent="0.25">
      <c r="C172" s="194" t="s">
        <v>29</v>
      </c>
      <c r="D172" s="194"/>
      <c r="E172" s="194"/>
      <c r="F172" s="194"/>
      <c r="G172" s="194"/>
      <c r="H172" s="194"/>
      <c r="I172" s="194"/>
      <c r="J172" s="194"/>
      <c r="K172" s="194"/>
    </row>
    <row r="173" spans="3:12" ht="15" customHeight="1" x14ac:dyDescent="0.25">
      <c r="C173" s="65">
        <v>1</v>
      </c>
      <c r="D173" s="175" t="s">
        <v>155</v>
      </c>
      <c r="E173" s="175"/>
      <c r="F173" s="175"/>
      <c r="G173" s="175"/>
      <c r="H173" s="175"/>
      <c r="I173" s="175"/>
      <c r="J173" s="14">
        <f>K173/$I$194</f>
        <v>0.4354118908846879</v>
      </c>
      <c r="K173" s="52">
        <f>K49</f>
        <v>1685.5936363636365</v>
      </c>
    </row>
    <row r="174" spans="3:12" ht="15" customHeight="1" x14ac:dyDescent="0.25">
      <c r="C174" s="65">
        <v>2</v>
      </c>
      <c r="D174" s="175" t="s">
        <v>156</v>
      </c>
      <c r="E174" s="175"/>
      <c r="F174" s="175"/>
      <c r="G174" s="175"/>
      <c r="H174" s="175"/>
      <c r="I174" s="175"/>
      <c r="J174" s="14">
        <f>K174/$I$194</f>
        <v>0.32723686492750875</v>
      </c>
      <c r="K174" s="52">
        <f>K69+K81+K88+K92</f>
        <v>1266.8197370187927</v>
      </c>
    </row>
    <row r="175" spans="3:12" ht="15" customHeight="1" x14ac:dyDescent="0.25">
      <c r="C175" s="65">
        <v>3</v>
      </c>
      <c r="D175" s="175" t="s">
        <v>157</v>
      </c>
      <c r="E175" s="175"/>
      <c r="F175" s="175"/>
      <c r="G175" s="175"/>
      <c r="H175" s="175"/>
      <c r="I175" s="175"/>
      <c r="J175" s="14">
        <f>K175/$I$194</f>
        <v>0.1260823047938639</v>
      </c>
      <c r="K175" s="52">
        <f>K103</f>
        <v>488.09767272727277</v>
      </c>
    </row>
    <row r="176" spans="3:12" s="18" customFormat="1" ht="15" customHeight="1" x14ac:dyDescent="0.25">
      <c r="C176" s="232" t="s">
        <v>158</v>
      </c>
      <c r="D176" s="232"/>
      <c r="E176" s="232"/>
      <c r="F176" s="232"/>
      <c r="G176" s="232"/>
      <c r="H176" s="232"/>
      <c r="I176" s="232"/>
      <c r="J176" s="35">
        <f>J173+J174+J175</f>
        <v>0.88873106060606055</v>
      </c>
      <c r="K176" s="36">
        <f>SUM(K173:K175)</f>
        <v>3440.511046109702</v>
      </c>
      <c r="L176" s="25"/>
    </row>
    <row r="177" spans="3:13" ht="4.5" customHeight="1" x14ac:dyDescent="0.25"/>
    <row r="178" spans="3:13" ht="11.25" customHeight="1" x14ac:dyDescent="0.25">
      <c r="C178" s="194" t="s">
        <v>100</v>
      </c>
      <c r="D178" s="194"/>
      <c r="E178" s="194"/>
      <c r="F178" s="194"/>
      <c r="G178" s="194"/>
      <c r="H178" s="194"/>
      <c r="I178" s="194"/>
      <c r="J178" s="194"/>
      <c r="K178" s="194"/>
    </row>
    <row r="179" spans="3:13" ht="15" customHeight="1" x14ac:dyDescent="0.25">
      <c r="C179" s="65">
        <v>1</v>
      </c>
      <c r="D179" s="175" t="s">
        <v>159</v>
      </c>
      <c r="E179" s="175"/>
      <c r="F179" s="175"/>
      <c r="G179" s="175"/>
      <c r="H179" s="175"/>
      <c r="I179" s="175"/>
      <c r="J179" s="14">
        <f>K179/$I$194</f>
        <v>0</v>
      </c>
      <c r="K179" s="70">
        <f>K127</f>
        <v>0</v>
      </c>
    </row>
    <row r="180" spans="3:13" ht="15" customHeight="1" x14ac:dyDescent="0.25">
      <c r="C180" s="65">
        <v>2</v>
      </c>
      <c r="D180" s="175" t="s">
        <v>160</v>
      </c>
      <c r="E180" s="175"/>
      <c r="F180" s="175"/>
      <c r="G180" s="175"/>
      <c r="H180" s="175"/>
      <c r="I180" s="175"/>
      <c r="J180" s="14">
        <f>K180/$I$194</f>
        <v>0</v>
      </c>
      <c r="K180" s="70">
        <f>K137</f>
        <v>0</v>
      </c>
    </row>
    <row r="181" spans="3:13" ht="15" customHeight="1" x14ac:dyDescent="0.25">
      <c r="C181" s="65">
        <v>3</v>
      </c>
      <c r="D181" s="175" t="s">
        <v>161</v>
      </c>
      <c r="E181" s="175"/>
      <c r="F181" s="175"/>
      <c r="G181" s="175"/>
      <c r="H181" s="175"/>
      <c r="I181" s="175"/>
      <c r="J181" s="14">
        <f>K181/$I$194</f>
        <v>0</v>
      </c>
      <c r="K181" s="70">
        <f>K141</f>
        <v>0</v>
      </c>
    </row>
    <row r="182" spans="3:13" ht="15" customHeight="1" x14ac:dyDescent="0.25">
      <c r="C182" s="232" t="s">
        <v>162</v>
      </c>
      <c r="D182" s="232"/>
      <c r="E182" s="232"/>
      <c r="F182" s="232"/>
      <c r="G182" s="232"/>
      <c r="H182" s="232"/>
      <c r="I182" s="232"/>
      <c r="J182" s="35">
        <f>J179+J180+J181</f>
        <v>0</v>
      </c>
      <c r="K182" s="36">
        <f>K179+K180+K181</f>
        <v>0</v>
      </c>
    </row>
    <row r="183" spans="3:13" ht="4.5" customHeight="1" x14ac:dyDescent="0.25"/>
    <row r="184" spans="3:13" ht="11.25" customHeight="1" x14ac:dyDescent="0.25">
      <c r="C184" s="194" t="s">
        <v>125</v>
      </c>
      <c r="D184" s="194"/>
      <c r="E184" s="194"/>
      <c r="F184" s="194"/>
      <c r="G184" s="194"/>
      <c r="H184" s="194"/>
      <c r="I184" s="194"/>
      <c r="J184" s="194"/>
      <c r="K184" s="194"/>
    </row>
    <row r="185" spans="3:13" ht="15" customHeight="1" x14ac:dyDescent="0.25">
      <c r="C185" s="65">
        <v>1</v>
      </c>
      <c r="D185" s="175" t="s">
        <v>163</v>
      </c>
      <c r="E185" s="175"/>
      <c r="F185" s="175"/>
      <c r="G185" s="175"/>
      <c r="H185" s="175"/>
      <c r="I185" s="175"/>
      <c r="J185" s="14">
        <f>K185/$I$194</f>
        <v>0.11126893939393939</v>
      </c>
      <c r="K185" s="70">
        <f>K156</f>
        <v>430.75124977931807</v>
      </c>
    </row>
    <row r="186" spans="3:13" ht="15" customHeight="1" x14ac:dyDescent="0.25">
      <c r="C186" s="232" t="s">
        <v>164</v>
      </c>
      <c r="D186" s="232"/>
      <c r="E186" s="232"/>
      <c r="F186" s="232"/>
      <c r="G186" s="232"/>
      <c r="H186" s="232"/>
      <c r="I186" s="232"/>
      <c r="J186" s="35">
        <f>J185</f>
        <v>0.11126893939393939</v>
      </c>
      <c r="K186" s="36">
        <f>K156</f>
        <v>430.75124977931807</v>
      </c>
      <c r="M186" s="30"/>
    </row>
    <row r="187" spans="3:13" ht="4.5" customHeight="1" x14ac:dyDescent="0.25"/>
    <row r="188" spans="3:13" ht="11.25" customHeight="1" x14ac:dyDescent="0.25">
      <c r="C188" s="167" t="s">
        <v>186</v>
      </c>
      <c r="D188" s="167"/>
      <c r="E188" s="167"/>
      <c r="F188" s="167"/>
      <c r="G188" s="167"/>
      <c r="H188" s="167"/>
      <c r="I188" s="167"/>
      <c r="J188" s="167"/>
      <c r="K188" s="167"/>
    </row>
    <row r="189" spans="3:13" ht="4.9000000000000004" customHeight="1" x14ac:dyDescent="0.25">
      <c r="C189" s="166"/>
      <c r="D189" s="166"/>
      <c r="E189" s="166"/>
      <c r="F189" s="166"/>
      <c r="G189" s="166"/>
      <c r="H189" s="166"/>
      <c r="I189" s="166"/>
      <c r="J189" s="166"/>
      <c r="K189" s="166"/>
    </row>
    <row r="190" spans="3:13" ht="40.5" customHeight="1" x14ac:dyDescent="0.25">
      <c r="C190" s="167" t="s">
        <v>184</v>
      </c>
      <c r="D190" s="167"/>
      <c r="E190" s="167"/>
      <c r="F190" s="167"/>
      <c r="G190" s="167"/>
      <c r="H190" s="167"/>
      <c r="I190" s="163" t="s">
        <v>194</v>
      </c>
      <c r="J190" s="164"/>
      <c r="K190" s="165"/>
    </row>
    <row r="191" spans="3:13" ht="11.25" customHeight="1" x14ac:dyDescent="0.25">
      <c r="C191" s="167"/>
      <c r="D191" s="167"/>
      <c r="E191" s="167"/>
      <c r="F191" s="167"/>
      <c r="G191" s="167"/>
      <c r="H191" s="167"/>
      <c r="I191" s="85"/>
      <c r="J191" s="86"/>
      <c r="K191" s="86">
        <f>((J73+J79+J80+J85+J86+J87)+((J73+J79+J80+J85+J86+J87)*J69))*K49*J194</f>
        <v>565.13725809957828</v>
      </c>
    </row>
    <row r="192" spans="3:13" ht="4.9000000000000004" customHeight="1" x14ac:dyDescent="0.25">
      <c r="C192" s="166"/>
      <c r="D192" s="166"/>
      <c r="E192" s="166"/>
      <c r="F192" s="166"/>
      <c r="G192" s="166"/>
      <c r="H192" s="166"/>
      <c r="I192" s="166"/>
      <c r="J192" s="166"/>
      <c r="K192" s="166"/>
    </row>
    <row r="193" spans="3:15" ht="35.450000000000003" customHeight="1" x14ac:dyDescent="0.25">
      <c r="C193" s="168" t="s">
        <v>185</v>
      </c>
      <c r="D193" s="169"/>
      <c r="E193" s="169"/>
      <c r="F193" s="169"/>
      <c r="G193" s="169"/>
      <c r="H193" s="170"/>
      <c r="I193" s="72" t="s">
        <v>165</v>
      </c>
      <c r="J193" s="72" t="s">
        <v>166</v>
      </c>
      <c r="K193" s="72" t="s">
        <v>167</v>
      </c>
    </row>
    <row r="194" spans="3:15" ht="14.45" customHeight="1" x14ac:dyDescent="0.25">
      <c r="C194" s="171"/>
      <c r="D194" s="172"/>
      <c r="E194" s="172"/>
      <c r="F194" s="172"/>
      <c r="G194" s="172"/>
      <c r="H194" s="173"/>
      <c r="I194" s="80">
        <f>K176+K182+K186</f>
        <v>3871.2622958890202</v>
      </c>
      <c r="J194" s="71">
        <f>IF(F8="12x36",2,1)</f>
        <v>1</v>
      </c>
      <c r="K194" s="81">
        <f>I194*J194</f>
        <v>3871.2622958890202</v>
      </c>
    </row>
    <row r="195" spans="3:15" x14ac:dyDescent="0.25">
      <c r="O195" s="30"/>
    </row>
  </sheetData>
  <mergeCells count="181">
    <mergeCell ref="C184:K184"/>
    <mergeCell ref="D185:I185"/>
    <mergeCell ref="C186:I186"/>
    <mergeCell ref="C188:K188"/>
    <mergeCell ref="C176:I176"/>
    <mergeCell ref="C178:K178"/>
    <mergeCell ref="D179:I179"/>
    <mergeCell ref="D180:I180"/>
    <mergeCell ref="D181:I181"/>
    <mergeCell ref="C182:I182"/>
    <mergeCell ref="C169:I169"/>
    <mergeCell ref="C171:K171"/>
    <mergeCell ref="C172:K172"/>
    <mergeCell ref="D173:I173"/>
    <mergeCell ref="D174:I174"/>
    <mergeCell ref="D175:I175"/>
    <mergeCell ref="C165:C166"/>
    <mergeCell ref="D165:G166"/>
    <mergeCell ref="J165:K165"/>
    <mergeCell ref="J166:K166"/>
    <mergeCell ref="D167:K167"/>
    <mergeCell ref="D168:K168"/>
    <mergeCell ref="C162:D162"/>
    <mergeCell ref="J162:K162"/>
    <mergeCell ref="C163:D163"/>
    <mergeCell ref="J163:K163"/>
    <mergeCell ref="C164:D164"/>
    <mergeCell ref="J164:K164"/>
    <mergeCell ref="D158:K158"/>
    <mergeCell ref="C159:K159"/>
    <mergeCell ref="C160:D160"/>
    <mergeCell ref="F160:G160"/>
    <mergeCell ref="J160:K160"/>
    <mergeCell ref="C161:D161"/>
    <mergeCell ref="F161:G161"/>
    <mergeCell ref="J161:K161"/>
    <mergeCell ref="D152:I152"/>
    <mergeCell ref="D153:I153"/>
    <mergeCell ref="D154:I154"/>
    <mergeCell ref="D155:I155"/>
    <mergeCell ref="C156:I156"/>
    <mergeCell ref="D157:K157"/>
    <mergeCell ref="C144:D144"/>
    <mergeCell ref="C145:D145"/>
    <mergeCell ref="C147:I147"/>
    <mergeCell ref="C149:K149"/>
    <mergeCell ref="D150:I150"/>
    <mergeCell ref="D151:I151"/>
    <mergeCell ref="D136:I136"/>
    <mergeCell ref="C137:I137"/>
    <mergeCell ref="D139:I139"/>
    <mergeCell ref="D140:I140"/>
    <mergeCell ref="C141:I141"/>
    <mergeCell ref="C143:G143"/>
    <mergeCell ref="C130:G130"/>
    <mergeCell ref="C131:D131"/>
    <mergeCell ref="C132:D132"/>
    <mergeCell ref="D133:K133"/>
    <mergeCell ref="D134:I134"/>
    <mergeCell ref="D135:I135"/>
    <mergeCell ref="D123:I123"/>
    <mergeCell ref="D124:I124"/>
    <mergeCell ref="D125:I125"/>
    <mergeCell ref="D126:I126"/>
    <mergeCell ref="C127:I127"/>
    <mergeCell ref="D128:K128"/>
    <mergeCell ref="C115:D115"/>
    <mergeCell ref="C117:I117"/>
    <mergeCell ref="C119:K119"/>
    <mergeCell ref="D120:I120"/>
    <mergeCell ref="D121:I121"/>
    <mergeCell ref="D122:I122"/>
    <mergeCell ref="C109:K109"/>
    <mergeCell ref="C110:D110"/>
    <mergeCell ref="C111:D111"/>
    <mergeCell ref="C113:G113"/>
    <mergeCell ref="H113:K113"/>
    <mergeCell ref="C114:D114"/>
    <mergeCell ref="D102:I102"/>
    <mergeCell ref="C103:I103"/>
    <mergeCell ref="D104:I104"/>
    <mergeCell ref="C105:K105"/>
    <mergeCell ref="C106:D106"/>
    <mergeCell ref="C107:D107"/>
    <mergeCell ref="D96:I96"/>
    <mergeCell ref="D97:I97"/>
    <mergeCell ref="D98:I98"/>
    <mergeCell ref="D99:I99"/>
    <mergeCell ref="D100:I100"/>
    <mergeCell ref="D101:I101"/>
    <mergeCell ref="D87:I87"/>
    <mergeCell ref="C88:I88"/>
    <mergeCell ref="D90:I90"/>
    <mergeCell ref="D91:I91"/>
    <mergeCell ref="C92:I92"/>
    <mergeCell ref="C94:I94"/>
    <mergeCell ref="C81:I81"/>
    <mergeCell ref="D82:K82"/>
    <mergeCell ref="D83:K83"/>
    <mergeCell ref="D84:I84"/>
    <mergeCell ref="D85:I85"/>
    <mergeCell ref="D86:I86"/>
    <mergeCell ref="D75:I75"/>
    <mergeCell ref="D76:I76"/>
    <mergeCell ref="D77:I77"/>
    <mergeCell ref="D78:I78"/>
    <mergeCell ref="D79:I79"/>
    <mergeCell ref="D80:I80"/>
    <mergeCell ref="C69:I69"/>
    <mergeCell ref="C70:K70"/>
    <mergeCell ref="C71:K71"/>
    <mergeCell ref="D72:I72"/>
    <mergeCell ref="D73:I73"/>
    <mergeCell ref="D74:I74"/>
    <mergeCell ref="D63:I63"/>
    <mergeCell ref="D64:I64"/>
    <mergeCell ref="D65:I65"/>
    <mergeCell ref="D66:I66"/>
    <mergeCell ref="D67:I67"/>
    <mergeCell ref="D68:I68"/>
    <mergeCell ref="D47:I47"/>
    <mergeCell ref="D48:I48"/>
    <mergeCell ref="C49:I49"/>
    <mergeCell ref="D60:I60"/>
    <mergeCell ref="D61:I61"/>
    <mergeCell ref="D62:I62"/>
    <mergeCell ref="D41:I41"/>
    <mergeCell ref="D42:I42"/>
    <mergeCell ref="D43:I43"/>
    <mergeCell ref="D44:I44"/>
    <mergeCell ref="D45:I45"/>
    <mergeCell ref="D46:I46"/>
    <mergeCell ref="C50:K59"/>
    <mergeCell ref="I14:I16"/>
    <mergeCell ref="C28:H28"/>
    <mergeCell ref="C29:H30"/>
    <mergeCell ref="C31:H31"/>
    <mergeCell ref="C32:H32"/>
    <mergeCell ref="C39:K39"/>
    <mergeCell ref="D40:I40"/>
    <mergeCell ref="J23:J26"/>
    <mergeCell ref="K23:K26"/>
    <mergeCell ref="C24:H24"/>
    <mergeCell ref="C25:H25"/>
    <mergeCell ref="C26:H26"/>
    <mergeCell ref="C27:H27"/>
    <mergeCell ref="C34:K38"/>
    <mergeCell ref="C3:K3"/>
    <mergeCell ref="C4:D4"/>
    <mergeCell ref="E4:F4"/>
    <mergeCell ref="G4:K4"/>
    <mergeCell ref="C5:D5"/>
    <mergeCell ref="C7:E7"/>
    <mergeCell ref="F7:H7"/>
    <mergeCell ref="I7:J8"/>
    <mergeCell ref="K7:K8"/>
    <mergeCell ref="C8:E8"/>
    <mergeCell ref="I190:K190"/>
    <mergeCell ref="C189:K189"/>
    <mergeCell ref="C192:K192"/>
    <mergeCell ref="C190:H191"/>
    <mergeCell ref="C193:H194"/>
    <mergeCell ref="F8:H8"/>
    <mergeCell ref="C9:E9"/>
    <mergeCell ref="F9:H9"/>
    <mergeCell ref="I9:J10"/>
    <mergeCell ref="K9:K10"/>
    <mergeCell ref="C10:E10"/>
    <mergeCell ref="F10:H10"/>
    <mergeCell ref="C17:H19"/>
    <mergeCell ref="I17:I19"/>
    <mergeCell ref="C20:H22"/>
    <mergeCell ref="I20:I22"/>
    <mergeCell ref="C23:H23"/>
    <mergeCell ref="I23:I26"/>
    <mergeCell ref="C11:E11"/>
    <mergeCell ref="F11:H11"/>
    <mergeCell ref="I11:J11"/>
    <mergeCell ref="C12:H12"/>
    <mergeCell ref="C13:H13"/>
    <mergeCell ref="C14:H16"/>
  </mergeCells>
  <printOptions horizontalCentered="1"/>
  <pageMargins left="1.1811023622047245" right="0.51181102362204722" top="0.78740157480314965" bottom="0.78740157480314965" header="0.51181102362204722" footer="0.51181102362204722"/>
  <pageSetup paperSize="9" scale="82" fitToHeight="0" orientation="portrait" horizontalDpi="300" verticalDpi="300" r:id="rId1"/>
  <rowBreaks count="1" manualBreakCount="1">
    <brk id="183" min="1" max="11"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S14"/>
  <sheetViews>
    <sheetView showGridLines="0" view="pageBreakPreview" zoomScaleNormal="100" zoomScaleSheetLayoutView="100" workbookViewId="0">
      <selection activeCell="C3" sqref="C3:H3"/>
    </sheetView>
  </sheetViews>
  <sheetFormatPr defaultRowHeight="15" x14ac:dyDescent="0.25"/>
  <cols>
    <col min="1" max="2" width="3.7109375" customWidth="1"/>
    <col min="3" max="3" width="10.85546875" bestFit="1" customWidth="1"/>
    <col min="4" max="4" width="82.28515625" customWidth="1"/>
    <col min="5" max="8" width="12.7109375" customWidth="1"/>
    <col min="9" max="10" width="3.7109375" customWidth="1"/>
  </cols>
  <sheetData>
    <row r="3" spans="3:19" ht="15.75" x14ac:dyDescent="0.25">
      <c r="C3" s="250" t="s">
        <v>204</v>
      </c>
      <c r="D3" s="250"/>
      <c r="E3" s="250"/>
      <c r="F3" s="250"/>
      <c r="G3" s="250"/>
      <c r="H3" s="250"/>
      <c r="I3" s="106"/>
      <c r="J3" s="106"/>
    </row>
    <row r="4" spans="3:19" s="108" customFormat="1" ht="15.75" thickBot="1" x14ac:dyDescent="0.3">
      <c r="C4" s="251" t="s">
        <v>205</v>
      </c>
      <c r="D4" s="251"/>
      <c r="E4" s="251"/>
      <c r="F4" s="251"/>
      <c r="G4" s="251"/>
      <c r="H4" s="251"/>
      <c r="I4" s="107"/>
      <c r="J4" s="107"/>
      <c r="N4"/>
      <c r="O4"/>
      <c r="P4"/>
      <c r="Q4"/>
      <c r="R4"/>
      <c r="S4"/>
    </row>
    <row r="5" spans="3:19" ht="24.75" thickBot="1" x14ac:dyDescent="0.3">
      <c r="C5" s="109" t="s">
        <v>206</v>
      </c>
      <c r="D5" s="110" t="s">
        <v>207</v>
      </c>
      <c r="E5" s="111" t="s">
        <v>208</v>
      </c>
      <c r="F5" s="112" t="s">
        <v>209</v>
      </c>
      <c r="G5" s="112" t="s">
        <v>210</v>
      </c>
      <c r="H5" s="113" t="s">
        <v>211</v>
      </c>
    </row>
    <row r="6" spans="3:19" ht="45" x14ac:dyDescent="0.25">
      <c r="C6" s="114">
        <v>1</v>
      </c>
      <c r="D6" s="115" t="s">
        <v>212</v>
      </c>
      <c r="E6" s="116"/>
      <c r="F6" s="117">
        <f>ROUND(C6*E6,2)</f>
        <v>0</v>
      </c>
      <c r="G6" s="117">
        <f>ROUND(F6*0.01,2)</f>
        <v>0</v>
      </c>
      <c r="H6" s="118">
        <f>ROUND(G6/12,2)</f>
        <v>0</v>
      </c>
    </row>
    <row r="7" spans="3:19" ht="45" x14ac:dyDescent="0.25">
      <c r="C7" s="119">
        <v>1</v>
      </c>
      <c r="D7" s="120" t="s">
        <v>213</v>
      </c>
      <c r="E7" s="121"/>
      <c r="F7" s="122">
        <f t="shared" ref="F7:F12" si="0">ROUND(C7*E7,2)</f>
        <v>0</v>
      </c>
      <c r="G7" s="122">
        <f t="shared" ref="G7:G12" si="1">ROUND(F7*0.01,2)</f>
        <v>0</v>
      </c>
      <c r="H7" s="123">
        <f t="shared" ref="H7:H12" si="2">ROUND(G7/12,2)</f>
        <v>0</v>
      </c>
    </row>
    <row r="8" spans="3:19" ht="30" x14ac:dyDescent="0.25">
      <c r="C8" s="119">
        <v>1</v>
      </c>
      <c r="D8" s="120" t="s">
        <v>214</v>
      </c>
      <c r="E8" s="121"/>
      <c r="F8" s="122">
        <f>ROUND(C8*E8,2)</f>
        <v>0</v>
      </c>
      <c r="G8" s="122">
        <f t="shared" si="1"/>
        <v>0</v>
      </c>
      <c r="H8" s="123">
        <f t="shared" si="2"/>
        <v>0</v>
      </c>
    </row>
    <row r="9" spans="3:19" ht="30" x14ac:dyDescent="0.25">
      <c r="C9" s="124">
        <v>1</v>
      </c>
      <c r="D9" s="120" t="s">
        <v>215</v>
      </c>
      <c r="E9" s="121"/>
      <c r="F9" s="125">
        <f t="shared" si="0"/>
        <v>0</v>
      </c>
      <c r="G9" s="126">
        <f t="shared" si="1"/>
        <v>0</v>
      </c>
      <c r="H9" s="127">
        <f t="shared" si="2"/>
        <v>0</v>
      </c>
    </row>
    <row r="10" spans="3:19" x14ac:dyDescent="0.25">
      <c r="C10" s="124">
        <v>2</v>
      </c>
      <c r="D10" s="120" t="s">
        <v>216</v>
      </c>
      <c r="E10" s="121"/>
      <c r="F10" s="122">
        <f t="shared" si="0"/>
        <v>0</v>
      </c>
      <c r="G10" s="122">
        <f t="shared" si="1"/>
        <v>0</v>
      </c>
      <c r="H10" s="123">
        <f t="shared" si="2"/>
        <v>0</v>
      </c>
    </row>
    <row r="11" spans="3:19" x14ac:dyDescent="0.25">
      <c r="C11" s="124">
        <v>1</v>
      </c>
      <c r="D11" s="120" t="s">
        <v>217</v>
      </c>
      <c r="E11" s="121"/>
      <c r="F11" s="122">
        <f t="shared" si="0"/>
        <v>0</v>
      </c>
      <c r="G11" s="122">
        <f t="shared" si="1"/>
        <v>0</v>
      </c>
      <c r="H11" s="123">
        <f t="shared" si="2"/>
        <v>0</v>
      </c>
    </row>
    <row r="12" spans="3:19" ht="45.75" thickBot="1" x14ac:dyDescent="0.3">
      <c r="C12" s="128">
        <v>1</v>
      </c>
      <c r="D12" s="129" t="s">
        <v>218</v>
      </c>
      <c r="E12" s="121"/>
      <c r="F12" s="130">
        <f t="shared" si="0"/>
        <v>0</v>
      </c>
      <c r="G12" s="130">
        <f t="shared" si="1"/>
        <v>0</v>
      </c>
      <c r="H12" s="123">
        <f t="shared" si="2"/>
        <v>0</v>
      </c>
    </row>
    <row r="13" spans="3:19" x14ac:dyDescent="0.25">
      <c r="C13" s="252" t="s">
        <v>219</v>
      </c>
      <c r="D13" s="253"/>
      <c r="E13" s="253"/>
      <c r="F13" s="253"/>
      <c r="G13" s="253"/>
      <c r="H13" s="118">
        <f>SUM(H6:H12)</f>
        <v>0</v>
      </c>
      <c r="I13" s="131"/>
    </row>
    <row r="14" spans="3:19" ht="16.5" thickBot="1" x14ac:dyDescent="0.3">
      <c r="C14" s="254" t="s">
        <v>220</v>
      </c>
      <c r="D14" s="255"/>
      <c r="E14" s="255"/>
      <c r="F14" s="255"/>
      <c r="G14" s="255"/>
      <c r="H14" s="132">
        <f>H13</f>
        <v>0</v>
      </c>
      <c r="I14" s="133"/>
    </row>
  </sheetData>
  <mergeCells count="4">
    <mergeCell ref="C3:H3"/>
    <mergeCell ref="C4:H4"/>
    <mergeCell ref="C13:G13"/>
    <mergeCell ref="C14:G14"/>
  </mergeCells>
  <pageMargins left="0.511811024" right="0.511811024" top="0.78740157499999996" bottom="0.78740157499999996" header="0.31496062000000002" footer="0.31496062000000002"/>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U51"/>
  <sheetViews>
    <sheetView showGridLines="0" view="pageBreakPreview" zoomScale="80" zoomScaleNormal="80" zoomScaleSheetLayoutView="80" workbookViewId="0">
      <selection activeCell="C3" sqref="C3:J3"/>
    </sheetView>
  </sheetViews>
  <sheetFormatPr defaultRowHeight="15" x14ac:dyDescent="0.25"/>
  <cols>
    <col min="1" max="2" width="3.7109375" customWidth="1"/>
    <col min="3" max="3" width="10.85546875" bestFit="1" customWidth="1"/>
    <col min="4" max="4" width="91" customWidth="1"/>
    <col min="5" max="10" width="15.7109375" customWidth="1"/>
    <col min="11" max="12" width="3.7109375" customWidth="1"/>
  </cols>
  <sheetData>
    <row r="3" spans="3:21" ht="15.75" x14ac:dyDescent="0.25">
      <c r="C3" s="250" t="s">
        <v>221</v>
      </c>
      <c r="D3" s="250"/>
      <c r="E3" s="250"/>
      <c r="F3" s="250"/>
      <c r="G3" s="250"/>
      <c r="H3" s="250"/>
      <c r="I3" s="250"/>
      <c r="J3" s="250"/>
      <c r="K3" s="106"/>
      <c r="L3" s="106"/>
    </row>
    <row r="4" spans="3:21" s="108" customFormat="1" ht="27" customHeight="1" thickBot="1" x14ac:dyDescent="0.3">
      <c r="C4" s="251" t="s">
        <v>205</v>
      </c>
      <c r="D4" s="251"/>
      <c r="E4" s="251"/>
      <c r="F4" s="251"/>
      <c r="G4" s="251"/>
      <c r="H4" s="251"/>
      <c r="I4" s="251"/>
      <c r="J4" s="251"/>
      <c r="K4" s="107"/>
      <c r="L4" s="107"/>
      <c r="P4"/>
      <c r="Q4"/>
      <c r="R4"/>
      <c r="S4"/>
      <c r="T4"/>
      <c r="U4"/>
    </row>
    <row r="5" spans="3:21" ht="24.75" thickBot="1" x14ac:dyDescent="0.3">
      <c r="C5" s="109" t="s">
        <v>206</v>
      </c>
      <c r="D5" s="134" t="s">
        <v>222</v>
      </c>
      <c r="E5" s="134" t="s">
        <v>223</v>
      </c>
      <c r="F5" s="135" t="s">
        <v>224</v>
      </c>
      <c r="G5" s="135" t="s">
        <v>225</v>
      </c>
      <c r="H5" s="112" t="s">
        <v>208</v>
      </c>
      <c r="I5" s="112" t="s">
        <v>209</v>
      </c>
      <c r="J5" s="113" t="s">
        <v>226</v>
      </c>
    </row>
    <row r="6" spans="3:21" ht="45" customHeight="1" x14ac:dyDescent="0.25">
      <c r="C6" s="136">
        <v>0.5</v>
      </c>
      <c r="D6" s="137" t="s">
        <v>227</v>
      </c>
      <c r="E6" s="138" t="s">
        <v>228</v>
      </c>
      <c r="F6" s="139"/>
      <c r="G6" s="139" t="s">
        <v>229</v>
      </c>
      <c r="H6" s="140"/>
      <c r="I6" s="139">
        <f>IF(G6="Semestral",C6*H6*2,C6*H6*12)</f>
        <v>0</v>
      </c>
      <c r="J6" s="141">
        <f>ROUND(I6/12,2)</f>
        <v>0</v>
      </c>
    </row>
    <row r="7" spans="3:21" ht="30" customHeight="1" x14ac:dyDescent="0.25">
      <c r="C7" s="142">
        <v>2</v>
      </c>
      <c r="D7" s="143" t="s">
        <v>230</v>
      </c>
      <c r="E7" s="144" t="s">
        <v>231</v>
      </c>
      <c r="F7" s="145"/>
      <c r="G7" s="145" t="s">
        <v>232</v>
      </c>
      <c r="H7" s="146"/>
      <c r="I7" s="145">
        <f t="shared" ref="I7:I49" si="0">IF(G7="Semestral",C7*H7*2,C7*H7*12)</f>
        <v>0</v>
      </c>
      <c r="J7" s="147">
        <f t="shared" ref="J7:J49" si="1">ROUND(I7/12,2)</f>
        <v>0</v>
      </c>
    </row>
    <row r="8" spans="3:21" ht="45" customHeight="1" x14ac:dyDescent="0.25">
      <c r="C8" s="142">
        <v>1</v>
      </c>
      <c r="D8" s="143" t="s">
        <v>233</v>
      </c>
      <c r="E8" s="144" t="s">
        <v>234</v>
      </c>
      <c r="F8" s="145"/>
      <c r="G8" s="145" t="s">
        <v>229</v>
      </c>
      <c r="H8" s="146"/>
      <c r="I8" s="145">
        <f t="shared" si="0"/>
        <v>0</v>
      </c>
      <c r="J8" s="147">
        <f t="shared" si="1"/>
        <v>0</v>
      </c>
    </row>
    <row r="9" spans="3:21" ht="45" customHeight="1" x14ac:dyDescent="0.25">
      <c r="C9" s="142">
        <v>1</v>
      </c>
      <c r="D9" s="143" t="s">
        <v>235</v>
      </c>
      <c r="E9" s="144" t="s">
        <v>234</v>
      </c>
      <c r="F9" s="145"/>
      <c r="G9" s="145" t="s">
        <v>229</v>
      </c>
      <c r="H9" s="146"/>
      <c r="I9" s="145">
        <f t="shared" si="0"/>
        <v>0</v>
      </c>
      <c r="J9" s="147">
        <f t="shared" si="1"/>
        <v>0</v>
      </c>
    </row>
    <row r="10" spans="3:21" ht="15" customHeight="1" x14ac:dyDescent="0.25">
      <c r="C10" s="142">
        <v>2</v>
      </c>
      <c r="D10" s="143" t="s">
        <v>236</v>
      </c>
      <c r="E10" s="144" t="s">
        <v>234</v>
      </c>
      <c r="F10" s="145"/>
      <c r="G10" s="145" t="s">
        <v>229</v>
      </c>
      <c r="H10" s="146"/>
      <c r="I10" s="145">
        <f t="shared" si="0"/>
        <v>0</v>
      </c>
      <c r="J10" s="147">
        <f t="shared" si="1"/>
        <v>0</v>
      </c>
    </row>
    <row r="11" spans="3:21" ht="15" customHeight="1" x14ac:dyDescent="0.25">
      <c r="C11" s="142">
        <v>0.5</v>
      </c>
      <c r="D11" s="143" t="s">
        <v>237</v>
      </c>
      <c r="E11" s="144" t="s">
        <v>234</v>
      </c>
      <c r="F11" s="145"/>
      <c r="G11" s="145" t="s">
        <v>229</v>
      </c>
      <c r="H11" s="146"/>
      <c r="I11" s="145">
        <f t="shared" si="0"/>
        <v>0</v>
      </c>
      <c r="J11" s="147">
        <f t="shared" si="1"/>
        <v>0</v>
      </c>
    </row>
    <row r="12" spans="3:21" ht="15" customHeight="1" x14ac:dyDescent="0.25">
      <c r="C12" s="142">
        <v>0.5</v>
      </c>
      <c r="D12" s="143" t="s">
        <v>238</v>
      </c>
      <c r="E12" s="144" t="s">
        <v>234</v>
      </c>
      <c r="F12" s="145"/>
      <c r="G12" s="145" t="s">
        <v>229</v>
      </c>
      <c r="H12" s="146"/>
      <c r="I12" s="145">
        <f t="shared" si="0"/>
        <v>0</v>
      </c>
      <c r="J12" s="147">
        <f t="shared" si="1"/>
        <v>0</v>
      </c>
    </row>
    <row r="13" spans="3:21" ht="30" customHeight="1" x14ac:dyDescent="0.25">
      <c r="C13" s="142">
        <v>2</v>
      </c>
      <c r="D13" s="143" t="s">
        <v>239</v>
      </c>
      <c r="E13" s="144" t="s">
        <v>228</v>
      </c>
      <c r="F13" s="145"/>
      <c r="G13" s="145" t="s">
        <v>232</v>
      </c>
      <c r="H13" s="146"/>
      <c r="I13" s="145">
        <f t="shared" si="0"/>
        <v>0</v>
      </c>
      <c r="J13" s="147">
        <f t="shared" si="1"/>
        <v>0</v>
      </c>
    </row>
    <row r="14" spans="3:21" ht="30" customHeight="1" x14ac:dyDescent="0.25">
      <c r="C14" s="142">
        <v>1</v>
      </c>
      <c r="D14" s="143" t="s">
        <v>240</v>
      </c>
      <c r="E14" s="144" t="s">
        <v>234</v>
      </c>
      <c r="F14" s="145" t="s">
        <v>241</v>
      </c>
      <c r="G14" s="145" t="s">
        <v>232</v>
      </c>
      <c r="H14" s="146"/>
      <c r="I14" s="145">
        <f t="shared" si="0"/>
        <v>0</v>
      </c>
      <c r="J14" s="147">
        <f t="shared" si="1"/>
        <v>0</v>
      </c>
    </row>
    <row r="15" spans="3:21" ht="30" customHeight="1" x14ac:dyDescent="0.25">
      <c r="C15" s="142">
        <v>5</v>
      </c>
      <c r="D15" s="143" t="s">
        <v>242</v>
      </c>
      <c r="E15" s="144" t="s">
        <v>234</v>
      </c>
      <c r="F15" s="145" t="s">
        <v>243</v>
      </c>
      <c r="G15" s="145" t="s">
        <v>232</v>
      </c>
      <c r="H15" s="146"/>
      <c r="I15" s="145">
        <f t="shared" si="0"/>
        <v>0</v>
      </c>
      <c r="J15" s="147">
        <f t="shared" si="1"/>
        <v>0</v>
      </c>
    </row>
    <row r="16" spans="3:21" ht="15" customHeight="1" x14ac:dyDescent="0.25">
      <c r="C16" s="142">
        <v>0.5</v>
      </c>
      <c r="D16" s="143" t="s">
        <v>244</v>
      </c>
      <c r="E16" s="144" t="s">
        <v>234</v>
      </c>
      <c r="F16" s="145"/>
      <c r="G16" s="145" t="s">
        <v>229</v>
      </c>
      <c r="H16" s="146"/>
      <c r="I16" s="145">
        <f t="shared" si="0"/>
        <v>0</v>
      </c>
      <c r="J16" s="147">
        <f t="shared" si="1"/>
        <v>0</v>
      </c>
    </row>
    <row r="17" spans="3:10" ht="45" customHeight="1" x14ac:dyDescent="0.25">
      <c r="C17" s="142">
        <v>1</v>
      </c>
      <c r="D17" s="143" t="s">
        <v>245</v>
      </c>
      <c r="E17" s="144" t="s">
        <v>234</v>
      </c>
      <c r="F17" s="145"/>
      <c r="G17" s="145" t="s">
        <v>229</v>
      </c>
      <c r="H17" s="146"/>
      <c r="I17" s="145">
        <f t="shared" si="0"/>
        <v>0</v>
      </c>
      <c r="J17" s="147">
        <f t="shared" si="1"/>
        <v>0</v>
      </c>
    </row>
    <row r="18" spans="3:10" ht="45" customHeight="1" x14ac:dyDescent="0.25">
      <c r="C18" s="142">
        <v>1</v>
      </c>
      <c r="D18" s="143" t="s">
        <v>246</v>
      </c>
      <c r="E18" s="144" t="s">
        <v>234</v>
      </c>
      <c r="F18" s="145"/>
      <c r="G18" s="145" t="s">
        <v>232</v>
      </c>
      <c r="H18" s="146"/>
      <c r="I18" s="145">
        <f t="shared" si="0"/>
        <v>0</v>
      </c>
      <c r="J18" s="147">
        <f t="shared" si="1"/>
        <v>0</v>
      </c>
    </row>
    <row r="19" spans="3:10" ht="30" customHeight="1" x14ac:dyDescent="0.25">
      <c r="C19" s="142">
        <v>1</v>
      </c>
      <c r="D19" s="143" t="s">
        <v>247</v>
      </c>
      <c r="E19" s="144" t="s">
        <v>234</v>
      </c>
      <c r="F19" s="145"/>
      <c r="G19" s="145" t="s">
        <v>229</v>
      </c>
      <c r="H19" s="146"/>
      <c r="I19" s="145">
        <f t="shared" si="0"/>
        <v>0</v>
      </c>
      <c r="J19" s="147">
        <f t="shared" si="1"/>
        <v>0</v>
      </c>
    </row>
    <row r="20" spans="3:10" ht="60" customHeight="1" x14ac:dyDescent="0.25">
      <c r="C20" s="142">
        <v>4</v>
      </c>
      <c r="D20" s="143" t="s">
        <v>248</v>
      </c>
      <c r="E20" s="144" t="s">
        <v>234</v>
      </c>
      <c r="F20" s="145"/>
      <c r="G20" s="145" t="s">
        <v>232</v>
      </c>
      <c r="H20" s="146"/>
      <c r="I20" s="145">
        <f t="shared" si="0"/>
        <v>0</v>
      </c>
      <c r="J20" s="147">
        <f t="shared" si="1"/>
        <v>0</v>
      </c>
    </row>
    <row r="21" spans="3:10" ht="45" customHeight="1" x14ac:dyDescent="0.25">
      <c r="C21" s="142">
        <v>2</v>
      </c>
      <c r="D21" s="143" t="s">
        <v>249</v>
      </c>
      <c r="E21" s="144" t="s">
        <v>234</v>
      </c>
      <c r="F21" s="145"/>
      <c r="G21" s="145" t="s">
        <v>232</v>
      </c>
      <c r="H21" s="146"/>
      <c r="I21" s="145">
        <f t="shared" si="0"/>
        <v>0</v>
      </c>
      <c r="J21" s="147">
        <f t="shared" si="1"/>
        <v>0</v>
      </c>
    </row>
    <row r="22" spans="3:10" ht="45" customHeight="1" x14ac:dyDescent="0.25">
      <c r="C22" s="142">
        <v>1</v>
      </c>
      <c r="D22" s="143" t="s">
        <v>250</v>
      </c>
      <c r="E22" s="144" t="s">
        <v>234</v>
      </c>
      <c r="F22" s="145" t="s">
        <v>251</v>
      </c>
      <c r="G22" s="145" t="s">
        <v>232</v>
      </c>
      <c r="H22" s="146"/>
      <c r="I22" s="145">
        <f t="shared" si="0"/>
        <v>0</v>
      </c>
      <c r="J22" s="147">
        <f t="shared" si="1"/>
        <v>0</v>
      </c>
    </row>
    <row r="23" spans="3:10" ht="30" customHeight="1" x14ac:dyDescent="0.25">
      <c r="C23" s="142">
        <v>2</v>
      </c>
      <c r="D23" s="143" t="s">
        <v>252</v>
      </c>
      <c r="E23" s="144" t="s">
        <v>228</v>
      </c>
      <c r="F23" s="145" t="s">
        <v>253</v>
      </c>
      <c r="G23" s="145" t="s">
        <v>232</v>
      </c>
      <c r="H23" s="146"/>
      <c r="I23" s="145">
        <f t="shared" si="0"/>
        <v>0</v>
      </c>
      <c r="J23" s="147">
        <f t="shared" si="1"/>
        <v>0</v>
      </c>
    </row>
    <row r="24" spans="3:10" ht="30" customHeight="1" x14ac:dyDescent="0.25">
      <c r="C24" s="142">
        <v>3</v>
      </c>
      <c r="D24" s="143" t="s">
        <v>254</v>
      </c>
      <c r="E24" s="144"/>
      <c r="F24" s="145"/>
      <c r="G24" s="145"/>
      <c r="H24" s="146"/>
      <c r="I24" s="145">
        <f t="shared" si="0"/>
        <v>0</v>
      </c>
      <c r="J24" s="147">
        <f t="shared" si="1"/>
        <v>0</v>
      </c>
    </row>
    <row r="25" spans="3:10" ht="45" customHeight="1" x14ac:dyDescent="0.25">
      <c r="C25" s="142">
        <v>2</v>
      </c>
      <c r="D25" s="143" t="s">
        <v>255</v>
      </c>
      <c r="E25" s="144" t="s">
        <v>234</v>
      </c>
      <c r="F25" s="145" t="s">
        <v>256</v>
      </c>
      <c r="G25" s="145" t="s">
        <v>232</v>
      </c>
      <c r="H25" s="146"/>
      <c r="I25" s="145">
        <f t="shared" si="0"/>
        <v>0</v>
      </c>
      <c r="J25" s="147">
        <f t="shared" si="1"/>
        <v>0</v>
      </c>
    </row>
    <row r="26" spans="3:10" ht="30" customHeight="1" x14ac:dyDescent="0.25">
      <c r="C26" s="142">
        <v>1</v>
      </c>
      <c r="D26" s="143" t="s">
        <v>257</v>
      </c>
      <c r="E26" s="144" t="s">
        <v>234</v>
      </c>
      <c r="F26" s="145" t="s">
        <v>258</v>
      </c>
      <c r="G26" s="145" t="s">
        <v>229</v>
      </c>
      <c r="H26" s="146"/>
      <c r="I26" s="145">
        <f t="shared" si="0"/>
        <v>0</v>
      </c>
      <c r="J26" s="147">
        <f t="shared" si="1"/>
        <v>0</v>
      </c>
    </row>
    <row r="27" spans="3:10" ht="30" customHeight="1" x14ac:dyDescent="0.25">
      <c r="C27" s="142">
        <v>0.5</v>
      </c>
      <c r="D27" s="143" t="s">
        <v>259</v>
      </c>
      <c r="E27" s="144" t="s">
        <v>234</v>
      </c>
      <c r="F27" s="145" t="s">
        <v>260</v>
      </c>
      <c r="G27" s="145" t="s">
        <v>232</v>
      </c>
      <c r="H27" s="146"/>
      <c r="I27" s="145">
        <f t="shared" si="0"/>
        <v>0</v>
      </c>
      <c r="J27" s="147">
        <f t="shared" si="1"/>
        <v>0</v>
      </c>
    </row>
    <row r="28" spans="3:10" ht="30" customHeight="1" x14ac:dyDescent="0.25">
      <c r="C28" s="142">
        <v>0.5</v>
      </c>
      <c r="D28" s="143" t="s">
        <v>261</v>
      </c>
      <c r="E28" s="144" t="s">
        <v>234</v>
      </c>
      <c r="F28" s="145" t="s">
        <v>260</v>
      </c>
      <c r="G28" s="145" t="s">
        <v>232</v>
      </c>
      <c r="H28" s="146"/>
      <c r="I28" s="145">
        <f t="shared" si="0"/>
        <v>0</v>
      </c>
      <c r="J28" s="147">
        <f t="shared" si="1"/>
        <v>0</v>
      </c>
    </row>
    <row r="29" spans="3:10" ht="45" customHeight="1" x14ac:dyDescent="0.25">
      <c r="C29" s="142">
        <v>3</v>
      </c>
      <c r="D29" s="143" t="s">
        <v>262</v>
      </c>
      <c r="E29" s="144" t="s">
        <v>234</v>
      </c>
      <c r="F29" s="145" t="s">
        <v>263</v>
      </c>
      <c r="G29" s="145" t="s">
        <v>232</v>
      </c>
      <c r="H29" s="146"/>
      <c r="I29" s="145">
        <f t="shared" si="0"/>
        <v>0</v>
      </c>
      <c r="J29" s="147">
        <f t="shared" si="1"/>
        <v>0</v>
      </c>
    </row>
    <row r="30" spans="3:10" ht="15" customHeight="1" x14ac:dyDescent="0.25">
      <c r="C30" s="142">
        <v>1</v>
      </c>
      <c r="D30" s="143" t="s">
        <v>264</v>
      </c>
      <c r="E30" s="144" t="s">
        <v>234</v>
      </c>
      <c r="F30" s="145"/>
      <c r="G30" s="145" t="s">
        <v>229</v>
      </c>
      <c r="H30" s="146"/>
      <c r="I30" s="145">
        <f t="shared" si="0"/>
        <v>0</v>
      </c>
      <c r="J30" s="147">
        <f t="shared" si="1"/>
        <v>0</v>
      </c>
    </row>
    <row r="31" spans="3:10" ht="15" customHeight="1" x14ac:dyDescent="0.25">
      <c r="C31" s="142">
        <v>1</v>
      </c>
      <c r="D31" s="143" t="s">
        <v>265</v>
      </c>
      <c r="E31" s="144" t="s">
        <v>234</v>
      </c>
      <c r="F31" s="145"/>
      <c r="G31" s="145" t="s">
        <v>229</v>
      </c>
      <c r="H31" s="146"/>
      <c r="I31" s="145">
        <f t="shared" si="0"/>
        <v>0</v>
      </c>
      <c r="J31" s="147">
        <f t="shared" si="1"/>
        <v>0</v>
      </c>
    </row>
    <row r="32" spans="3:10" x14ac:dyDescent="0.25">
      <c r="C32" s="142">
        <v>1</v>
      </c>
      <c r="D32" s="143" t="s">
        <v>266</v>
      </c>
      <c r="E32" s="144" t="s">
        <v>234</v>
      </c>
      <c r="F32" s="145"/>
      <c r="G32" s="145" t="s">
        <v>229</v>
      </c>
      <c r="H32" s="146"/>
      <c r="I32" s="145">
        <f t="shared" si="0"/>
        <v>0</v>
      </c>
      <c r="J32" s="147">
        <f t="shared" si="1"/>
        <v>0</v>
      </c>
    </row>
    <row r="33" spans="3:10" ht="45" customHeight="1" x14ac:dyDescent="0.25">
      <c r="C33" s="142">
        <v>0.5</v>
      </c>
      <c r="D33" s="143" t="s">
        <v>267</v>
      </c>
      <c r="E33" s="144" t="s">
        <v>234</v>
      </c>
      <c r="F33" s="145" t="s">
        <v>268</v>
      </c>
      <c r="G33" s="145" t="s">
        <v>232</v>
      </c>
      <c r="H33" s="146"/>
      <c r="I33" s="145">
        <f t="shared" si="0"/>
        <v>0</v>
      </c>
      <c r="J33" s="147">
        <f t="shared" si="1"/>
        <v>0</v>
      </c>
    </row>
    <row r="34" spans="3:10" ht="45" customHeight="1" x14ac:dyDescent="0.25">
      <c r="C34" s="142">
        <v>3</v>
      </c>
      <c r="D34" s="143" t="s">
        <v>269</v>
      </c>
      <c r="E34" s="144" t="s">
        <v>234</v>
      </c>
      <c r="F34" s="145"/>
      <c r="G34" s="145" t="s">
        <v>232</v>
      </c>
      <c r="H34" s="146"/>
      <c r="I34" s="145">
        <f t="shared" si="0"/>
        <v>0</v>
      </c>
      <c r="J34" s="147">
        <f t="shared" si="1"/>
        <v>0</v>
      </c>
    </row>
    <row r="35" spans="3:10" ht="45" customHeight="1" x14ac:dyDescent="0.25">
      <c r="C35" s="142">
        <v>1</v>
      </c>
      <c r="D35" s="143" t="s">
        <v>270</v>
      </c>
      <c r="E35" s="144" t="s">
        <v>234</v>
      </c>
      <c r="F35" s="145"/>
      <c r="G35" s="145" t="s">
        <v>232</v>
      </c>
      <c r="H35" s="146"/>
      <c r="I35" s="145">
        <f t="shared" si="0"/>
        <v>0</v>
      </c>
      <c r="J35" s="147">
        <f t="shared" si="1"/>
        <v>0</v>
      </c>
    </row>
    <row r="36" spans="3:10" ht="30" customHeight="1" x14ac:dyDescent="0.25">
      <c r="C36" s="142">
        <v>1</v>
      </c>
      <c r="D36" s="143" t="s">
        <v>271</v>
      </c>
      <c r="E36" s="144" t="s">
        <v>234</v>
      </c>
      <c r="F36" s="145"/>
      <c r="G36" s="145" t="s">
        <v>229</v>
      </c>
      <c r="H36" s="146"/>
      <c r="I36" s="145">
        <f t="shared" si="0"/>
        <v>0</v>
      </c>
      <c r="J36" s="147">
        <f t="shared" si="1"/>
        <v>0</v>
      </c>
    </row>
    <row r="37" spans="3:10" ht="45" customHeight="1" x14ac:dyDescent="0.25">
      <c r="C37" s="142">
        <v>1</v>
      </c>
      <c r="D37" s="143" t="s">
        <v>272</v>
      </c>
      <c r="E37" s="144" t="s">
        <v>234</v>
      </c>
      <c r="F37" s="145"/>
      <c r="G37" s="145" t="s">
        <v>229</v>
      </c>
      <c r="H37" s="146"/>
      <c r="I37" s="145">
        <f t="shared" si="0"/>
        <v>0</v>
      </c>
      <c r="J37" s="147">
        <f t="shared" si="1"/>
        <v>0</v>
      </c>
    </row>
    <row r="38" spans="3:10" ht="45" customHeight="1" x14ac:dyDescent="0.25">
      <c r="C38" s="142">
        <v>1</v>
      </c>
      <c r="D38" s="143" t="s">
        <v>273</v>
      </c>
      <c r="E38" s="144" t="s">
        <v>234</v>
      </c>
      <c r="F38" s="145"/>
      <c r="G38" s="145" t="s">
        <v>229</v>
      </c>
      <c r="H38" s="146"/>
      <c r="I38" s="145">
        <f t="shared" si="0"/>
        <v>0</v>
      </c>
      <c r="J38" s="147">
        <f t="shared" si="1"/>
        <v>0</v>
      </c>
    </row>
    <row r="39" spans="3:10" ht="15" customHeight="1" x14ac:dyDescent="0.25">
      <c r="C39" s="142">
        <v>0.5</v>
      </c>
      <c r="D39" s="143" t="s">
        <v>274</v>
      </c>
      <c r="E39" s="144" t="s">
        <v>234</v>
      </c>
      <c r="F39" s="145" t="s">
        <v>275</v>
      </c>
      <c r="G39" s="145" t="s">
        <v>232</v>
      </c>
      <c r="H39" s="146"/>
      <c r="I39" s="145">
        <f t="shared" si="0"/>
        <v>0</v>
      </c>
      <c r="J39" s="147">
        <f t="shared" si="1"/>
        <v>0</v>
      </c>
    </row>
    <row r="40" spans="3:10" ht="15" customHeight="1" x14ac:dyDescent="0.25">
      <c r="C40" s="142">
        <v>0.25</v>
      </c>
      <c r="D40" s="143" t="s">
        <v>276</v>
      </c>
      <c r="E40" s="144" t="s">
        <v>234</v>
      </c>
      <c r="F40" s="145" t="s">
        <v>277</v>
      </c>
      <c r="G40" s="145" t="s">
        <v>232</v>
      </c>
      <c r="H40" s="146"/>
      <c r="I40" s="145">
        <f t="shared" si="0"/>
        <v>0</v>
      </c>
      <c r="J40" s="147">
        <f t="shared" si="1"/>
        <v>0</v>
      </c>
    </row>
    <row r="41" spans="3:10" ht="15" customHeight="1" x14ac:dyDescent="0.25">
      <c r="C41" s="142">
        <v>1</v>
      </c>
      <c r="D41" s="143" t="s">
        <v>278</v>
      </c>
      <c r="E41" s="144" t="s">
        <v>228</v>
      </c>
      <c r="F41" s="145"/>
      <c r="G41" s="145" t="s">
        <v>229</v>
      </c>
      <c r="H41" s="146"/>
      <c r="I41" s="145">
        <f t="shared" si="0"/>
        <v>0</v>
      </c>
      <c r="J41" s="147">
        <f t="shared" si="1"/>
        <v>0</v>
      </c>
    </row>
    <row r="42" spans="3:10" ht="15" customHeight="1" x14ac:dyDescent="0.25">
      <c r="C42" s="142">
        <v>3</v>
      </c>
      <c r="D42" s="143" t="s">
        <v>279</v>
      </c>
      <c r="E42" s="144" t="s">
        <v>234</v>
      </c>
      <c r="F42" s="145"/>
      <c r="G42" s="145" t="s">
        <v>232</v>
      </c>
      <c r="H42" s="146"/>
      <c r="I42" s="145">
        <f t="shared" si="0"/>
        <v>0</v>
      </c>
      <c r="J42" s="147">
        <f t="shared" si="1"/>
        <v>0</v>
      </c>
    </row>
    <row r="43" spans="3:10" ht="45" customHeight="1" x14ac:dyDescent="0.25">
      <c r="C43" s="148">
        <v>0.5</v>
      </c>
      <c r="D43" s="143" t="s">
        <v>280</v>
      </c>
      <c r="E43" s="144" t="s">
        <v>234</v>
      </c>
      <c r="F43" s="145"/>
      <c r="G43" s="145" t="s">
        <v>232</v>
      </c>
      <c r="H43" s="146"/>
      <c r="I43" s="145">
        <f t="shared" si="0"/>
        <v>0</v>
      </c>
      <c r="J43" s="147">
        <f t="shared" si="1"/>
        <v>0</v>
      </c>
    </row>
    <row r="44" spans="3:10" ht="45" customHeight="1" x14ac:dyDescent="0.25">
      <c r="C44" s="148">
        <v>0.25</v>
      </c>
      <c r="D44" s="143" t="s">
        <v>281</v>
      </c>
      <c r="E44" s="144" t="s">
        <v>234</v>
      </c>
      <c r="F44" s="145"/>
      <c r="G44" s="145" t="s">
        <v>232</v>
      </c>
      <c r="H44" s="146"/>
      <c r="I44" s="145">
        <f t="shared" si="0"/>
        <v>0</v>
      </c>
      <c r="J44" s="147">
        <f t="shared" si="1"/>
        <v>0</v>
      </c>
    </row>
    <row r="45" spans="3:10" ht="30" x14ac:dyDescent="0.25">
      <c r="C45" s="148">
        <v>0.5</v>
      </c>
      <c r="D45" s="143" t="s">
        <v>282</v>
      </c>
      <c r="E45" s="144" t="s">
        <v>234</v>
      </c>
      <c r="F45" s="145"/>
      <c r="G45" s="145" t="s">
        <v>229</v>
      </c>
      <c r="H45" s="146"/>
      <c r="I45" s="145">
        <f t="shared" si="0"/>
        <v>0</v>
      </c>
      <c r="J45" s="147">
        <f t="shared" si="1"/>
        <v>0</v>
      </c>
    </row>
    <row r="46" spans="3:10" ht="45" customHeight="1" x14ac:dyDescent="0.25">
      <c r="C46" s="142">
        <v>2</v>
      </c>
      <c r="D46" s="143" t="s">
        <v>283</v>
      </c>
      <c r="E46" s="144" t="s">
        <v>234</v>
      </c>
      <c r="F46" s="145"/>
      <c r="G46" s="145" t="s">
        <v>232</v>
      </c>
      <c r="H46" s="146"/>
      <c r="I46" s="145">
        <f t="shared" si="0"/>
        <v>0</v>
      </c>
      <c r="J46" s="147">
        <f t="shared" si="1"/>
        <v>0</v>
      </c>
    </row>
    <row r="47" spans="3:10" ht="30" customHeight="1" x14ac:dyDescent="0.25">
      <c r="C47" s="142">
        <v>1</v>
      </c>
      <c r="D47" s="143" t="s">
        <v>284</v>
      </c>
      <c r="E47" s="144" t="s">
        <v>234</v>
      </c>
      <c r="F47" s="145"/>
      <c r="G47" s="145" t="s">
        <v>229</v>
      </c>
      <c r="H47" s="146"/>
      <c r="I47" s="145">
        <f t="shared" si="0"/>
        <v>0</v>
      </c>
      <c r="J47" s="147">
        <f t="shared" si="1"/>
        <v>0</v>
      </c>
    </row>
    <row r="48" spans="3:10" ht="30" customHeight="1" x14ac:dyDescent="0.25">
      <c r="C48" s="142">
        <v>0.5</v>
      </c>
      <c r="D48" s="143" t="s">
        <v>285</v>
      </c>
      <c r="E48" s="144" t="s">
        <v>234</v>
      </c>
      <c r="F48" s="145"/>
      <c r="G48" s="145" t="s">
        <v>229</v>
      </c>
      <c r="H48" s="146"/>
      <c r="I48" s="145">
        <f t="shared" si="0"/>
        <v>0</v>
      </c>
      <c r="J48" s="147">
        <f t="shared" si="1"/>
        <v>0</v>
      </c>
    </row>
    <row r="49" spans="3:11" ht="30" customHeight="1" thickBot="1" x14ac:dyDescent="0.3">
      <c r="C49" s="142">
        <v>1</v>
      </c>
      <c r="D49" s="143" t="s">
        <v>286</v>
      </c>
      <c r="E49" s="144" t="s">
        <v>234</v>
      </c>
      <c r="F49" s="145"/>
      <c r="G49" s="145" t="s">
        <v>229</v>
      </c>
      <c r="H49" s="146"/>
      <c r="I49" s="145">
        <f t="shared" si="0"/>
        <v>0</v>
      </c>
      <c r="J49" s="147">
        <f t="shared" si="1"/>
        <v>0</v>
      </c>
    </row>
    <row r="50" spans="3:11" x14ac:dyDescent="0.25">
      <c r="C50" s="252" t="s">
        <v>219</v>
      </c>
      <c r="D50" s="253"/>
      <c r="E50" s="253"/>
      <c r="F50" s="253"/>
      <c r="G50" s="253"/>
      <c r="H50" s="253"/>
      <c r="I50" s="149"/>
      <c r="J50" s="118">
        <f>SUM(J6:J49)</f>
        <v>0</v>
      </c>
      <c r="K50" s="131"/>
    </row>
    <row r="51" spans="3:11" ht="16.5" thickBot="1" x14ac:dyDescent="0.3">
      <c r="C51" s="254" t="s">
        <v>220</v>
      </c>
      <c r="D51" s="255"/>
      <c r="E51" s="255"/>
      <c r="F51" s="255"/>
      <c r="G51" s="255"/>
      <c r="H51" s="255"/>
      <c r="I51" s="150"/>
      <c r="J51" s="132">
        <f>J50</f>
        <v>0</v>
      </c>
      <c r="K51" s="133"/>
    </row>
  </sheetData>
  <mergeCells count="4">
    <mergeCell ref="C3:J3"/>
    <mergeCell ref="C4:J4"/>
    <mergeCell ref="C50:H50"/>
    <mergeCell ref="C51:H51"/>
  </mergeCells>
  <pageMargins left="0.511811024" right="0.511811024" top="0.78740157499999996" bottom="0.78740157499999996" header="0.31496062000000002" footer="0.31496062000000002"/>
  <pageSetup paperSize="9" scale="4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S15"/>
  <sheetViews>
    <sheetView showGridLines="0" view="pageBreakPreview" zoomScaleNormal="100" zoomScaleSheetLayoutView="100" workbookViewId="0">
      <selection activeCell="C3" sqref="C3:H3"/>
    </sheetView>
  </sheetViews>
  <sheetFormatPr defaultRowHeight="15" x14ac:dyDescent="0.25"/>
  <cols>
    <col min="1" max="2" width="3.7109375" customWidth="1"/>
    <col min="4" max="4" width="10.85546875" bestFit="1" customWidth="1"/>
    <col min="5" max="5" width="27.140625" bestFit="1" customWidth="1"/>
    <col min="6" max="6" width="82.28515625" customWidth="1"/>
    <col min="7" max="8" width="12.7109375" customWidth="1"/>
    <col min="9" max="10" width="3.7109375" customWidth="1"/>
  </cols>
  <sheetData>
    <row r="3" spans="3:19" ht="15.75" x14ac:dyDescent="0.25">
      <c r="C3" s="250" t="s">
        <v>287</v>
      </c>
      <c r="D3" s="250"/>
      <c r="E3" s="250"/>
      <c r="F3" s="250"/>
      <c r="G3" s="250"/>
      <c r="H3" s="250"/>
      <c r="I3" s="106"/>
      <c r="J3" s="106"/>
    </row>
    <row r="4" spans="3:19" s="108" customFormat="1" ht="15.75" thickBot="1" x14ac:dyDescent="0.3">
      <c r="C4" s="251" t="s">
        <v>205</v>
      </c>
      <c r="D4" s="251"/>
      <c r="E4" s="251"/>
      <c r="F4" s="251"/>
      <c r="G4" s="251"/>
      <c r="H4" s="251"/>
      <c r="I4" s="107"/>
      <c r="J4" s="107"/>
      <c r="N4"/>
      <c r="O4"/>
      <c r="P4"/>
      <c r="Q4"/>
      <c r="R4"/>
      <c r="S4"/>
    </row>
    <row r="5" spans="3:19" ht="24.75" thickBot="1" x14ac:dyDescent="0.3">
      <c r="C5" s="109" t="s">
        <v>288</v>
      </c>
      <c r="D5" s="134" t="s">
        <v>206</v>
      </c>
      <c r="E5" s="151" t="s">
        <v>289</v>
      </c>
      <c r="F5" s="134" t="s">
        <v>290</v>
      </c>
      <c r="G5" s="112" t="s">
        <v>291</v>
      </c>
      <c r="H5" s="152" t="s">
        <v>150</v>
      </c>
    </row>
    <row r="6" spans="3:19" ht="30" x14ac:dyDescent="0.25">
      <c r="C6" s="256" t="s">
        <v>292</v>
      </c>
      <c r="D6" s="153">
        <v>2</v>
      </c>
      <c r="E6" s="153" t="s">
        <v>293</v>
      </c>
      <c r="F6" s="115" t="s">
        <v>294</v>
      </c>
      <c r="G6" s="154"/>
      <c r="H6" s="118">
        <f>ROUND(D6*G6,2)/12</f>
        <v>0</v>
      </c>
    </row>
    <row r="7" spans="3:19" ht="45" x14ac:dyDescent="0.25">
      <c r="C7" s="257"/>
      <c r="D7" s="155">
        <v>2</v>
      </c>
      <c r="E7" s="155" t="s">
        <v>295</v>
      </c>
      <c r="F7" s="120" t="s">
        <v>296</v>
      </c>
      <c r="G7" s="154"/>
      <c r="H7" s="156">
        <f>ROUND(D7*G7,2)/12</f>
        <v>0</v>
      </c>
    </row>
    <row r="8" spans="3:19" ht="45" x14ac:dyDescent="0.25">
      <c r="C8" s="257"/>
      <c r="D8" s="155">
        <v>2</v>
      </c>
      <c r="E8" s="155" t="s">
        <v>297</v>
      </c>
      <c r="F8" s="120" t="s">
        <v>298</v>
      </c>
      <c r="G8" s="154"/>
      <c r="H8" s="123">
        <f t="shared" ref="H8:H13" si="0">ROUND(D8*G8,2)/12</f>
        <v>0</v>
      </c>
    </row>
    <row r="9" spans="3:19" ht="45" x14ac:dyDescent="0.25">
      <c r="C9" s="257"/>
      <c r="D9" s="155">
        <v>1</v>
      </c>
      <c r="E9" s="155" t="s">
        <v>299</v>
      </c>
      <c r="F9" s="120" t="s">
        <v>300</v>
      </c>
      <c r="G9" s="154"/>
      <c r="H9" s="123">
        <f t="shared" si="0"/>
        <v>0</v>
      </c>
    </row>
    <row r="10" spans="3:19" x14ac:dyDescent="0.25">
      <c r="C10" s="257"/>
      <c r="D10" s="155">
        <v>2</v>
      </c>
      <c r="E10" s="155" t="s">
        <v>301</v>
      </c>
      <c r="F10" s="120" t="s">
        <v>302</v>
      </c>
      <c r="G10" s="154"/>
      <c r="H10" s="123">
        <f t="shared" si="0"/>
        <v>0</v>
      </c>
    </row>
    <row r="11" spans="3:19" ht="30" x14ac:dyDescent="0.25">
      <c r="C11" s="257"/>
      <c r="D11" s="155">
        <v>1</v>
      </c>
      <c r="E11" s="155" t="s">
        <v>303</v>
      </c>
      <c r="F11" s="120" t="s">
        <v>304</v>
      </c>
      <c r="G11" s="154"/>
      <c r="H11" s="123">
        <f t="shared" si="0"/>
        <v>0</v>
      </c>
    </row>
    <row r="12" spans="3:19" ht="75" x14ac:dyDescent="0.25">
      <c r="C12" s="257"/>
      <c r="D12" s="155">
        <v>2</v>
      </c>
      <c r="E12" s="155" t="s">
        <v>305</v>
      </c>
      <c r="F12" s="120" t="s">
        <v>306</v>
      </c>
      <c r="G12" s="154"/>
      <c r="H12" s="123">
        <f t="shared" si="0"/>
        <v>0</v>
      </c>
    </row>
    <row r="13" spans="3:19" ht="30.75" thickBot="1" x14ac:dyDescent="0.3">
      <c r="C13" s="258"/>
      <c r="D13" s="157">
        <v>1</v>
      </c>
      <c r="E13" s="157" t="s">
        <v>307</v>
      </c>
      <c r="F13" s="129" t="s">
        <v>308</v>
      </c>
      <c r="G13" s="154"/>
      <c r="H13" s="158">
        <f t="shared" si="0"/>
        <v>0</v>
      </c>
    </row>
    <row r="14" spans="3:19" x14ac:dyDescent="0.25">
      <c r="C14" s="259" t="s">
        <v>219</v>
      </c>
      <c r="D14" s="260"/>
      <c r="E14" s="260"/>
      <c r="F14" s="260"/>
      <c r="G14" s="159"/>
      <c r="H14" s="160">
        <f>SUM(H6:H13)</f>
        <v>0</v>
      </c>
      <c r="I14" s="131"/>
    </row>
    <row r="15" spans="3:19" ht="16.5" thickBot="1" x14ac:dyDescent="0.3">
      <c r="C15" s="261" t="s">
        <v>220</v>
      </c>
      <c r="D15" s="262"/>
      <c r="E15" s="262"/>
      <c r="F15" s="262"/>
      <c r="G15" s="161"/>
      <c r="H15" s="162">
        <f>H14/12</f>
        <v>0</v>
      </c>
      <c r="I15" s="133"/>
    </row>
  </sheetData>
  <mergeCells count="5">
    <mergeCell ref="C3:H3"/>
    <mergeCell ref="C4:H4"/>
    <mergeCell ref="C6:C13"/>
    <mergeCell ref="C14:F14"/>
    <mergeCell ref="C15:F15"/>
  </mergeCells>
  <pageMargins left="0.511811024" right="0.511811024" top="0.78740157499999996" bottom="0.78740157499999996" header="0.31496062000000002" footer="0.31496062000000002"/>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K14"/>
  <sheetViews>
    <sheetView showGridLines="0" view="pageBreakPreview" zoomScaleNormal="100" workbookViewId="0">
      <selection activeCell="C3" sqref="C3"/>
    </sheetView>
  </sheetViews>
  <sheetFormatPr defaultColWidth="8.42578125" defaultRowHeight="15" x14ac:dyDescent="0.25"/>
  <cols>
    <col min="1" max="2" width="3.7109375" style="53" customWidth="1"/>
    <col min="3" max="3" width="29" style="53" customWidth="1"/>
    <col min="4" max="4" width="24.42578125" style="53" customWidth="1"/>
    <col min="5" max="5" width="13.42578125" style="53" customWidth="1"/>
    <col min="6" max="6" width="17.42578125" style="53" customWidth="1"/>
    <col min="7" max="7" width="7.28515625" style="53" customWidth="1"/>
    <col min="8" max="8" width="13.28515625" style="53" customWidth="1"/>
    <col min="9" max="9" width="14.85546875" style="53" customWidth="1"/>
    <col min="10" max="10" width="15.42578125" style="53" customWidth="1"/>
    <col min="11" max="11" width="15" style="53" customWidth="1"/>
    <col min="12" max="13" width="3.7109375" style="53" customWidth="1"/>
    <col min="14" max="16384" width="8.42578125" style="53"/>
  </cols>
  <sheetData>
    <row r="3" spans="3:11" ht="58.9" customHeight="1" x14ac:dyDescent="0.25">
      <c r="C3" s="76" t="s">
        <v>168</v>
      </c>
      <c r="D3" s="76" t="s">
        <v>169</v>
      </c>
      <c r="E3" s="75" t="s">
        <v>170</v>
      </c>
      <c r="F3" s="75" t="s">
        <v>171</v>
      </c>
      <c r="G3" s="77" t="s">
        <v>172</v>
      </c>
      <c r="H3" s="78" t="s">
        <v>187</v>
      </c>
      <c r="I3" s="79" t="s">
        <v>188</v>
      </c>
      <c r="J3" s="79" t="s">
        <v>182</v>
      </c>
      <c r="K3" s="78" t="s">
        <v>183</v>
      </c>
    </row>
    <row r="4" spans="3:11" x14ac:dyDescent="0.25">
      <c r="C4" s="99" t="s">
        <v>309</v>
      </c>
      <c r="D4" s="99" t="s">
        <v>199</v>
      </c>
      <c r="E4" s="73" t="s">
        <v>202</v>
      </c>
      <c r="F4" s="73" t="s">
        <v>203</v>
      </c>
      <c r="G4" s="74">
        <v>1</v>
      </c>
      <c r="H4" s="100">
        <f>'11ª CR Lajeado'!K191</f>
        <v>565.13725809957828</v>
      </c>
      <c r="I4" s="101">
        <f>H4*G4</f>
        <v>565.13725809957828</v>
      </c>
      <c r="J4" s="102">
        <f>'11ª CR Lajeado'!K194</f>
        <v>3871.2622958890202</v>
      </c>
      <c r="K4" s="102">
        <f t="shared" ref="K4" si="0">G4*J4</f>
        <v>3871.2622958890202</v>
      </c>
    </row>
    <row r="5" spans="3:11" ht="6" customHeight="1" x14ac:dyDescent="0.25">
      <c r="C5" s="266"/>
      <c r="D5" s="267"/>
      <c r="E5" s="267"/>
      <c r="F5" s="267"/>
      <c r="G5" s="267"/>
      <c r="H5" s="267"/>
      <c r="I5" s="267"/>
      <c r="J5" s="267"/>
      <c r="K5" s="268"/>
    </row>
    <row r="6" spans="3:11" ht="40.5" customHeight="1" x14ac:dyDescent="0.25">
      <c r="C6" s="269" t="s">
        <v>191</v>
      </c>
      <c r="D6" s="270"/>
      <c r="E6" s="270"/>
      <c r="F6" s="270"/>
      <c r="G6" s="270"/>
      <c r="H6" s="105">
        <f>SUM(I4:I4)</f>
        <v>565.13725809957828</v>
      </c>
      <c r="I6" s="271" t="s">
        <v>193</v>
      </c>
      <c r="J6" s="272"/>
      <c r="K6" s="82">
        <f>H6/K8</f>
        <v>0.14598268340011736</v>
      </c>
    </row>
    <row r="7" spans="3:11" ht="6" customHeight="1" x14ac:dyDescent="0.25">
      <c r="C7" s="263"/>
      <c r="D7" s="264"/>
      <c r="E7" s="264"/>
      <c r="F7" s="264"/>
      <c r="G7" s="264"/>
      <c r="H7" s="264"/>
      <c r="I7" s="264"/>
      <c r="J7" s="264"/>
      <c r="K7" s="265"/>
    </row>
    <row r="8" spans="3:11" ht="26.45" customHeight="1" x14ac:dyDescent="0.25">
      <c r="C8" s="269" t="s">
        <v>192</v>
      </c>
      <c r="D8" s="270"/>
      <c r="E8" s="270"/>
      <c r="F8" s="273"/>
      <c r="G8" s="104">
        <f>SUM(G4:G4)</f>
        <v>1</v>
      </c>
      <c r="H8" s="269" t="s">
        <v>189</v>
      </c>
      <c r="I8" s="270"/>
      <c r="J8" s="273"/>
      <c r="K8" s="103">
        <f>SUM(K4:K4)</f>
        <v>3871.2622958890202</v>
      </c>
    </row>
    <row r="9" spans="3:11" ht="6" customHeight="1" x14ac:dyDescent="0.25">
      <c r="C9" s="266"/>
      <c r="D9" s="267"/>
      <c r="E9" s="267"/>
      <c r="F9" s="267"/>
      <c r="G9" s="267"/>
      <c r="H9" s="267"/>
      <c r="I9" s="267"/>
      <c r="J9" s="267"/>
      <c r="K9" s="268"/>
    </row>
    <row r="10" spans="3:11" x14ac:dyDescent="0.25">
      <c r="C10" s="57"/>
      <c r="D10" s="57"/>
      <c r="E10" s="57"/>
      <c r="F10" s="57"/>
      <c r="G10" s="57"/>
      <c r="H10" s="57"/>
      <c r="I10" s="57"/>
      <c r="J10" s="57"/>
      <c r="K10" s="57"/>
    </row>
    <row r="11" spans="3:11" x14ac:dyDescent="0.25">
      <c r="C11" s="57"/>
      <c r="D11" s="57"/>
      <c r="E11" s="57"/>
      <c r="F11" s="57"/>
      <c r="G11" s="57"/>
      <c r="H11" s="57"/>
      <c r="I11" s="57"/>
      <c r="J11" s="57"/>
      <c r="K11" s="57"/>
    </row>
    <row r="14" spans="3:11" x14ac:dyDescent="0.25">
      <c r="C14" s="54"/>
      <c r="D14" s="54"/>
      <c r="E14" s="54"/>
      <c r="F14" s="54"/>
    </row>
  </sheetData>
  <mergeCells count="7">
    <mergeCell ref="C7:K7"/>
    <mergeCell ref="C5:K5"/>
    <mergeCell ref="C9:K9"/>
    <mergeCell ref="C6:G6"/>
    <mergeCell ref="I6:J6"/>
    <mergeCell ref="H8:J8"/>
    <mergeCell ref="C8:F8"/>
  </mergeCells>
  <pageMargins left="0.51181102362204722" right="0.51181102362204722" top="1.9685039370078741" bottom="0.78740157480314965" header="0.51181102362204722" footer="0.51181102362204722"/>
  <pageSetup paperSize="9" scale="5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Planilhas</vt:lpstr>
      </vt:variant>
      <vt:variant>
        <vt:i4>5</vt:i4>
      </vt:variant>
      <vt:variant>
        <vt:lpstr>Intervalos nomeados</vt:lpstr>
      </vt:variant>
      <vt:variant>
        <vt:i4>5</vt:i4>
      </vt:variant>
    </vt:vector>
  </HeadingPairs>
  <TitlesOfParts>
    <vt:vector size="10" baseType="lpstr">
      <vt:lpstr>11ª CR Lajeado</vt:lpstr>
      <vt:lpstr>EQUIPAMENTOS</vt:lpstr>
      <vt:lpstr>MATERIAIS</vt:lpstr>
      <vt:lpstr>UNIFORMES</vt:lpstr>
      <vt:lpstr>Resumo</vt:lpstr>
      <vt:lpstr>'11ª CR Lajeado'!Area_de_impressao</vt:lpstr>
      <vt:lpstr>EQUIPAMENTOS!Area_de_impressao</vt:lpstr>
      <vt:lpstr>MATERIAIS!Area_de_impressao</vt:lpstr>
      <vt:lpstr>Resumo!Area_de_impressao</vt:lpstr>
      <vt:lpstr>UNIFORMES!Area_de_impressao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Departamento Autônomo de Estradas de Rodagem</cp:lastModifiedBy>
  <cp:revision>2</cp:revision>
  <cp:lastPrinted>2026-04-14T13:50:34Z</cp:lastPrinted>
  <dcterms:created xsi:type="dcterms:W3CDTF">2019-04-12T20:03:09Z</dcterms:created>
  <dcterms:modified xsi:type="dcterms:W3CDTF">2026-04-14T13:55:39Z</dcterms:modified>
  <dc:language>pt-BR</dc:language>
</cp:coreProperties>
</file>