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EstaPasta_de_trabalho" defaultThemeVersion="124226"/>
  <bookViews>
    <workbookView xWindow="0" yWindow="0" windowWidth="28800" windowHeight="11715"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P42" i="2" s="1"/>
  <c r="Q40" i="2"/>
  <c r="R40" i="2"/>
  <c r="R42"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R61" i="2"/>
  <c r="R63" i="2" s="1"/>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R82" i="2"/>
  <c r="R84"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Q105" i="2" s="1"/>
  <c r="R103" i="2"/>
  <c r="R105"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R124" i="2"/>
  <c r="R126"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Q145" i="2"/>
  <c r="R145" i="2"/>
  <c r="R147"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Q166" i="2"/>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Q187" i="2"/>
  <c r="R187" i="2"/>
  <c r="R189"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Q208" i="2"/>
  <c r="R208" i="2"/>
  <c r="R210"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Q229" i="2"/>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Q250" i="2"/>
  <c r="R250" i="2"/>
  <c r="R252"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Q271" i="2"/>
  <c r="R271" i="2"/>
  <c r="R273"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Q292" i="2"/>
  <c r="R292" i="2"/>
  <c r="R294"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Q313" i="2"/>
  <c r="R313" i="2"/>
  <c r="R315"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Q334" i="2"/>
  <c r="R334" i="2"/>
  <c r="R336"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Q355" i="2"/>
  <c r="R355" i="2"/>
  <c r="R357"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Q376" i="2"/>
  <c r="R376" i="2"/>
  <c r="R378"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Q397" i="2"/>
  <c r="R397" i="2"/>
  <c r="R399"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Q418" i="2"/>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Q439" i="2"/>
  <c r="R439" i="2"/>
  <c r="R441"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Q460" i="2"/>
  <c r="R460" i="2"/>
  <c r="R462"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Q481" i="2"/>
  <c r="R481" i="2"/>
  <c r="R483"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Q502" i="2"/>
  <c r="R502" i="2"/>
  <c r="R504"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Q523" i="2"/>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Q544" i="2"/>
  <c r="R544" i="2"/>
  <c r="R546"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Q565" i="2"/>
  <c r="R565" i="2"/>
  <c r="R567"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R586" i="2"/>
  <c r="R588"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Q607" i="2"/>
  <c r="R607" i="2"/>
  <c r="R609"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Q628" i="2"/>
  <c r="R628" i="2"/>
  <c r="R630"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Q649" i="2"/>
  <c r="Q651" i="2" s="1"/>
  <c r="R649" i="2"/>
  <c r="R651"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Q670" i="2"/>
  <c r="R670" i="2"/>
  <c r="R672"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Q691" i="2"/>
  <c r="Q693" i="2" s="1"/>
  <c r="R691" i="2"/>
  <c r="R693"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Q712" i="2"/>
  <c r="R712" i="2"/>
  <c r="R714"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Q733" i="2"/>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Q754" i="2"/>
  <c r="R754" i="2"/>
  <c r="R756"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Q775" i="2"/>
  <c r="R775" i="2"/>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Q796" i="2"/>
  <c r="Q798" i="2" s="1"/>
  <c r="R796" i="2"/>
  <c r="R798"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Q817" i="2"/>
  <c r="R817" i="2"/>
  <c r="R819"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Q838" i="2"/>
  <c r="R838" i="2"/>
  <c r="R840"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Q859" i="2"/>
  <c r="R859" i="2"/>
  <c r="R861"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Q880" i="2"/>
  <c r="R880" i="2"/>
  <c r="R882"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Q901" i="2"/>
  <c r="R901" i="2"/>
  <c r="R903"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Q922" i="2"/>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Q943" i="2"/>
  <c r="R943" i="2"/>
  <c r="R945"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Q964" i="2"/>
  <c r="R964" i="2"/>
  <c r="R966"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Q985" i="2"/>
  <c r="R985" i="2"/>
  <c r="R987"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Q1006" i="2"/>
  <c r="R1006" i="2"/>
  <c r="R1008"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Q1027" i="2"/>
  <c r="R1027" i="2"/>
  <c r="R1029"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Q1048" i="2"/>
  <c r="R1048" i="2"/>
  <c r="R1050"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Q1069" i="2"/>
  <c r="Q1071" i="2" s="1"/>
  <c r="R1069" i="2"/>
  <c r="R1071"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Q1090" i="2"/>
  <c r="R1090" i="2"/>
  <c r="R1092"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Q1111" i="2"/>
  <c r="R1111" i="2"/>
  <c r="R1113"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Q1132" i="2"/>
  <c r="R1132" i="2"/>
  <c r="R1134"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Q1153" i="2"/>
  <c r="R1153" i="2"/>
  <c r="R1155"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Q1174" i="2"/>
  <c r="R1174" i="2"/>
  <c r="R1176"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Q1195" i="2"/>
  <c r="R1195" i="2"/>
  <c r="R1197"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Q1216" i="2"/>
  <c r="R1216" i="2"/>
  <c r="R1218"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Q1237" i="2"/>
  <c r="R1237" i="2"/>
  <c r="R1239"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Q1258" i="2"/>
  <c r="R1258" i="2"/>
  <c r="R1260"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Q1279" i="2"/>
  <c r="R1279" i="2"/>
  <c r="R1281"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Q1300" i="2"/>
  <c r="R1300" i="2"/>
  <c r="R1302"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Q1321" i="2"/>
  <c r="R1321" i="2"/>
  <c r="R1323"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Q1342" i="2"/>
  <c r="R1342" i="2"/>
  <c r="R1344"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Q1363" i="2"/>
  <c r="R1363" i="2"/>
  <c r="R1365"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Q1384" i="2"/>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Q1405" i="2"/>
  <c r="R1405" i="2"/>
  <c r="R1407"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Q1426" i="2"/>
  <c r="R1426" i="2"/>
  <c r="R1428"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Q1447" i="2"/>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Q1468" i="2"/>
  <c r="R1468" i="2"/>
  <c r="R1470"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Q1489" i="2"/>
  <c r="Q1491" i="2" s="1"/>
  <c r="R1489" i="2"/>
  <c r="R1491"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Q1510" i="2"/>
  <c r="R1510" i="2"/>
  <c r="R1512"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Q1531" i="2"/>
  <c r="R1531" i="2"/>
  <c r="R1533"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Q1552" i="2"/>
  <c r="R1552" i="2"/>
  <c r="R1554"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Q1573" i="2"/>
  <c r="R1573" i="2"/>
  <c r="R1575"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Q1594" i="2"/>
  <c r="R1594" i="2"/>
  <c r="R1596"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Q1615" i="2"/>
  <c r="R1615" i="2"/>
  <c r="R1617"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Q1636" i="2"/>
  <c r="R1636" i="2"/>
  <c r="R1638"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Q1657" i="2"/>
  <c r="R1657" i="2"/>
  <c r="R1659"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Q1678" i="2"/>
  <c r="R1678" i="2"/>
  <c r="R1680"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Q1699" i="2"/>
  <c r="R1699" i="2"/>
  <c r="R1701"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Q1720" i="2"/>
  <c r="R1720" i="2"/>
  <c r="R1722"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Q1741" i="2"/>
  <c r="R1741" i="2"/>
  <c r="R1743"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Q1762" i="2"/>
  <c r="R1762" i="2"/>
  <c r="R1764"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Q1783" i="2"/>
  <c r="R1783" i="2"/>
  <c r="R1785"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Q1804" i="2"/>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Q1825" i="2"/>
  <c r="R1825" i="2"/>
  <c r="R1827"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Q1846" i="2"/>
  <c r="R1846" i="2"/>
  <c r="R1848"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Q1867" i="2"/>
  <c r="R1867" i="2"/>
  <c r="R1869"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Q1888" i="2"/>
  <c r="R1888" i="2"/>
  <c r="R1890"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Q1909" i="2"/>
  <c r="Q1911" i="2" s="1"/>
  <c r="R1909" i="2"/>
  <c r="R1911"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Q1930" i="2"/>
  <c r="R1930" i="2"/>
  <c r="R1932"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Q1951" i="2"/>
  <c r="R1951" i="2"/>
  <c r="R1953"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Q1972" i="2"/>
  <c r="R1972" i="2"/>
  <c r="R1974"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Q1993" i="2"/>
  <c r="R1993" i="2"/>
  <c r="R1995"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Q2014" i="2"/>
  <c r="R2014" i="2"/>
  <c r="R2016"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Q2035" i="2"/>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Q2056" i="2"/>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Q2077" i="2"/>
  <c r="R2077" i="2"/>
  <c r="R2079"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Q2098" i="2"/>
  <c r="R2098" i="2"/>
  <c r="R2100"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Q2119" i="2"/>
  <c r="R2119" i="2"/>
  <c r="R2121"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Q2140" i="2"/>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Q2161" i="2"/>
  <c r="R2161" i="2"/>
  <c r="R2163"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Q2163" i="2" l="1"/>
  <c r="P2163" i="2"/>
  <c r="P2165" i="2" s="1"/>
  <c r="Q2142" i="2"/>
  <c r="P2142" i="2"/>
  <c r="Q2121" i="2"/>
  <c r="P2121" i="2"/>
  <c r="Q2100" i="2"/>
  <c r="P2100" i="2"/>
  <c r="R2102" i="2" s="1"/>
  <c r="Q2079" i="2"/>
  <c r="P2079" i="2"/>
  <c r="M2080" i="2" s="1"/>
  <c r="Q2058" i="2"/>
  <c r="P2058" i="2"/>
  <c r="M2067" i="2" s="1"/>
  <c r="Q2037" i="2"/>
  <c r="P2037" i="2"/>
  <c r="R2039" i="2" s="1"/>
  <c r="Q2016" i="2"/>
  <c r="P2016" i="2"/>
  <c r="P1995" i="2"/>
  <c r="Q1995" i="2"/>
  <c r="R1997" i="2" s="1"/>
  <c r="Q1974" i="2"/>
  <c r="P1974" i="2"/>
  <c r="M1975" i="2" s="1"/>
  <c r="Q1953" i="2"/>
  <c r="M1960" i="2" s="1"/>
  <c r="P1953" i="2"/>
  <c r="Q1932" i="2"/>
  <c r="P1932" i="2"/>
  <c r="P1911" i="2"/>
  <c r="Q1913" i="2" s="1"/>
  <c r="Q1890" i="2"/>
  <c r="P1890" i="2"/>
  <c r="Q1892" i="2" s="1"/>
  <c r="Q1869" i="2"/>
  <c r="P1869" i="2"/>
  <c r="M1878" i="2" s="1"/>
  <c r="Q1848" i="2"/>
  <c r="P1848" i="2"/>
  <c r="Q1827" i="2"/>
  <c r="P1827" i="2"/>
  <c r="Q1806" i="2"/>
  <c r="P1806" i="2"/>
  <c r="Q1808" i="2" s="1"/>
  <c r="Q1785" i="2"/>
  <c r="P1785" i="2"/>
  <c r="Q1764" i="2"/>
  <c r="P1764" i="2"/>
  <c r="Q1766" i="2" s="1"/>
  <c r="Q1743" i="2"/>
  <c r="P1743" i="2"/>
  <c r="P1745" i="2" s="1"/>
  <c r="Q1722" i="2"/>
  <c r="P1722" i="2"/>
  <c r="Q1724" i="2" s="1"/>
  <c r="Q1701" i="2"/>
  <c r="P1701" i="2"/>
  <c r="R1703" i="2" s="1"/>
  <c r="Q1680" i="2"/>
  <c r="P1680" i="2"/>
  <c r="Q1682" i="2" s="1"/>
  <c r="Q1659" i="2"/>
  <c r="P1659" i="2"/>
  <c r="Q1638" i="2"/>
  <c r="P1638" i="2"/>
  <c r="Q1640" i="2" s="1"/>
  <c r="Q1617" i="2"/>
  <c r="P1617" i="2"/>
  <c r="Q1619" i="2" s="1"/>
  <c r="Q1596" i="2"/>
  <c r="P1596" i="2"/>
  <c r="I1596" i="2" s="1"/>
  <c r="Q1575" i="2"/>
  <c r="P1575" i="2"/>
  <c r="R1577" i="2" s="1"/>
  <c r="Q1577" i="2"/>
  <c r="Q1554" i="2"/>
  <c r="M1556" i="2" s="1"/>
  <c r="P1554" i="2"/>
  <c r="Q1533" i="2"/>
  <c r="P1533" i="2"/>
  <c r="H1533" i="2" s="1"/>
  <c r="Q1512" i="2"/>
  <c r="P1512" i="2"/>
  <c r="R1514" i="2" s="1"/>
  <c r="Q1514" i="2"/>
  <c r="P1514" i="2"/>
  <c r="P1491" i="2"/>
  <c r="Q1493" i="2" s="1"/>
  <c r="Q1470" i="2"/>
  <c r="P1470" i="2"/>
  <c r="M1472" i="2" s="1"/>
  <c r="Q1449" i="2"/>
  <c r="Q1451" i="2" s="1"/>
  <c r="P1449" i="2"/>
  <c r="Q1428" i="2"/>
  <c r="H1428" i="2" s="1"/>
  <c r="P1428" i="2"/>
  <c r="Q1407" i="2"/>
  <c r="P1407" i="2"/>
  <c r="P1409" i="2" s="1"/>
  <c r="Q1409" i="2"/>
  <c r="Q1386" i="2"/>
  <c r="P1386" i="2"/>
  <c r="P1388" i="2" s="1"/>
  <c r="Q1365" i="2"/>
  <c r="M1371" i="2" s="1"/>
  <c r="P1365" i="2"/>
  <c r="Q1344" i="2"/>
  <c r="P1344" i="2"/>
  <c r="H1344" i="2" s="1"/>
  <c r="Q1323" i="2"/>
  <c r="P1323" i="2"/>
  <c r="Q1302" i="2"/>
  <c r="R1304" i="2" s="1"/>
  <c r="P1302" i="2"/>
  <c r="Q1281" i="2"/>
  <c r="P1281" i="2"/>
  <c r="Q1283" i="2" s="1"/>
  <c r="Q1260" i="2"/>
  <c r="P1260" i="2"/>
  <c r="Q1239" i="2"/>
  <c r="Q1241" i="2" s="1"/>
  <c r="P1239" i="2"/>
  <c r="R1241" i="2" s="1"/>
  <c r="Q1218" i="2"/>
  <c r="P1218" i="2"/>
  <c r="P1220" i="2" s="1"/>
  <c r="Q1197" i="2"/>
  <c r="M1206" i="2" s="1"/>
  <c r="P1197" i="2"/>
  <c r="Q1176" i="2"/>
  <c r="P1176" i="2"/>
  <c r="R1178" i="2" s="1"/>
  <c r="Q1155" i="2"/>
  <c r="P1155" i="2"/>
  <c r="Q1134" i="2"/>
  <c r="P1134" i="2"/>
  <c r="P1136" i="2" s="1"/>
  <c r="Q1113" i="2"/>
  <c r="P1113" i="2"/>
  <c r="M1115" i="2" s="1"/>
  <c r="Q1092" i="2"/>
  <c r="P1092" i="2"/>
  <c r="P1071" i="2"/>
  <c r="I1071" i="2" s="1"/>
  <c r="Q1050" i="2"/>
  <c r="P1050" i="2"/>
  <c r="Q1029" i="2"/>
  <c r="P1029" i="2"/>
  <c r="P1008" i="2"/>
  <c r="M1015" i="2" s="1"/>
  <c r="Q1008" i="2"/>
  <c r="R1010" i="2" s="1"/>
  <c r="Q987" i="2"/>
  <c r="P987" i="2"/>
  <c r="H987" i="2" s="1"/>
  <c r="Q966" i="2"/>
  <c r="P966" i="2"/>
  <c r="Q945" i="2"/>
  <c r="P945" i="2"/>
  <c r="Q947" i="2" s="1"/>
  <c r="Q924" i="2"/>
  <c r="P924" i="2"/>
  <c r="M929" i="2" s="1"/>
  <c r="Q903" i="2"/>
  <c r="P903" i="2"/>
  <c r="Q882" i="2"/>
  <c r="H882" i="2" s="1"/>
  <c r="P882" i="2"/>
  <c r="R884" i="2" s="1"/>
  <c r="Q861" i="2"/>
  <c r="P861" i="2"/>
  <c r="Q840" i="2"/>
  <c r="P840" i="2"/>
  <c r="Q819" i="2"/>
  <c r="P819" i="2"/>
  <c r="Q821" i="2" s="1"/>
  <c r="P798" i="2"/>
  <c r="R800" i="2" s="1"/>
  <c r="R777" i="2"/>
  <c r="Q777" i="2"/>
  <c r="P777" i="2"/>
  <c r="P756" i="2"/>
  <c r="Q756" i="2"/>
  <c r="R758" i="2" s="1"/>
  <c r="Q735" i="2"/>
  <c r="P735" i="2"/>
  <c r="H735" i="2" s="1"/>
  <c r="Q737" i="2"/>
  <c r="Q714" i="2"/>
  <c r="P714" i="2"/>
  <c r="P693" i="2"/>
  <c r="M701" i="2" s="1"/>
  <c r="Q672" i="2"/>
  <c r="P672" i="2"/>
  <c r="R674" i="2" s="1"/>
  <c r="P651" i="2"/>
  <c r="P653" i="2" s="1"/>
  <c r="Q630" i="2"/>
  <c r="P630" i="2"/>
  <c r="R632" i="2" s="1"/>
  <c r="Q609" i="2"/>
  <c r="P609" i="2"/>
  <c r="Q611" i="2" s="1"/>
  <c r="Q588" i="2"/>
  <c r="R590" i="2" s="1"/>
  <c r="P590" i="2"/>
  <c r="P567" i="2"/>
  <c r="H567" i="2" s="1"/>
  <c r="Q567" i="2"/>
  <c r="R569" i="2" s="1"/>
  <c r="Q546" i="2"/>
  <c r="P546" i="2"/>
  <c r="P548" i="2" s="1"/>
  <c r="Q525" i="2"/>
  <c r="P525" i="2"/>
  <c r="M531" i="2" s="1"/>
  <c r="Q504" i="2"/>
  <c r="I504" i="2" s="1"/>
  <c r="P504" i="2"/>
  <c r="Q483" i="2"/>
  <c r="P483" i="2"/>
  <c r="Q462" i="2"/>
  <c r="P464" i="2" s="1"/>
  <c r="P462" i="2"/>
  <c r="M468" i="2" s="1"/>
  <c r="Q441" i="2"/>
  <c r="P441" i="2"/>
  <c r="Q443" i="2" s="1"/>
  <c r="Q420" i="2"/>
  <c r="P420" i="2"/>
  <c r="Q399" i="2"/>
  <c r="P399" i="2"/>
  <c r="Q401" i="2" s="1"/>
  <c r="Q378" i="2"/>
  <c r="P378" i="2"/>
  <c r="R380" i="2" s="1"/>
  <c r="Q357" i="2"/>
  <c r="P357" i="2"/>
  <c r="Q359" i="2" s="1"/>
  <c r="Q336" i="2"/>
  <c r="P336" i="2"/>
  <c r="P338" i="2" s="1"/>
  <c r="Q315" i="2"/>
  <c r="P315" i="2"/>
  <c r="Q294" i="2"/>
  <c r="Q296" i="2" s="1"/>
  <c r="P294" i="2"/>
  <c r="Q273" i="2"/>
  <c r="P273" i="2"/>
  <c r="Q275" i="2" s="1"/>
  <c r="Q252" i="2"/>
  <c r="P252" i="2"/>
  <c r="Q231" i="2"/>
  <c r="Q233" i="2" s="1"/>
  <c r="P231" i="2"/>
  <c r="Q210" i="2"/>
  <c r="P210" i="2"/>
  <c r="Q212" i="2" s="1"/>
  <c r="Q189" i="2"/>
  <c r="P189" i="2"/>
  <c r="Q191" i="2" s="1"/>
  <c r="R168" i="2"/>
  <c r="P168" i="2"/>
  <c r="Q168" i="2"/>
  <c r="Q147" i="2"/>
  <c r="P147" i="2"/>
  <c r="Q126" i="2"/>
  <c r="P126" i="2"/>
  <c r="P105" i="2"/>
  <c r="Q107" i="2" s="1"/>
  <c r="Q84" i="2"/>
  <c r="P84" i="2"/>
  <c r="M92" i="2" s="1"/>
  <c r="Q63" i="2"/>
  <c r="P63" i="2"/>
  <c r="Q42" i="2"/>
  <c r="Q44" i="2" s="1"/>
  <c r="R44" i="2"/>
  <c r="M1856" i="2"/>
  <c r="P1850" i="2"/>
  <c r="U1808" i="2"/>
  <c r="U1810" i="2" s="1"/>
  <c r="U1812" i="2" s="1"/>
  <c r="U1814" i="2" s="1"/>
  <c r="U1816" i="2" s="1"/>
  <c r="U1818" i="2" s="1"/>
  <c r="H1386" i="2"/>
  <c r="I1911" i="2"/>
  <c r="M1077" i="2"/>
  <c r="I2058" i="2"/>
  <c r="I1575" i="2"/>
  <c r="M1394" i="2"/>
  <c r="T443" i="2"/>
  <c r="T445" i="2" s="1"/>
  <c r="T447" i="2" s="1"/>
  <c r="T449" i="2" s="1"/>
  <c r="T451" i="2" s="1"/>
  <c r="T453" i="2" s="1"/>
  <c r="M174" i="2"/>
  <c r="I126" i="2"/>
  <c r="M85" i="2"/>
  <c r="H42" i="2"/>
  <c r="M48" i="2"/>
  <c r="H2163" i="2"/>
  <c r="M2108" i="2"/>
  <c r="M2109" i="2"/>
  <c r="H2100" i="2"/>
  <c r="M2101" i="2"/>
  <c r="M2106" i="2"/>
  <c r="M2107" i="2"/>
  <c r="Y2165" i="2"/>
  <c r="Y2167" i="2" s="1"/>
  <c r="Y2169" i="2" s="1"/>
  <c r="Y2171" i="2" s="1"/>
  <c r="Y2173" i="2" s="1"/>
  <c r="Y2175" i="2" s="1"/>
  <c r="R2060" i="2"/>
  <c r="I2100" i="2"/>
  <c r="V2039" i="2"/>
  <c r="V2041" i="2" s="1"/>
  <c r="V2043" i="2" s="1"/>
  <c r="V2045" i="2" s="1"/>
  <c r="V2047" i="2" s="1"/>
  <c r="V2049" i="2" s="1"/>
  <c r="M1891" i="2"/>
  <c r="M1896" i="2"/>
  <c r="M1897" i="2"/>
  <c r="M1892" i="2"/>
  <c r="P1892" i="2"/>
  <c r="M1898" i="2"/>
  <c r="M1899" i="2"/>
  <c r="H1890" i="2"/>
  <c r="H1911" i="2"/>
  <c r="M1912" i="2"/>
  <c r="M1917" i="2"/>
  <c r="M1918" i="2"/>
  <c r="M1913" i="2"/>
  <c r="P1913" i="2"/>
  <c r="M1919" i="2"/>
  <c r="M1920" i="2"/>
  <c r="M2105" i="2"/>
  <c r="M1702" i="2"/>
  <c r="Q1703" i="2"/>
  <c r="M1710" i="2"/>
  <c r="X1829" i="2"/>
  <c r="X1831" i="2" s="1"/>
  <c r="X1833" i="2" s="1"/>
  <c r="X1835" i="2" s="1"/>
  <c r="X1837" i="2" s="1"/>
  <c r="X1839" i="2" s="1"/>
  <c r="M1640" i="2"/>
  <c r="I1701" i="2"/>
  <c r="M1706" i="2"/>
  <c r="I1848" i="2"/>
  <c r="M1853" i="2"/>
  <c r="S1787" i="2"/>
  <c r="S1789" i="2" s="1"/>
  <c r="S1791" i="2" s="1"/>
  <c r="S1793" i="2" s="1"/>
  <c r="S1795" i="2" s="1"/>
  <c r="S1797" i="2" s="1"/>
  <c r="M1765" i="2"/>
  <c r="M1770" i="2"/>
  <c r="M1771" i="2"/>
  <c r="M1773" i="2"/>
  <c r="M1727" i="2"/>
  <c r="M1916" i="2"/>
  <c r="M1850" i="2"/>
  <c r="M1895" i="2"/>
  <c r="Z1682" i="2"/>
  <c r="Z1684" i="2" s="1"/>
  <c r="Z1686" i="2" s="1"/>
  <c r="Z1688" i="2" s="1"/>
  <c r="Z1690" i="2" s="1"/>
  <c r="Z1692" i="2" s="1"/>
  <c r="H1701" i="2"/>
  <c r="M1582" i="2"/>
  <c r="M1583" i="2"/>
  <c r="M1584" i="2"/>
  <c r="H1575" i="2"/>
  <c r="M1576" i="2"/>
  <c r="M1581" i="2"/>
  <c r="M1709" i="2"/>
  <c r="M1623" i="2"/>
  <c r="M1624" i="2"/>
  <c r="M1619" i="2"/>
  <c r="P1619" i="2"/>
  <c r="M1625" i="2"/>
  <c r="M1626" i="2"/>
  <c r="P1703" i="2"/>
  <c r="M1703" i="2"/>
  <c r="M1708" i="2"/>
  <c r="M1580" i="2"/>
  <c r="T1661" i="2"/>
  <c r="T1663" i="2" s="1"/>
  <c r="T1665" i="2" s="1"/>
  <c r="T1667" i="2" s="1"/>
  <c r="T1669" i="2" s="1"/>
  <c r="T1671" i="2" s="1"/>
  <c r="M1534" i="2"/>
  <c r="Y1346" i="2"/>
  <c r="Y1348" i="2" s="1"/>
  <c r="Y1350" i="2" s="1"/>
  <c r="Y1352" i="2" s="1"/>
  <c r="Y1354" i="2" s="1"/>
  <c r="Y1356" i="2" s="1"/>
  <c r="M1456" i="2"/>
  <c r="X1283" i="2"/>
  <c r="X1285" i="2" s="1"/>
  <c r="X1287" i="2" s="1"/>
  <c r="X1289" i="2" s="1"/>
  <c r="X1291" i="2" s="1"/>
  <c r="X1293" i="2" s="1"/>
  <c r="M1409" i="2"/>
  <c r="X1262" i="2"/>
  <c r="X1264" i="2" s="1"/>
  <c r="X1266" i="2" s="1"/>
  <c r="X1268" i="2" s="1"/>
  <c r="X1270" i="2" s="1"/>
  <c r="X1272" i="2" s="1"/>
  <c r="X1136" i="2"/>
  <c r="X1138" i="2" s="1"/>
  <c r="X1140" i="2" s="1"/>
  <c r="X1142" i="2" s="1"/>
  <c r="X1144" i="2" s="1"/>
  <c r="X1146" i="2" s="1"/>
  <c r="M1520" i="2"/>
  <c r="I1512" i="2"/>
  <c r="M1517" i="2"/>
  <c r="S1514" i="2"/>
  <c r="S1516" i="2" s="1"/>
  <c r="S1518" i="2" s="1"/>
  <c r="S1520" i="2" s="1"/>
  <c r="S1522" i="2" s="1"/>
  <c r="S1524" i="2" s="1"/>
  <c r="M1513" i="2"/>
  <c r="M1518" i="2"/>
  <c r="I1470" i="2"/>
  <c r="S1535" i="2"/>
  <c r="S1537" i="2" s="1"/>
  <c r="S1539" i="2" s="1"/>
  <c r="S1541" i="2" s="1"/>
  <c r="S1543" i="2" s="1"/>
  <c r="S1545" i="2" s="1"/>
  <c r="M1412" i="2"/>
  <c r="M1391" i="2"/>
  <c r="M1372" i="2"/>
  <c r="P1367" i="2"/>
  <c r="M1373" i="2"/>
  <c r="M1374" i="2"/>
  <c r="H1365" i="2"/>
  <c r="M1366" i="2"/>
  <c r="M1514" i="2"/>
  <c r="M1519" i="2"/>
  <c r="I1365" i="2"/>
  <c r="V1262" i="2"/>
  <c r="V1264" i="2" s="1"/>
  <c r="V1266" i="2" s="1"/>
  <c r="V1268" i="2" s="1"/>
  <c r="V1270" i="2" s="1"/>
  <c r="V1272" i="2" s="1"/>
  <c r="I1386" i="2"/>
  <c r="H1512" i="2"/>
  <c r="M1350" i="2"/>
  <c r="M1351" i="2"/>
  <c r="M1346" i="2"/>
  <c r="M1352" i="2"/>
  <c r="M1353" i="2"/>
  <c r="M1521" i="2"/>
  <c r="M1122" i="2"/>
  <c r="M1388" i="2"/>
  <c r="M1395" i="2"/>
  <c r="U1388" i="2"/>
  <c r="U1390" i="2" s="1"/>
  <c r="U1392" i="2" s="1"/>
  <c r="U1394" i="2" s="1"/>
  <c r="U1396" i="2" s="1"/>
  <c r="U1398" i="2" s="1"/>
  <c r="M1303" i="2"/>
  <c r="M1309" i="2"/>
  <c r="R1388" i="2"/>
  <c r="M1220" i="2"/>
  <c r="V1052" i="2"/>
  <c r="V1054" i="2" s="1"/>
  <c r="V1056" i="2" s="1"/>
  <c r="V1058" i="2" s="1"/>
  <c r="V1060" i="2" s="1"/>
  <c r="V1062" i="2" s="1"/>
  <c r="U989" i="2"/>
  <c r="U991" i="2" s="1"/>
  <c r="U993" i="2" s="1"/>
  <c r="U995" i="2" s="1"/>
  <c r="U997" i="2" s="1"/>
  <c r="U999" i="2" s="1"/>
  <c r="M1183" i="2"/>
  <c r="M1121" i="2"/>
  <c r="S1031" i="2"/>
  <c r="S1033" i="2" s="1"/>
  <c r="S1035" i="2" s="1"/>
  <c r="S1037" i="2" s="1"/>
  <c r="S1039" i="2" s="1"/>
  <c r="S1041" i="2" s="1"/>
  <c r="M1073" i="2"/>
  <c r="Q1073" i="2"/>
  <c r="M1072" i="2"/>
  <c r="H1113" i="2"/>
  <c r="S674" i="2"/>
  <c r="S676" i="2" s="1"/>
  <c r="S678" i="2" s="1"/>
  <c r="S680" i="2" s="1"/>
  <c r="S682" i="2" s="1"/>
  <c r="S684" i="2" s="1"/>
  <c r="M681" i="2"/>
  <c r="M678" i="2"/>
  <c r="M908" i="2"/>
  <c r="W821" i="2"/>
  <c r="W823" i="2" s="1"/>
  <c r="W825" i="2" s="1"/>
  <c r="W827" i="2" s="1"/>
  <c r="W829" i="2" s="1"/>
  <c r="W831" i="2" s="1"/>
  <c r="M828" i="2"/>
  <c r="H1071" i="2"/>
  <c r="M1080" i="2"/>
  <c r="T842" i="2"/>
  <c r="T844" i="2" s="1"/>
  <c r="T846" i="2" s="1"/>
  <c r="T848" i="2" s="1"/>
  <c r="T850" i="2" s="1"/>
  <c r="T852" i="2" s="1"/>
  <c r="M883" i="2"/>
  <c r="M888" i="2"/>
  <c r="M889" i="2"/>
  <c r="M884" i="2"/>
  <c r="P884" i="2"/>
  <c r="M890" i="2"/>
  <c r="I735" i="2"/>
  <c r="T926" i="2"/>
  <c r="T928" i="2" s="1"/>
  <c r="T930" i="2" s="1"/>
  <c r="T932" i="2" s="1"/>
  <c r="T934" i="2" s="1"/>
  <c r="T936" i="2" s="1"/>
  <c r="H903" i="2"/>
  <c r="X779" i="2"/>
  <c r="X781" i="2" s="1"/>
  <c r="X783" i="2" s="1"/>
  <c r="X785" i="2" s="1"/>
  <c r="X787" i="2" s="1"/>
  <c r="X789" i="2" s="1"/>
  <c r="M785" i="2"/>
  <c r="I777" i="2"/>
  <c r="Z758" i="2"/>
  <c r="Z760" i="2" s="1"/>
  <c r="Z762" i="2" s="1"/>
  <c r="Z764" i="2" s="1"/>
  <c r="Z766" i="2" s="1"/>
  <c r="Z768" i="2" s="1"/>
  <c r="M761" i="2"/>
  <c r="I882" i="2"/>
  <c r="M765" i="2"/>
  <c r="M778" i="2"/>
  <c r="T611" i="2"/>
  <c r="T613" i="2" s="1"/>
  <c r="T615" i="2" s="1"/>
  <c r="T617" i="2" s="1"/>
  <c r="T619" i="2" s="1"/>
  <c r="T621" i="2" s="1"/>
  <c r="M757" i="2"/>
  <c r="M762" i="2"/>
  <c r="M763" i="2"/>
  <c r="M758" i="2"/>
  <c r="P758" i="2"/>
  <c r="M764" i="2"/>
  <c r="H756" i="2"/>
  <c r="U779" i="2"/>
  <c r="U781" i="2" s="1"/>
  <c r="U783" i="2" s="1"/>
  <c r="U785" i="2" s="1"/>
  <c r="U787" i="2" s="1"/>
  <c r="U789" i="2" s="1"/>
  <c r="M736" i="2"/>
  <c r="R737" i="2"/>
  <c r="M744" i="2"/>
  <c r="Q716" i="2"/>
  <c r="M715" i="2"/>
  <c r="M720" i="2"/>
  <c r="V569" i="2"/>
  <c r="V571" i="2" s="1"/>
  <c r="V573" i="2" s="1"/>
  <c r="V575" i="2" s="1"/>
  <c r="V577" i="2" s="1"/>
  <c r="V579" i="2" s="1"/>
  <c r="M575" i="2"/>
  <c r="M573" i="2"/>
  <c r="T800" i="2"/>
  <c r="T802" i="2" s="1"/>
  <c r="T804" i="2" s="1"/>
  <c r="T806" i="2" s="1"/>
  <c r="T808" i="2" s="1"/>
  <c r="T810" i="2" s="1"/>
  <c r="M740" i="2"/>
  <c r="I756" i="2"/>
  <c r="T653" i="2"/>
  <c r="T655" i="2" s="1"/>
  <c r="T657" i="2" s="1"/>
  <c r="T659" i="2" s="1"/>
  <c r="T661" i="2" s="1"/>
  <c r="T663" i="2" s="1"/>
  <c r="M658" i="2"/>
  <c r="M657" i="2"/>
  <c r="H651" i="2"/>
  <c r="M743" i="2"/>
  <c r="M737" i="2"/>
  <c r="M656" i="2"/>
  <c r="AC527" i="2"/>
  <c r="AC529" i="2" s="1"/>
  <c r="AC531" i="2" s="1"/>
  <c r="AC533" i="2" s="1"/>
  <c r="AC535" i="2" s="1"/>
  <c r="AC537" i="2" s="1"/>
  <c r="M526" i="2"/>
  <c r="M784" i="2"/>
  <c r="M618" i="2"/>
  <c r="I609" i="2"/>
  <c r="M548" i="2"/>
  <c r="M555" i="2"/>
  <c r="Q548" i="2"/>
  <c r="M553" i="2"/>
  <c r="P737" i="2"/>
  <c r="I672" i="2"/>
  <c r="M742" i="2"/>
  <c r="M741" i="2"/>
  <c r="M674" i="2"/>
  <c r="P674" i="2"/>
  <c r="M680" i="2"/>
  <c r="H672" i="2"/>
  <c r="M673" i="2"/>
  <c r="M679" i="2"/>
  <c r="M652" i="2"/>
  <c r="M659" i="2"/>
  <c r="M551" i="2"/>
  <c r="M616" i="2"/>
  <c r="M596" i="2"/>
  <c r="M597" i="2"/>
  <c r="M677" i="2"/>
  <c r="Q527" i="2"/>
  <c r="M660" i="2"/>
  <c r="M576" i="2"/>
  <c r="S611" i="2"/>
  <c r="S613" i="2" s="1"/>
  <c r="S615" i="2" s="1"/>
  <c r="S617" i="2" s="1"/>
  <c r="S619" i="2" s="1"/>
  <c r="S621" i="2" s="1"/>
  <c r="M362" i="2"/>
  <c r="M532" i="2"/>
  <c r="M527" i="2"/>
  <c r="H525" i="2"/>
  <c r="M511" i="2"/>
  <c r="M593" i="2"/>
  <c r="M572" i="2"/>
  <c r="M530" i="2"/>
  <c r="I462" i="2"/>
  <c r="M303" i="2"/>
  <c r="M379" i="2"/>
  <c r="I252" i="2"/>
  <c r="M384" i="2"/>
  <c r="M385" i="2"/>
  <c r="M380" i="2"/>
  <c r="P380" i="2"/>
  <c r="H378" i="2"/>
  <c r="S233" i="2"/>
  <c r="S235" i="2" s="1"/>
  <c r="S237" i="2" s="1"/>
  <c r="S239" i="2" s="1"/>
  <c r="S241" i="2" s="1"/>
  <c r="S243" i="2" s="1"/>
  <c r="M363" i="2"/>
  <c r="M364" i="2"/>
  <c r="M359" i="2"/>
  <c r="M383" i="2"/>
  <c r="M387" i="2"/>
  <c r="M386" i="2"/>
  <c r="M257" i="2"/>
  <c r="M259" i="2"/>
  <c r="M260" i="2"/>
  <c r="U254" i="2"/>
  <c r="U256" i="2" s="1"/>
  <c r="U258" i="2" s="1"/>
  <c r="U260" i="2" s="1"/>
  <c r="U262" i="2" s="1"/>
  <c r="U264" i="2" s="1"/>
  <c r="M236" i="2"/>
  <c r="M194" i="2"/>
  <c r="I168" i="2"/>
  <c r="W149" i="2"/>
  <c r="W151" i="2" s="1"/>
  <c r="W153" i="2" s="1"/>
  <c r="W155" i="2" s="1"/>
  <c r="W157" i="2" s="1"/>
  <c r="W159" i="2" s="1"/>
  <c r="M261" i="2"/>
  <c r="H252" i="2"/>
  <c r="M254" i="2"/>
  <c r="V212" i="2"/>
  <c r="V214" i="2" s="1"/>
  <c r="V216" i="2" s="1"/>
  <c r="V218" i="2" s="1"/>
  <c r="V220" i="2" s="1"/>
  <c r="V222" i="2" s="1"/>
  <c r="I189" i="2"/>
  <c r="M173" i="2"/>
  <c r="V128" i="2"/>
  <c r="V130" i="2" s="1"/>
  <c r="V132" i="2" s="1"/>
  <c r="V134" i="2" s="1"/>
  <c r="V136" i="2" s="1"/>
  <c r="V138" i="2" s="1"/>
  <c r="M134" i="2"/>
  <c r="M175" i="2"/>
  <c r="M110" i="2"/>
  <c r="I84" i="2"/>
  <c r="I105" i="2"/>
  <c r="H105" i="2"/>
  <c r="M111" i="2"/>
  <c r="P107" i="2"/>
  <c r="M106" i="2"/>
  <c r="M114" i="2"/>
  <c r="M135" i="2"/>
  <c r="M128" i="2"/>
  <c r="M133" i="2"/>
  <c r="M127" i="2"/>
  <c r="M132" i="2"/>
  <c r="M47" i="2"/>
  <c r="I42" i="2"/>
  <c r="M51" i="2"/>
  <c r="M50" i="2"/>
  <c r="AA44" i="2"/>
  <c r="AA46" i="2" s="1"/>
  <c r="AA48" i="2" s="1"/>
  <c r="AA50" i="2" s="1"/>
  <c r="AA52" i="2" s="1"/>
  <c r="AA54" i="2" s="1"/>
  <c r="M44" i="2"/>
  <c r="M49" i="2"/>
  <c r="T46" i="2"/>
  <c r="T48" i="2" s="1"/>
  <c r="T50" i="2" s="1"/>
  <c r="T52" i="2" s="1"/>
  <c r="T54" i="2" s="1"/>
  <c r="M23" i="13"/>
  <c r="R2165" i="2" l="1"/>
  <c r="Q2165" i="2"/>
  <c r="M2169" i="2"/>
  <c r="M2168" i="2"/>
  <c r="M2165" i="2"/>
  <c r="M2172" i="2"/>
  <c r="I2163" i="2"/>
  <c r="M2171" i="2"/>
  <c r="M2164" i="2"/>
  <c r="M2170" i="2"/>
  <c r="H2142" i="2"/>
  <c r="R2144" i="2"/>
  <c r="M2144" i="2"/>
  <c r="M2149" i="2"/>
  <c r="M2151" i="2"/>
  <c r="Q2144" i="2"/>
  <c r="I2142" i="2"/>
  <c r="M2147" i="2"/>
  <c r="M2150" i="2"/>
  <c r="M2143" i="2"/>
  <c r="M2148" i="2"/>
  <c r="P2144" i="2"/>
  <c r="Q2146" i="2" s="1"/>
  <c r="Q2123" i="2"/>
  <c r="R2123" i="2"/>
  <c r="M2123" i="2"/>
  <c r="M2128" i="2"/>
  <c r="M2127" i="2"/>
  <c r="M2122" i="2"/>
  <c r="M2126" i="2"/>
  <c r="H2121" i="2"/>
  <c r="M2130" i="2"/>
  <c r="M2129" i="2"/>
  <c r="P2123" i="2"/>
  <c r="I2121" i="2"/>
  <c r="P2102" i="2"/>
  <c r="M2102" i="2"/>
  <c r="Q2102" i="2"/>
  <c r="R2081" i="2"/>
  <c r="H2079" i="2"/>
  <c r="I2079" i="2"/>
  <c r="M2085" i="2"/>
  <c r="M2084" i="2"/>
  <c r="P2081" i="2"/>
  <c r="Q2083" i="2" s="1"/>
  <c r="M2088" i="2"/>
  <c r="Q2081" i="2"/>
  <c r="M2087" i="2"/>
  <c r="M2086" i="2"/>
  <c r="M2081" i="2"/>
  <c r="M2064" i="2"/>
  <c r="M2065" i="2"/>
  <c r="Q2060" i="2"/>
  <c r="P2060" i="2"/>
  <c r="P2062" i="2" s="1"/>
  <c r="M2066" i="2"/>
  <c r="H2058" i="2"/>
  <c r="M2063" i="2"/>
  <c r="M2060" i="2"/>
  <c r="M2059" i="2"/>
  <c r="M2043" i="2"/>
  <c r="Q2039" i="2"/>
  <c r="M2038" i="2"/>
  <c r="P2039" i="2"/>
  <c r="M2039" i="2"/>
  <c r="M2044" i="2"/>
  <c r="I2037" i="2"/>
  <c r="M2045" i="2"/>
  <c r="M2042" i="2"/>
  <c r="H2037" i="2"/>
  <c r="M2046" i="2"/>
  <c r="R2018" i="2"/>
  <c r="Q2018" i="2"/>
  <c r="M2022" i="2"/>
  <c r="M2024" i="2"/>
  <c r="H2016" i="2"/>
  <c r="P2018" i="2"/>
  <c r="R2020" i="2" s="1"/>
  <c r="I2016" i="2"/>
  <c r="M2025" i="2"/>
  <c r="M2018" i="2"/>
  <c r="M2021" i="2"/>
  <c r="M2017" i="2"/>
  <c r="M2023" i="2"/>
  <c r="P2020" i="2"/>
  <c r="M1996" i="2"/>
  <c r="I1995" i="2"/>
  <c r="M1997" i="2"/>
  <c r="M2002" i="2"/>
  <c r="M2001" i="2"/>
  <c r="H1995" i="2"/>
  <c r="M2004" i="2"/>
  <c r="M2003" i="2"/>
  <c r="P1997" i="2"/>
  <c r="M2000" i="2"/>
  <c r="Q1997" i="2"/>
  <c r="I1997" i="2" s="1"/>
  <c r="Q1999" i="2"/>
  <c r="R1976" i="2"/>
  <c r="M1979" i="2"/>
  <c r="P1976" i="2"/>
  <c r="H1974" i="2"/>
  <c r="Q1976" i="2"/>
  <c r="P1978" i="2" s="1"/>
  <c r="M1983" i="2"/>
  <c r="I1974" i="2"/>
  <c r="M1982" i="2"/>
  <c r="M1976" i="2"/>
  <c r="M1981" i="2"/>
  <c r="M1980" i="2"/>
  <c r="M1958" i="2"/>
  <c r="M1955" i="2"/>
  <c r="M1959" i="2"/>
  <c r="Q1955" i="2"/>
  <c r="R1955" i="2"/>
  <c r="P1955" i="2"/>
  <c r="I1955" i="2" s="1"/>
  <c r="H1953" i="2"/>
  <c r="M1961" i="2"/>
  <c r="M1954" i="2"/>
  <c r="M1962" i="2"/>
  <c r="I1953" i="2"/>
  <c r="M1939" i="2"/>
  <c r="M1940" i="2"/>
  <c r="Q1934" i="2"/>
  <c r="M1934" i="2"/>
  <c r="H1932" i="2"/>
  <c r="R1934" i="2"/>
  <c r="M1938" i="2"/>
  <c r="M1937" i="2"/>
  <c r="M1941" i="2"/>
  <c r="P1934" i="2"/>
  <c r="P1936" i="2" s="1"/>
  <c r="Q1936" i="2"/>
  <c r="M1933" i="2"/>
  <c r="I1932" i="2"/>
  <c r="R1913" i="2"/>
  <c r="R1915" i="2" s="1"/>
  <c r="I1913" i="2"/>
  <c r="Q1915" i="2"/>
  <c r="I1890" i="2"/>
  <c r="R1892" i="2"/>
  <c r="R1894" i="2" s="1"/>
  <c r="R1871" i="2"/>
  <c r="H1869" i="2"/>
  <c r="M1870" i="2"/>
  <c r="M1875" i="2"/>
  <c r="M1874" i="2"/>
  <c r="M1871" i="2"/>
  <c r="Q1871" i="2"/>
  <c r="M1876" i="2"/>
  <c r="P1871" i="2"/>
  <c r="I1869" i="2"/>
  <c r="M1877" i="2"/>
  <c r="R1850" i="2"/>
  <c r="M1854" i="2"/>
  <c r="M1849" i="2"/>
  <c r="M1857" i="2"/>
  <c r="H1848" i="2"/>
  <c r="M1855" i="2"/>
  <c r="Q1850" i="2"/>
  <c r="R1852" i="2" s="1"/>
  <c r="P1829" i="2"/>
  <c r="M1836" i="2"/>
  <c r="M1828" i="2"/>
  <c r="M1833" i="2"/>
  <c r="Q1829" i="2"/>
  <c r="I1829" i="2" s="1"/>
  <c r="M1832" i="2"/>
  <c r="M1834" i="2"/>
  <c r="I1827" i="2"/>
  <c r="R1829" i="2"/>
  <c r="H1827" i="2"/>
  <c r="M1829" i="2"/>
  <c r="M1835" i="2"/>
  <c r="R1808" i="2"/>
  <c r="M1814" i="2"/>
  <c r="H1806" i="2"/>
  <c r="I1806" i="2"/>
  <c r="M1815" i="2"/>
  <c r="M1813" i="2"/>
  <c r="M1808" i="2"/>
  <c r="M1812" i="2"/>
  <c r="M1811" i="2"/>
  <c r="M1807" i="2"/>
  <c r="P1808" i="2"/>
  <c r="Q1810" i="2" s="1"/>
  <c r="P1787" i="2"/>
  <c r="H1785" i="2"/>
  <c r="M1793" i="2"/>
  <c r="M1792" i="2"/>
  <c r="M1791" i="2"/>
  <c r="I1785" i="2"/>
  <c r="Q1787" i="2"/>
  <c r="M1790" i="2"/>
  <c r="M1794" i="2"/>
  <c r="R1787" i="2"/>
  <c r="M1786" i="2"/>
  <c r="M1787" i="2"/>
  <c r="H1764" i="2"/>
  <c r="M1772" i="2"/>
  <c r="P1766" i="2"/>
  <c r="I1764" i="2"/>
  <c r="R1766" i="2"/>
  <c r="P1768" i="2" s="1"/>
  <c r="M1766" i="2"/>
  <c r="M1769" i="2"/>
  <c r="M1745" i="2"/>
  <c r="M1751" i="2"/>
  <c r="M1752" i="2"/>
  <c r="R1745" i="2"/>
  <c r="M1750" i="2"/>
  <c r="I1743" i="2"/>
  <c r="Q1745" i="2"/>
  <c r="Q1747" i="2" s="1"/>
  <c r="M1748" i="2"/>
  <c r="M1749" i="2"/>
  <c r="M1744" i="2"/>
  <c r="H1743" i="2"/>
  <c r="H1745" i="2"/>
  <c r="J1745" i="2" s="1"/>
  <c r="R1724" i="2"/>
  <c r="I1722" i="2"/>
  <c r="M1723" i="2"/>
  <c r="H1722" i="2"/>
  <c r="M1731" i="2"/>
  <c r="P1724" i="2"/>
  <c r="M1730" i="2"/>
  <c r="M1724" i="2"/>
  <c r="M1729" i="2"/>
  <c r="M1728" i="2"/>
  <c r="R1705" i="2"/>
  <c r="M1707" i="2"/>
  <c r="Q1705" i="2"/>
  <c r="M1682" i="2"/>
  <c r="M1685" i="2"/>
  <c r="P1682" i="2"/>
  <c r="M1686" i="2"/>
  <c r="M1681" i="2"/>
  <c r="M1688" i="2"/>
  <c r="I1680" i="2"/>
  <c r="M1689" i="2"/>
  <c r="R1682" i="2"/>
  <c r="R1684" i="2" s="1"/>
  <c r="Q1684" i="2"/>
  <c r="P1684" i="2"/>
  <c r="M1687" i="2"/>
  <c r="H1680" i="2"/>
  <c r="R1661" i="2"/>
  <c r="M1661" i="2"/>
  <c r="M1667" i="2"/>
  <c r="M1665" i="2"/>
  <c r="M1666" i="2"/>
  <c r="H1659" i="2"/>
  <c r="M1668" i="2"/>
  <c r="M1664" i="2"/>
  <c r="I1659" i="2"/>
  <c r="Q1661" i="2"/>
  <c r="P1661" i="2"/>
  <c r="H1661" i="2" s="1"/>
  <c r="M1660" i="2"/>
  <c r="M1645" i="2"/>
  <c r="M1643" i="2"/>
  <c r="R1640" i="2"/>
  <c r="H1638" i="2"/>
  <c r="M1647" i="2"/>
  <c r="M1646" i="2"/>
  <c r="P1640" i="2"/>
  <c r="I1640" i="2" s="1"/>
  <c r="M1644" i="2"/>
  <c r="I1638" i="2"/>
  <c r="M1639" i="2"/>
  <c r="M1622" i="2"/>
  <c r="I1617" i="2"/>
  <c r="M1618" i="2"/>
  <c r="R1619" i="2"/>
  <c r="R1621" i="2" s="1"/>
  <c r="H1617" i="2"/>
  <c r="Q1621" i="2"/>
  <c r="Q1598" i="2"/>
  <c r="P1598" i="2"/>
  <c r="M1601" i="2"/>
  <c r="H1596" i="2"/>
  <c r="M1605" i="2"/>
  <c r="M1604" i="2"/>
  <c r="M1603" i="2"/>
  <c r="M1602" i="2"/>
  <c r="R1598" i="2"/>
  <c r="R1600" i="2" s="1"/>
  <c r="M1597" i="2"/>
  <c r="M1598" i="2"/>
  <c r="P1577" i="2"/>
  <c r="M1577" i="2"/>
  <c r="R1579" i="2"/>
  <c r="Q1579" i="2"/>
  <c r="I1577" i="2"/>
  <c r="Q1556" i="2"/>
  <c r="R1556" i="2"/>
  <c r="M1559" i="2"/>
  <c r="I1554" i="2"/>
  <c r="P1556" i="2"/>
  <c r="H1554" i="2"/>
  <c r="M1555" i="2"/>
  <c r="M1560" i="2"/>
  <c r="M1561" i="2"/>
  <c r="M1563" i="2"/>
  <c r="M1562" i="2"/>
  <c r="Q1558" i="2"/>
  <c r="Q1535" i="2"/>
  <c r="M1540" i="2"/>
  <c r="M1542" i="2"/>
  <c r="M1541" i="2"/>
  <c r="P1535" i="2"/>
  <c r="M1535" i="2"/>
  <c r="M1539" i="2"/>
  <c r="M1538" i="2"/>
  <c r="I1533" i="2"/>
  <c r="R1535" i="2"/>
  <c r="Q1537" i="2"/>
  <c r="R1516" i="2"/>
  <c r="Q1516" i="2"/>
  <c r="P1516" i="2"/>
  <c r="P1518" i="2" s="1"/>
  <c r="R1493" i="2"/>
  <c r="P1493" i="2"/>
  <c r="Q1495" i="2" s="1"/>
  <c r="M1496" i="2"/>
  <c r="M1499" i="2"/>
  <c r="M1493" i="2"/>
  <c r="M1498" i="2"/>
  <c r="M1497" i="2"/>
  <c r="M1492" i="2"/>
  <c r="H1491" i="2"/>
  <c r="M1500" i="2"/>
  <c r="I1491" i="2"/>
  <c r="M1477" i="2"/>
  <c r="M1476" i="2"/>
  <c r="M1471" i="2"/>
  <c r="H1470" i="2"/>
  <c r="Q1472" i="2"/>
  <c r="R1472" i="2"/>
  <c r="M1479" i="2"/>
  <c r="M1475" i="2"/>
  <c r="P1472" i="2"/>
  <c r="M1478" i="2"/>
  <c r="H1449" i="2"/>
  <c r="M1454" i="2"/>
  <c r="M1458" i="2"/>
  <c r="M1455" i="2"/>
  <c r="M1450" i="2"/>
  <c r="M1451" i="2"/>
  <c r="R1451" i="2"/>
  <c r="P1451" i="2"/>
  <c r="P1453" i="2" s="1"/>
  <c r="M1457" i="2"/>
  <c r="I1449" i="2"/>
  <c r="M1429" i="2"/>
  <c r="Q1430" i="2"/>
  <c r="M1433" i="2"/>
  <c r="M1435" i="2"/>
  <c r="M1434" i="2"/>
  <c r="R1430" i="2"/>
  <c r="M1437" i="2"/>
  <c r="M1436" i="2"/>
  <c r="P1430" i="2"/>
  <c r="Q1432" i="2" s="1"/>
  <c r="I1428" i="2"/>
  <c r="M1430" i="2"/>
  <c r="M1414" i="2"/>
  <c r="M1413" i="2"/>
  <c r="R1409" i="2"/>
  <c r="R1411" i="2" s="1"/>
  <c r="M1408" i="2"/>
  <c r="I1407" i="2"/>
  <c r="H1407" i="2"/>
  <c r="M1416" i="2"/>
  <c r="M1415" i="2"/>
  <c r="Q1411" i="2"/>
  <c r="Q1388" i="2"/>
  <c r="R1390" i="2" s="1"/>
  <c r="M1393" i="2"/>
  <c r="M1387" i="2"/>
  <c r="M1392" i="2"/>
  <c r="Q1390" i="2"/>
  <c r="P1390" i="2"/>
  <c r="M1367" i="2"/>
  <c r="Q1367" i="2"/>
  <c r="M1370" i="2"/>
  <c r="R1367" i="2"/>
  <c r="R1369" i="2" s="1"/>
  <c r="M1349" i="2"/>
  <c r="M1345" i="2"/>
  <c r="P1346" i="2"/>
  <c r="R1346" i="2"/>
  <c r="Q1346" i="2"/>
  <c r="H1346" i="2" s="1"/>
  <c r="I1344" i="2"/>
  <c r="P1348" i="2"/>
  <c r="R1325" i="2"/>
  <c r="M1324" i="2"/>
  <c r="H1323" i="2"/>
  <c r="I1323" i="2"/>
  <c r="M1331" i="2"/>
  <c r="M1330" i="2"/>
  <c r="M1329" i="2"/>
  <c r="M1328" i="2"/>
  <c r="M1332" i="2"/>
  <c r="P1325" i="2"/>
  <c r="M1325" i="2"/>
  <c r="Q1325" i="2"/>
  <c r="Q1327" i="2"/>
  <c r="I1325" i="2"/>
  <c r="H1302" i="2"/>
  <c r="I1302" i="2"/>
  <c r="M1311" i="2"/>
  <c r="M1310" i="2"/>
  <c r="P1304" i="2"/>
  <c r="R1306" i="2" s="1"/>
  <c r="M1308" i="2"/>
  <c r="M1304" i="2"/>
  <c r="M1307" i="2"/>
  <c r="Q1304" i="2"/>
  <c r="Q1306" i="2"/>
  <c r="R1283" i="2"/>
  <c r="I1281" i="2"/>
  <c r="M1288" i="2"/>
  <c r="M1286" i="2"/>
  <c r="M1283" i="2"/>
  <c r="M1287" i="2"/>
  <c r="M1282" i="2"/>
  <c r="H1281" i="2"/>
  <c r="M1290" i="2"/>
  <c r="M1289" i="2"/>
  <c r="P1283" i="2"/>
  <c r="R1262" i="2"/>
  <c r="P1262" i="2"/>
  <c r="M1265" i="2"/>
  <c r="M1268" i="2"/>
  <c r="M1266" i="2"/>
  <c r="Q1262" i="2"/>
  <c r="Q1264" i="2" s="1"/>
  <c r="H1260" i="2"/>
  <c r="M1267" i="2"/>
  <c r="M1261" i="2"/>
  <c r="M1262" i="2"/>
  <c r="I1260" i="2"/>
  <c r="M1269" i="2"/>
  <c r="P1241" i="2"/>
  <c r="H1239" i="2"/>
  <c r="M1244" i="2"/>
  <c r="I1239" i="2"/>
  <c r="M1248" i="2"/>
  <c r="M1245" i="2"/>
  <c r="M1241" i="2"/>
  <c r="M1247" i="2"/>
  <c r="M1246" i="2"/>
  <c r="M1240" i="2"/>
  <c r="R1243" i="2"/>
  <c r="Q1243" i="2"/>
  <c r="R1220" i="2"/>
  <c r="M1225" i="2"/>
  <c r="M1227" i="2"/>
  <c r="M1226" i="2"/>
  <c r="H1218" i="2"/>
  <c r="M1219" i="2"/>
  <c r="M1223" i="2"/>
  <c r="I1218" i="2"/>
  <c r="M1224" i="2"/>
  <c r="Q1220" i="2"/>
  <c r="I1197" i="2"/>
  <c r="M1202" i="2"/>
  <c r="H1197" i="2"/>
  <c r="Q1199" i="2"/>
  <c r="R1199" i="2"/>
  <c r="M1205" i="2"/>
  <c r="P1199" i="2"/>
  <c r="Q1201" i="2" s="1"/>
  <c r="M1199" i="2"/>
  <c r="M1204" i="2"/>
  <c r="M1203" i="2"/>
  <c r="M1198" i="2"/>
  <c r="Q1178" i="2"/>
  <c r="M1181" i="2"/>
  <c r="M1182" i="2"/>
  <c r="I1176" i="2"/>
  <c r="H1176" i="2"/>
  <c r="M1185" i="2"/>
  <c r="M1184" i="2"/>
  <c r="P1178" i="2"/>
  <c r="M1178" i="2"/>
  <c r="R1180" i="2"/>
  <c r="M1177" i="2"/>
  <c r="Q1180" i="2"/>
  <c r="M1163" i="2"/>
  <c r="I1155" i="2"/>
  <c r="R1157" i="2"/>
  <c r="P1157" i="2"/>
  <c r="M1157" i="2"/>
  <c r="M1161" i="2"/>
  <c r="M1160" i="2"/>
  <c r="M1164" i="2"/>
  <c r="M1162" i="2"/>
  <c r="Q1157" i="2"/>
  <c r="Q1159" i="2" s="1"/>
  <c r="M1156" i="2"/>
  <c r="H1155" i="2"/>
  <c r="M1136" i="2"/>
  <c r="I1134" i="2"/>
  <c r="M1135" i="2"/>
  <c r="M1141" i="2"/>
  <c r="R1136" i="2"/>
  <c r="M1143" i="2"/>
  <c r="M1139" i="2"/>
  <c r="H1134" i="2"/>
  <c r="M1142" i="2"/>
  <c r="Q1136" i="2"/>
  <c r="I1136" i="2" s="1"/>
  <c r="M1140" i="2"/>
  <c r="I1113" i="2"/>
  <c r="M1119" i="2"/>
  <c r="M1118" i="2"/>
  <c r="M1114" i="2"/>
  <c r="R1115" i="2"/>
  <c r="M1120" i="2"/>
  <c r="Q1115" i="2"/>
  <c r="P1115" i="2"/>
  <c r="I1115" i="2" s="1"/>
  <c r="M1101" i="2"/>
  <c r="R1094" i="2"/>
  <c r="Q1094" i="2"/>
  <c r="M1093" i="2"/>
  <c r="H1092" i="2"/>
  <c r="M1100" i="2"/>
  <c r="P1094" i="2"/>
  <c r="M1094" i="2"/>
  <c r="M1098" i="2"/>
  <c r="M1099" i="2"/>
  <c r="M1097" i="2"/>
  <c r="I1092" i="2"/>
  <c r="R1073" i="2"/>
  <c r="M1078" i="2"/>
  <c r="M1076" i="2"/>
  <c r="P1073" i="2"/>
  <c r="M1079" i="2"/>
  <c r="H1050" i="2"/>
  <c r="Q1052" i="2"/>
  <c r="R1052" i="2"/>
  <c r="M1051" i="2"/>
  <c r="M1056" i="2"/>
  <c r="M1052" i="2"/>
  <c r="I1050" i="2"/>
  <c r="M1058" i="2"/>
  <c r="M1055" i="2"/>
  <c r="M1057" i="2"/>
  <c r="M1059" i="2"/>
  <c r="P1052" i="2"/>
  <c r="Q1031" i="2"/>
  <c r="Q1033" i="2" s="1"/>
  <c r="M1036" i="2"/>
  <c r="M1038" i="2"/>
  <c r="P1031" i="2"/>
  <c r="H1031" i="2" s="1"/>
  <c r="J1031" i="2" s="1"/>
  <c r="R1031" i="2"/>
  <c r="H1029" i="2"/>
  <c r="M1034" i="2"/>
  <c r="M1031" i="2"/>
  <c r="M1030" i="2"/>
  <c r="M1037" i="2"/>
  <c r="M1035" i="2"/>
  <c r="I1029" i="2"/>
  <c r="M1010" i="2"/>
  <c r="M1017" i="2"/>
  <c r="M1014" i="2"/>
  <c r="H1008" i="2"/>
  <c r="P1010" i="2"/>
  <c r="I1008" i="2"/>
  <c r="M1009" i="2"/>
  <c r="M1016" i="2"/>
  <c r="M1013" i="2"/>
  <c r="Q1010" i="2"/>
  <c r="P1012" i="2" s="1"/>
  <c r="I987" i="2"/>
  <c r="R989" i="2"/>
  <c r="M993" i="2"/>
  <c r="M994" i="2"/>
  <c r="Q989" i="2"/>
  <c r="M992" i="2"/>
  <c r="M988" i="2"/>
  <c r="M989" i="2"/>
  <c r="M996" i="2"/>
  <c r="M995" i="2"/>
  <c r="P989" i="2"/>
  <c r="H966" i="2"/>
  <c r="Q968" i="2"/>
  <c r="P970" i="2" s="1"/>
  <c r="R968" i="2"/>
  <c r="M971" i="2"/>
  <c r="I966" i="2"/>
  <c r="M974" i="2"/>
  <c r="M975" i="2"/>
  <c r="P968" i="2"/>
  <c r="M973" i="2"/>
  <c r="M972" i="2"/>
  <c r="M968" i="2"/>
  <c r="M967" i="2"/>
  <c r="P947" i="2"/>
  <c r="R947" i="2"/>
  <c r="R949" i="2" s="1"/>
  <c r="M953" i="2"/>
  <c r="M947" i="2"/>
  <c r="M952" i="2"/>
  <c r="M946" i="2"/>
  <c r="M954" i="2"/>
  <c r="I945" i="2"/>
  <c r="M951" i="2"/>
  <c r="H945" i="2"/>
  <c r="M950" i="2"/>
  <c r="P949" i="2"/>
  <c r="I947" i="2"/>
  <c r="H947" i="2"/>
  <c r="J947" i="2" s="1"/>
  <c r="I924" i="2"/>
  <c r="M932" i="2"/>
  <c r="M926" i="2"/>
  <c r="H924" i="2"/>
  <c r="R926" i="2"/>
  <c r="M931" i="2"/>
  <c r="M933" i="2"/>
  <c r="M925" i="2"/>
  <c r="M930" i="2"/>
  <c r="P926" i="2"/>
  <c r="Q926" i="2"/>
  <c r="Q928" i="2" s="1"/>
  <c r="P928" i="2"/>
  <c r="R905" i="2"/>
  <c r="I905" i="2" s="1"/>
  <c r="M911" i="2"/>
  <c r="P905" i="2"/>
  <c r="M905" i="2"/>
  <c r="Q905" i="2"/>
  <c r="M910" i="2"/>
  <c r="M909" i="2"/>
  <c r="M912" i="2"/>
  <c r="M904" i="2"/>
  <c r="I903" i="2"/>
  <c r="M887" i="2"/>
  <c r="M891" i="2"/>
  <c r="Q884" i="2"/>
  <c r="Q886" i="2" s="1"/>
  <c r="R886" i="2"/>
  <c r="M863" i="2"/>
  <c r="M870" i="2"/>
  <c r="Q863" i="2"/>
  <c r="M866" i="2"/>
  <c r="I861" i="2"/>
  <c r="M869" i="2"/>
  <c r="M868" i="2"/>
  <c r="M862" i="2"/>
  <c r="M867" i="2"/>
  <c r="P863" i="2"/>
  <c r="H861" i="2"/>
  <c r="R863" i="2"/>
  <c r="R865" i="2" s="1"/>
  <c r="Q842" i="2"/>
  <c r="R842" i="2"/>
  <c r="M841" i="2"/>
  <c r="H840" i="2"/>
  <c r="M849" i="2"/>
  <c r="P842" i="2"/>
  <c r="I840" i="2"/>
  <c r="M842" i="2"/>
  <c r="M845" i="2"/>
  <c r="M848" i="2"/>
  <c r="M846" i="2"/>
  <c r="M847" i="2"/>
  <c r="R821" i="2"/>
  <c r="M825" i="2"/>
  <c r="M827" i="2"/>
  <c r="M824" i="2"/>
  <c r="M826" i="2"/>
  <c r="M820" i="2"/>
  <c r="M821" i="2"/>
  <c r="I819" i="2"/>
  <c r="H819" i="2"/>
  <c r="P821" i="2"/>
  <c r="Q823" i="2" s="1"/>
  <c r="I798" i="2"/>
  <c r="M799" i="2"/>
  <c r="M806" i="2"/>
  <c r="M805" i="2"/>
  <c r="H798" i="2"/>
  <c r="M807" i="2"/>
  <c r="M804" i="2"/>
  <c r="M800" i="2"/>
  <c r="M803" i="2"/>
  <c r="P800" i="2"/>
  <c r="Q800" i="2"/>
  <c r="R802" i="2" s="1"/>
  <c r="P802" i="2"/>
  <c r="Q802" i="2"/>
  <c r="M779" i="2"/>
  <c r="M783" i="2"/>
  <c r="M786" i="2"/>
  <c r="M782" i="2"/>
  <c r="H777" i="2"/>
  <c r="Q779" i="2"/>
  <c r="P779" i="2"/>
  <c r="R779" i="2"/>
  <c r="R781" i="2" s="1"/>
  <c r="Q758" i="2"/>
  <c r="R760" i="2" s="1"/>
  <c r="R739" i="2"/>
  <c r="Q739" i="2"/>
  <c r="P716" i="2"/>
  <c r="R716" i="2"/>
  <c r="R718" i="2" s="1"/>
  <c r="M716" i="2"/>
  <c r="M722" i="2"/>
  <c r="M721" i="2"/>
  <c r="I714" i="2"/>
  <c r="M723" i="2"/>
  <c r="H714" i="2"/>
  <c r="M719" i="2"/>
  <c r="R695" i="2"/>
  <c r="M698" i="2"/>
  <c r="M695" i="2"/>
  <c r="P695" i="2"/>
  <c r="I695" i="2" s="1"/>
  <c r="M699" i="2"/>
  <c r="M702" i="2"/>
  <c r="Q695" i="2"/>
  <c r="H693" i="2"/>
  <c r="M694" i="2"/>
  <c r="I693" i="2"/>
  <c r="M700" i="2"/>
  <c r="Q674" i="2"/>
  <c r="R676" i="2" s="1"/>
  <c r="R653" i="2"/>
  <c r="M653" i="2"/>
  <c r="Q653" i="2"/>
  <c r="I653" i="2" s="1"/>
  <c r="I651" i="2"/>
  <c r="Q632" i="2"/>
  <c r="I630" i="2"/>
  <c r="M631" i="2"/>
  <c r="M639" i="2"/>
  <c r="M638" i="2"/>
  <c r="M635" i="2"/>
  <c r="M632" i="2"/>
  <c r="M636" i="2"/>
  <c r="H630" i="2"/>
  <c r="P632" i="2"/>
  <c r="R634" i="2" s="1"/>
  <c r="M637" i="2"/>
  <c r="I632" i="2"/>
  <c r="H632" i="2"/>
  <c r="J632" i="2" s="1"/>
  <c r="P634" i="2"/>
  <c r="Q634" i="2"/>
  <c r="R611" i="2"/>
  <c r="M614" i="2"/>
  <c r="M617" i="2"/>
  <c r="M610" i="2"/>
  <c r="M615" i="2"/>
  <c r="H609" i="2"/>
  <c r="M611" i="2"/>
  <c r="P611" i="2"/>
  <c r="Q613" i="2"/>
  <c r="P613" i="2"/>
  <c r="I588" i="2"/>
  <c r="M590" i="2"/>
  <c r="M595" i="2"/>
  <c r="M594" i="2"/>
  <c r="M589" i="2"/>
  <c r="H588" i="2"/>
  <c r="Q590" i="2"/>
  <c r="R592" i="2" s="1"/>
  <c r="I567" i="2"/>
  <c r="M569" i="2"/>
  <c r="M568" i="2"/>
  <c r="P569" i="2"/>
  <c r="M574" i="2"/>
  <c r="Q569" i="2"/>
  <c r="R571" i="2"/>
  <c r="Q571" i="2"/>
  <c r="P571" i="2"/>
  <c r="R573" i="2" s="1"/>
  <c r="M554" i="2"/>
  <c r="R548" i="2"/>
  <c r="R550" i="2" s="1"/>
  <c r="M552" i="2"/>
  <c r="I546" i="2"/>
  <c r="M547" i="2"/>
  <c r="H546" i="2"/>
  <c r="Q550" i="2"/>
  <c r="P550" i="2"/>
  <c r="R527" i="2"/>
  <c r="P527" i="2"/>
  <c r="Q529" i="2" s="1"/>
  <c r="M533" i="2"/>
  <c r="M534" i="2"/>
  <c r="I525" i="2"/>
  <c r="M510" i="2"/>
  <c r="M505" i="2"/>
  <c r="M509" i="2"/>
  <c r="Q506" i="2"/>
  <c r="P506" i="2"/>
  <c r="M506" i="2"/>
  <c r="R506" i="2"/>
  <c r="R508" i="2" s="1"/>
  <c r="M512" i="2"/>
  <c r="H504" i="2"/>
  <c r="M513" i="2"/>
  <c r="Q485" i="2"/>
  <c r="Q487" i="2" s="1"/>
  <c r="M492" i="2"/>
  <c r="M491" i="2"/>
  <c r="M488" i="2"/>
  <c r="M485" i="2"/>
  <c r="H483" i="2"/>
  <c r="P485" i="2"/>
  <c r="M489" i="2"/>
  <c r="M484" i="2"/>
  <c r="R485" i="2"/>
  <c r="M490" i="2"/>
  <c r="I483" i="2"/>
  <c r="M470" i="2"/>
  <c r="M463" i="2"/>
  <c r="M469" i="2"/>
  <c r="M467" i="2"/>
  <c r="H462" i="2"/>
  <c r="M464" i="2"/>
  <c r="M471" i="2"/>
  <c r="Q464" i="2"/>
  <c r="R464" i="2"/>
  <c r="R466" i="2" s="1"/>
  <c r="R443" i="2"/>
  <c r="M446" i="2"/>
  <c r="P443" i="2"/>
  <c r="M442" i="2"/>
  <c r="H441" i="2"/>
  <c r="M450" i="2"/>
  <c r="M449" i="2"/>
  <c r="M443" i="2"/>
  <c r="M447" i="2"/>
  <c r="M448" i="2"/>
  <c r="I441" i="2"/>
  <c r="Q445" i="2"/>
  <c r="Q422" i="2"/>
  <c r="I422" i="2" s="1"/>
  <c r="R422" i="2"/>
  <c r="I420" i="2"/>
  <c r="M425" i="2"/>
  <c r="M428" i="2"/>
  <c r="M422" i="2"/>
  <c r="M427" i="2"/>
  <c r="H420" i="2"/>
  <c r="M429" i="2"/>
  <c r="P422" i="2"/>
  <c r="M426" i="2"/>
  <c r="M421" i="2"/>
  <c r="P424" i="2"/>
  <c r="R401" i="2"/>
  <c r="I401" i="2" s="1"/>
  <c r="M400" i="2"/>
  <c r="M407" i="2"/>
  <c r="H399" i="2"/>
  <c r="M405" i="2"/>
  <c r="M408" i="2"/>
  <c r="P401" i="2"/>
  <c r="M401" i="2"/>
  <c r="M406" i="2"/>
  <c r="I399" i="2"/>
  <c r="M404" i="2"/>
  <c r="Q380" i="2"/>
  <c r="R382" i="2" s="1"/>
  <c r="I378" i="2"/>
  <c r="I357" i="2"/>
  <c r="M358" i="2"/>
  <c r="M365" i="2"/>
  <c r="R359" i="2"/>
  <c r="H357" i="2"/>
  <c r="M366" i="2"/>
  <c r="P359" i="2"/>
  <c r="H359" i="2" s="1"/>
  <c r="Q361" i="2"/>
  <c r="R338" i="2"/>
  <c r="M341" i="2"/>
  <c r="M345" i="2"/>
  <c r="H336" i="2"/>
  <c r="M344" i="2"/>
  <c r="M338" i="2"/>
  <c r="M343" i="2"/>
  <c r="M342" i="2"/>
  <c r="I336" i="2"/>
  <c r="M337" i="2"/>
  <c r="Q338" i="2"/>
  <c r="H338" i="2" s="1"/>
  <c r="M324" i="2"/>
  <c r="M322" i="2"/>
  <c r="I315" i="2"/>
  <c r="M316" i="2"/>
  <c r="H315" i="2"/>
  <c r="M321" i="2"/>
  <c r="M323" i="2"/>
  <c r="M317" i="2"/>
  <c r="Q317" i="2"/>
  <c r="M320" i="2"/>
  <c r="R317" i="2"/>
  <c r="P317" i="2"/>
  <c r="Q319" i="2" s="1"/>
  <c r="P296" i="2"/>
  <c r="M296" i="2"/>
  <c r="M300" i="2"/>
  <c r="M301" i="2"/>
  <c r="H294" i="2"/>
  <c r="M299" i="2"/>
  <c r="I294" i="2"/>
  <c r="R296" i="2"/>
  <c r="R298" i="2" s="1"/>
  <c r="M295" i="2"/>
  <c r="M302" i="2"/>
  <c r="Q298" i="2"/>
  <c r="R275" i="2"/>
  <c r="M279" i="2"/>
  <c r="M281" i="2"/>
  <c r="M274" i="2"/>
  <c r="H273" i="2"/>
  <c r="M282" i="2"/>
  <c r="M275" i="2"/>
  <c r="M280" i="2"/>
  <c r="P275" i="2"/>
  <c r="I273" i="2"/>
  <c r="M278" i="2"/>
  <c r="Q254" i="2"/>
  <c r="H254" i="2" s="1"/>
  <c r="R254" i="2"/>
  <c r="M258" i="2"/>
  <c r="M253" i="2"/>
  <c r="P254" i="2"/>
  <c r="P256" i="2" s="1"/>
  <c r="M232" i="2"/>
  <c r="M237" i="2"/>
  <c r="M238" i="2"/>
  <c r="P233" i="2"/>
  <c r="M239" i="2"/>
  <c r="R233" i="2"/>
  <c r="Q235" i="2" s="1"/>
  <c r="M233" i="2"/>
  <c r="H231" i="2"/>
  <c r="I231" i="2"/>
  <c r="M240" i="2"/>
  <c r="R212" i="2"/>
  <c r="I210" i="2"/>
  <c r="H210" i="2"/>
  <c r="M212" i="2"/>
  <c r="M217" i="2"/>
  <c r="M216" i="2"/>
  <c r="M215" i="2"/>
  <c r="M211" i="2"/>
  <c r="M219" i="2"/>
  <c r="P212" i="2"/>
  <c r="Q214" i="2" s="1"/>
  <c r="M218" i="2"/>
  <c r="M195" i="2"/>
  <c r="R191" i="2"/>
  <c r="P191" i="2"/>
  <c r="R193" i="2" s="1"/>
  <c r="M198" i="2"/>
  <c r="H189" i="2"/>
  <c r="M197" i="2"/>
  <c r="M190" i="2"/>
  <c r="M191" i="2"/>
  <c r="M196" i="2"/>
  <c r="R170" i="2"/>
  <c r="M177" i="2"/>
  <c r="M176" i="2"/>
  <c r="M169" i="2"/>
  <c r="H168" i="2"/>
  <c r="M170" i="2"/>
  <c r="P170" i="2"/>
  <c r="Q170" i="2"/>
  <c r="R172" i="2"/>
  <c r="Q172" i="2"/>
  <c r="H170" i="2"/>
  <c r="R149" i="2"/>
  <c r="Q149" i="2"/>
  <c r="H147" i="2"/>
  <c r="M152" i="2"/>
  <c r="M154" i="2"/>
  <c r="M153" i="2"/>
  <c r="M148" i="2"/>
  <c r="P149" i="2"/>
  <c r="M149" i="2"/>
  <c r="M155" i="2"/>
  <c r="M156" i="2"/>
  <c r="I147" i="2"/>
  <c r="Q128" i="2"/>
  <c r="R128" i="2"/>
  <c r="H126" i="2"/>
  <c r="M131" i="2"/>
  <c r="P128" i="2"/>
  <c r="Q130" i="2" s="1"/>
  <c r="M113" i="2"/>
  <c r="M107" i="2"/>
  <c r="R107" i="2"/>
  <c r="R109" i="2" s="1"/>
  <c r="M112" i="2"/>
  <c r="M86" i="2"/>
  <c r="M90" i="2"/>
  <c r="R86" i="2"/>
  <c r="Q86" i="2"/>
  <c r="M89" i="2"/>
  <c r="P86" i="2"/>
  <c r="M93" i="2"/>
  <c r="M91" i="2"/>
  <c r="H84" i="2"/>
  <c r="M71" i="2"/>
  <c r="Q65" i="2"/>
  <c r="M65" i="2"/>
  <c r="M64" i="2"/>
  <c r="M68" i="2"/>
  <c r="I63" i="2"/>
  <c r="M69" i="2"/>
  <c r="H63" i="2"/>
  <c r="M72" i="2"/>
  <c r="P65" i="2"/>
  <c r="M70" i="2"/>
  <c r="R65" i="2"/>
  <c r="M43" i="2"/>
  <c r="P44" i="2"/>
  <c r="R46" i="2"/>
  <c r="Q46" i="2"/>
  <c r="P46" i="2"/>
  <c r="P48" i="2" s="1"/>
  <c r="I443" i="2"/>
  <c r="H989" i="2"/>
  <c r="J989" i="2" s="1"/>
  <c r="H1850" i="2"/>
  <c r="J1850" i="2" s="1"/>
  <c r="I758" i="2"/>
  <c r="I674" i="2"/>
  <c r="I1241" i="2"/>
  <c r="I1388" i="2"/>
  <c r="H1934" i="2"/>
  <c r="J1934" i="2" s="1"/>
  <c r="I1871" i="2"/>
  <c r="I1556" i="2"/>
  <c r="I548" i="2"/>
  <c r="I737" i="2"/>
  <c r="I506" i="2"/>
  <c r="I1178" i="2"/>
  <c r="H569" i="2"/>
  <c r="J569" i="2" s="1"/>
  <c r="H1514" i="2"/>
  <c r="J1514" i="2" s="1"/>
  <c r="I1514" i="2"/>
  <c r="I779" i="2"/>
  <c r="I569" i="2"/>
  <c r="H380" i="2"/>
  <c r="P382" i="2"/>
  <c r="H44" i="2"/>
  <c r="I1031" i="2"/>
  <c r="P1537" i="2"/>
  <c r="H1535" i="2"/>
  <c r="H1619" i="2"/>
  <c r="P1621" i="2"/>
  <c r="Q1623" i="2" s="1"/>
  <c r="P445" i="2"/>
  <c r="H443" i="2"/>
  <c r="I44" i="2"/>
  <c r="J170" i="2"/>
  <c r="H548" i="2"/>
  <c r="P676" i="2"/>
  <c r="H674" i="2"/>
  <c r="H611" i="2"/>
  <c r="P1705" i="2"/>
  <c r="H1703" i="2"/>
  <c r="P1306" i="2"/>
  <c r="H1304" i="2"/>
  <c r="P319" i="2"/>
  <c r="H317" i="2"/>
  <c r="H1409" i="2"/>
  <c r="P1411" i="2"/>
  <c r="R1413" i="2" s="1"/>
  <c r="I611" i="2"/>
  <c r="I1157" i="2"/>
  <c r="I1304" i="2"/>
  <c r="P1579" i="2"/>
  <c r="H1577" i="2"/>
  <c r="H2144" i="2"/>
  <c r="P1915" i="2"/>
  <c r="H1913" i="2"/>
  <c r="H527" i="2"/>
  <c r="P529" i="2"/>
  <c r="I380" i="2"/>
  <c r="P361" i="2"/>
  <c r="H296" i="2"/>
  <c r="P298" i="2"/>
  <c r="P1201" i="2"/>
  <c r="H1199" i="2"/>
  <c r="I1409" i="2"/>
  <c r="P1726" i="2"/>
  <c r="I1703" i="2"/>
  <c r="P214" i="2"/>
  <c r="H212" i="2"/>
  <c r="I359" i="2"/>
  <c r="P508" i="2"/>
  <c r="H506" i="2"/>
  <c r="I527" i="2"/>
  <c r="H1115" i="2"/>
  <c r="P1117" i="2"/>
  <c r="P1327" i="2"/>
  <c r="H1325" i="2"/>
  <c r="H1766" i="2"/>
  <c r="H758" i="2"/>
  <c r="P760" i="2"/>
  <c r="P573" i="2"/>
  <c r="H571" i="2"/>
  <c r="J571" i="2" s="1"/>
  <c r="I571" i="2"/>
  <c r="H1178" i="2"/>
  <c r="P1180" i="2"/>
  <c r="H1388" i="2"/>
  <c r="P1558" i="2"/>
  <c r="H1556" i="2"/>
  <c r="P1600" i="2"/>
  <c r="I1934" i="2"/>
  <c r="P2041" i="2"/>
  <c r="H968" i="2"/>
  <c r="H1241" i="2"/>
  <c r="P1243" i="2"/>
  <c r="I1619" i="2"/>
  <c r="P739" i="2"/>
  <c r="H737" i="2"/>
  <c r="P886" i="2"/>
  <c r="H884" i="2"/>
  <c r="P1873" i="2"/>
  <c r="H1871" i="2"/>
  <c r="P1894" i="2"/>
  <c r="H1892" i="2"/>
  <c r="P19" i="2"/>
  <c r="Q2167" i="2" l="1"/>
  <c r="R2167" i="2"/>
  <c r="H2165" i="2"/>
  <c r="J2165" i="2" s="1"/>
  <c r="I2165" i="2"/>
  <c r="P2167" i="2"/>
  <c r="I2144" i="2"/>
  <c r="R2146" i="2"/>
  <c r="P2146" i="2"/>
  <c r="I2123" i="2"/>
  <c r="R2125" i="2"/>
  <c r="Q2125" i="2"/>
  <c r="H2123" i="2"/>
  <c r="J2123" i="2" s="1"/>
  <c r="P2125" i="2"/>
  <c r="I2102" i="2"/>
  <c r="H2102" i="2"/>
  <c r="P2104" i="2"/>
  <c r="Q2104" i="2"/>
  <c r="R2104" i="2"/>
  <c r="R2106" i="2"/>
  <c r="I2081" i="2"/>
  <c r="R2083" i="2"/>
  <c r="H2081" i="2"/>
  <c r="P2083" i="2"/>
  <c r="Q2085" i="2"/>
  <c r="I2060" i="2"/>
  <c r="H2060" i="2"/>
  <c r="Q2062" i="2"/>
  <c r="R2062" i="2"/>
  <c r="R2064" i="2" s="1"/>
  <c r="Q2064" i="2"/>
  <c r="I2039" i="2"/>
  <c r="R2041" i="2"/>
  <c r="Q2041" i="2"/>
  <c r="Q2043" i="2" s="1"/>
  <c r="H2039" i="2"/>
  <c r="Q2020" i="2"/>
  <c r="R2022" i="2"/>
  <c r="I2018" i="2"/>
  <c r="H2018" i="2"/>
  <c r="J2018" i="2" s="1"/>
  <c r="I2020" i="2"/>
  <c r="P2022" i="2"/>
  <c r="H2020" i="2"/>
  <c r="J2020" i="2" s="1"/>
  <c r="Q2022" i="2"/>
  <c r="R1999" i="2"/>
  <c r="H1997" i="2"/>
  <c r="P1999" i="2"/>
  <c r="Q2001" i="2"/>
  <c r="H1976" i="2"/>
  <c r="Q1978" i="2"/>
  <c r="R1978" i="2"/>
  <c r="I1976" i="2"/>
  <c r="P1957" i="2"/>
  <c r="H1955" i="2"/>
  <c r="J1955" i="2" s="1"/>
  <c r="R1957" i="2"/>
  <c r="Q1957" i="2"/>
  <c r="Q1959" i="2"/>
  <c r="R1936" i="2"/>
  <c r="P1938" i="2" s="1"/>
  <c r="H1936" i="2"/>
  <c r="J1936" i="2" s="1"/>
  <c r="Q1938" i="2"/>
  <c r="R1917" i="2"/>
  <c r="Q1917" i="2"/>
  <c r="I1892" i="2"/>
  <c r="Q1894" i="2"/>
  <c r="Q1896" i="2" s="1"/>
  <c r="R1896" i="2"/>
  <c r="R1873" i="2"/>
  <c r="Q1873" i="2"/>
  <c r="Q1875" i="2" s="1"/>
  <c r="Q1852" i="2"/>
  <c r="P1852" i="2"/>
  <c r="P1854" i="2" s="1"/>
  <c r="I1850" i="2"/>
  <c r="R1831" i="2"/>
  <c r="R1833" i="2" s="1"/>
  <c r="Q1831" i="2"/>
  <c r="P1831" i="2"/>
  <c r="H1829" i="2"/>
  <c r="J1829" i="2" s="1"/>
  <c r="R1810" i="2"/>
  <c r="H1808" i="2"/>
  <c r="P1810" i="2"/>
  <c r="I1808" i="2"/>
  <c r="R1789" i="2"/>
  <c r="H1787" i="2"/>
  <c r="J1787" i="2" s="1"/>
  <c r="I1787" i="2"/>
  <c r="P1789" i="2"/>
  <c r="Q1789" i="2"/>
  <c r="Q1791" i="2"/>
  <c r="P1791" i="2"/>
  <c r="H1789" i="2"/>
  <c r="J1789" i="2" s="1"/>
  <c r="Q1768" i="2"/>
  <c r="R1770" i="2" s="1"/>
  <c r="R1768" i="2"/>
  <c r="I1766" i="2"/>
  <c r="R1747" i="2"/>
  <c r="Q1749" i="2" s="1"/>
  <c r="P1747" i="2"/>
  <c r="I1745" i="2"/>
  <c r="H1747" i="2"/>
  <c r="J1747" i="2" s="1"/>
  <c r="Q1726" i="2"/>
  <c r="R1726" i="2"/>
  <c r="R1728" i="2" s="1"/>
  <c r="H1724" i="2"/>
  <c r="I1724" i="2"/>
  <c r="Q1707" i="2"/>
  <c r="R1707" i="2"/>
  <c r="H1682" i="2"/>
  <c r="I1682" i="2"/>
  <c r="R1686" i="2"/>
  <c r="H1684" i="2"/>
  <c r="J1684" i="2" s="1"/>
  <c r="P1686" i="2"/>
  <c r="I1684" i="2"/>
  <c r="Q1686" i="2"/>
  <c r="I1661" i="2"/>
  <c r="R1663" i="2"/>
  <c r="P1663" i="2"/>
  <c r="Q1663" i="2"/>
  <c r="R1665" i="2"/>
  <c r="I1663" i="2"/>
  <c r="H1663" i="2"/>
  <c r="J1663" i="2" s="1"/>
  <c r="P1665" i="2"/>
  <c r="Q1665" i="2"/>
  <c r="P1642" i="2"/>
  <c r="H1640" i="2"/>
  <c r="J1640" i="2" s="1"/>
  <c r="R1642" i="2"/>
  <c r="Q1642" i="2"/>
  <c r="R1623" i="2"/>
  <c r="Q1600" i="2"/>
  <c r="R1602" i="2" s="1"/>
  <c r="H1598" i="2"/>
  <c r="J1598" i="2" s="1"/>
  <c r="I1598" i="2"/>
  <c r="Q1581" i="2"/>
  <c r="R1581" i="2"/>
  <c r="R1558" i="2"/>
  <c r="R1560" i="2" s="1"/>
  <c r="R1537" i="2"/>
  <c r="Q1539" i="2" s="1"/>
  <c r="I1535" i="2"/>
  <c r="R1539" i="2"/>
  <c r="I1516" i="2"/>
  <c r="R1518" i="2"/>
  <c r="Q1518" i="2"/>
  <c r="H1516" i="2"/>
  <c r="J1516" i="2" s="1"/>
  <c r="H1518" i="2"/>
  <c r="J1518" i="2" s="1"/>
  <c r="P1495" i="2"/>
  <c r="I1493" i="2"/>
  <c r="R1495" i="2"/>
  <c r="R1497" i="2" s="1"/>
  <c r="H1493" i="2"/>
  <c r="J1493" i="2" s="1"/>
  <c r="Q1497" i="2"/>
  <c r="I1472" i="2"/>
  <c r="Q1474" i="2"/>
  <c r="H1472" i="2"/>
  <c r="R1474" i="2"/>
  <c r="P1474" i="2"/>
  <c r="Q1453" i="2"/>
  <c r="I1451" i="2"/>
  <c r="H1451" i="2"/>
  <c r="R1453" i="2"/>
  <c r="R1455" i="2" s="1"/>
  <c r="R1432" i="2"/>
  <c r="P1434" i="2" s="1"/>
  <c r="I1430" i="2"/>
  <c r="P1432" i="2"/>
  <c r="H1430" i="2"/>
  <c r="Q1413" i="2"/>
  <c r="I1390" i="2"/>
  <c r="R1392" i="2"/>
  <c r="Q1392" i="2"/>
  <c r="H1390" i="2"/>
  <c r="J1390" i="2" s="1"/>
  <c r="P1392" i="2"/>
  <c r="P1369" i="2"/>
  <c r="H1367" i="2"/>
  <c r="I1367" i="2"/>
  <c r="Q1369" i="2"/>
  <c r="R1371" i="2"/>
  <c r="Q1371" i="2"/>
  <c r="I1346" i="2"/>
  <c r="Q1348" i="2"/>
  <c r="R1348" i="2"/>
  <c r="R1350" i="2" s="1"/>
  <c r="P1350" i="2"/>
  <c r="R1327" i="2"/>
  <c r="R1329" i="2" s="1"/>
  <c r="Q1308" i="2"/>
  <c r="R1308" i="2"/>
  <c r="I1283" i="2"/>
  <c r="R1285" i="2"/>
  <c r="Q1285" i="2"/>
  <c r="H1283" i="2"/>
  <c r="J1283" i="2" s="1"/>
  <c r="P1285" i="2"/>
  <c r="R1264" i="2"/>
  <c r="H1262" i="2"/>
  <c r="J1262" i="2" s="1"/>
  <c r="I1262" i="2"/>
  <c r="P1264" i="2"/>
  <c r="I1264" i="2" s="1"/>
  <c r="H1264" i="2"/>
  <c r="J1264" i="2" s="1"/>
  <c r="Q1266" i="2"/>
  <c r="R1245" i="2"/>
  <c r="Q1245" i="2"/>
  <c r="I1220" i="2"/>
  <c r="P1222" i="2"/>
  <c r="Q1222" i="2"/>
  <c r="H1220" i="2"/>
  <c r="R1222" i="2"/>
  <c r="R1201" i="2"/>
  <c r="P1203" i="2" s="1"/>
  <c r="R1203" i="2"/>
  <c r="Q1203" i="2"/>
  <c r="I1199" i="2"/>
  <c r="Q1182" i="2"/>
  <c r="R1182" i="2"/>
  <c r="H1157" i="2"/>
  <c r="P1159" i="2"/>
  <c r="R1159" i="2"/>
  <c r="H1136" i="2"/>
  <c r="J1136" i="2" s="1"/>
  <c r="Q1138" i="2"/>
  <c r="P1138" i="2"/>
  <c r="R1138" i="2"/>
  <c r="R1140" i="2" s="1"/>
  <c r="Q1140" i="2"/>
  <c r="P1140" i="2"/>
  <c r="R1117" i="2"/>
  <c r="Q1117" i="2"/>
  <c r="Q1119" i="2" s="1"/>
  <c r="P1096" i="2"/>
  <c r="R1096" i="2"/>
  <c r="H1094" i="2"/>
  <c r="J1094" i="2" s="1"/>
  <c r="Q1096" i="2"/>
  <c r="H1096" i="2" s="1"/>
  <c r="J1096" i="2" s="1"/>
  <c r="I1094" i="2"/>
  <c r="Q1075" i="2"/>
  <c r="I1073" i="2"/>
  <c r="P1075" i="2"/>
  <c r="I1075" i="2" s="1"/>
  <c r="H1073" i="2"/>
  <c r="R1075" i="2"/>
  <c r="R1077" i="2" s="1"/>
  <c r="Q1054" i="2"/>
  <c r="P1054" i="2"/>
  <c r="I1052" i="2"/>
  <c r="R1054" i="2"/>
  <c r="R1056" i="2" s="1"/>
  <c r="H1052" i="2"/>
  <c r="J1052" i="2" s="1"/>
  <c r="P1033" i="2"/>
  <c r="R1033" i="2"/>
  <c r="R1035" i="2"/>
  <c r="Q1035" i="2"/>
  <c r="P1035" i="2"/>
  <c r="I1033" i="2"/>
  <c r="H1033" i="2"/>
  <c r="J1033" i="2" s="1"/>
  <c r="R1012" i="2"/>
  <c r="H1012" i="2" s="1"/>
  <c r="J1012" i="2" s="1"/>
  <c r="I1010" i="2"/>
  <c r="Q1012" i="2"/>
  <c r="H1010" i="2"/>
  <c r="J1010" i="2" s="1"/>
  <c r="Q991" i="2"/>
  <c r="Q993" i="2" s="1"/>
  <c r="I989" i="2"/>
  <c r="R991" i="2"/>
  <c r="P991" i="2"/>
  <c r="I968" i="2"/>
  <c r="Q970" i="2"/>
  <c r="H970" i="2" s="1"/>
  <c r="J970" i="2" s="1"/>
  <c r="R970" i="2"/>
  <c r="Q949" i="2"/>
  <c r="Q951" i="2" s="1"/>
  <c r="R928" i="2"/>
  <c r="R930" i="2" s="1"/>
  <c r="I926" i="2"/>
  <c r="H926" i="2"/>
  <c r="J926" i="2" s="1"/>
  <c r="P930" i="2"/>
  <c r="R932" i="2" s="1"/>
  <c r="Q930" i="2"/>
  <c r="H928" i="2"/>
  <c r="J928" i="2" s="1"/>
  <c r="I928" i="2"/>
  <c r="R907" i="2"/>
  <c r="Q907" i="2"/>
  <c r="P907" i="2"/>
  <c r="Q909" i="2" s="1"/>
  <c r="H905" i="2"/>
  <c r="R909" i="2"/>
  <c r="I884" i="2"/>
  <c r="R888" i="2"/>
  <c r="Q888" i="2"/>
  <c r="Q865" i="2"/>
  <c r="H863" i="2"/>
  <c r="J863" i="2" s="1"/>
  <c r="I863" i="2"/>
  <c r="P865" i="2"/>
  <c r="P867" i="2" s="1"/>
  <c r="R844" i="2"/>
  <c r="P844" i="2"/>
  <c r="H842" i="2"/>
  <c r="I842" i="2"/>
  <c r="Q844" i="2"/>
  <c r="Q846" i="2" s="1"/>
  <c r="R823" i="2"/>
  <c r="P823" i="2"/>
  <c r="H821" i="2"/>
  <c r="J821" i="2" s="1"/>
  <c r="I821" i="2"/>
  <c r="I800" i="2"/>
  <c r="H800" i="2"/>
  <c r="R804" i="2"/>
  <c r="P804" i="2"/>
  <c r="H802" i="2"/>
  <c r="J802" i="2" s="1"/>
  <c r="I802" i="2"/>
  <c r="Q804" i="2"/>
  <c r="P781" i="2"/>
  <c r="Q781" i="2"/>
  <c r="H779" i="2"/>
  <c r="P783" i="2"/>
  <c r="R783" i="2"/>
  <c r="Q783" i="2"/>
  <c r="H781" i="2"/>
  <c r="J781" i="2" s="1"/>
  <c r="I781" i="2"/>
  <c r="Q760" i="2"/>
  <c r="Q762" i="2" s="1"/>
  <c r="R741" i="2"/>
  <c r="Q741" i="2"/>
  <c r="I716" i="2"/>
  <c r="Q718" i="2"/>
  <c r="H716" i="2"/>
  <c r="J716" i="2" s="1"/>
  <c r="P718" i="2"/>
  <c r="P720" i="2" s="1"/>
  <c r="R720" i="2"/>
  <c r="I718" i="2"/>
  <c r="H695" i="2"/>
  <c r="Q697" i="2"/>
  <c r="R697" i="2"/>
  <c r="P697" i="2"/>
  <c r="Q699" i="2" s="1"/>
  <c r="Q676" i="2"/>
  <c r="H676" i="2" s="1"/>
  <c r="J676" i="2" s="1"/>
  <c r="R678" i="2"/>
  <c r="Q678" i="2"/>
  <c r="R655" i="2"/>
  <c r="Q655" i="2"/>
  <c r="P655" i="2"/>
  <c r="H653" i="2"/>
  <c r="J653" i="2" s="1"/>
  <c r="R636" i="2"/>
  <c r="Q636" i="2"/>
  <c r="I634" i="2"/>
  <c r="H634" i="2"/>
  <c r="J634" i="2" s="1"/>
  <c r="P636" i="2"/>
  <c r="R638" i="2" s="1"/>
  <c r="R613" i="2"/>
  <c r="I613" i="2" s="1"/>
  <c r="P592" i="2"/>
  <c r="I590" i="2"/>
  <c r="H590" i="2"/>
  <c r="J590" i="2" s="1"/>
  <c r="Q592" i="2"/>
  <c r="Q573" i="2"/>
  <c r="Q575" i="2" s="1"/>
  <c r="P552" i="2"/>
  <c r="R552" i="2"/>
  <c r="Q552" i="2"/>
  <c r="I550" i="2"/>
  <c r="H550" i="2"/>
  <c r="J550" i="2" s="1"/>
  <c r="R529" i="2"/>
  <c r="R531" i="2" s="1"/>
  <c r="Q508" i="2"/>
  <c r="Q510" i="2" s="1"/>
  <c r="H485" i="2"/>
  <c r="P487" i="2"/>
  <c r="R487" i="2"/>
  <c r="I485" i="2"/>
  <c r="Q489" i="2"/>
  <c r="R489" i="2"/>
  <c r="H464" i="2"/>
  <c r="J464" i="2" s="1"/>
  <c r="Q466" i="2"/>
  <c r="I466" i="2" s="1"/>
  <c r="P466" i="2"/>
  <c r="I464" i="2"/>
  <c r="R445" i="2"/>
  <c r="R447" i="2" s="1"/>
  <c r="Q447" i="2"/>
  <c r="H422" i="2"/>
  <c r="J422" i="2" s="1"/>
  <c r="Q424" i="2"/>
  <c r="R424" i="2"/>
  <c r="R426" i="2" s="1"/>
  <c r="P426" i="2"/>
  <c r="Q426" i="2"/>
  <c r="P403" i="2"/>
  <c r="P405" i="2" s="1"/>
  <c r="Q403" i="2"/>
  <c r="H401" i="2"/>
  <c r="J401" i="2" s="1"/>
  <c r="R403" i="2"/>
  <c r="R405" i="2" s="1"/>
  <c r="Q382" i="2"/>
  <c r="Q384" i="2"/>
  <c r="R384" i="2"/>
  <c r="R361" i="2"/>
  <c r="R363" i="2" s="1"/>
  <c r="Q340" i="2"/>
  <c r="R340" i="2"/>
  <c r="P340" i="2"/>
  <c r="I338" i="2"/>
  <c r="I317" i="2"/>
  <c r="R319" i="2"/>
  <c r="R321" i="2" s="1"/>
  <c r="R300" i="2"/>
  <c r="I296" i="2"/>
  <c r="Q300" i="2"/>
  <c r="Q277" i="2"/>
  <c r="H277" i="2" s="1"/>
  <c r="J277" i="2" s="1"/>
  <c r="R277" i="2"/>
  <c r="I275" i="2"/>
  <c r="H275" i="2"/>
  <c r="P277" i="2"/>
  <c r="Q256" i="2"/>
  <c r="H256" i="2" s="1"/>
  <c r="J256" i="2" s="1"/>
  <c r="I254" i="2"/>
  <c r="R256" i="2"/>
  <c r="H233" i="2"/>
  <c r="J233" i="2" s="1"/>
  <c r="P235" i="2"/>
  <c r="P237" i="2" s="1"/>
  <c r="I233" i="2"/>
  <c r="R235" i="2"/>
  <c r="H235" i="2" s="1"/>
  <c r="J235" i="2" s="1"/>
  <c r="R214" i="2"/>
  <c r="R216" i="2" s="1"/>
  <c r="I212" i="2"/>
  <c r="Q216" i="2"/>
  <c r="I191" i="2"/>
  <c r="H191" i="2"/>
  <c r="P193" i="2"/>
  <c r="Q193" i="2"/>
  <c r="P195" i="2" s="1"/>
  <c r="P172" i="2"/>
  <c r="R174" i="2" s="1"/>
  <c r="I170" i="2"/>
  <c r="H149" i="2"/>
  <c r="J149" i="2" s="1"/>
  <c r="I149" i="2"/>
  <c r="P151" i="2"/>
  <c r="R151" i="2"/>
  <c r="Q151" i="2"/>
  <c r="R130" i="2"/>
  <c r="H128" i="2"/>
  <c r="I128" i="2"/>
  <c r="P130" i="2"/>
  <c r="I107" i="2"/>
  <c r="P109" i="2"/>
  <c r="H107" i="2"/>
  <c r="Q109" i="2"/>
  <c r="H109" i="2" s="1"/>
  <c r="J109" i="2" s="1"/>
  <c r="R111" i="2"/>
  <c r="H86" i="2"/>
  <c r="I86" i="2"/>
  <c r="Q88" i="2"/>
  <c r="P88" i="2"/>
  <c r="R88" i="2"/>
  <c r="Q90" i="2"/>
  <c r="H65" i="2"/>
  <c r="J65" i="2" s="1"/>
  <c r="P67" i="2"/>
  <c r="Q67" i="2"/>
  <c r="R67" i="2"/>
  <c r="I65" i="2"/>
  <c r="R48" i="2"/>
  <c r="H48" i="2" s="1"/>
  <c r="J48" i="2" s="1"/>
  <c r="Q48" i="2"/>
  <c r="I46" i="2"/>
  <c r="H46" i="2"/>
  <c r="J46" i="2" s="1"/>
  <c r="J128" i="2"/>
  <c r="J1220" i="2"/>
  <c r="J506" i="2"/>
  <c r="P741" i="2"/>
  <c r="H739" i="2"/>
  <c r="J739" i="2" s="1"/>
  <c r="I739" i="2"/>
  <c r="J1430" i="2"/>
  <c r="J1325" i="2"/>
  <c r="J1871" i="2"/>
  <c r="J1682" i="2"/>
  <c r="J2060" i="2"/>
  <c r="P428" i="2"/>
  <c r="H426" i="2"/>
  <c r="I426" i="2"/>
  <c r="Q1350" i="2"/>
  <c r="I1348" i="2"/>
  <c r="H1348" i="2"/>
  <c r="J1348" i="2" s="1"/>
  <c r="P1056" i="2"/>
  <c r="H1054" i="2"/>
  <c r="J1054" i="2" s="1"/>
  <c r="I1054" i="2"/>
  <c r="H1537" i="2"/>
  <c r="J1537" i="2" s="1"/>
  <c r="P1539" i="2"/>
  <c r="I1537" i="2"/>
  <c r="J968" i="2"/>
  <c r="J1808" i="2"/>
  <c r="I2062" i="2"/>
  <c r="J1346" i="2"/>
  <c r="J611" i="2"/>
  <c r="P531" i="2"/>
  <c r="H529" i="2"/>
  <c r="J529" i="2" s="1"/>
  <c r="I529" i="2"/>
  <c r="J1766" i="2"/>
  <c r="J1115" i="2"/>
  <c r="J212" i="2"/>
  <c r="P1161" i="2"/>
  <c r="H1159" i="2"/>
  <c r="J1159" i="2" s="1"/>
  <c r="I1159" i="2"/>
  <c r="J674" i="2"/>
  <c r="J800" i="2"/>
  <c r="P216" i="2"/>
  <c r="Q218" i="2" s="1"/>
  <c r="H214" i="2"/>
  <c r="J214" i="2" s="1"/>
  <c r="I214" i="2"/>
  <c r="J1724" i="2"/>
  <c r="J254" i="2"/>
  <c r="J527" i="2"/>
  <c r="J1913" i="2"/>
  <c r="J1157" i="2"/>
  <c r="J1304" i="2"/>
  <c r="J443" i="2"/>
  <c r="J884" i="2"/>
  <c r="P1308" i="2"/>
  <c r="H1306" i="2"/>
  <c r="J1306" i="2" s="1"/>
  <c r="I1306" i="2"/>
  <c r="J548" i="2"/>
  <c r="H445" i="2"/>
  <c r="J445" i="2" s="1"/>
  <c r="P447" i="2"/>
  <c r="I445" i="2"/>
  <c r="P2106" i="2"/>
  <c r="H2104" i="2"/>
  <c r="J2104" i="2" s="1"/>
  <c r="I2104" i="2"/>
  <c r="J1451" i="2"/>
  <c r="P888" i="2"/>
  <c r="H886" i="2"/>
  <c r="J886" i="2" s="1"/>
  <c r="I886" i="2"/>
  <c r="J1661" i="2"/>
  <c r="J779" i="2"/>
  <c r="P2043" i="2"/>
  <c r="H2041" i="2"/>
  <c r="J2041" i="2" s="1"/>
  <c r="I2041" i="2"/>
  <c r="P1560" i="2"/>
  <c r="H1558" i="2"/>
  <c r="J1558" i="2" s="1"/>
  <c r="I1558" i="2"/>
  <c r="J1472" i="2"/>
  <c r="J2144" i="2"/>
  <c r="J2039" i="2"/>
  <c r="P1917" i="2"/>
  <c r="H1915" i="2"/>
  <c r="J1915" i="2" s="1"/>
  <c r="I1915" i="2"/>
  <c r="J1892" i="2"/>
  <c r="J905" i="2"/>
  <c r="J107" i="2"/>
  <c r="P384" i="2"/>
  <c r="H382" i="2"/>
  <c r="J382" i="2" s="1"/>
  <c r="I382" i="2"/>
  <c r="H804" i="2"/>
  <c r="J804" i="2" s="1"/>
  <c r="P806" i="2"/>
  <c r="I804" i="2"/>
  <c r="J1556" i="2"/>
  <c r="J842" i="2"/>
  <c r="P90" i="2"/>
  <c r="H88" i="2"/>
  <c r="J88" i="2" s="1"/>
  <c r="I88" i="2"/>
  <c r="P1497" i="2"/>
  <c r="H1495" i="2"/>
  <c r="J1495" i="2" s="1"/>
  <c r="I1495" i="2"/>
  <c r="J695" i="2"/>
  <c r="P1413" i="2"/>
  <c r="R1415" i="2" s="1"/>
  <c r="H1411" i="2"/>
  <c r="J1411" i="2" s="1"/>
  <c r="I1411" i="2"/>
  <c r="J317" i="2"/>
  <c r="J1073" i="2"/>
  <c r="P909" i="2"/>
  <c r="Q911" i="2" s="1"/>
  <c r="H907" i="2"/>
  <c r="J907" i="2" s="1"/>
  <c r="I907" i="2"/>
  <c r="J86" i="2"/>
  <c r="P699" i="2"/>
  <c r="I697" i="2"/>
  <c r="J1409" i="2"/>
  <c r="P1077" i="2"/>
  <c r="H1075" i="2"/>
  <c r="J1075" i="2" s="1"/>
  <c r="J1703" i="2"/>
  <c r="I1642" i="2"/>
  <c r="J275" i="2"/>
  <c r="J380" i="2"/>
  <c r="J2102" i="2"/>
  <c r="P1455" i="2"/>
  <c r="H1453" i="2"/>
  <c r="J1453" i="2" s="1"/>
  <c r="I1453" i="2"/>
  <c r="J1388" i="2"/>
  <c r="J758" i="2"/>
  <c r="J2081" i="2"/>
  <c r="J485" i="2"/>
  <c r="P1707" i="2"/>
  <c r="H1705" i="2"/>
  <c r="J1705" i="2" s="1"/>
  <c r="I1705" i="2"/>
  <c r="J1976" i="2"/>
  <c r="P1245" i="2"/>
  <c r="R1247" i="2" s="1"/>
  <c r="H1243" i="2"/>
  <c r="J1243" i="2" s="1"/>
  <c r="I1243" i="2"/>
  <c r="J1199" i="2"/>
  <c r="H298" i="2"/>
  <c r="J298" i="2" s="1"/>
  <c r="P300" i="2"/>
  <c r="I298" i="2"/>
  <c r="J191" i="2"/>
  <c r="P2085" i="2"/>
  <c r="H2083" i="2"/>
  <c r="J2083" i="2" s="1"/>
  <c r="I2083" i="2"/>
  <c r="P489" i="2"/>
  <c r="Q491" i="2" s="1"/>
  <c r="H487" i="2"/>
  <c r="J487" i="2" s="1"/>
  <c r="I487" i="2"/>
  <c r="J338" i="2"/>
  <c r="P1371" i="2"/>
  <c r="H1369" i="2"/>
  <c r="J1369" i="2" s="1"/>
  <c r="I1369" i="2"/>
  <c r="P1623" i="2"/>
  <c r="H1621" i="2"/>
  <c r="J1621" i="2" s="1"/>
  <c r="I1621" i="2"/>
  <c r="J737" i="2"/>
  <c r="J1241" i="2"/>
  <c r="J1178" i="2"/>
  <c r="P1329" i="2"/>
  <c r="H1327" i="2"/>
  <c r="J1327" i="2" s="1"/>
  <c r="I1327" i="2"/>
  <c r="J296" i="2"/>
  <c r="J1577" i="2"/>
  <c r="H193" i="2"/>
  <c r="J193" i="2" s="1"/>
  <c r="I193" i="2"/>
  <c r="J1367" i="2"/>
  <c r="J1997" i="2"/>
  <c r="J1619" i="2"/>
  <c r="P1182" i="2"/>
  <c r="Q1184" i="2" s="1"/>
  <c r="H1180" i="2"/>
  <c r="J1180" i="2" s="1"/>
  <c r="I1180" i="2"/>
  <c r="J359" i="2"/>
  <c r="P1581" i="2"/>
  <c r="Q1583" i="2" s="1"/>
  <c r="H1579" i="2"/>
  <c r="J1579" i="2" s="1"/>
  <c r="I1579" i="2"/>
  <c r="H1999" i="2"/>
  <c r="J1999" i="2" s="1"/>
  <c r="P2001" i="2"/>
  <c r="I1999" i="2"/>
  <c r="J1535" i="2"/>
  <c r="J44"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Q2169" i="2" l="1"/>
  <c r="R2169" i="2"/>
  <c r="P2169" i="2"/>
  <c r="I2167" i="2"/>
  <c r="H2167" i="2"/>
  <c r="J2167" i="2" s="1"/>
  <c r="Q2148" i="2"/>
  <c r="R2148" i="2"/>
  <c r="I2146" i="2"/>
  <c r="P2148" i="2"/>
  <c r="H2148" i="2" s="1"/>
  <c r="J2148" i="2" s="1"/>
  <c r="H2146" i="2"/>
  <c r="J2146" i="2" s="1"/>
  <c r="R2127" i="2"/>
  <c r="H2125" i="2"/>
  <c r="J2125" i="2" s="1"/>
  <c r="Q2127" i="2"/>
  <c r="I2125" i="2"/>
  <c r="P2127" i="2"/>
  <c r="Q2106" i="2"/>
  <c r="R2108" i="2" s="1"/>
  <c r="Q2108" i="2"/>
  <c r="R2085" i="2"/>
  <c r="R2087" i="2" s="1"/>
  <c r="H2062" i="2"/>
  <c r="J2062" i="2" s="1"/>
  <c r="P2064" i="2"/>
  <c r="R2066" i="2"/>
  <c r="Q2066" i="2"/>
  <c r="R2043" i="2"/>
  <c r="R2045" i="2" s="1"/>
  <c r="R2024" i="2"/>
  <c r="Q2024" i="2"/>
  <c r="I2022" i="2"/>
  <c r="P2024" i="2"/>
  <c r="H2022" i="2"/>
  <c r="J2022" i="2" s="1"/>
  <c r="R2001" i="2"/>
  <c r="R2003" i="2" s="1"/>
  <c r="Q2003" i="2"/>
  <c r="R1980" i="2"/>
  <c r="Q1980" i="2"/>
  <c r="P1980" i="2"/>
  <c r="I1978" i="2"/>
  <c r="H1978" i="2"/>
  <c r="J1978" i="2" s="1"/>
  <c r="R1959" i="2"/>
  <c r="R1961" i="2" s="1"/>
  <c r="P1959" i="2"/>
  <c r="H1957" i="2"/>
  <c r="J1957" i="2" s="1"/>
  <c r="I1957" i="2"/>
  <c r="R1938" i="2"/>
  <c r="R1940" i="2" s="1"/>
  <c r="I1936" i="2"/>
  <c r="R1919" i="2"/>
  <c r="Q1919" i="2"/>
  <c r="I1894" i="2"/>
  <c r="H1894" i="2"/>
  <c r="J1894" i="2" s="1"/>
  <c r="P1896" i="2"/>
  <c r="R1898" i="2"/>
  <c r="Q1898" i="2"/>
  <c r="H1873" i="2"/>
  <c r="J1873" i="2" s="1"/>
  <c r="P1875" i="2"/>
  <c r="I1873" i="2"/>
  <c r="R1875" i="2"/>
  <c r="H1852" i="2"/>
  <c r="J1852" i="2" s="1"/>
  <c r="I1852" i="2"/>
  <c r="Q1854" i="2"/>
  <c r="R1854" i="2"/>
  <c r="H1854" i="2" s="1"/>
  <c r="J1854" i="2" s="1"/>
  <c r="Q1833" i="2"/>
  <c r="I1831" i="2"/>
  <c r="H1831" i="2"/>
  <c r="J1831" i="2" s="1"/>
  <c r="P1833" i="2"/>
  <c r="R1812" i="2"/>
  <c r="Q1812" i="2"/>
  <c r="P1812" i="2"/>
  <c r="H1810" i="2"/>
  <c r="J1810" i="2" s="1"/>
  <c r="I1810" i="2"/>
  <c r="I1789" i="2"/>
  <c r="R1791" i="2"/>
  <c r="I1768" i="2"/>
  <c r="H1768" i="2"/>
  <c r="J1768" i="2" s="1"/>
  <c r="P1770" i="2"/>
  <c r="H1770" i="2" s="1"/>
  <c r="Q1770" i="2"/>
  <c r="Q1772" i="2"/>
  <c r="R1772" i="2"/>
  <c r="I1747" i="2"/>
  <c r="P1749" i="2"/>
  <c r="R1749" i="2"/>
  <c r="R1751" i="2" s="1"/>
  <c r="P1751" i="2"/>
  <c r="H1749" i="2"/>
  <c r="J1749" i="2" s="1"/>
  <c r="I1749" i="2"/>
  <c r="Q1751" i="2"/>
  <c r="P1728" i="2"/>
  <c r="I1726" i="2"/>
  <c r="H1726" i="2"/>
  <c r="J1726" i="2" s="1"/>
  <c r="Q1728" i="2"/>
  <c r="R1730" i="2"/>
  <c r="Q1709" i="2"/>
  <c r="R1709" i="2"/>
  <c r="H1686" i="2"/>
  <c r="J1686" i="2" s="1"/>
  <c r="I1686" i="2"/>
  <c r="P1688" i="2"/>
  <c r="Q1688" i="2"/>
  <c r="R1688" i="2"/>
  <c r="R1690" i="2" s="1"/>
  <c r="R1667" i="2"/>
  <c r="Q1667" i="2"/>
  <c r="H1665" i="2"/>
  <c r="I1665" i="2"/>
  <c r="P1667" i="2"/>
  <c r="P1644" i="2"/>
  <c r="H1642" i="2"/>
  <c r="J1642" i="2" s="1"/>
  <c r="Q1644" i="2"/>
  <c r="R1644" i="2"/>
  <c r="Q1625" i="2"/>
  <c r="R1625" i="2"/>
  <c r="Q1602" i="2"/>
  <c r="P1602" i="2"/>
  <c r="I1600" i="2"/>
  <c r="H1600" i="2"/>
  <c r="J1600" i="2" s="1"/>
  <c r="Q1604" i="2"/>
  <c r="R1604" i="2"/>
  <c r="R1583" i="2"/>
  <c r="Q1560" i="2"/>
  <c r="R1562" i="2" s="1"/>
  <c r="Q1541" i="2"/>
  <c r="R1541" i="2"/>
  <c r="R1520" i="2"/>
  <c r="Q1520" i="2"/>
  <c r="I1518" i="2"/>
  <c r="P1520" i="2"/>
  <c r="Q1499" i="2"/>
  <c r="R1499" i="2"/>
  <c r="R1476" i="2"/>
  <c r="I1474" i="2"/>
  <c r="H1474" i="2"/>
  <c r="J1474" i="2" s="1"/>
  <c r="P1476" i="2"/>
  <c r="P1478" i="2" s="1"/>
  <c r="Q1476" i="2"/>
  <c r="Q1455" i="2"/>
  <c r="R1457" i="2" s="1"/>
  <c r="Q1457" i="2"/>
  <c r="I1432" i="2"/>
  <c r="H1432" i="2"/>
  <c r="J1432" i="2" s="1"/>
  <c r="Q1434" i="2"/>
  <c r="R1434" i="2"/>
  <c r="R1436" i="2" s="1"/>
  <c r="Q1415" i="2"/>
  <c r="R1394" i="2"/>
  <c r="Q1394" i="2"/>
  <c r="P1394" i="2"/>
  <c r="H1392" i="2"/>
  <c r="J1392" i="2" s="1"/>
  <c r="I1392" i="2"/>
  <c r="R1373" i="2"/>
  <c r="Q1373" i="2"/>
  <c r="R1352" i="2"/>
  <c r="P1352" i="2"/>
  <c r="Q1329" i="2"/>
  <c r="Q1331" i="2" s="1"/>
  <c r="R1331" i="2"/>
  <c r="R1310" i="2"/>
  <c r="Q1310" i="2"/>
  <c r="H1285" i="2"/>
  <c r="J1285" i="2" s="1"/>
  <c r="R1287" i="2"/>
  <c r="P1287" i="2"/>
  <c r="Q1287" i="2"/>
  <c r="I1285" i="2"/>
  <c r="R1266" i="2"/>
  <c r="P1266" i="2"/>
  <c r="Q1268" i="2" s="1"/>
  <c r="Q1247" i="2"/>
  <c r="R1224" i="2"/>
  <c r="P1224" i="2"/>
  <c r="I1222" i="2"/>
  <c r="H1222" i="2"/>
  <c r="J1222" i="2" s="1"/>
  <c r="Q1224" i="2"/>
  <c r="H1201" i="2"/>
  <c r="J1201" i="2" s="1"/>
  <c r="I1201" i="2"/>
  <c r="R1205" i="2"/>
  <c r="Q1205" i="2"/>
  <c r="R1184" i="2"/>
  <c r="R1161" i="2"/>
  <c r="Q1161" i="2"/>
  <c r="Q1163" i="2" s="1"/>
  <c r="H1138" i="2"/>
  <c r="J1138" i="2" s="1"/>
  <c r="R1142" i="2"/>
  <c r="I1138" i="2"/>
  <c r="Q1142" i="2"/>
  <c r="I1140" i="2"/>
  <c r="P1142" i="2"/>
  <c r="H1140" i="2"/>
  <c r="J1140" i="2" s="1"/>
  <c r="R1119" i="2"/>
  <c r="H1117" i="2"/>
  <c r="J1117" i="2" s="1"/>
  <c r="I1117" i="2"/>
  <c r="P1119" i="2"/>
  <c r="Q1121" i="2" s="1"/>
  <c r="R1098" i="2"/>
  <c r="P1098" i="2"/>
  <c r="Q1098" i="2"/>
  <c r="I1096" i="2"/>
  <c r="Q1077" i="2"/>
  <c r="R1079" i="2"/>
  <c r="Q1079" i="2"/>
  <c r="Q1056" i="2"/>
  <c r="Q1058" i="2" s="1"/>
  <c r="R1058" i="2"/>
  <c r="R1037" i="2"/>
  <c r="P1037" i="2"/>
  <c r="H1035" i="2"/>
  <c r="J1035" i="2" s="1"/>
  <c r="Q1037" i="2"/>
  <c r="I1035" i="2"/>
  <c r="Q1014" i="2"/>
  <c r="Q1016" i="2" s="1"/>
  <c r="P1014" i="2"/>
  <c r="H1014" i="2" s="1"/>
  <c r="R1014" i="2"/>
  <c r="I1012" i="2"/>
  <c r="I991" i="2"/>
  <c r="P993" i="2"/>
  <c r="H991" i="2"/>
  <c r="J991" i="2" s="1"/>
  <c r="R993" i="2"/>
  <c r="R995" i="2" s="1"/>
  <c r="Q995" i="2"/>
  <c r="I970" i="2"/>
  <c r="P972" i="2"/>
  <c r="R972" i="2"/>
  <c r="Q972" i="2"/>
  <c r="R974" i="2" s="1"/>
  <c r="I949" i="2"/>
  <c r="R951" i="2"/>
  <c r="P951" i="2"/>
  <c r="Q953" i="2" s="1"/>
  <c r="H949" i="2"/>
  <c r="J949" i="2" s="1"/>
  <c r="P953" i="2"/>
  <c r="R953" i="2"/>
  <c r="I930" i="2"/>
  <c r="H930" i="2"/>
  <c r="J930" i="2" s="1"/>
  <c r="P932" i="2"/>
  <c r="R934" i="2" s="1"/>
  <c r="Q932" i="2"/>
  <c r="R911" i="2"/>
  <c r="R890" i="2"/>
  <c r="Q890" i="2"/>
  <c r="H865" i="2"/>
  <c r="J865" i="2" s="1"/>
  <c r="I865" i="2"/>
  <c r="Q867" i="2"/>
  <c r="R867" i="2"/>
  <c r="R846" i="2"/>
  <c r="H844" i="2"/>
  <c r="J844" i="2" s="1"/>
  <c r="P846" i="2"/>
  <c r="I844" i="2"/>
  <c r="R825" i="2"/>
  <c r="P825" i="2"/>
  <c r="I823" i="2"/>
  <c r="H823" i="2"/>
  <c r="J823" i="2" s="1"/>
  <c r="Q825" i="2"/>
  <c r="Q806" i="2"/>
  <c r="R806" i="2"/>
  <c r="R808" i="2" s="1"/>
  <c r="Q785" i="2"/>
  <c r="I783" i="2"/>
  <c r="H783" i="2"/>
  <c r="J783" i="2" s="1"/>
  <c r="R785" i="2"/>
  <c r="P785" i="2"/>
  <c r="I760" i="2"/>
  <c r="H760" i="2"/>
  <c r="J760" i="2" s="1"/>
  <c r="P762" i="2"/>
  <c r="R762" i="2"/>
  <c r="R764" i="2" s="1"/>
  <c r="R743" i="2"/>
  <c r="Q743" i="2"/>
  <c r="H718" i="2"/>
  <c r="J718" i="2" s="1"/>
  <c r="Q720" i="2"/>
  <c r="Q722" i="2" s="1"/>
  <c r="H720" i="2"/>
  <c r="J720" i="2" s="1"/>
  <c r="P722" i="2"/>
  <c r="I720" i="2"/>
  <c r="H697" i="2"/>
  <c r="J697" i="2" s="1"/>
  <c r="R699" i="2"/>
  <c r="R701" i="2" s="1"/>
  <c r="I676" i="2"/>
  <c r="P678" i="2"/>
  <c r="R680" i="2" s="1"/>
  <c r="Q680" i="2"/>
  <c r="R657" i="2"/>
  <c r="P657" i="2"/>
  <c r="I655" i="2"/>
  <c r="Q657" i="2"/>
  <c r="H655" i="2"/>
  <c r="J655" i="2" s="1"/>
  <c r="P659" i="2"/>
  <c r="I636" i="2"/>
  <c r="Q638" i="2"/>
  <c r="H636" i="2"/>
  <c r="J636" i="2" s="1"/>
  <c r="P638" i="2"/>
  <c r="Q640" i="2" s="1"/>
  <c r="Q615" i="2"/>
  <c r="R615" i="2"/>
  <c r="H613" i="2"/>
  <c r="J613" i="2" s="1"/>
  <c r="P615" i="2"/>
  <c r="Q617" i="2" s="1"/>
  <c r="I615" i="2"/>
  <c r="Q594" i="2"/>
  <c r="P594" i="2"/>
  <c r="I592" i="2"/>
  <c r="H592" i="2"/>
  <c r="J592" i="2" s="1"/>
  <c r="R594" i="2"/>
  <c r="I594" i="2"/>
  <c r="I573" i="2"/>
  <c r="H573" i="2"/>
  <c r="J573" i="2" s="1"/>
  <c r="P575" i="2"/>
  <c r="R575" i="2"/>
  <c r="R577" i="2" s="1"/>
  <c r="R554" i="2"/>
  <c r="Q554" i="2"/>
  <c r="I552" i="2"/>
  <c r="H552" i="2"/>
  <c r="J552" i="2" s="1"/>
  <c r="P554" i="2"/>
  <c r="R556" i="2" s="1"/>
  <c r="Q531" i="2"/>
  <c r="R533" i="2" s="1"/>
  <c r="H508" i="2"/>
  <c r="J508" i="2" s="1"/>
  <c r="I508" i="2"/>
  <c r="P510" i="2"/>
  <c r="R510" i="2"/>
  <c r="Q512" i="2" s="1"/>
  <c r="R512" i="2"/>
  <c r="R491" i="2"/>
  <c r="P468" i="2"/>
  <c r="R470" i="2" s="1"/>
  <c r="Q468" i="2"/>
  <c r="Q470" i="2" s="1"/>
  <c r="R468" i="2"/>
  <c r="H466" i="2"/>
  <c r="J466" i="2" s="1"/>
  <c r="R449" i="2"/>
  <c r="Q449" i="2"/>
  <c r="I424" i="2"/>
  <c r="Q428" i="2"/>
  <c r="H424" i="2"/>
  <c r="J424" i="2" s="1"/>
  <c r="R428" i="2"/>
  <c r="R430" i="2" s="1"/>
  <c r="Q430" i="2"/>
  <c r="I403" i="2"/>
  <c r="H403" i="2"/>
  <c r="J403" i="2" s="1"/>
  <c r="Q405" i="2"/>
  <c r="R407" i="2" s="1"/>
  <c r="Q386" i="2"/>
  <c r="R386" i="2"/>
  <c r="H361" i="2"/>
  <c r="J361" i="2" s="1"/>
  <c r="P363" i="2"/>
  <c r="Q363" i="2"/>
  <c r="I361" i="2"/>
  <c r="R365" i="2"/>
  <c r="Q365" i="2"/>
  <c r="P342" i="2"/>
  <c r="R342" i="2"/>
  <c r="I340" i="2"/>
  <c r="H340" i="2"/>
  <c r="J340" i="2" s="1"/>
  <c r="Q342" i="2"/>
  <c r="P344" i="2"/>
  <c r="H319" i="2"/>
  <c r="J319" i="2" s="1"/>
  <c r="I319" i="2"/>
  <c r="P321" i="2"/>
  <c r="R323" i="2" s="1"/>
  <c r="Q321" i="2"/>
  <c r="H321" i="2" s="1"/>
  <c r="Q323" i="2"/>
  <c r="R302" i="2"/>
  <c r="Q302" i="2"/>
  <c r="P279" i="2"/>
  <c r="I277" i="2"/>
  <c r="Q279" i="2"/>
  <c r="R279" i="2"/>
  <c r="R281" i="2" s="1"/>
  <c r="I256" i="2"/>
  <c r="R258" i="2"/>
  <c r="P258" i="2"/>
  <c r="Q258" i="2"/>
  <c r="R260" i="2"/>
  <c r="I258" i="2"/>
  <c r="P260" i="2"/>
  <c r="H258" i="2"/>
  <c r="J258" i="2" s="1"/>
  <c r="Q260" i="2"/>
  <c r="R237" i="2"/>
  <c r="Q237" i="2"/>
  <c r="I235" i="2"/>
  <c r="R239" i="2"/>
  <c r="Q239" i="2"/>
  <c r="R218" i="2"/>
  <c r="Q195" i="2"/>
  <c r="R195" i="2"/>
  <c r="R197" i="2" s="1"/>
  <c r="P174" i="2"/>
  <c r="I172" i="2"/>
  <c r="H172" i="2"/>
  <c r="J172" i="2" s="1"/>
  <c r="Q174" i="2"/>
  <c r="R176" i="2" s="1"/>
  <c r="I174" i="2"/>
  <c r="H174" i="2"/>
  <c r="Q176" i="2"/>
  <c r="R153" i="2"/>
  <c r="H151" i="2"/>
  <c r="J151" i="2" s="1"/>
  <c r="I151" i="2"/>
  <c r="P153" i="2"/>
  <c r="Q153" i="2"/>
  <c r="R132" i="2"/>
  <c r="P132" i="2"/>
  <c r="H130" i="2"/>
  <c r="J130" i="2" s="1"/>
  <c r="I130" i="2"/>
  <c r="Q132" i="2"/>
  <c r="Q134" i="2" s="1"/>
  <c r="I109" i="2"/>
  <c r="P111" i="2"/>
  <c r="Q111" i="2"/>
  <c r="Q113" i="2"/>
  <c r="R90" i="2"/>
  <c r="R92" i="2"/>
  <c r="Q92" i="2"/>
  <c r="R69" i="2"/>
  <c r="R71" i="2" s="1"/>
  <c r="I67" i="2"/>
  <c r="P69" i="2"/>
  <c r="P71" i="2" s="1"/>
  <c r="H67" i="2"/>
  <c r="J67" i="2" s="1"/>
  <c r="Q69" i="2"/>
  <c r="Q50" i="2"/>
  <c r="I48" i="2"/>
  <c r="R50" i="2"/>
  <c r="P50" i="2"/>
  <c r="P512" i="2"/>
  <c r="H510" i="2"/>
  <c r="J510" i="2" s="1"/>
  <c r="I510" i="2"/>
  <c r="I1161" i="2"/>
  <c r="Q344" i="2"/>
  <c r="H342" i="2"/>
  <c r="I342" i="2"/>
  <c r="P197" i="2"/>
  <c r="I195" i="2"/>
  <c r="P1982" i="2"/>
  <c r="H1980" i="2"/>
  <c r="J1980" i="2" s="1"/>
  <c r="I1980" i="2"/>
  <c r="P640" i="2"/>
  <c r="H638" i="2"/>
  <c r="I638" i="2"/>
  <c r="P764" i="2"/>
  <c r="H762" i="2"/>
  <c r="J762" i="2" s="1"/>
  <c r="I762" i="2"/>
  <c r="H909" i="2"/>
  <c r="P911" i="2"/>
  <c r="Q913" i="2" s="1"/>
  <c r="I909" i="2"/>
  <c r="P1415" i="2"/>
  <c r="H1413" i="2"/>
  <c r="I1413" i="2"/>
  <c r="H90" i="2"/>
  <c r="J90" i="2" s="1"/>
  <c r="P92" i="2"/>
  <c r="I90" i="2"/>
  <c r="P2108" i="2"/>
  <c r="H2106" i="2"/>
  <c r="I2106" i="2"/>
  <c r="P1541" i="2"/>
  <c r="H1539" i="2"/>
  <c r="I1539" i="2"/>
  <c r="J426" i="2"/>
  <c r="H1455" i="2"/>
  <c r="J1455" i="2" s="1"/>
  <c r="P1457" i="2"/>
  <c r="I1455" i="2"/>
  <c r="P1310" i="2"/>
  <c r="H1308" i="2"/>
  <c r="I1308" i="2"/>
  <c r="H1688" i="2"/>
  <c r="P1690" i="2"/>
  <c r="I1688" i="2"/>
  <c r="P430" i="2"/>
  <c r="Q432" i="2" s="1"/>
  <c r="H428" i="2"/>
  <c r="J428" i="2" s="1"/>
  <c r="I428" i="2"/>
  <c r="P239" i="2"/>
  <c r="H237" i="2"/>
  <c r="J237" i="2" s="1"/>
  <c r="I237" i="2"/>
  <c r="P1331" i="2"/>
  <c r="H1329" i="2"/>
  <c r="J1329" i="2" s="1"/>
  <c r="I1329" i="2"/>
  <c r="P808" i="2"/>
  <c r="H806" i="2"/>
  <c r="I806" i="2"/>
  <c r="H111" i="2"/>
  <c r="J111" i="2" s="1"/>
  <c r="P113" i="2"/>
  <c r="I111" i="2"/>
  <c r="H216" i="2"/>
  <c r="P218" i="2"/>
  <c r="I216" i="2"/>
  <c r="P155" i="2"/>
  <c r="H153" i="2"/>
  <c r="I153" i="2"/>
  <c r="Q659" i="2"/>
  <c r="I657" i="2"/>
  <c r="H657" i="2"/>
  <c r="H1896" i="2"/>
  <c r="I1896" i="2"/>
  <c r="P1898" i="2"/>
  <c r="P1247" i="2"/>
  <c r="R1249" i="2" s="1"/>
  <c r="H1245" i="2"/>
  <c r="J1245" i="2" s="1"/>
  <c r="I1245" i="2"/>
  <c r="P1646" i="2"/>
  <c r="H1644" i="2"/>
  <c r="I1644" i="2"/>
  <c r="H1119" i="2"/>
  <c r="J1119" i="2" s="1"/>
  <c r="I1119" i="2"/>
  <c r="P1058" i="2"/>
  <c r="H1056" i="2"/>
  <c r="I1056" i="2"/>
  <c r="P365" i="2"/>
  <c r="H363" i="2"/>
  <c r="I363" i="2"/>
  <c r="P2003" i="2"/>
  <c r="H2001" i="2"/>
  <c r="I2001" i="2"/>
  <c r="P1709" i="2"/>
  <c r="Q1711" i="2" s="1"/>
  <c r="H1707" i="2"/>
  <c r="J1707" i="2" s="1"/>
  <c r="I1707" i="2"/>
  <c r="P1730" i="2"/>
  <c r="H1728" i="2"/>
  <c r="I1728" i="2"/>
  <c r="P1184" i="2"/>
  <c r="H1182" i="2"/>
  <c r="I1182" i="2"/>
  <c r="P302" i="2"/>
  <c r="H300" i="2"/>
  <c r="I300" i="2"/>
  <c r="P1604" i="2"/>
  <c r="H1602" i="2"/>
  <c r="J1602" i="2" s="1"/>
  <c r="I1602" i="2"/>
  <c r="P386" i="2"/>
  <c r="H384" i="2"/>
  <c r="I384" i="2"/>
  <c r="H405" i="2"/>
  <c r="P407" i="2"/>
  <c r="I405" i="2"/>
  <c r="H888" i="2"/>
  <c r="P890" i="2"/>
  <c r="I888" i="2"/>
  <c r="P449" i="2"/>
  <c r="Q451" i="2" s="1"/>
  <c r="H447" i="2"/>
  <c r="I447" i="2"/>
  <c r="P680" i="2"/>
  <c r="R682" i="2" s="1"/>
  <c r="H678" i="2"/>
  <c r="I678" i="2"/>
  <c r="P491" i="2"/>
  <c r="H489" i="2"/>
  <c r="J489" i="2" s="1"/>
  <c r="I489" i="2"/>
  <c r="H1476" i="2"/>
  <c r="J1476" i="2" s="1"/>
  <c r="I1476" i="2"/>
  <c r="P1079" i="2"/>
  <c r="H1077" i="2"/>
  <c r="I1077" i="2"/>
  <c r="H741" i="2"/>
  <c r="P743" i="2"/>
  <c r="I741" i="2"/>
  <c r="H1203" i="2"/>
  <c r="P1205" i="2"/>
  <c r="Q1207" i="2" s="1"/>
  <c r="I1203" i="2"/>
  <c r="P1919" i="2"/>
  <c r="H1917" i="2"/>
  <c r="J1917" i="2" s="1"/>
  <c r="I1917" i="2"/>
  <c r="P1583" i="2"/>
  <c r="Q1585" i="2" s="1"/>
  <c r="H1581" i="2"/>
  <c r="I1581" i="2"/>
  <c r="H279" i="2"/>
  <c r="P281" i="2"/>
  <c r="I279" i="2"/>
  <c r="P323" i="2"/>
  <c r="I321" i="2"/>
  <c r="P1499" i="2"/>
  <c r="Q1501" i="2" s="1"/>
  <c r="H1497" i="2"/>
  <c r="J1497" i="2" s="1"/>
  <c r="I1497" i="2"/>
  <c r="P533" i="2"/>
  <c r="H531" i="2"/>
  <c r="I531" i="2"/>
  <c r="P2066" i="2"/>
  <c r="H2064" i="2"/>
  <c r="I2064" i="2"/>
  <c r="P1625" i="2"/>
  <c r="Q1627" i="2" s="1"/>
  <c r="H1623" i="2"/>
  <c r="I1623" i="2"/>
  <c r="P1373" i="2"/>
  <c r="H1371" i="2"/>
  <c r="I1371" i="2"/>
  <c r="P577" i="2"/>
  <c r="H575" i="2"/>
  <c r="I575" i="2"/>
  <c r="Q1352" i="2"/>
  <c r="P1354" i="2" s="1"/>
  <c r="I1350" i="2"/>
  <c r="H1350" i="2"/>
  <c r="B15" i="2"/>
  <c r="R2171" i="2" l="1"/>
  <c r="H2169" i="2"/>
  <c r="J2169" i="2" s="1"/>
  <c r="P2171" i="2"/>
  <c r="I2169" i="2"/>
  <c r="Q2171" i="2"/>
  <c r="Q2150" i="2"/>
  <c r="P2150" i="2"/>
  <c r="I2148" i="2"/>
  <c r="R2150" i="2"/>
  <c r="R2152" i="2" s="1"/>
  <c r="R2129" i="2"/>
  <c r="Q2129" i="2"/>
  <c r="I2127" i="2"/>
  <c r="H2127" i="2"/>
  <c r="P2129" i="2"/>
  <c r="J2127" i="2"/>
  <c r="Q2110" i="2"/>
  <c r="R2110" i="2"/>
  <c r="P2087" i="2"/>
  <c r="H2085" i="2"/>
  <c r="J2085" i="2" s="1"/>
  <c r="I2085" i="2"/>
  <c r="Q2087" i="2"/>
  <c r="P2089" i="2" s="1"/>
  <c r="R2068" i="2"/>
  <c r="Q2068" i="2"/>
  <c r="H2043" i="2"/>
  <c r="J2043" i="2" s="1"/>
  <c r="I2043" i="2"/>
  <c r="P2045" i="2"/>
  <c r="H2045" i="2" s="1"/>
  <c r="J2045" i="2" s="1"/>
  <c r="Q2045" i="2"/>
  <c r="Q2047" i="2" s="1"/>
  <c r="R2026" i="2"/>
  <c r="H2024" i="2"/>
  <c r="J2024" i="2" s="1"/>
  <c r="P2026" i="2"/>
  <c r="I2024" i="2"/>
  <c r="Q2026" i="2"/>
  <c r="R2005" i="2"/>
  <c r="Q2005" i="2"/>
  <c r="J2001" i="2"/>
  <c r="Q1982" i="2"/>
  <c r="R1982" i="2"/>
  <c r="R1984" i="2" s="1"/>
  <c r="I1959" i="2"/>
  <c r="H1959" i="2"/>
  <c r="P1961" i="2"/>
  <c r="Q1961" i="2"/>
  <c r="R1963" i="2"/>
  <c r="J1959" i="2"/>
  <c r="I1938" i="2"/>
  <c r="H1938" i="2"/>
  <c r="J1938" i="2" s="1"/>
  <c r="P1940" i="2"/>
  <c r="Q1940" i="2"/>
  <c r="Q1942" i="2" s="1"/>
  <c r="P1942" i="2"/>
  <c r="H1940" i="2"/>
  <c r="J1940" i="2" s="1"/>
  <c r="I1940" i="2"/>
  <c r="R1921" i="2"/>
  <c r="Q1921" i="2"/>
  <c r="Q1900" i="2"/>
  <c r="R1900" i="2"/>
  <c r="R1877" i="2"/>
  <c r="I1875" i="2"/>
  <c r="P1877" i="2"/>
  <c r="H1875" i="2"/>
  <c r="J1875" i="2" s="1"/>
  <c r="Q1877" i="2"/>
  <c r="R1879" i="2" s="1"/>
  <c r="Q1856" i="2"/>
  <c r="I1854" i="2"/>
  <c r="P1856" i="2"/>
  <c r="R1856" i="2"/>
  <c r="R1858" i="2" s="1"/>
  <c r="P1858" i="2"/>
  <c r="I1856" i="2"/>
  <c r="H1856" i="2"/>
  <c r="Q1835" i="2"/>
  <c r="H1833" i="2"/>
  <c r="J1833" i="2" s="1"/>
  <c r="P1835" i="2"/>
  <c r="I1833" i="2"/>
  <c r="R1835" i="2"/>
  <c r="R1837" i="2" s="1"/>
  <c r="R1814" i="2"/>
  <c r="P1814" i="2"/>
  <c r="H1812" i="2"/>
  <c r="J1812" i="2" s="1"/>
  <c r="I1812" i="2"/>
  <c r="Q1814" i="2"/>
  <c r="R1793" i="2"/>
  <c r="I1791" i="2"/>
  <c r="P1793" i="2"/>
  <c r="H1791" i="2"/>
  <c r="J1791" i="2" s="1"/>
  <c r="Q1793" i="2"/>
  <c r="I1770" i="2"/>
  <c r="P1772" i="2"/>
  <c r="Q1774" i="2" s="1"/>
  <c r="R1774" i="2"/>
  <c r="J1770" i="2"/>
  <c r="P1753" i="2"/>
  <c r="R1753" i="2"/>
  <c r="I1751" i="2"/>
  <c r="H1751" i="2"/>
  <c r="Q1753" i="2"/>
  <c r="Q1730" i="2"/>
  <c r="Q1732" i="2" s="1"/>
  <c r="R1711" i="2"/>
  <c r="Q1690" i="2"/>
  <c r="Q1692" i="2" s="1"/>
  <c r="J1688" i="2"/>
  <c r="R1669" i="2"/>
  <c r="Q1669" i="2"/>
  <c r="P1669" i="2"/>
  <c r="H1667" i="2"/>
  <c r="I1667" i="2"/>
  <c r="J1665" i="2"/>
  <c r="Q1646" i="2"/>
  <c r="R1646" i="2"/>
  <c r="R1648" i="2" s="1"/>
  <c r="R1627" i="2"/>
  <c r="R1606" i="2"/>
  <c r="Q1606" i="2"/>
  <c r="R1585" i="2"/>
  <c r="J1581" i="2"/>
  <c r="I1560" i="2"/>
  <c r="H1560" i="2"/>
  <c r="P1562" i="2"/>
  <c r="H1562" i="2" s="1"/>
  <c r="J1562" i="2" s="1"/>
  <c r="Q1562" i="2"/>
  <c r="P1564" i="2" s="1"/>
  <c r="R1564" i="2"/>
  <c r="Q1564" i="2"/>
  <c r="R1543" i="2"/>
  <c r="Q1543" i="2"/>
  <c r="R1522" i="2"/>
  <c r="I1520" i="2"/>
  <c r="H1520" i="2"/>
  <c r="J1520" i="2" s="1"/>
  <c r="P1522" i="2"/>
  <c r="Q1522" i="2"/>
  <c r="Q1524" i="2" s="1"/>
  <c r="R1501" i="2"/>
  <c r="R1478" i="2"/>
  <c r="Q1478" i="2"/>
  <c r="R1480" i="2" s="1"/>
  <c r="R1459" i="2"/>
  <c r="Q1459" i="2"/>
  <c r="H1434" i="2"/>
  <c r="J1434" i="2" s="1"/>
  <c r="P1436" i="2"/>
  <c r="Q1436" i="2"/>
  <c r="P1438" i="2" s="1"/>
  <c r="I1434" i="2"/>
  <c r="R1417" i="2"/>
  <c r="Q1417" i="2"/>
  <c r="R1396" i="2"/>
  <c r="H1394" i="2"/>
  <c r="Q1396" i="2"/>
  <c r="I1394" i="2"/>
  <c r="P1396" i="2"/>
  <c r="Q1398" i="2" s="1"/>
  <c r="R1375" i="2"/>
  <c r="Q1375" i="2"/>
  <c r="R1354" i="2"/>
  <c r="R1333" i="2"/>
  <c r="Q1333" i="2"/>
  <c r="Q1312" i="2"/>
  <c r="R1312" i="2"/>
  <c r="R1289" i="2"/>
  <c r="Q1289" i="2"/>
  <c r="P1289" i="2"/>
  <c r="Q1291" i="2" s="1"/>
  <c r="I1287" i="2"/>
  <c r="H1287" i="2"/>
  <c r="J1287" i="2" s="1"/>
  <c r="P1268" i="2"/>
  <c r="R1268" i="2"/>
  <c r="R1270" i="2" s="1"/>
  <c r="Q1270" i="2"/>
  <c r="H1266" i="2"/>
  <c r="J1266" i="2" s="1"/>
  <c r="I1266" i="2"/>
  <c r="Q1249" i="2"/>
  <c r="Q1226" i="2"/>
  <c r="H1224" i="2"/>
  <c r="J1224" i="2" s="1"/>
  <c r="I1224" i="2"/>
  <c r="P1226" i="2"/>
  <c r="R1226" i="2"/>
  <c r="R1207" i="2"/>
  <c r="Q1186" i="2"/>
  <c r="R1186" i="2"/>
  <c r="J1182" i="2"/>
  <c r="H1161" i="2"/>
  <c r="P1163" i="2"/>
  <c r="R1165" i="2" s="1"/>
  <c r="R1163" i="2"/>
  <c r="R1144" i="2"/>
  <c r="I1142" i="2"/>
  <c r="P1144" i="2"/>
  <c r="H1142" i="2"/>
  <c r="J1142" i="2" s="1"/>
  <c r="Q1144" i="2"/>
  <c r="Q1146" i="2" s="1"/>
  <c r="P1121" i="2"/>
  <c r="R1121" i="2"/>
  <c r="R1123" i="2" s="1"/>
  <c r="H1098" i="2"/>
  <c r="Q1100" i="2"/>
  <c r="R1100" i="2"/>
  <c r="I1098" i="2"/>
  <c r="P1100" i="2"/>
  <c r="Q1102" i="2" s="1"/>
  <c r="R1081" i="2"/>
  <c r="Q1081" i="2"/>
  <c r="R1060" i="2"/>
  <c r="Q1060" i="2"/>
  <c r="R1039" i="2"/>
  <c r="Q1039" i="2"/>
  <c r="P1039" i="2"/>
  <c r="I1037" i="2"/>
  <c r="H1037" i="2"/>
  <c r="J1037" i="2" s="1"/>
  <c r="P1016" i="2"/>
  <c r="R1016" i="2"/>
  <c r="R1018" i="2" s="1"/>
  <c r="I1014" i="2"/>
  <c r="J1014" i="2"/>
  <c r="I993" i="2"/>
  <c r="H993" i="2"/>
  <c r="J993" i="2" s="1"/>
  <c r="P995" i="2"/>
  <c r="Q997" i="2" s="1"/>
  <c r="P974" i="2"/>
  <c r="I972" i="2"/>
  <c r="Q974" i="2"/>
  <c r="H972" i="2"/>
  <c r="J972" i="2" s="1"/>
  <c r="Q955" i="2"/>
  <c r="P955" i="2"/>
  <c r="I953" i="2"/>
  <c r="H953" i="2"/>
  <c r="J953" i="2" s="1"/>
  <c r="H951" i="2"/>
  <c r="J951" i="2" s="1"/>
  <c r="I951" i="2"/>
  <c r="R955" i="2"/>
  <c r="I932" i="2"/>
  <c r="Q934" i="2"/>
  <c r="H932" i="2"/>
  <c r="J932" i="2" s="1"/>
  <c r="P934" i="2"/>
  <c r="R913" i="2"/>
  <c r="J909" i="2"/>
  <c r="R892" i="2"/>
  <c r="Q892" i="2"/>
  <c r="R869" i="2"/>
  <c r="Q869" i="2"/>
  <c r="H867" i="2"/>
  <c r="J867" i="2" s="1"/>
  <c r="I867" i="2"/>
  <c r="P869" i="2"/>
  <c r="R848" i="2"/>
  <c r="P848" i="2"/>
  <c r="H846" i="2"/>
  <c r="J846" i="2" s="1"/>
  <c r="I846" i="2"/>
  <c r="Q848" i="2"/>
  <c r="Q827" i="2"/>
  <c r="R827" i="2"/>
  <c r="I825" i="2"/>
  <c r="H825" i="2"/>
  <c r="J825" i="2" s="1"/>
  <c r="P827" i="2"/>
  <c r="R829" i="2" s="1"/>
  <c r="Q808" i="2"/>
  <c r="R810" i="2" s="1"/>
  <c r="Q810" i="2"/>
  <c r="J806" i="2"/>
  <c r="R787" i="2"/>
  <c r="P787" i="2"/>
  <c r="H785" i="2"/>
  <c r="I785" i="2"/>
  <c r="Q787" i="2"/>
  <c r="Q764" i="2"/>
  <c r="R766" i="2" s="1"/>
  <c r="Q766" i="2"/>
  <c r="R745" i="2"/>
  <c r="Q745" i="2"/>
  <c r="R722" i="2"/>
  <c r="Q724" i="2" s="1"/>
  <c r="I699" i="2"/>
  <c r="H699" i="2"/>
  <c r="J699" i="2" s="1"/>
  <c r="P701" i="2"/>
  <c r="Q701" i="2"/>
  <c r="Q703" i="2" s="1"/>
  <c r="Q682" i="2"/>
  <c r="R659" i="2"/>
  <c r="R661" i="2" s="1"/>
  <c r="R640" i="2"/>
  <c r="R642" i="2" s="1"/>
  <c r="P617" i="2"/>
  <c r="H615" i="2"/>
  <c r="R617" i="2"/>
  <c r="R619" i="2" s="1"/>
  <c r="P619" i="2"/>
  <c r="H617" i="2"/>
  <c r="J617" i="2" s="1"/>
  <c r="J615" i="2"/>
  <c r="Q619" i="2"/>
  <c r="R596" i="2"/>
  <c r="H594" i="2"/>
  <c r="J594" i="2" s="1"/>
  <c r="P596" i="2"/>
  <c r="R598" i="2" s="1"/>
  <c r="Q596" i="2"/>
  <c r="Q577" i="2"/>
  <c r="R579" i="2" s="1"/>
  <c r="I554" i="2"/>
  <c r="H554" i="2"/>
  <c r="J554" i="2" s="1"/>
  <c r="P556" i="2"/>
  <c r="Q556" i="2"/>
  <c r="Q533" i="2"/>
  <c r="R535" i="2" s="1"/>
  <c r="Q514" i="2"/>
  <c r="R514" i="2"/>
  <c r="R493" i="2"/>
  <c r="Q493" i="2"/>
  <c r="I468" i="2"/>
  <c r="P470" i="2"/>
  <c r="H470" i="2" s="1"/>
  <c r="J470" i="2" s="1"/>
  <c r="H468" i="2"/>
  <c r="J468" i="2" s="1"/>
  <c r="R451" i="2"/>
  <c r="R432" i="2"/>
  <c r="Q407" i="2"/>
  <c r="R409" i="2"/>
  <c r="Q409" i="2"/>
  <c r="R388" i="2"/>
  <c r="Q388" i="2"/>
  <c r="R367" i="2"/>
  <c r="Q367" i="2"/>
  <c r="R344" i="2"/>
  <c r="R346" i="2" s="1"/>
  <c r="P346" i="2"/>
  <c r="R325" i="2"/>
  <c r="Q325" i="2"/>
  <c r="J321" i="2"/>
  <c r="R304" i="2"/>
  <c r="Q304" i="2"/>
  <c r="Q281" i="2"/>
  <c r="R283" i="2" s="1"/>
  <c r="Q283" i="2"/>
  <c r="J279" i="2"/>
  <c r="R262" i="2"/>
  <c r="Q262" i="2"/>
  <c r="H260" i="2"/>
  <c r="J260" i="2" s="1"/>
  <c r="I260" i="2"/>
  <c r="P262" i="2"/>
  <c r="R264" i="2" s="1"/>
  <c r="R241" i="2"/>
  <c r="Q241" i="2"/>
  <c r="R220" i="2"/>
  <c r="Q220" i="2"/>
  <c r="H195" i="2"/>
  <c r="J195" i="2" s="1"/>
  <c r="Q197" i="2"/>
  <c r="Q199" i="2" s="1"/>
  <c r="P176" i="2"/>
  <c r="R178" i="2" s="1"/>
  <c r="J174" i="2"/>
  <c r="I176" i="2"/>
  <c r="P178" i="2"/>
  <c r="H176" i="2"/>
  <c r="Q155" i="2"/>
  <c r="R155" i="2"/>
  <c r="R157" i="2" s="1"/>
  <c r="R134" i="2"/>
  <c r="I132" i="2"/>
  <c r="H132" i="2"/>
  <c r="J132" i="2" s="1"/>
  <c r="P134" i="2"/>
  <c r="R113" i="2"/>
  <c r="Q115" i="2"/>
  <c r="R115" i="2"/>
  <c r="Q94" i="2"/>
  <c r="R94" i="2"/>
  <c r="H69" i="2"/>
  <c r="J69" i="2" s="1"/>
  <c r="I69" i="2"/>
  <c r="Q71" i="2"/>
  <c r="Q73" i="2" s="1"/>
  <c r="R73" i="2"/>
  <c r="R52" i="2"/>
  <c r="P52" i="2"/>
  <c r="H50" i="2"/>
  <c r="J50" i="2" s="1"/>
  <c r="I50" i="2"/>
  <c r="Q52" i="2"/>
  <c r="P451" i="2"/>
  <c r="Q453" i="2" s="1"/>
  <c r="H449" i="2"/>
  <c r="J449" i="2" s="1"/>
  <c r="I449" i="2"/>
  <c r="J405" i="2"/>
  <c r="P304" i="2"/>
  <c r="H302" i="2"/>
  <c r="I302" i="2"/>
  <c r="J1056" i="2"/>
  <c r="H1541" i="2"/>
  <c r="J1541" i="2" s="1"/>
  <c r="P1543" i="2"/>
  <c r="I1541" i="2"/>
  <c r="P766" i="2"/>
  <c r="H764" i="2"/>
  <c r="I764" i="2"/>
  <c r="H533" i="2"/>
  <c r="J533" i="2" s="1"/>
  <c r="P535" i="2"/>
  <c r="I533" i="2"/>
  <c r="P2005" i="2"/>
  <c r="H2003" i="2"/>
  <c r="J2003" i="2" s="1"/>
  <c r="I2003" i="2"/>
  <c r="H1058" i="2"/>
  <c r="J1058" i="2" s="1"/>
  <c r="P1060" i="2"/>
  <c r="I1058" i="2"/>
  <c r="H1247" i="2"/>
  <c r="P1249" i="2"/>
  <c r="R1251" i="2" s="1"/>
  <c r="I1247" i="2"/>
  <c r="Q661" i="2"/>
  <c r="H659" i="2"/>
  <c r="J659" i="2" s="1"/>
  <c r="I659" i="2"/>
  <c r="P1692" i="2"/>
  <c r="H1690" i="2"/>
  <c r="I1690" i="2"/>
  <c r="I2045" i="2"/>
  <c r="P892" i="2"/>
  <c r="H890" i="2"/>
  <c r="J890" i="2" s="1"/>
  <c r="I890" i="2"/>
  <c r="J384" i="2"/>
  <c r="J153" i="2"/>
  <c r="H430" i="2"/>
  <c r="P432" i="2"/>
  <c r="I430" i="2"/>
  <c r="H92" i="2"/>
  <c r="J92" i="2" s="1"/>
  <c r="P94" i="2"/>
  <c r="Q96" i="2" s="1"/>
  <c r="I92" i="2"/>
  <c r="P1921" i="2"/>
  <c r="H1919" i="2"/>
  <c r="J1919" i="2" s="1"/>
  <c r="I1919" i="2"/>
  <c r="H1205" i="2"/>
  <c r="J1205" i="2" s="1"/>
  <c r="P1207" i="2"/>
  <c r="Q1209" i="2" s="1"/>
  <c r="I1205" i="2"/>
  <c r="H491" i="2"/>
  <c r="J491" i="2" s="1"/>
  <c r="P493" i="2"/>
  <c r="Q495" i="2" s="1"/>
  <c r="I491" i="2"/>
  <c r="J888" i="2"/>
  <c r="P388" i="2"/>
  <c r="H386" i="2"/>
  <c r="J386" i="2" s="1"/>
  <c r="I386" i="2"/>
  <c r="P1186" i="2"/>
  <c r="H1184" i="2"/>
  <c r="J1184" i="2" s="1"/>
  <c r="I1184" i="2"/>
  <c r="J1728" i="2"/>
  <c r="J1751" i="2"/>
  <c r="H1331" i="2"/>
  <c r="P1333" i="2"/>
  <c r="Q1335" i="2" s="1"/>
  <c r="I1331" i="2"/>
  <c r="J342" i="2"/>
  <c r="H512" i="2"/>
  <c r="P514" i="2"/>
  <c r="Q516" i="2" s="1"/>
  <c r="I512" i="2"/>
  <c r="J1350" i="2"/>
  <c r="J531" i="2"/>
  <c r="P325" i="2"/>
  <c r="H323" i="2"/>
  <c r="J323" i="2" s="1"/>
  <c r="I323" i="2"/>
  <c r="H1583" i="2"/>
  <c r="J1583" i="2" s="1"/>
  <c r="P1585" i="2"/>
  <c r="Q1587" i="2" s="1"/>
  <c r="I1583" i="2"/>
  <c r="J1203" i="2"/>
  <c r="J678" i="2"/>
  <c r="H701" i="2"/>
  <c r="J701" i="2" s="1"/>
  <c r="P703" i="2"/>
  <c r="I701" i="2"/>
  <c r="P1755" i="2"/>
  <c r="H1753" i="2"/>
  <c r="J1753" i="2" s="1"/>
  <c r="I1753" i="2"/>
  <c r="H2150" i="2"/>
  <c r="P2152" i="2"/>
  <c r="I2150" i="2"/>
  <c r="P1984" i="2"/>
  <c r="H1982" i="2"/>
  <c r="I1982" i="2"/>
  <c r="Q346" i="2"/>
  <c r="I344" i="2"/>
  <c r="H344" i="2"/>
  <c r="J344" i="2" s="1"/>
  <c r="P682" i="2"/>
  <c r="R684" i="2" s="1"/>
  <c r="H680" i="2"/>
  <c r="J680" i="2" s="1"/>
  <c r="I680" i="2"/>
  <c r="J1560" i="2"/>
  <c r="P810" i="2"/>
  <c r="H808" i="2"/>
  <c r="I808" i="2"/>
  <c r="J1413" i="2"/>
  <c r="Q1354" i="2"/>
  <c r="P1356" i="2" s="1"/>
  <c r="H1352" i="2"/>
  <c r="J1352" i="2" s="1"/>
  <c r="I1352" i="2"/>
  <c r="J1371" i="2"/>
  <c r="P1963" i="2"/>
  <c r="H1961" i="2"/>
  <c r="J1961" i="2" s="1"/>
  <c r="I1961" i="2"/>
  <c r="H281" i="2"/>
  <c r="P283" i="2"/>
  <c r="I281" i="2"/>
  <c r="P745" i="2"/>
  <c r="H743" i="2"/>
  <c r="J743" i="2" s="1"/>
  <c r="I743" i="2"/>
  <c r="J1077" i="2"/>
  <c r="H1604" i="2"/>
  <c r="P1606" i="2"/>
  <c r="Q1608" i="2" s="1"/>
  <c r="I1604" i="2"/>
  <c r="H1121" i="2"/>
  <c r="P1123" i="2"/>
  <c r="I1121" i="2"/>
  <c r="P1417" i="2"/>
  <c r="H1415" i="2"/>
  <c r="J1415" i="2" s="1"/>
  <c r="I1415" i="2"/>
  <c r="J1161" i="2"/>
  <c r="P1375" i="2"/>
  <c r="H1373" i="2"/>
  <c r="J1373" i="2" s="1"/>
  <c r="I1373" i="2"/>
  <c r="J741" i="2"/>
  <c r="H1079" i="2"/>
  <c r="J1079" i="2" s="1"/>
  <c r="P1081" i="2"/>
  <c r="I1079" i="2"/>
  <c r="J363" i="2"/>
  <c r="J1644" i="2"/>
  <c r="J638" i="2"/>
  <c r="H197" i="2"/>
  <c r="J197" i="2" s="1"/>
  <c r="P199" i="2"/>
  <c r="I197" i="2"/>
  <c r="P1165" i="2"/>
  <c r="H1163" i="2"/>
  <c r="J1163" i="2" s="1"/>
  <c r="I1163" i="2"/>
  <c r="P1879" i="2"/>
  <c r="H1877" i="2"/>
  <c r="J1877" i="2" s="1"/>
  <c r="I1877" i="2"/>
  <c r="J575" i="2"/>
  <c r="H365" i="2"/>
  <c r="P367" i="2"/>
  <c r="I365" i="2"/>
  <c r="P1900" i="2"/>
  <c r="H1898" i="2"/>
  <c r="J1898" i="2" s="1"/>
  <c r="I1898" i="2"/>
  <c r="J1308" i="2"/>
  <c r="P913" i="2"/>
  <c r="H911" i="2"/>
  <c r="I911" i="2"/>
  <c r="H640" i="2"/>
  <c r="J640" i="2" s="1"/>
  <c r="P642" i="2"/>
  <c r="I640" i="2"/>
  <c r="H71" i="2"/>
  <c r="J71" i="2" s="1"/>
  <c r="P73" i="2"/>
  <c r="I71" i="2"/>
  <c r="J1623" i="2"/>
  <c r="P1501" i="2"/>
  <c r="Q1503" i="2" s="1"/>
  <c r="H1499" i="2"/>
  <c r="J1499" i="2" s="1"/>
  <c r="I1499" i="2"/>
  <c r="H1709" i="2"/>
  <c r="J1709" i="2" s="1"/>
  <c r="P1711" i="2"/>
  <c r="Q1713" i="2" s="1"/>
  <c r="I1709" i="2"/>
  <c r="P241" i="2"/>
  <c r="H239" i="2"/>
  <c r="I239" i="2"/>
  <c r="H1310" i="2"/>
  <c r="J1310" i="2" s="1"/>
  <c r="P1312" i="2"/>
  <c r="I1310" i="2"/>
  <c r="J2106" i="2"/>
  <c r="P1627" i="2"/>
  <c r="H1625" i="2"/>
  <c r="J1625" i="2" s="1"/>
  <c r="I1625" i="2"/>
  <c r="J2064" i="2"/>
  <c r="P1018" i="2"/>
  <c r="H1016" i="2"/>
  <c r="J1016" i="2" s="1"/>
  <c r="I1016" i="2"/>
  <c r="J1098" i="2"/>
  <c r="H1396" i="2"/>
  <c r="P1398" i="2"/>
  <c r="I1396" i="2"/>
  <c r="J1896" i="2"/>
  <c r="H218" i="2"/>
  <c r="I218" i="2"/>
  <c r="P220" i="2"/>
  <c r="Q222" i="2" s="1"/>
  <c r="P115" i="2"/>
  <c r="H113" i="2"/>
  <c r="I113" i="2"/>
  <c r="P1291" i="2"/>
  <c r="H1289" i="2"/>
  <c r="I1289" i="2"/>
  <c r="P1459" i="2"/>
  <c r="R1461" i="2" s="1"/>
  <c r="H1457" i="2"/>
  <c r="I1457" i="2"/>
  <c r="P2110" i="2"/>
  <c r="H2108" i="2"/>
  <c r="J2108" i="2" s="1"/>
  <c r="I2108" i="2"/>
  <c r="P2068" i="2"/>
  <c r="Q2070" i="2" s="1"/>
  <c r="H2066" i="2"/>
  <c r="J2066" i="2" s="1"/>
  <c r="I2066" i="2"/>
  <c r="J447" i="2"/>
  <c r="H407" i="2"/>
  <c r="J407" i="2" s="1"/>
  <c r="P409" i="2"/>
  <c r="I407" i="2"/>
  <c r="J1394" i="2"/>
  <c r="J300" i="2"/>
  <c r="J657" i="2"/>
  <c r="J216" i="2"/>
  <c r="J1539" i="2"/>
  <c r="H974" i="2"/>
  <c r="I974" i="2"/>
  <c r="P976" i="2"/>
  <c r="C15" i="2"/>
  <c r="E19" i="2" s="1"/>
  <c r="E2" i="2"/>
  <c r="V19" i="2"/>
  <c r="W19" i="2"/>
  <c r="X19" i="2"/>
  <c r="Y19" i="2"/>
  <c r="Z19" i="2"/>
  <c r="AA19" i="2"/>
  <c r="AB19" i="2"/>
  <c r="AC19" i="2"/>
  <c r="AD19" i="2"/>
  <c r="AE19" i="2"/>
  <c r="AF19" i="2"/>
  <c r="AG19" i="2"/>
  <c r="AH19" i="2"/>
  <c r="AI19" i="2"/>
  <c r="Q19" i="2"/>
  <c r="R19" i="2"/>
  <c r="R21" i="2" s="1"/>
  <c r="S19" i="2"/>
  <c r="S21" i="2" s="1"/>
  <c r="T19" i="2"/>
  <c r="U19" i="2"/>
  <c r="R2173" i="2" l="1"/>
  <c r="Q2173" i="2"/>
  <c r="H2171" i="2"/>
  <c r="J2171" i="2" s="1"/>
  <c r="P2173" i="2"/>
  <c r="I2171" i="2"/>
  <c r="Q2152" i="2"/>
  <c r="Q2154" i="2" s="1"/>
  <c r="R2131" i="2"/>
  <c r="H2129" i="2"/>
  <c r="J2129" i="2" s="1"/>
  <c r="I2129" i="2"/>
  <c r="P2131" i="2"/>
  <c r="Q2131" i="2"/>
  <c r="Q2133" i="2" s="1"/>
  <c r="R2112" i="2"/>
  <c r="Q2112" i="2"/>
  <c r="I2087" i="2"/>
  <c r="H2087" i="2"/>
  <c r="J2087" i="2" s="1"/>
  <c r="R2089" i="2"/>
  <c r="R2091" i="2" s="1"/>
  <c r="Q2089" i="2"/>
  <c r="Q2091" i="2" s="1"/>
  <c r="R2070" i="2"/>
  <c r="P2047" i="2"/>
  <c r="R2047" i="2"/>
  <c r="R2049" i="2" s="1"/>
  <c r="Q2028" i="2"/>
  <c r="R2028" i="2"/>
  <c r="P2028" i="2"/>
  <c r="H2026" i="2"/>
  <c r="J2026" i="2" s="1"/>
  <c r="I2026" i="2"/>
  <c r="R2007" i="2"/>
  <c r="Q2007" i="2"/>
  <c r="Q1984" i="2"/>
  <c r="Q1986" i="2" s="1"/>
  <c r="Q1963" i="2"/>
  <c r="Q1965" i="2"/>
  <c r="R1965" i="2"/>
  <c r="R1942" i="2"/>
  <c r="Q1944" i="2" s="1"/>
  <c r="H1942" i="2"/>
  <c r="J1942" i="2" s="1"/>
  <c r="I1942" i="2"/>
  <c r="P1944" i="2"/>
  <c r="R1923" i="2"/>
  <c r="Q1923" i="2"/>
  <c r="Q1902" i="2"/>
  <c r="R1902" i="2"/>
  <c r="Q1879" i="2"/>
  <c r="R1881" i="2" s="1"/>
  <c r="Q1858" i="2"/>
  <c r="R1860" i="2"/>
  <c r="I1858" i="2"/>
  <c r="H1858" i="2"/>
  <c r="J1858" i="2" s="1"/>
  <c r="P1860" i="2"/>
  <c r="J1856" i="2"/>
  <c r="Q1860" i="2"/>
  <c r="H1835" i="2"/>
  <c r="J1835" i="2" s="1"/>
  <c r="I1835" i="2"/>
  <c r="P1837" i="2"/>
  <c r="Q1837" i="2"/>
  <c r="R1816" i="2"/>
  <c r="Q1816" i="2"/>
  <c r="P1816" i="2"/>
  <c r="H1814" i="2"/>
  <c r="J1814" i="2" s="1"/>
  <c r="I1814" i="2"/>
  <c r="R1795" i="2"/>
  <c r="Q1795" i="2"/>
  <c r="P1795" i="2"/>
  <c r="I1793" i="2"/>
  <c r="H1793" i="2"/>
  <c r="J1793" i="2" s="1"/>
  <c r="I1772" i="2"/>
  <c r="H1772" i="2"/>
  <c r="J1772" i="2" s="1"/>
  <c r="P1774" i="2"/>
  <c r="Q1776" i="2" s="1"/>
  <c r="R1776" i="2"/>
  <c r="R1755" i="2"/>
  <c r="Q1755" i="2"/>
  <c r="H1755" i="2" s="1"/>
  <c r="J1755" i="2" s="1"/>
  <c r="AF1756" i="2" s="1"/>
  <c r="I1730" i="2"/>
  <c r="H1730" i="2"/>
  <c r="P1732" i="2"/>
  <c r="R1732" i="2"/>
  <c r="Q1734" i="2" s="1"/>
  <c r="R1734" i="2"/>
  <c r="J1730" i="2"/>
  <c r="R1713" i="2"/>
  <c r="R1692" i="2"/>
  <c r="R1671" i="2"/>
  <c r="H1669" i="2"/>
  <c r="P1671" i="2"/>
  <c r="I1669" i="2"/>
  <c r="Q1671" i="2"/>
  <c r="J1667" i="2"/>
  <c r="I1646" i="2"/>
  <c r="H1646" i="2"/>
  <c r="J1646" i="2" s="1"/>
  <c r="P1648" i="2"/>
  <c r="Q1648" i="2"/>
  <c r="Q1629" i="2"/>
  <c r="R1629" i="2"/>
  <c r="R1608" i="2"/>
  <c r="R1587" i="2"/>
  <c r="I1562" i="2"/>
  <c r="R1566" i="2"/>
  <c r="Q1566" i="2"/>
  <c r="Q1545" i="2"/>
  <c r="R1545" i="2"/>
  <c r="R1524" i="2"/>
  <c r="P1524" i="2"/>
  <c r="H1522" i="2"/>
  <c r="J1522" i="2" s="1"/>
  <c r="I1522" i="2"/>
  <c r="R1503" i="2"/>
  <c r="I1478" i="2"/>
  <c r="H1478" i="2"/>
  <c r="J1478" i="2" s="1"/>
  <c r="Q1480" i="2"/>
  <c r="R1482" i="2" s="1"/>
  <c r="P1480" i="2"/>
  <c r="Q1461" i="2"/>
  <c r="Q1438" i="2"/>
  <c r="I1436" i="2"/>
  <c r="H1436" i="2"/>
  <c r="J1436" i="2" s="1"/>
  <c r="R1438" i="2"/>
  <c r="R1440" i="2" s="1"/>
  <c r="R1419" i="2"/>
  <c r="Q1419" i="2"/>
  <c r="R1398" i="2"/>
  <c r="H1398" i="2" s="1"/>
  <c r="J1396" i="2"/>
  <c r="R1377" i="2"/>
  <c r="Q1377" i="2"/>
  <c r="R1356" i="2"/>
  <c r="R1335" i="2"/>
  <c r="J1331" i="2"/>
  <c r="R1314" i="2"/>
  <c r="Q1314" i="2"/>
  <c r="R1291" i="2"/>
  <c r="R1293" i="2" s="1"/>
  <c r="P1270" i="2"/>
  <c r="I1268" i="2"/>
  <c r="I1270" i="2"/>
  <c r="P1272" i="2"/>
  <c r="H1268" i="2"/>
  <c r="J1268" i="2" s="1"/>
  <c r="R1272" i="2"/>
  <c r="Q1251" i="2"/>
  <c r="R1228" i="2"/>
  <c r="Q1228" i="2"/>
  <c r="P1228" i="2"/>
  <c r="I1226" i="2"/>
  <c r="H1226" i="2"/>
  <c r="J1226" i="2" s="1"/>
  <c r="R1209" i="2"/>
  <c r="Q1188" i="2"/>
  <c r="R1188" i="2"/>
  <c r="Q1165" i="2"/>
  <c r="Q1167" i="2"/>
  <c r="R1167" i="2"/>
  <c r="R1146" i="2"/>
  <c r="H1144" i="2"/>
  <c r="J1144" i="2" s="1"/>
  <c r="P1146" i="2"/>
  <c r="I1144" i="2"/>
  <c r="Q1123" i="2"/>
  <c r="R1125" i="2"/>
  <c r="Q1125" i="2"/>
  <c r="R1102" i="2"/>
  <c r="P1102" i="2"/>
  <c r="Q1104" i="2" s="1"/>
  <c r="I1100" i="2"/>
  <c r="H1100" i="2"/>
  <c r="J1100" i="2" s="1"/>
  <c r="Q1083" i="2"/>
  <c r="R1083" i="2"/>
  <c r="R1062" i="2"/>
  <c r="Q1062" i="2"/>
  <c r="R1041" i="2"/>
  <c r="H1039" i="2"/>
  <c r="P1041" i="2"/>
  <c r="I1039" i="2"/>
  <c r="Q1041" i="2"/>
  <c r="Q1018" i="2"/>
  <c r="Q1020" i="2" s="1"/>
  <c r="R1020" i="2"/>
  <c r="H995" i="2"/>
  <c r="J995" i="2" s="1"/>
  <c r="P997" i="2"/>
  <c r="I995" i="2"/>
  <c r="R997" i="2"/>
  <c r="R999" i="2" s="1"/>
  <c r="Q976" i="2"/>
  <c r="R976" i="2"/>
  <c r="Q978" i="2" s="1"/>
  <c r="H955" i="2"/>
  <c r="J955" i="2" s="1"/>
  <c r="I955" i="2"/>
  <c r="P957" i="2"/>
  <c r="R957" i="2"/>
  <c r="Q957" i="2"/>
  <c r="I957" i="2" s="1"/>
  <c r="H934" i="2"/>
  <c r="J934" i="2" s="1"/>
  <c r="I934" i="2"/>
  <c r="R936" i="2"/>
  <c r="P936" i="2"/>
  <c r="Q936" i="2"/>
  <c r="Q915" i="2"/>
  <c r="R915" i="2"/>
  <c r="Q894" i="2"/>
  <c r="R894" i="2"/>
  <c r="I869" i="2"/>
  <c r="P871" i="2"/>
  <c r="H869" i="2"/>
  <c r="J869" i="2" s="1"/>
  <c r="R871" i="2"/>
  <c r="Q871" i="2"/>
  <c r="Q850" i="2"/>
  <c r="R850" i="2"/>
  <c r="P850" i="2"/>
  <c r="H848" i="2"/>
  <c r="J848" i="2" s="1"/>
  <c r="I848" i="2"/>
  <c r="H827" i="2"/>
  <c r="J827" i="2" s="1"/>
  <c r="P829" i="2"/>
  <c r="I827" i="2"/>
  <c r="Q829" i="2"/>
  <c r="R789" i="2"/>
  <c r="P789" i="2"/>
  <c r="H787" i="2"/>
  <c r="J787" i="2" s="1"/>
  <c r="I787" i="2"/>
  <c r="Q789" i="2"/>
  <c r="J785" i="2"/>
  <c r="R768" i="2"/>
  <c r="Q768" i="2"/>
  <c r="R747" i="2"/>
  <c r="Q747" i="2"/>
  <c r="R724" i="2"/>
  <c r="I722" i="2"/>
  <c r="H722" i="2"/>
  <c r="J722" i="2" s="1"/>
  <c r="P724" i="2"/>
  <c r="I724" i="2"/>
  <c r="H724" i="2"/>
  <c r="J724" i="2" s="1"/>
  <c r="P726" i="2"/>
  <c r="Q726" i="2"/>
  <c r="R703" i="2"/>
  <c r="R705" i="2" s="1"/>
  <c r="Q684" i="2"/>
  <c r="P661" i="2"/>
  <c r="R663" i="2" s="1"/>
  <c r="Q642" i="2"/>
  <c r="I617" i="2"/>
  <c r="R621" i="2"/>
  <c r="Q621" i="2"/>
  <c r="P621" i="2"/>
  <c r="I619" i="2"/>
  <c r="H619" i="2"/>
  <c r="Q598" i="2"/>
  <c r="H596" i="2"/>
  <c r="J596" i="2" s="1"/>
  <c r="I596" i="2"/>
  <c r="P598" i="2"/>
  <c r="I577" i="2"/>
  <c r="P579" i="2"/>
  <c r="H577" i="2"/>
  <c r="J577" i="2" s="1"/>
  <c r="Q579" i="2"/>
  <c r="Q558" i="2"/>
  <c r="R558" i="2"/>
  <c r="I556" i="2"/>
  <c r="P558" i="2"/>
  <c r="H558" i="2" s="1"/>
  <c r="H556" i="2"/>
  <c r="J556" i="2" s="1"/>
  <c r="Q535" i="2"/>
  <c r="Q537" i="2" s="1"/>
  <c r="R537" i="2"/>
  <c r="R516" i="2"/>
  <c r="R495" i="2"/>
  <c r="P472" i="2"/>
  <c r="Q472" i="2"/>
  <c r="I470" i="2"/>
  <c r="R472" i="2"/>
  <c r="R474" i="2" s="1"/>
  <c r="Q474" i="2"/>
  <c r="R453" i="2"/>
  <c r="R411" i="2"/>
  <c r="Q411" i="2"/>
  <c r="Q390" i="2"/>
  <c r="R390" i="2"/>
  <c r="R369" i="2"/>
  <c r="Q369" i="2"/>
  <c r="J365" i="2"/>
  <c r="R348" i="2"/>
  <c r="P348" i="2"/>
  <c r="R327" i="2"/>
  <c r="Q327" i="2"/>
  <c r="R306" i="2"/>
  <c r="Q306" i="2"/>
  <c r="J302" i="2"/>
  <c r="R285" i="2"/>
  <c r="Q285" i="2"/>
  <c r="H262" i="2"/>
  <c r="J262" i="2" s="1"/>
  <c r="P264" i="2"/>
  <c r="I262" i="2"/>
  <c r="Q264" i="2"/>
  <c r="R243" i="2"/>
  <c r="Q243" i="2"/>
  <c r="R222" i="2"/>
  <c r="J218" i="2"/>
  <c r="R199" i="2"/>
  <c r="R201" i="2" s="1"/>
  <c r="Q201" i="2"/>
  <c r="P157" i="2"/>
  <c r="I155" i="2"/>
  <c r="H155" i="2"/>
  <c r="J155" i="2" s="1"/>
  <c r="Q178" i="2"/>
  <c r="R180" i="2" s="1"/>
  <c r="I178" i="2"/>
  <c r="P180" i="2"/>
  <c r="H178" i="2"/>
  <c r="J178" i="2" s="1"/>
  <c r="J176" i="2"/>
  <c r="Q180" i="2"/>
  <c r="Q157" i="2"/>
  <c r="R159" i="2"/>
  <c r="R136" i="2"/>
  <c r="I134" i="2"/>
  <c r="H134" i="2"/>
  <c r="J134" i="2" s="1"/>
  <c r="P136" i="2"/>
  <c r="Q136" i="2"/>
  <c r="R117" i="2"/>
  <c r="Q117" i="2"/>
  <c r="R96" i="2"/>
  <c r="Q75" i="2"/>
  <c r="R75" i="2"/>
  <c r="Q54" i="2"/>
  <c r="R54" i="2"/>
  <c r="H52" i="2"/>
  <c r="I52" i="2"/>
  <c r="P54" i="2"/>
  <c r="P495" i="2"/>
  <c r="H493" i="2"/>
  <c r="J493" i="2" s="1"/>
  <c r="I493" i="2"/>
  <c r="H2110" i="2"/>
  <c r="J2110" i="2" s="1"/>
  <c r="P2112" i="2"/>
  <c r="I2110" i="2"/>
  <c r="J1289" i="2"/>
  <c r="P1629" i="2"/>
  <c r="H1627" i="2"/>
  <c r="J1627" i="2" s="1"/>
  <c r="I1627" i="2"/>
  <c r="J239" i="2"/>
  <c r="H1480" i="2"/>
  <c r="J1480" i="2" s="1"/>
  <c r="P1482" i="2"/>
  <c r="I1480" i="2"/>
  <c r="P474" i="2"/>
  <c r="H472" i="2"/>
  <c r="I472" i="2"/>
  <c r="Q1356" i="2"/>
  <c r="I1354" i="2"/>
  <c r="H1354" i="2"/>
  <c r="J1354" i="2" s="1"/>
  <c r="P705" i="2"/>
  <c r="H703" i="2"/>
  <c r="I703" i="2"/>
  <c r="P894" i="2"/>
  <c r="H892" i="2"/>
  <c r="J892" i="2" s="1"/>
  <c r="I892" i="2"/>
  <c r="P2049" i="2"/>
  <c r="H2047" i="2"/>
  <c r="J2047" i="2" s="1"/>
  <c r="I2047" i="2"/>
  <c r="J764" i="2"/>
  <c r="P1902" i="2"/>
  <c r="H1900" i="2"/>
  <c r="I1900" i="2"/>
  <c r="H1963" i="2"/>
  <c r="J1963" i="2" s="1"/>
  <c r="P1965" i="2"/>
  <c r="I1963" i="2"/>
  <c r="P1062" i="2"/>
  <c r="H1060" i="2"/>
  <c r="I1060" i="2"/>
  <c r="H579" i="2"/>
  <c r="J579" i="2" s="1"/>
  <c r="AB580" i="2" s="1"/>
  <c r="I579" i="2"/>
  <c r="H1291" i="2"/>
  <c r="J1291" i="2" s="1"/>
  <c r="P1293" i="2"/>
  <c r="I1291" i="2"/>
  <c r="H241" i="2"/>
  <c r="J241" i="2" s="1"/>
  <c r="P243" i="2"/>
  <c r="I241" i="2"/>
  <c r="P369" i="2"/>
  <c r="H367" i="2"/>
  <c r="I367" i="2"/>
  <c r="J808" i="2"/>
  <c r="P768" i="2"/>
  <c r="H766" i="2"/>
  <c r="J766" i="2" s="1"/>
  <c r="I766" i="2"/>
  <c r="H409" i="2"/>
  <c r="J409" i="2" s="1"/>
  <c r="P411" i="2"/>
  <c r="I409" i="2"/>
  <c r="P1377" i="2"/>
  <c r="H1375" i="2"/>
  <c r="J1375" i="2" s="1"/>
  <c r="I1375" i="2"/>
  <c r="H810" i="2"/>
  <c r="J810" i="2" s="1"/>
  <c r="I810" i="2"/>
  <c r="Q348" i="2"/>
  <c r="H346" i="2"/>
  <c r="J346" i="2" s="1"/>
  <c r="I346" i="2"/>
  <c r="P516" i="2"/>
  <c r="H514" i="2"/>
  <c r="J514" i="2" s="1"/>
  <c r="I514" i="2"/>
  <c r="P1335" i="2"/>
  <c r="H1333" i="2"/>
  <c r="I1333" i="2"/>
  <c r="H451" i="2"/>
  <c r="P453" i="2"/>
  <c r="I451" i="2"/>
  <c r="H642" i="2"/>
  <c r="I642" i="2"/>
  <c r="J512" i="2"/>
  <c r="P1209" i="2"/>
  <c r="H1207" i="2"/>
  <c r="I1207" i="2"/>
  <c r="H535" i="2"/>
  <c r="P537" i="2"/>
  <c r="I535" i="2"/>
  <c r="H1018" i="2"/>
  <c r="J1018" i="2" s="1"/>
  <c r="P1020" i="2"/>
  <c r="I1018" i="2"/>
  <c r="P1314" i="2"/>
  <c r="H1312" i="2"/>
  <c r="J1312" i="2" s="1"/>
  <c r="I1312" i="2"/>
  <c r="J1982" i="2"/>
  <c r="P1587" i="2"/>
  <c r="H1585" i="2"/>
  <c r="J1585" i="2" s="1"/>
  <c r="I1585" i="2"/>
  <c r="P390" i="2"/>
  <c r="H388" i="2"/>
  <c r="J388" i="2" s="1"/>
  <c r="I388" i="2"/>
  <c r="H2131" i="2"/>
  <c r="P2133" i="2"/>
  <c r="I2131" i="2"/>
  <c r="H1249" i="2"/>
  <c r="J1249" i="2" s="1"/>
  <c r="P1251" i="2"/>
  <c r="I1249" i="2"/>
  <c r="J974" i="2"/>
  <c r="P75" i="2"/>
  <c r="H73" i="2"/>
  <c r="J73" i="2" s="1"/>
  <c r="I73" i="2"/>
  <c r="H2089" i="2"/>
  <c r="J2089" i="2" s="1"/>
  <c r="P2091" i="2"/>
  <c r="I2089" i="2"/>
  <c r="H1984" i="2"/>
  <c r="J1984" i="2" s="1"/>
  <c r="P1986" i="2"/>
  <c r="I1984" i="2"/>
  <c r="H2152" i="2"/>
  <c r="J2152" i="2" s="1"/>
  <c r="P2154" i="2"/>
  <c r="I2152" i="2"/>
  <c r="P1440" i="2"/>
  <c r="H1438" i="2"/>
  <c r="J1438" i="2" s="1"/>
  <c r="I1438" i="2"/>
  <c r="J1247" i="2"/>
  <c r="H2005" i="2"/>
  <c r="P2007" i="2"/>
  <c r="I2005" i="2"/>
  <c r="P747" i="2"/>
  <c r="H745" i="2"/>
  <c r="I745" i="2"/>
  <c r="P978" i="2"/>
  <c r="I976" i="2"/>
  <c r="J1457" i="2"/>
  <c r="J113" i="2"/>
  <c r="J911" i="2"/>
  <c r="J2150" i="2"/>
  <c r="H432" i="2"/>
  <c r="J432" i="2" s="1"/>
  <c r="I432" i="2"/>
  <c r="P1188" i="2"/>
  <c r="H1186" i="2"/>
  <c r="J1186" i="2" s="1"/>
  <c r="I1186" i="2"/>
  <c r="P1461" i="2"/>
  <c r="H1459" i="2"/>
  <c r="J1459" i="2" s="1"/>
  <c r="I1459" i="2"/>
  <c r="H115" i="2"/>
  <c r="J115" i="2" s="1"/>
  <c r="P117" i="2"/>
  <c r="I115" i="2"/>
  <c r="P1713" i="2"/>
  <c r="H1711" i="2"/>
  <c r="I1711" i="2"/>
  <c r="P915" i="2"/>
  <c r="H913" i="2"/>
  <c r="J913" i="2" s="1"/>
  <c r="I913" i="2"/>
  <c r="P1650" i="2"/>
  <c r="H1648" i="2"/>
  <c r="J1648" i="2" s="1"/>
  <c r="I1648" i="2"/>
  <c r="P201" i="2"/>
  <c r="H199" i="2"/>
  <c r="J199" i="2" s="1"/>
  <c r="I199" i="2"/>
  <c r="P1083" i="2"/>
  <c r="H1081" i="2"/>
  <c r="J1081" i="2" s="1"/>
  <c r="I1081" i="2"/>
  <c r="P1419" i="2"/>
  <c r="H1417" i="2"/>
  <c r="J1417" i="2" s="1"/>
  <c r="I1417" i="2"/>
  <c r="P1125" i="2"/>
  <c r="H1123" i="2"/>
  <c r="J1123" i="2" s="1"/>
  <c r="I1123" i="2"/>
  <c r="P1608" i="2"/>
  <c r="H1606" i="2"/>
  <c r="J1606" i="2" s="1"/>
  <c r="I1606" i="2"/>
  <c r="H283" i="2"/>
  <c r="J283" i="2" s="1"/>
  <c r="P285" i="2"/>
  <c r="I283" i="2"/>
  <c r="J430" i="2"/>
  <c r="P222" i="2"/>
  <c r="H220" i="2"/>
  <c r="I220" i="2"/>
  <c r="J1121" i="2"/>
  <c r="J1604" i="2"/>
  <c r="J281" i="2"/>
  <c r="H682" i="2"/>
  <c r="J682" i="2" s="1"/>
  <c r="P684" i="2"/>
  <c r="I682" i="2"/>
  <c r="H325" i="2"/>
  <c r="P327" i="2"/>
  <c r="I325" i="2"/>
  <c r="H304" i="2"/>
  <c r="P306" i="2"/>
  <c r="I304" i="2"/>
  <c r="P1167" i="2"/>
  <c r="H1165" i="2"/>
  <c r="J1165" i="2" s="1"/>
  <c r="I1165" i="2"/>
  <c r="H1921" i="2"/>
  <c r="P1923" i="2"/>
  <c r="I1921" i="2"/>
  <c r="J1690" i="2"/>
  <c r="H1543" i="2"/>
  <c r="P1545" i="2"/>
  <c r="I1543" i="2"/>
  <c r="H2068" i="2"/>
  <c r="J2068" i="2" s="1"/>
  <c r="P2070" i="2"/>
  <c r="I2068" i="2"/>
  <c r="H1501" i="2"/>
  <c r="J1501" i="2" s="1"/>
  <c r="P1503" i="2"/>
  <c r="I1501" i="2"/>
  <c r="P1881" i="2"/>
  <c r="H1879" i="2"/>
  <c r="J1879" i="2" s="1"/>
  <c r="I1879" i="2"/>
  <c r="P1566" i="2"/>
  <c r="H1564" i="2"/>
  <c r="J1564" i="2" s="1"/>
  <c r="I1564" i="2"/>
  <c r="P1734" i="2"/>
  <c r="H1732" i="2"/>
  <c r="J1732" i="2" s="1"/>
  <c r="I1732" i="2"/>
  <c r="P96" i="2"/>
  <c r="H94" i="2"/>
  <c r="J94" i="2" s="1"/>
  <c r="I94" i="2"/>
  <c r="H1692" i="2"/>
  <c r="J1692" i="2" s="1"/>
  <c r="I1692"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R2175" i="2" l="1"/>
  <c r="P2175" i="2"/>
  <c r="H2173" i="2"/>
  <c r="I2173" i="2"/>
  <c r="Q2175" i="2"/>
  <c r="R2154" i="2"/>
  <c r="R2133" i="2"/>
  <c r="H2133" i="2" s="1"/>
  <c r="J2133" i="2" s="1"/>
  <c r="Q2049" i="2"/>
  <c r="H2028" i="2"/>
  <c r="I2028" i="2"/>
  <c r="R1986" i="2"/>
  <c r="H1986" i="2" s="1"/>
  <c r="J1986" i="2" s="1"/>
  <c r="Z1987" i="2" s="1"/>
  <c r="R1944" i="2"/>
  <c r="I1944" i="2"/>
  <c r="H1944" i="2"/>
  <c r="Q1881" i="2"/>
  <c r="H1860" i="2"/>
  <c r="I1860" i="2"/>
  <c r="Q1839" i="2"/>
  <c r="P1839" i="2"/>
  <c r="I1837" i="2"/>
  <c r="H1837" i="2"/>
  <c r="J1837" i="2" s="1"/>
  <c r="R1839" i="2"/>
  <c r="M1830" i="2"/>
  <c r="M1827" i="2" s="1"/>
  <c r="M1821" i="2" s="1"/>
  <c r="R1818" i="2"/>
  <c r="Q1818" i="2"/>
  <c r="H1816" i="2"/>
  <c r="J1816" i="2" s="1"/>
  <c r="P1818" i="2"/>
  <c r="I1816" i="2"/>
  <c r="Q1797" i="2"/>
  <c r="R1797" i="2"/>
  <c r="H1795" i="2"/>
  <c r="J1795" i="2" s="1"/>
  <c r="P1797" i="2"/>
  <c r="I1795" i="2"/>
  <c r="M1788" i="2"/>
  <c r="M1785" i="2" s="1"/>
  <c r="M1779" i="2" s="1"/>
  <c r="I1774" i="2"/>
  <c r="H1774" i="2"/>
  <c r="P1776" i="2"/>
  <c r="I1755" i="2"/>
  <c r="M1746" i="2"/>
  <c r="M1683" i="2"/>
  <c r="M1680" i="2" s="1"/>
  <c r="M1674" i="2" s="1"/>
  <c r="H1671" i="2"/>
  <c r="M1662" i="2" s="1"/>
  <c r="M1659" i="2" s="1"/>
  <c r="M1653" i="2" s="1"/>
  <c r="I1671" i="2"/>
  <c r="J1669" i="2"/>
  <c r="Q1650" i="2"/>
  <c r="R1650" i="2"/>
  <c r="H1650" i="2" s="1"/>
  <c r="I1524" i="2"/>
  <c r="H1524" i="2"/>
  <c r="Q1482" i="2"/>
  <c r="Q1440" i="2"/>
  <c r="I1398" i="2"/>
  <c r="M1389" i="2"/>
  <c r="M1386" i="2" s="1"/>
  <c r="M1380" i="2" s="1"/>
  <c r="Q1293" i="2"/>
  <c r="H1270" i="2"/>
  <c r="J1270" i="2" s="1"/>
  <c r="Q1272" i="2"/>
  <c r="H1272" i="2" s="1"/>
  <c r="J1272" i="2" s="1"/>
  <c r="I1272" i="2"/>
  <c r="M1263" i="2"/>
  <c r="M1260" i="2" s="1"/>
  <c r="M1254" i="2" s="1"/>
  <c r="Q1230" i="2"/>
  <c r="I1228" i="2"/>
  <c r="P1230" i="2"/>
  <c r="H1228" i="2"/>
  <c r="J1228" i="2" s="1"/>
  <c r="R1230" i="2"/>
  <c r="M1221" i="2"/>
  <c r="M1218" i="2" s="1"/>
  <c r="M1212" i="2" s="1"/>
  <c r="H1146" i="2"/>
  <c r="I1146" i="2"/>
  <c r="R1104" i="2"/>
  <c r="I1102" i="2"/>
  <c r="H1102" i="2"/>
  <c r="J1102" i="2" s="1"/>
  <c r="P1104" i="2"/>
  <c r="J1060" i="2"/>
  <c r="J1039" i="2"/>
  <c r="H1041" i="2"/>
  <c r="J1041" i="2" s="1"/>
  <c r="I1041" i="2"/>
  <c r="Q999" i="2"/>
  <c r="P999" i="2"/>
  <c r="H997" i="2"/>
  <c r="J997" i="2" s="1"/>
  <c r="I997" i="2"/>
  <c r="M990" i="2"/>
  <c r="M987" i="2" s="1"/>
  <c r="M981" i="2" s="1"/>
  <c r="H976" i="2"/>
  <c r="J976" i="2" s="1"/>
  <c r="R978" i="2"/>
  <c r="H957" i="2"/>
  <c r="J957" i="2" s="1"/>
  <c r="M948" i="2"/>
  <c r="M945" i="2" s="1"/>
  <c r="M939" i="2" s="1"/>
  <c r="I936" i="2"/>
  <c r="H936" i="2"/>
  <c r="J936" i="2" s="1"/>
  <c r="M927" i="2"/>
  <c r="M924" i="2" s="1"/>
  <c r="M918" i="2" s="1"/>
  <c r="M928" i="2"/>
  <c r="Q873" i="2"/>
  <c r="P873" i="2"/>
  <c r="H871" i="2"/>
  <c r="J871" i="2" s="1"/>
  <c r="I871" i="2"/>
  <c r="R873" i="2"/>
  <c r="M864" i="2"/>
  <c r="M861" i="2" s="1"/>
  <c r="M855" i="2" s="1"/>
  <c r="R852" i="2"/>
  <c r="H850" i="2"/>
  <c r="J850" i="2" s="1"/>
  <c r="P852" i="2"/>
  <c r="I850" i="2"/>
  <c r="Q852" i="2"/>
  <c r="R831" i="2"/>
  <c r="Q831" i="2"/>
  <c r="I829" i="2"/>
  <c r="P831" i="2"/>
  <c r="H829" i="2"/>
  <c r="J829" i="2" s="1"/>
  <c r="M801" i="2"/>
  <c r="M798" i="2" s="1"/>
  <c r="M792" i="2" s="1"/>
  <c r="H789" i="2"/>
  <c r="I789" i="2"/>
  <c r="R726" i="2"/>
  <c r="I726" i="2"/>
  <c r="H726" i="2"/>
  <c r="J726" i="2" s="1"/>
  <c r="AG727" i="2" s="1"/>
  <c r="M717" i="2"/>
  <c r="M714" i="2" s="1"/>
  <c r="M708" i="2" s="1"/>
  <c r="Q705" i="2"/>
  <c r="H661" i="2"/>
  <c r="I661" i="2"/>
  <c r="Q663" i="2"/>
  <c r="P663" i="2"/>
  <c r="H663" i="2" s="1"/>
  <c r="J663" i="2" s="1"/>
  <c r="M633" i="2"/>
  <c r="M630" i="2" s="1"/>
  <c r="M624" i="2" s="1"/>
  <c r="J619" i="2"/>
  <c r="H621" i="2"/>
  <c r="J621" i="2" s="1"/>
  <c r="I621" i="2"/>
  <c r="P600" i="2"/>
  <c r="H598" i="2"/>
  <c r="J598" i="2" s="1"/>
  <c r="I598" i="2"/>
  <c r="Q600" i="2"/>
  <c r="R600" i="2"/>
  <c r="M570" i="2"/>
  <c r="M567" i="2" s="1"/>
  <c r="M561" i="2" s="1"/>
  <c r="I558" i="2"/>
  <c r="M549" i="2"/>
  <c r="M546" i="2" s="1"/>
  <c r="M540" i="2" s="1"/>
  <c r="M423" i="2"/>
  <c r="M420" i="2" s="1"/>
  <c r="M414" i="2" s="1"/>
  <c r="H264" i="2"/>
  <c r="I264" i="2"/>
  <c r="Q159" i="2"/>
  <c r="P159" i="2"/>
  <c r="H159" i="2" s="1"/>
  <c r="I157" i="2"/>
  <c r="H157" i="2"/>
  <c r="J157" i="2" s="1"/>
  <c r="H180" i="2"/>
  <c r="I180" i="2"/>
  <c r="R138" i="2"/>
  <c r="Q138" i="2"/>
  <c r="H136" i="2"/>
  <c r="I136" i="2"/>
  <c r="P138" i="2"/>
  <c r="I54" i="2"/>
  <c r="M45" i="2" s="1"/>
  <c r="M42" i="2" s="1"/>
  <c r="M36" i="2" s="1"/>
  <c r="H54" i="2"/>
  <c r="J54" i="2" s="1"/>
  <c r="J52" i="2"/>
  <c r="M46" i="2"/>
  <c r="W580" i="2"/>
  <c r="AH580" i="2"/>
  <c r="AA1756" i="2"/>
  <c r="M1741" i="2"/>
  <c r="Y727" i="2"/>
  <c r="R580" i="2"/>
  <c r="M718" i="2"/>
  <c r="AD580" i="2"/>
  <c r="U727" i="2"/>
  <c r="V580" i="2"/>
  <c r="M571" i="2"/>
  <c r="AC580" i="2"/>
  <c r="U580" i="2"/>
  <c r="S580" i="2"/>
  <c r="AF580" i="2"/>
  <c r="AH1756" i="2"/>
  <c r="AA580" i="2"/>
  <c r="P580" i="2"/>
  <c r="Y1756" i="2"/>
  <c r="X580" i="2"/>
  <c r="AB1756" i="2"/>
  <c r="AI580" i="2"/>
  <c r="S727" i="2"/>
  <c r="X727" i="2"/>
  <c r="Q727" i="2"/>
  <c r="V727" i="2"/>
  <c r="W727" i="2"/>
  <c r="T727" i="2"/>
  <c r="M1747" i="2"/>
  <c r="T1756" i="2"/>
  <c r="Q1756" i="2"/>
  <c r="AD1756" i="2"/>
  <c r="Q580" i="2"/>
  <c r="T580" i="2"/>
  <c r="P1756" i="2"/>
  <c r="AE580" i="2"/>
  <c r="R1756" i="2"/>
  <c r="AC1756" i="2"/>
  <c r="X1756" i="2"/>
  <c r="S1756" i="2"/>
  <c r="Y580" i="2"/>
  <c r="AG580" i="2"/>
  <c r="AI1756" i="2"/>
  <c r="U1756" i="2"/>
  <c r="W1756" i="2"/>
  <c r="M565" i="2"/>
  <c r="Z580" i="2"/>
  <c r="M865" i="2"/>
  <c r="Z1756" i="2"/>
  <c r="AE1756" i="2"/>
  <c r="V1756" i="2"/>
  <c r="AH727" i="2"/>
  <c r="AG1756" i="2"/>
  <c r="J304" i="2"/>
  <c r="J472" i="2"/>
  <c r="H327" i="2"/>
  <c r="J327" i="2" s="1"/>
  <c r="I327" i="2"/>
  <c r="H2091" i="2"/>
  <c r="I2091" i="2"/>
  <c r="J1774" i="2"/>
  <c r="H1209" i="2"/>
  <c r="J1209" i="2" s="1"/>
  <c r="I1209" i="2"/>
  <c r="J558" i="2"/>
  <c r="M550" i="2"/>
  <c r="H369" i="2"/>
  <c r="J369" i="2" s="1"/>
  <c r="I369" i="2"/>
  <c r="H1062" i="2"/>
  <c r="J1062" i="2" s="1"/>
  <c r="I1062" i="2"/>
  <c r="H474" i="2"/>
  <c r="J474" i="2" s="1"/>
  <c r="I474" i="2"/>
  <c r="J325" i="2"/>
  <c r="H1083" i="2"/>
  <c r="M1074" i="2" s="1"/>
  <c r="M1071" i="2" s="1"/>
  <c r="M1065" i="2" s="1"/>
  <c r="I1083" i="2"/>
  <c r="H915" i="2"/>
  <c r="I915" i="2"/>
  <c r="H1461" i="2"/>
  <c r="J1461" i="2" s="1"/>
  <c r="AE1462" i="2" s="1"/>
  <c r="I1461" i="2"/>
  <c r="H2154" i="2"/>
  <c r="I2154" i="2"/>
  <c r="H1776" i="2"/>
  <c r="J1776" i="2" s="1"/>
  <c r="I1776" i="2"/>
  <c r="H348" i="2"/>
  <c r="I348" i="2"/>
  <c r="J535" i="2"/>
  <c r="H1167" i="2"/>
  <c r="J1167" i="2" s="1"/>
  <c r="P1168" i="2" s="1"/>
  <c r="I1167"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J2131" i="2"/>
  <c r="H1335" i="2"/>
  <c r="J1335" i="2" s="1"/>
  <c r="I1335" i="2"/>
  <c r="H2049" i="2"/>
  <c r="I2049" i="2"/>
  <c r="J1207" i="2"/>
  <c r="H1545" i="2"/>
  <c r="J1545" i="2" s="1"/>
  <c r="I1545" i="2"/>
  <c r="M1684" i="2"/>
  <c r="J1711" i="2"/>
  <c r="H1377" i="2"/>
  <c r="I1377" i="2"/>
  <c r="AC727" i="2"/>
  <c r="H1356" i="2"/>
  <c r="I1356" i="2"/>
  <c r="H2112" i="2"/>
  <c r="I2112" i="2"/>
  <c r="H2070" i="2"/>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I1713" i="2"/>
  <c r="H1020" i="2"/>
  <c r="J1020" i="2" s="1"/>
  <c r="AC1021" i="2" s="1"/>
  <c r="I1020" i="2"/>
  <c r="J642" i="2"/>
  <c r="M634" i="2"/>
  <c r="H243" i="2"/>
  <c r="J243" i="2" s="1"/>
  <c r="Z244" i="2" s="1"/>
  <c r="I243"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M949" i="2"/>
  <c r="M1789" i="2"/>
  <c r="H453" i="2"/>
  <c r="J453" i="2" s="1"/>
  <c r="I453" i="2"/>
  <c r="H1902" i="2"/>
  <c r="J1902" i="2" s="1"/>
  <c r="I1902" i="2"/>
  <c r="H894" i="2"/>
  <c r="I894" i="2"/>
  <c r="J703" i="2"/>
  <c r="J367" i="2"/>
  <c r="H1566" i="2"/>
  <c r="J1566" i="2" s="1"/>
  <c r="S1567" i="2" s="1"/>
  <c r="I1566" i="2"/>
  <c r="J661" i="2"/>
  <c r="H1734" i="2"/>
  <c r="J1734" i="2" s="1"/>
  <c r="AH1735" i="2" s="1"/>
  <c r="I1734" i="2"/>
  <c r="J1921" i="2"/>
  <c r="H222" i="2"/>
  <c r="J222" i="2" s="1"/>
  <c r="I222" i="2"/>
  <c r="H2007" i="2"/>
  <c r="J2007" i="2" s="1"/>
  <c r="I2007" i="2"/>
  <c r="H1587" i="2"/>
  <c r="I1587" i="2"/>
  <c r="Z727" i="2"/>
  <c r="J451" i="2"/>
  <c r="H516" i="2"/>
  <c r="I516" i="2"/>
  <c r="AE727" i="2"/>
  <c r="M1264" i="2"/>
  <c r="H705" i="2"/>
  <c r="J705" i="2" s="1"/>
  <c r="I705" i="2"/>
  <c r="H1104" i="2"/>
  <c r="I1104" i="2"/>
  <c r="J1398" i="2"/>
  <c r="M1390" i="2"/>
  <c r="M1831" i="2"/>
  <c r="H1188" i="2"/>
  <c r="I1188" i="2"/>
  <c r="H978" i="2"/>
  <c r="J978" i="2" s="1"/>
  <c r="P979" i="2" s="1"/>
  <c r="I978" i="2"/>
  <c r="J2005" i="2"/>
  <c r="R727" i="2"/>
  <c r="AI727" i="2"/>
  <c r="P727" i="2"/>
  <c r="H1419" i="2"/>
  <c r="J1419" i="2" s="1"/>
  <c r="T1420" i="2" s="1"/>
  <c r="I1419" i="2"/>
  <c r="H117" i="2"/>
  <c r="I117" i="2"/>
  <c r="J745" i="2"/>
  <c r="H1251" i="2"/>
  <c r="I1251" i="2"/>
  <c r="H411" i="2"/>
  <c r="I411" i="2"/>
  <c r="M991" i="2"/>
  <c r="H306" i="2"/>
  <c r="J306" i="2" s="1"/>
  <c r="I306" i="2"/>
  <c r="M424" i="2"/>
  <c r="H285" i="2"/>
  <c r="I285" i="2"/>
  <c r="H747" i="2"/>
  <c r="J747" i="2" s="1"/>
  <c r="I747" i="2"/>
  <c r="H1440" i="2"/>
  <c r="I1440" i="2"/>
  <c r="H75" i="2"/>
  <c r="I75" i="2"/>
  <c r="H390" i="2"/>
  <c r="I390" i="2"/>
  <c r="H537" i="2"/>
  <c r="J537" i="2" s="1"/>
  <c r="I537" i="2"/>
  <c r="M802" i="2"/>
  <c r="H1629" i="2"/>
  <c r="I1629" i="2"/>
  <c r="M23" i="2"/>
  <c r="O33" i="2"/>
  <c r="O32" i="2"/>
  <c r="O31" i="2"/>
  <c r="O30" i="2"/>
  <c r="O29" i="2"/>
  <c r="O28" i="2"/>
  <c r="O27" i="2"/>
  <c r="O26" i="2"/>
  <c r="O25" i="2"/>
  <c r="O24" i="2"/>
  <c r="O23" i="2"/>
  <c r="O22" i="2"/>
  <c r="J2173" i="2" l="1"/>
  <c r="I2175" i="2"/>
  <c r="H2175" i="2"/>
  <c r="J2175" i="2" s="1"/>
  <c r="M2145" i="2"/>
  <c r="M2142" i="2" s="1"/>
  <c r="M2136" i="2" s="1"/>
  <c r="I2133" i="2"/>
  <c r="M2124" i="2"/>
  <c r="M2121" i="2" s="1"/>
  <c r="M2115" i="2" s="1"/>
  <c r="M2103" i="2"/>
  <c r="M2100" i="2" s="1"/>
  <c r="M2094" i="2" s="1"/>
  <c r="M2082" i="2"/>
  <c r="M2079" i="2" s="1"/>
  <c r="M2073" i="2" s="1"/>
  <c r="J2070" i="2"/>
  <c r="R2071" i="2" s="1"/>
  <c r="M2061" i="2"/>
  <c r="M2058" i="2" s="1"/>
  <c r="M2052" i="2" s="1"/>
  <c r="M2040" i="2"/>
  <c r="M2037" i="2" s="1"/>
  <c r="M2031" i="2" s="1"/>
  <c r="J2028" i="2"/>
  <c r="M2019" i="2"/>
  <c r="M2016" i="2" s="1"/>
  <c r="M2010" i="2" s="1"/>
  <c r="M2020" i="2"/>
  <c r="M1998" i="2"/>
  <c r="M1995" i="2" s="1"/>
  <c r="M1989" i="2" s="1"/>
  <c r="I1986" i="2"/>
  <c r="M1977" i="2" s="1"/>
  <c r="M1956" i="2"/>
  <c r="M1953" i="2" s="1"/>
  <c r="M1947" i="2" s="1"/>
  <c r="J1944" i="2"/>
  <c r="M1936" i="2"/>
  <c r="M1935" i="2"/>
  <c r="M1932" i="2" s="1"/>
  <c r="M1926" i="2" s="1"/>
  <c r="M1914" i="2"/>
  <c r="M1911" i="2" s="1"/>
  <c r="M1905" i="2" s="1"/>
  <c r="M1893" i="2"/>
  <c r="M1890" i="2" s="1"/>
  <c r="M1884" i="2" s="1"/>
  <c r="M1872" i="2"/>
  <c r="M1869" i="2" s="1"/>
  <c r="M1863" i="2" s="1"/>
  <c r="J1860" i="2"/>
  <c r="M1852" i="2"/>
  <c r="M1851" i="2"/>
  <c r="M1848" i="2" s="1"/>
  <c r="M1842" i="2" s="1"/>
  <c r="H1839" i="2"/>
  <c r="J1839" i="2" s="1"/>
  <c r="AI1840" i="2" s="1"/>
  <c r="I1839" i="2"/>
  <c r="I1818" i="2"/>
  <c r="H1818" i="2"/>
  <c r="H1797" i="2"/>
  <c r="J1797" i="2" s="1"/>
  <c r="U1798" i="2" s="1"/>
  <c r="I1797" i="2"/>
  <c r="M1767" i="2"/>
  <c r="M1764" i="2" s="1"/>
  <c r="M1758" i="2" s="1"/>
  <c r="M1743" i="2"/>
  <c r="M1737" i="2" s="1"/>
  <c r="M1725" i="2"/>
  <c r="J1713" i="2"/>
  <c r="T1714" i="2" s="1"/>
  <c r="M1704" i="2"/>
  <c r="M1701" i="2" s="1"/>
  <c r="M1695" i="2" s="1"/>
  <c r="J1671" i="2"/>
  <c r="AD1672" i="2" s="1"/>
  <c r="M1663" i="2"/>
  <c r="I1650" i="2"/>
  <c r="M1641" i="2"/>
  <c r="M1638" i="2" s="1"/>
  <c r="M1632" i="2" s="1"/>
  <c r="M1620" i="2"/>
  <c r="M1617" i="2" s="1"/>
  <c r="M1611" i="2" s="1"/>
  <c r="M1599" i="2"/>
  <c r="M1596" i="2" s="1"/>
  <c r="M1590" i="2" s="1"/>
  <c r="M1578" i="2"/>
  <c r="M1575" i="2" s="1"/>
  <c r="M1569" i="2" s="1"/>
  <c r="M1557" i="2"/>
  <c r="M1554" i="2" s="1"/>
  <c r="M1548" i="2" s="1"/>
  <c r="M1536" i="2"/>
  <c r="M1533" i="2" s="1"/>
  <c r="M1527" i="2" s="1"/>
  <c r="J1524" i="2"/>
  <c r="M1515" i="2"/>
  <c r="M1512" i="2" s="1"/>
  <c r="M1506" i="2" s="1"/>
  <c r="M1516" i="2"/>
  <c r="M1494" i="2"/>
  <c r="M1491" i="2" s="1"/>
  <c r="M1485" i="2" s="1"/>
  <c r="M1473" i="2"/>
  <c r="M1452" i="2"/>
  <c r="M1449" i="2" s="1"/>
  <c r="M1443" i="2" s="1"/>
  <c r="M1431" i="2"/>
  <c r="M1428" i="2" s="1"/>
  <c r="M1422" i="2" s="1"/>
  <c r="M1410" i="2"/>
  <c r="M1407" i="2" s="1"/>
  <c r="M1401" i="2" s="1"/>
  <c r="M1368" i="2"/>
  <c r="M1365" i="2" s="1"/>
  <c r="M1359" i="2" s="1"/>
  <c r="M1347" i="2"/>
  <c r="M1344" i="2" s="1"/>
  <c r="M1338" i="2" s="1"/>
  <c r="M1326" i="2"/>
  <c r="M1323" i="2" s="1"/>
  <c r="M1317" i="2" s="1"/>
  <c r="M1305" i="2"/>
  <c r="M1302" i="2" s="1"/>
  <c r="M1296" i="2" s="1"/>
  <c r="M1284" i="2"/>
  <c r="Q1273" i="2"/>
  <c r="P1273" i="2"/>
  <c r="R1273" i="2"/>
  <c r="Y1273" i="2"/>
  <c r="U1273" i="2"/>
  <c r="AD1273" i="2"/>
  <c r="AA1273" i="2"/>
  <c r="AE1273" i="2"/>
  <c r="AC1273" i="2"/>
  <c r="T1273" i="2"/>
  <c r="W1273" i="2"/>
  <c r="AH1273" i="2"/>
  <c r="V1273" i="2"/>
  <c r="X1273" i="2"/>
  <c r="AG1273" i="2"/>
  <c r="AB1273" i="2"/>
  <c r="M1258" i="2"/>
  <c r="S1273" i="2"/>
  <c r="AI1273" i="2"/>
  <c r="AF1273" i="2"/>
  <c r="Z1273" i="2"/>
  <c r="M1242" i="2"/>
  <c r="M1239" i="2" s="1"/>
  <c r="M1233" i="2" s="1"/>
  <c r="H1230" i="2"/>
  <c r="J1230" i="2" s="1"/>
  <c r="I1230" i="2"/>
  <c r="M1216" i="2"/>
  <c r="AB1231" i="2"/>
  <c r="T1231" i="2"/>
  <c r="M1200" i="2"/>
  <c r="M1197" i="2" s="1"/>
  <c r="M1191" i="2" s="1"/>
  <c r="M1179" i="2"/>
  <c r="M1176" i="2" s="1"/>
  <c r="M1170" i="2" s="1"/>
  <c r="M1158" i="2"/>
  <c r="M1155" i="2" s="1"/>
  <c r="M1149" i="2" s="1"/>
  <c r="J1146" i="2"/>
  <c r="M1137" i="2"/>
  <c r="M1134" i="2" s="1"/>
  <c r="M1128" i="2" s="1"/>
  <c r="M1138" i="2"/>
  <c r="M1116" i="2"/>
  <c r="M1113" i="2" s="1"/>
  <c r="M1107" i="2" s="1"/>
  <c r="M1095" i="2"/>
  <c r="M1092" i="2" s="1"/>
  <c r="M1086" i="2" s="1"/>
  <c r="W1063" i="2"/>
  <c r="M1053" i="2"/>
  <c r="S1042" i="2"/>
  <c r="M1033" i="2"/>
  <c r="M1032" i="2"/>
  <c r="M1029" i="2" s="1"/>
  <c r="M1023" i="2" s="1"/>
  <c r="AA1042" i="2"/>
  <c r="AE1042" i="2"/>
  <c r="R1042" i="2"/>
  <c r="M1027" i="2"/>
  <c r="X1042" i="2"/>
  <c r="Z1042" i="2"/>
  <c r="AH1042" i="2"/>
  <c r="W1042" i="2"/>
  <c r="V1042" i="2"/>
  <c r="U1042" i="2"/>
  <c r="P1042" i="2"/>
  <c r="AD1042" i="2"/>
  <c r="Y1042" i="2"/>
  <c r="T1042" i="2"/>
  <c r="Q1042" i="2"/>
  <c r="AI1042" i="2"/>
  <c r="AB1042" i="2"/>
  <c r="AC1042" i="2"/>
  <c r="AF1042" i="2"/>
  <c r="AG1042" i="2"/>
  <c r="M1011" i="2"/>
  <c r="M1008" i="2" s="1"/>
  <c r="M1002" i="2" s="1"/>
  <c r="H999" i="2"/>
  <c r="J999" i="2" s="1"/>
  <c r="AD1000" i="2" s="1"/>
  <c r="I999" i="2"/>
  <c r="M969" i="2"/>
  <c r="M966" i="2" s="1"/>
  <c r="M960" i="2" s="1"/>
  <c r="Z937" i="2"/>
  <c r="AA937" i="2"/>
  <c r="M922" i="2"/>
  <c r="AG937" i="2"/>
  <c r="AD937" i="2"/>
  <c r="T937" i="2"/>
  <c r="AI937" i="2"/>
  <c r="Y937" i="2"/>
  <c r="P937" i="2"/>
  <c r="AB937" i="2"/>
  <c r="U937" i="2"/>
  <c r="Q937" i="2"/>
  <c r="AF937" i="2"/>
  <c r="AE937" i="2"/>
  <c r="AC937" i="2"/>
  <c r="V937" i="2"/>
  <c r="R937" i="2"/>
  <c r="AH937" i="2"/>
  <c r="W937" i="2"/>
  <c r="S937" i="2"/>
  <c r="X937" i="2"/>
  <c r="M906" i="2"/>
  <c r="M903" i="2" s="1"/>
  <c r="M897" i="2" s="1"/>
  <c r="M885" i="2"/>
  <c r="M882" i="2" s="1"/>
  <c r="M876" i="2" s="1"/>
  <c r="I873" i="2"/>
  <c r="H873" i="2"/>
  <c r="J873" i="2" s="1"/>
  <c r="AD874" i="2" s="1"/>
  <c r="I852" i="2"/>
  <c r="H852" i="2"/>
  <c r="H831" i="2"/>
  <c r="I831" i="2"/>
  <c r="J789" i="2"/>
  <c r="M781" i="2"/>
  <c r="M780" i="2"/>
  <c r="M777" i="2" s="1"/>
  <c r="M771" i="2" s="1"/>
  <c r="M759" i="2"/>
  <c r="M756" i="2" s="1"/>
  <c r="M750" i="2" s="1"/>
  <c r="M738" i="2"/>
  <c r="M735" i="2" s="1"/>
  <c r="M729" i="2" s="1"/>
  <c r="AA727" i="2"/>
  <c r="AD727" i="2"/>
  <c r="M712" i="2"/>
  <c r="AF727" i="2"/>
  <c r="M696" i="2"/>
  <c r="M693" i="2" s="1"/>
  <c r="M687" i="2" s="1"/>
  <c r="M675" i="2"/>
  <c r="M672" i="2" s="1"/>
  <c r="M666" i="2" s="1"/>
  <c r="I663" i="2"/>
  <c r="M654" i="2"/>
  <c r="M651" i="2" s="1"/>
  <c r="M645" i="2" s="1"/>
  <c r="M612" i="2"/>
  <c r="M609" i="2" s="1"/>
  <c r="M603" i="2" s="1"/>
  <c r="M613" i="2"/>
  <c r="U622" i="2"/>
  <c r="AI622" i="2"/>
  <c r="V622" i="2"/>
  <c r="Q622" i="2"/>
  <c r="T622" i="2"/>
  <c r="X622" i="2"/>
  <c r="AH622" i="2"/>
  <c r="AF622" i="2"/>
  <c r="AC622" i="2"/>
  <c r="S622" i="2"/>
  <c r="P622" i="2"/>
  <c r="W622" i="2"/>
  <c r="AG622" i="2"/>
  <c r="AD622" i="2"/>
  <c r="AE622" i="2"/>
  <c r="M607" i="2"/>
  <c r="Y622" i="2"/>
  <c r="Z622" i="2"/>
  <c r="R622" i="2"/>
  <c r="AB622" i="2"/>
  <c r="AA622" i="2"/>
  <c r="H600" i="2"/>
  <c r="I600" i="2"/>
  <c r="M528" i="2"/>
  <c r="M507" i="2"/>
  <c r="M504" i="2" s="1"/>
  <c r="M498" i="2" s="1"/>
  <c r="M486" i="2"/>
  <c r="M483" i="2" s="1"/>
  <c r="M477" i="2" s="1"/>
  <c r="M465" i="2"/>
  <c r="M462" i="2" s="1"/>
  <c r="M456" i="2" s="1"/>
  <c r="M444" i="2"/>
  <c r="M441" i="2" s="1"/>
  <c r="M435" i="2" s="1"/>
  <c r="M402" i="2"/>
  <c r="M399" i="2" s="1"/>
  <c r="M393" i="2" s="1"/>
  <c r="M381" i="2"/>
  <c r="M378" i="2" s="1"/>
  <c r="M372" i="2" s="1"/>
  <c r="M360" i="2"/>
  <c r="M357" i="2" s="1"/>
  <c r="M351" i="2" s="1"/>
  <c r="M339" i="2"/>
  <c r="M336" i="2" s="1"/>
  <c r="M330" i="2" s="1"/>
  <c r="M318" i="2"/>
  <c r="M315" i="2" s="1"/>
  <c r="M309" i="2" s="1"/>
  <c r="M297" i="2"/>
  <c r="M294" i="2" s="1"/>
  <c r="M288" i="2" s="1"/>
  <c r="J285" i="2"/>
  <c r="X286" i="2" s="1"/>
  <c r="M276" i="2"/>
  <c r="J264" i="2"/>
  <c r="M255" i="2"/>
  <c r="M252" i="2" s="1"/>
  <c r="M246" i="2" s="1"/>
  <c r="M256" i="2"/>
  <c r="M234" i="2"/>
  <c r="M231" i="2" s="1"/>
  <c r="M225" i="2" s="1"/>
  <c r="M213" i="2"/>
  <c r="M210" i="2" s="1"/>
  <c r="M204" i="2" s="1"/>
  <c r="M192" i="2"/>
  <c r="M189" i="2" s="1"/>
  <c r="M183" i="2" s="1"/>
  <c r="I159" i="2"/>
  <c r="M150" i="2"/>
  <c r="M147" i="2" s="1"/>
  <c r="M141" i="2" s="1"/>
  <c r="J180" i="2"/>
  <c r="M172" i="2"/>
  <c r="M171" i="2"/>
  <c r="M168" i="2" s="1"/>
  <c r="M162" i="2" s="1"/>
  <c r="I138" i="2"/>
  <c r="H138" i="2"/>
  <c r="J138" i="2" s="1"/>
  <c r="J136" i="2"/>
  <c r="M130" i="2"/>
  <c r="M129" i="2"/>
  <c r="M126" i="2" s="1"/>
  <c r="M120" i="2" s="1"/>
  <c r="M108" i="2"/>
  <c r="M105" i="2" s="1"/>
  <c r="M99" i="2" s="1"/>
  <c r="M87" i="2"/>
  <c r="M84" i="2" s="1"/>
  <c r="M78" i="2" s="1"/>
  <c r="M66" i="2"/>
  <c r="M63" i="2" s="1"/>
  <c r="M57" i="2" s="1"/>
  <c r="Z55" i="2"/>
  <c r="AA55" i="2"/>
  <c r="AB55" i="2"/>
  <c r="Q55" i="2"/>
  <c r="M40" i="2"/>
  <c r="AC55" i="2"/>
  <c r="S55" i="2"/>
  <c r="X55" i="2"/>
  <c r="U55" i="2"/>
  <c r="V55" i="2"/>
  <c r="AI55" i="2"/>
  <c r="T55" i="2"/>
  <c r="AF55" i="2"/>
  <c r="AH55" i="2"/>
  <c r="AE55" i="2"/>
  <c r="P55" i="2"/>
  <c r="AG55" i="2"/>
  <c r="AD55" i="2"/>
  <c r="Y55" i="2"/>
  <c r="R55" i="2"/>
  <c r="W55" i="2"/>
  <c r="M676" i="2"/>
  <c r="X1462" i="2"/>
  <c r="Z1462" i="2"/>
  <c r="S1168" i="2"/>
  <c r="AB1462" i="2"/>
  <c r="T2071" i="2"/>
  <c r="AA1462" i="2"/>
  <c r="T1462"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319" i="2"/>
  <c r="AA1882" i="2"/>
  <c r="Y1882" i="2"/>
  <c r="Q1882" i="2"/>
  <c r="W1735" i="2"/>
  <c r="AG1735" i="2"/>
  <c r="AB1735" i="2"/>
  <c r="AE202" i="2"/>
  <c r="AI1063" i="2"/>
  <c r="AA202" i="2"/>
  <c r="R202" i="2"/>
  <c r="U1063" i="2"/>
  <c r="U685"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1987" i="2"/>
  <c r="AI1987" i="2"/>
  <c r="W1294" i="2"/>
  <c r="T1294" i="2"/>
  <c r="AB1882"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U244" i="2"/>
  <c r="X244" i="2"/>
  <c r="AI1567" i="2"/>
  <c r="M214"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1558"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S979" i="2"/>
  <c r="AB685" i="2"/>
  <c r="Y1420" i="2"/>
  <c r="AF97" i="2"/>
  <c r="Q97" i="2"/>
  <c r="X1168" i="2"/>
  <c r="M82" i="2"/>
  <c r="M1153" i="2"/>
  <c r="AE97" i="2"/>
  <c r="M1768" i="2"/>
  <c r="AD97" i="2"/>
  <c r="M466" i="2"/>
  <c r="E3" i="10"/>
  <c r="M2166" i="2" l="1"/>
  <c r="M2163" i="2" s="1"/>
  <c r="M2157" i="2" s="1"/>
  <c r="M2167" i="2"/>
  <c r="R2176" i="2"/>
  <c r="P2176" i="2"/>
  <c r="Y2176" i="2"/>
  <c r="AB2176" i="2"/>
  <c r="AC2176" i="2"/>
  <c r="AF2176" i="2"/>
  <c r="Q2176" i="2"/>
  <c r="AA2176" i="2"/>
  <c r="AE2176" i="2"/>
  <c r="M2161" i="2"/>
  <c r="AD2176" i="2"/>
  <c r="AG2176" i="2"/>
  <c r="X2176" i="2"/>
  <c r="AH2176" i="2"/>
  <c r="T2176" i="2"/>
  <c r="V2176" i="2"/>
  <c r="Z2176" i="2"/>
  <c r="W2176" i="2"/>
  <c r="S2176" i="2"/>
  <c r="AI2176" i="2"/>
  <c r="U2176" i="2"/>
  <c r="AE2071" i="2"/>
  <c r="Q2071" i="2"/>
  <c r="U2071" i="2"/>
  <c r="S2071" i="2"/>
  <c r="AC2071" i="2"/>
  <c r="P2071" i="2"/>
  <c r="AH2071" i="2"/>
  <c r="V2071" i="2"/>
  <c r="M2056" i="2"/>
  <c r="AD2071" i="2"/>
  <c r="X2071" i="2"/>
  <c r="AI2071" i="2"/>
  <c r="AB2071" i="2"/>
  <c r="W2071" i="2"/>
  <c r="AF2071" i="2"/>
  <c r="AG2071" i="2"/>
  <c r="AA2071" i="2"/>
  <c r="Y2071" i="2"/>
  <c r="Z2071" i="2"/>
  <c r="Z2029" i="2"/>
  <c r="AD2029" i="2"/>
  <c r="AG2029" i="2"/>
  <c r="S2029" i="2"/>
  <c r="AH2029" i="2"/>
  <c r="Q2029" i="2"/>
  <c r="AI2029" i="2"/>
  <c r="T2029" i="2"/>
  <c r="Y2029" i="2"/>
  <c r="U2029" i="2"/>
  <c r="AA2029" i="2"/>
  <c r="AC2029" i="2"/>
  <c r="P2029" i="2"/>
  <c r="X2029" i="2"/>
  <c r="M2014" i="2"/>
  <c r="AB2029" i="2"/>
  <c r="R2029" i="2"/>
  <c r="AF2029" i="2"/>
  <c r="V2029" i="2"/>
  <c r="W2029" i="2"/>
  <c r="AE2029" i="2"/>
  <c r="M1974" i="2"/>
  <c r="M1968" i="2" s="1"/>
  <c r="AE1945" i="2"/>
  <c r="AB1945" i="2"/>
  <c r="AD1945" i="2"/>
  <c r="W1945" i="2"/>
  <c r="Q1945" i="2"/>
  <c r="V1945" i="2"/>
  <c r="AI1945" i="2"/>
  <c r="P1945" i="2"/>
  <c r="AA1945" i="2"/>
  <c r="Y1945" i="2"/>
  <c r="X1945" i="2"/>
  <c r="Z1945" i="2"/>
  <c r="M1930" i="2"/>
  <c r="T1945" i="2"/>
  <c r="AC1945" i="2"/>
  <c r="AG1945" i="2"/>
  <c r="AH1945" i="2"/>
  <c r="AF1945" i="2"/>
  <c r="R1945" i="2"/>
  <c r="S1945" i="2"/>
  <c r="U1945" i="2"/>
  <c r="M1846" i="2"/>
  <c r="R1861" i="2"/>
  <c r="AD1861" i="2"/>
  <c r="V1861" i="2"/>
  <c r="Z1861" i="2"/>
  <c r="AE1861" i="2"/>
  <c r="AH1861" i="2"/>
  <c r="X1861" i="2"/>
  <c r="AI1861" i="2"/>
  <c r="AF1861" i="2"/>
  <c r="Y1861" i="2"/>
  <c r="W1861" i="2"/>
  <c r="AG1861" i="2"/>
  <c r="AB1861" i="2"/>
  <c r="AC1861" i="2"/>
  <c r="T1861" i="2"/>
  <c r="AA1861" i="2"/>
  <c r="P1861" i="2"/>
  <c r="Q1861" i="2"/>
  <c r="S1861" i="2"/>
  <c r="U1861" i="2"/>
  <c r="J1818" i="2"/>
  <c r="M1810" i="2"/>
  <c r="M1809" i="2"/>
  <c r="M1806" i="2" s="1"/>
  <c r="M1800" i="2" s="1"/>
  <c r="V1798" i="2"/>
  <c r="Q1798" i="2"/>
  <c r="AF1798" i="2"/>
  <c r="M1783" i="2"/>
  <c r="AG1798" i="2"/>
  <c r="AA1798" i="2"/>
  <c r="Y1798" i="2"/>
  <c r="P1798" i="2"/>
  <c r="AI1798" i="2"/>
  <c r="W1798" i="2"/>
  <c r="AD1798" i="2"/>
  <c r="X1798" i="2"/>
  <c r="AE1798" i="2"/>
  <c r="T1798" i="2"/>
  <c r="AH1798" i="2"/>
  <c r="Z1798" i="2"/>
  <c r="AB1798" i="2"/>
  <c r="R1798" i="2"/>
  <c r="S1798" i="2"/>
  <c r="AC1798" i="2"/>
  <c r="M1722" i="2"/>
  <c r="M1716" i="2" s="1"/>
  <c r="AA1714" i="2"/>
  <c r="AE1714" i="2"/>
  <c r="AI1714" i="2"/>
  <c r="R1714" i="2"/>
  <c r="Y1714" i="2"/>
  <c r="M1699" i="2"/>
  <c r="W1714" i="2"/>
  <c r="X1714" i="2"/>
  <c r="AC1714" i="2"/>
  <c r="Q1714" i="2"/>
  <c r="AD1714" i="2"/>
  <c r="V1714" i="2"/>
  <c r="AG1714" i="2"/>
  <c r="AB1714" i="2"/>
  <c r="P1714" i="2"/>
  <c r="U1714" i="2"/>
  <c r="Z1714" i="2"/>
  <c r="T1672" i="2"/>
  <c r="Q1672" i="2"/>
  <c r="AH1672" i="2"/>
  <c r="U1672" i="2"/>
  <c r="M1657" i="2"/>
  <c r="AI1672" i="2"/>
  <c r="S1672" i="2"/>
  <c r="Z1672" i="2"/>
  <c r="Y1672" i="2"/>
  <c r="X1672" i="2"/>
  <c r="P1672" i="2"/>
  <c r="AB1672" i="2"/>
  <c r="V1672" i="2"/>
  <c r="AG1672" i="2"/>
  <c r="W1672" i="2"/>
  <c r="AF1672" i="2"/>
  <c r="AE1672" i="2"/>
  <c r="AA1672" i="2"/>
  <c r="AC1672" i="2"/>
  <c r="R1672" i="2"/>
  <c r="AC1525" i="2"/>
  <c r="M1510" i="2"/>
  <c r="V1525" i="2"/>
  <c r="Y1525" i="2"/>
  <c r="T1525" i="2"/>
  <c r="Z1525" i="2"/>
  <c r="Q1525" i="2"/>
  <c r="S1525" i="2"/>
  <c r="AB1525" i="2"/>
  <c r="AD1525" i="2"/>
  <c r="AF1525" i="2"/>
  <c r="AG1525" i="2"/>
  <c r="AH1525" i="2"/>
  <c r="AI1525" i="2"/>
  <c r="AE1525" i="2"/>
  <c r="X1525" i="2"/>
  <c r="W1525" i="2"/>
  <c r="AA1525" i="2"/>
  <c r="P1525" i="2"/>
  <c r="R1525" i="2"/>
  <c r="U1525" i="2"/>
  <c r="M1470" i="2"/>
  <c r="M1464" i="2" s="1"/>
  <c r="M1281" i="2"/>
  <c r="M1275" i="2" s="1"/>
  <c r="W1231" i="2"/>
  <c r="AF1231" i="2"/>
  <c r="AE1231" i="2"/>
  <c r="S1231" i="2"/>
  <c r="Y1231" i="2"/>
  <c r="AH1231" i="2"/>
  <c r="V1231" i="2"/>
  <c r="AI1231" i="2"/>
  <c r="AC1231" i="2"/>
  <c r="P1231" i="2"/>
  <c r="U1231" i="2"/>
  <c r="AG1231" i="2"/>
  <c r="R1231" i="2"/>
  <c r="X1231" i="2"/>
  <c r="AD1231" i="2"/>
  <c r="Q1231" i="2"/>
  <c r="AA1231" i="2"/>
  <c r="Z1231" i="2"/>
  <c r="AG1147" i="2"/>
  <c r="AE1147" i="2"/>
  <c r="X1147" i="2"/>
  <c r="Z1147" i="2"/>
  <c r="AA1147" i="2"/>
  <c r="Y1147" i="2"/>
  <c r="U1147" i="2"/>
  <c r="T1147" i="2"/>
  <c r="V1147" i="2"/>
  <c r="Q1147" i="2"/>
  <c r="AD1147" i="2"/>
  <c r="P1147" i="2"/>
  <c r="AI1147" i="2"/>
  <c r="AB1147" i="2"/>
  <c r="AH1147" i="2"/>
  <c r="R1147" i="2"/>
  <c r="S1147" i="2"/>
  <c r="W1147" i="2"/>
  <c r="AF1147" i="2"/>
  <c r="AC1147" i="2"/>
  <c r="M1132" i="2"/>
  <c r="M1050" i="2"/>
  <c r="M1044" i="2" s="1"/>
  <c r="AI1000" i="2"/>
  <c r="Y1000" i="2"/>
  <c r="AA1000" i="2"/>
  <c r="V1000" i="2"/>
  <c r="X1000" i="2"/>
  <c r="AH1000" i="2"/>
  <c r="Q1000" i="2"/>
  <c r="AC1000" i="2"/>
  <c r="AE1000" i="2"/>
  <c r="W1000" i="2"/>
  <c r="AF1000" i="2"/>
  <c r="R1000" i="2"/>
  <c r="Z1000" i="2"/>
  <c r="S1000" i="2"/>
  <c r="AB1000" i="2"/>
  <c r="U1000" i="2"/>
  <c r="AG1000" i="2"/>
  <c r="P1000" i="2"/>
  <c r="T1000" i="2"/>
  <c r="M985" i="2"/>
  <c r="T874" i="2"/>
  <c r="Q874" i="2"/>
  <c r="AF874" i="2"/>
  <c r="AH874" i="2"/>
  <c r="AC874" i="2"/>
  <c r="AA874" i="2"/>
  <c r="AB874" i="2"/>
  <c r="AI874" i="2"/>
  <c r="S874" i="2"/>
  <c r="R874" i="2"/>
  <c r="X874" i="2"/>
  <c r="AG874" i="2"/>
  <c r="W874" i="2"/>
  <c r="V874" i="2"/>
  <c r="Y874" i="2"/>
  <c r="AE874" i="2"/>
  <c r="U874" i="2"/>
  <c r="P874" i="2"/>
  <c r="M859" i="2"/>
  <c r="Z874" i="2"/>
  <c r="M844" i="2"/>
  <c r="J852" i="2"/>
  <c r="M843" i="2"/>
  <c r="M840" i="2" s="1"/>
  <c r="M834" i="2" s="1"/>
  <c r="J831" i="2"/>
  <c r="M823" i="2"/>
  <c r="M822" i="2"/>
  <c r="M819" i="2" s="1"/>
  <c r="M813" i="2" s="1"/>
  <c r="W790" i="2"/>
  <c r="AC790" i="2"/>
  <c r="Y790" i="2"/>
  <c r="AF790" i="2"/>
  <c r="S790" i="2"/>
  <c r="R790" i="2"/>
  <c r="M775" i="2"/>
  <c r="Q790" i="2"/>
  <c r="AD790" i="2"/>
  <c r="AG790" i="2"/>
  <c r="AH790" i="2"/>
  <c r="Z790" i="2"/>
  <c r="V790" i="2"/>
  <c r="T790" i="2"/>
  <c r="AE790" i="2"/>
  <c r="U790" i="2"/>
  <c r="X790" i="2"/>
  <c r="AI790" i="2"/>
  <c r="AA790" i="2"/>
  <c r="AB790" i="2"/>
  <c r="P790" i="2"/>
  <c r="M591" i="2"/>
  <c r="M592" i="2"/>
  <c r="J600" i="2"/>
  <c r="M525" i="2"/>
  <c r="M519" i="2" s="1"/>
  <c r="W286" i="2"/>
  <c r="Z286" i="2"/>
  <c r="R286" i="2"/>
  <c r="M273" i="2"/>
  <c r="M267" i="2" s="1"/>
  <c r="AB286" i="2"/>
  <c r="V286" i="2"/>
  <c r="AD265" i="2"/>
  <c r="W265" i="2"/>
  <c r="AG265" i="2"/>
  <c r="S265" i="2"/>
  <c r="AA265" i="2"/>
  <c r="M250" i="2"/>
  <c r="AC265" i="2"/>
  <c r="AB265" i="2"/>
  <c r="P265" i="2"/>
  <c r="X265" i="2"/>
  <c r="AH265" i="2"/>
  <c r="AF265" i="2"/>
  <c r="U265" i="2"/>
  <c r="V265" i="2"/>
  <c r="Y265" i="2"/>
  <c r="R265" i="2"/>
  <c r="T265" i="2"/>
  <c r="AI265" i="2"/>
  <c r="Z265" i="2"/>
  <c r="Q265" i="2"/>
  <c r="AE265" i="2"/>
  <c r="AE181" i="2"/>
  <c r="U181" i="2"/>
  <c r="Z181" i="2"/>
  <c r="Q181" i="2"/>
  <c r="AC181" i="2"/>
  <c r="AH181" i="2"/>
  <c r="R181" i="2"/>
  <c r="P181" i="2"/>
  <c r="T181" i="2"/>
  <c r="AB181" i="2"/>
  <c r="AG181" i="2"/>
  <c r="X181" i="2"/>
  <c r="AD181" i="2"/>
  <c r="AF181" i="2"/>
  <c r="W181" i="2"/>
  <c r="Y181" i="2"/>
  <c r="AA181" i="2"/>
  <c r="M166" i="2"/>
  <c r="AI181" i="2"/>
  <c r="V181" i="2"/>
  <c r="S181" i="2"/>
  <c r="Y139" i="2"/>
  <c r="AF139" i="2"/>
  <c r="X139" i="2"/>
  <c r="V139" i="2"/>
  <c r="AI139" i="2"/>
  <c r="S139" i="2"/>
  <c r="AH139" i="2"/>
  <c r="T139" i="2"/>
  <c r="AC139" i="2"/>
  <c r="AA139" i="2"/>
  <c r="AE139" i="2"/>
  <c r="AB139" i="2"/>
  <c r="AD139" i="2"/>
  <c r="Q139" i="2"/>
  <c r="U139" i="2"/>
  <c r="P139" i="2"/>
  <c r="Z139" i="2"/>
  <c r="M124" i="2"/>
  <c r="R139" i="2"/>
  <c r="AG139" i="2"/>
  <c r="W139"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AC1819" i="2" l="1"/>
  <c r="V1819" i="2"/>
  <c r="W1819" i="2"/>
  <c r="X1819" i="2"/>
  <c r="AB1819" i="2"/>
  <c r="M1804" i="2"/>
  <c r="S1819" i="2"/>
  <c r="Z1819" i="2"/>
  <c r="R1819" i="2"/>
  <c r="AG1819" i="2"/>
  <c r="Q1819" i="2"/>
  <c r="P1819" i="2"/>
  <c r="AD1819" i="2"/>
  <c r="AF1819" i="2"/>
  <c r="AA1819" i="2"/>
  <c r="U1819" i="2"/>
  <c r="Y1819" i="2"/>
  <c r="AH1819" i="2"/>
  <c r="AE1819" i="2"/>
  <c r="T1819" i="2"/>
  <c r="AI1819" i="2"/>
  <c r="AD853" i="2"/>
  <c r="P853" i="2"/>
  <c r="AI853" i="2"/>
  <c r="AC853" i="2"/>
  <c r="V853" i="2"/>
  <c r="R853" i="2"/>
  <c r="Q853" i="2"/>
  <c r="AB853" i="2"/>
  <c r="AG853" i="2"/>
  <c r="AE853" i="2"/>
  <c r="AH853" i="2"/>
  <c r="W853" i="2"/>
  <c r="AA853" i="2"/>
  <c r="U853" i="2"/>
  <c r="Y853" i="2"/>
  <c r="X853" i="2"/>
  <c r="Z853" i="2"/>
  <c r="T853" i="2"/>
  <c r="AF853" i="2"/>
  <c r="S853" i="2"/>
  <c r="M838" i="2"/>
  <c r="AC832" i="2"/>
  <c r="AB832" i="2"/>
  <c r="V832" i="2"/>
  <c r="P832" i="2"/>
  <c r="Z832" i="2"/>
  <c r="AI832" i="2"/>
  <c r="U832" i="2"/>
  <c r="AD832" i="2"/>
  <c r="T832" i="2"/>
  <c r="AE832" i="2"/>
  <c r="AG832" i="2"/>
  <c r="X832" i="2"/>
  <c r="R832" i="2"/>
  <c r="AF832" i="2"/>
  <c r="AH832" i="2"/>
  <c r="Q832" i="2"/>
  <c r="Y832" i="2"/>
  <c r="M817" i="2"/>
  <c r="W832" i="2"/>
  <c r="S832" i="2"/>
  <c r="AA832" i="2"/>
  <c r="M588" i="2"/>
  <c r="M582" i="2" s="1"/>
  <c r="Z601" i="2"/>
  <c r="X601" i="2"/>
  <c r="W601" i="2"/>
  <c r="AA601" i="2"/>
  <c r="Y601" i="2"/>
  <c r="P601" i="2"/>
  <c r="V601" i="2"/>
  <c r="AI601" i="2"/>
  <c r="AB601" i="2"/>
  <c r="AE601" i="2"/>
  <c r="Q601" i="2"/>
  <c r="S601" i="2"/>
  <c r="AH601" i="2"/>
  <c r="AD601" i="2"/>
  <c r="R601" i="2"/>
  <c r="M586" i="2"/>
  <c r="AF601" i="2"/>
  <c r="T601" i="2"/>
  <c r="U601" i="2"/>
  <c r="AC601" i="2"/>
  <c r="AG601" i="2"/>
  <c r="U20" i="2"/>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J120" i="2"/>
  <c r="B121" i="2"/>
  <c r="B122" i="2" s="1"/>
  <c r="C6" i="11"/>
  <c r="C7" i="12"/>
  <c r="B8" i="12" s="1"/>
  <c r="B123" i="2" l="1"/>
  <c r="B124" i="2"/>
  <c r="E124" i="2"/>
  <c r="C121" i="2"/>
  <c r="C122" i="2" s="1"/>
  <c r="D120" i="2"/>
  <c r="C8" i="12"/>
  <c r="G6" i="11"/>
  <c r="I6" i="11"/>
  <c r="L6" i="11"/>
  <c r="B7" i="11"/>
  <c r="F6" i="11"/>
  <c r="H6" i="11"/>
  <c r="M139" i="2" l="1"/>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1" i="2"/>
  <c r="J141" i="2"/>
  <c r="F7" i="11"/>
  <c r="I7" i="11"/>
  <c r="L7" i="11"/>
  <c r="G7" i="11"/>
  <c r="H7" i="11"/>
  <c r="B8" i="11"/>
  <c r="B144" i="2" l="1"/>
  <c r="B145" i="2"/>
  <c r="D141" i="2"/>
  <c r="E145" i="2"/>
  <c r="C142" i="2"/>
  <c r="C143" i="2" s="1"/>
  <c r="G8" i="12"/>
  <c r="C8" i="11"/>
  <c r="B146" i="2" l="1"/>
  <c r="B147" i="2" s="1"/>
  <c r="B148" i="2" s="1"/>
  <c r="B149" i="2" s="1"/>
  <c r="B150" i="2" s="1"/>
  <c r="B151" i="2" s="1"/>
  <c r="B152" i="2" s="1"/>
  <c r="B153" i="2" s="1"/>
  <c r="B154" i="2" s="1"/>
  <c r="B155" i="2" s="1"/>
  <c r="B156" i="2" s="1"/>
  <c r="B157" i="2" s="1"/>
  <c r="B158" i="2" s="1"/>
  <c r="B159" i="2" s="1"/>
  <c r="B160" i="2" s="1"/>
  <c r="B162" i="2" s="1"/>
  <c r="M160" i="2"/>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81"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B184" i="2" l="1"/>
  <c r="B185" i="2" s="1"/>
  <c r="J183" i="2"/>
  <c r="C183" i="2"/>
  <c r="H183" i="2"/>
  <c r="C184" i="2" l="1"/>
  <c r="C185" i="2" s="1"/>
  <c r="D183" i="2"/>
  <c r="E187" i="2"/>
  <c r="B187" i="2"/>
  <c r="B186" i="2"/>
  <c r="M202" i="2" l="1"/>
  <c r="B188" i="2"/>
  <c r="B189" i="2" s="1"/>
  <c r="B190" i="2" s="1"/>
  <c r="B191" i="2" s="1"/>
  <c r="B192" i="2" s="1"/>
  <c r="B193" i="2" s="1"/>
  <c r="B194" i="2" s="1"/>
  <c r="B195" i="2" s="1"/>
  <c r="B196" i="2" s="1"/>
  <c r="B197" i="2" s="1"/>
  <c r="B198" i="2" s="1"/>
  <c r="B199" i="2" s="1"/>
  <c r="B200" i="2" s="1"/>
  <c r="B201" i="2" s="1"/>
  <c r="B202" i="2" s="1"/>
  <c r="B204" i="2" s="1"/>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B209" i="2"/>
  <c r="B210" i="2" s="1"/>
  <c r="B211" i="2" s="1"/>
  <c r="B212" i="2" s="1"/>
  <c r="B213" i="2" s="1"/>
  <c r="B214" i="2" s="1"/>
  <c r="B215" i="2" s="1"/>
  <c r="B216" i="2" s="1"/>
  <c r="B217" i="2" s="1"/>
  <c r="B218" i="2" s="1"/>
  <c r="B219" i="2" s="1"/>
  <c r="B220" i="2" s="1"/>
  <c r="B221" i="2" s="1"/>
  <c r="B222" i="2" s="1"/>
  <c r="B223" i="2" s="1"/>
  <c r="B225" i="2" s="1"/>
  <c r="M223" i="2"/>
  <c r="H225" i="2" l="1"/>
  <c r="J225"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44" i="2" l="1"/>
  <c r="B230" i="2"/>
  <c r="B231" i="2" s="1"/>
  <c r="B232" i="2" s="1"/>
  <c r="B233" i="2" s="1"/>
  <c r="B234" i="2" s="1"/>
  <c r="B235" i="2" s="1"/>
  <c r="B236" i="2" s="1"/>
  <c r="B237" i="2" s="1"/>
  <c r="B238" i="2" s="1"/>
  <c r="B239" i="2" s="1"/>
  <c r="B240" i="2" s="1"/>
  <c r="B241" i="2" s="1"/>
  <c r="B242" i="2" s="1"/>
  <c r="B243" i="2" s="1"/>
  <c r="B244" i="2" s="1"/>
  <c r="B246" i="2" s="1"/>
  <c r="C246" i="2" l="1"/>
  <c r="H246" i="2"/>
  <c r="B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65" i="2" l="1"/>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86" i="2"/>
  <c r="C288" i="2" l="1"/>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307" i="2"/>
  <c r="B293" i="2"/>
  <c r="B294" i="2" s="1"/>
  <c r="B295" i="2" s="1"/>
  <c r="B296" i="2" s="1"/>
  <c r="B297" i="2" s="1"/>
  <c r="B298" i="2" s="1"/>
  <c r="B299" i="2" s="1"/>
  <c r="B300" i="2" s="1"/>
  <c r="B301" i="2" s="1"/>
  <c r="B302" i="2" s="1"/>
  <c r="B303" i="2" s="1"/>
  <c r="B304" i="2" s="1"/>
  <c r="B305" i="2" s="1"/>
  <c r="B306" i="2" s="1"/>
  <c r="B307" i="2" s="1"/>
  <c r="B309" i="2" s="1"/>
  <c r="C309" i="2" l="1"/>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28" i="2"/>
  <c r="B314" i="2"/>
  <c r="B315" i="2" s="1"/>
  <c r="B316" i="2" s="1"/>
  <c r="B317" i="2" s="1"/>
  <c r="B318" i="2" s="1"/>
  <c r="B319" i="2" s="1"/>
  <c r="B320" i="2" s="1"/>
  <c r="B321" i="2" s="1"/>
  <c r="B322" i="2" s="1"/>
  <c r="B323" i="2" s="1"/>
  <c r="B324" i="2" s="1"/>
  <c r="B325" i="2" s="1"/>
  <c r="B326" i="2" s="1"/>
  <c r="B327" i="2" s="1"/>
  <c r="B328" i="2" s="1"/>
  <c r="B330" i="2" s="1"/>
  <c r="B331" i="2" l="1"/>
  <c r="B332" i="2" s="1"/>
  <c r="C330" i="2"/>
  <c r="H330" i="2"/>
  <c r="J330" i="2"/>
  <c r="D330" i="2" l="1"/>
  <c r="C331" i="2"/>
  <c r="C332" i="2" s="1"/>
  <c r="E334" i="2"/>
  <c r="B333" i="2"/>
  <c r="B334" i="2"/>
  <c r="M349" i="2" l="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B356" i="2"/>
  <c r="B357" i="2" s="1"/>
  <c r="B358" i="2" s="1"/>
  <c r="B359" i="2" s="1"/>
  <c r="B360" i="2" s="1"/>
  <c r="B361" i="2" s="1"/>
  <c r="B362" i="2" s="1"/>
  <c r="B363" i="2" s="1"/>
  <c r="B364" i="2" s="1"/>
  <c r="B365" i="2" s="1"/>
  <c r="B366" i="2" s="1"/>
  <c r="B367" i="2" s="1"/>
  <c r="B368" i="2" s="1"/>
  <c r="B369" i="2" s="1"/>
  <c r="B370" i="2" s="1"/>
  <c r="B372" i="2" s="1"/>
  <c r="M370" i="2"/>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91"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412"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C414" i="2" l="1"/>
  <c r="H414" i="2"/>
  <c r="J414" i="2"/>
  <c r="B415" i="2"/>
  <c r="B416" i="2" s="1"/>
  <c r="E418" i="2" l="1"/>
  <c r="D414" i="2"/>
  <c r="C415" i="2"/>
  <c r="C416" i="2" s="1"/>
  <c r="B417" i="2"/>
  <c r="B418" i="2"/>
  <c r="M433" i="2" l="1"/>
  <c r="B419" i="2"/>
  <c r="B420" i="2" s="1"/>
  <c r="B421" i="2" s="1"/>
  <c r="B422" i="2" s="1"/>
  <c r="B423" i="2" s="1"/>
  <c r="B424" i="2" s="1"/>
  <c r="B425" i="2" s="1"/>
  <c r="B426" i="2" s="1"/>
  <c r="B427" i="2" s="1"/>
  <c r="B428" i="2" s="1"/>
  <c r="B429" i="2" s="1"/>
  <c r="B430" i="2" s="1"/>
  <c r="B431" i="2" s="1"/>
  <c r="B432" i="2" s="1"/>
  <c r="B433" i="2" s="1"/>
  <c r="B435" i="2" s="1"/>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35" i="2" l="1"/>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54" i="2"/>
  <c r="C439" i="2"/>
  <c r="C440" i="2" s="1"/>
  <c r="C441" i="2" s="1"/>
  <c r="C442" i="2" s="1"/>
  <c r="C443" i="2" s="1"/>
  <c r="C444" i="2" s="1"/>
  <c r="C445" i="2" s="1"/>
  <c r="C446" i="2" s="1"/>
  <c r="C447" i="2" s="1"/>
  <c r="C448" i="2" s="1"/>
  <c r="C449" i="2" s="1"/>
  <c r="C450" i="2" s="1"/>
  <c r="C451" i="2" s="1"/>
  <c r="C452" i="2" s="1"/>
  <c r="C453" i="2" s="1"/>
  <c r="C454" i="2" s="1"/>
  <c r="C438" i="2"/>
  <c r="C456" i="2" l="1"/>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75" i="2"/>
  <c r="H477" i="2" l="1"/>
  <c r="J477" i="2"/>
  <c r="B478" i="2"/>
  <c r="B479" i="2" s="1"/>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B482" i="2"/>
  <c r="B483" i="2" s="1"/>
  <c r="B484" i="2" s="1"/>
  <c r="B485" i="2" s="1"/>
  <c r="B486" i="2" s="1"/>
  <c r="B487" i="2" s="1"/>
  <c r="B488" i="2" s="1"/>
  <c r="B489" i="2" s="1"/>
  <c r="B490" i="2" s="1"/>
  <c r="B491" i="2" s="1"/>
  <c r="B492" i="2" s="1"/>
  <c r="B493" i="2" s="1"/>
  <c r="B494" i="2" s="1"/>
  <c r="B495" i="2" s="1"/>
  <c r="B496" i="2" s="1"/>
  <c r="B498" i="2" s="1"/>
  <c r="M496" i="2"/>
  <c r="H498" i="2" l="1"/>
  <c r="J498" i="2"/>
  <c r="B499" i="2"/>
  <c r="B500" i="2" s="1"/>
  <c r="C498" i="2"/>
  <c r="C499" i="2" l="1"/>
  <c r="C500" i="2" s="1"/>
  <c r="E502" i="2"/>
  <c r="D498" i="2"/>
  <c r="B501" i="2"/>
  <c r="B502" i="2"/>
  <c r="B503" i="2" l="1"/>
  <c r="B504" i="2" s="1"/>
  <c r="B505" i="2" s="1"/>
  <c r="B506" i="2" s="1"/>
  <c r="B507" i="2" s="1"/>
  <c r="B508" i="2" s="1"/>
  <c r="B509" i="2" s="1"/>
  <c r="B510" i="2" s="1"/>
  <c r="B511" i="2" s="1"/>
  <c r="B512" i="2" s="1"/>
  <c r="B513" i="2" s="1"/>
  <c r="B514" i="2" s="1"/>
  <c r="B515" i="2" s="1"/>
  <c r="B516" i="2" s="1"/>
  <c r="B517" i="2" s="1"/>
  <c r="B519" i="2" s="1"/>
  <c r="M517"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38" i="2"/>
  <c r="B524" i="2"/>
  <c r="B525" i="2" s="1"/>
  <c r="B526" i="2" s="1"/>
  <c r="B527" i="2" s="1"/>
  <c r="B528" i="2" s="1"/>
  <c r="B529" i="2" s="1"/>
  <c r="B530" i="2" s="1"/>
  <c r="B531" i="2" s="1"/>
  <c r="B532" i="2" s="1"/>
  <c r="B533" i="2" s="1"/>
  <c r="B534" i="2" s="1"/>
  <c r="B535" i="2" s="1"/>
  <c r="B536" i="2" s="1"/>
  <c r="B537" i="2" s="1"/>
  <c r="B538" i="2" s="1"/>
  <c r="B540" i="2" s="1"/>
  <c r="C540" i="2" l="1"/>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59" i="2"/>
  <c r="B545" i="2"/>
  <c r="B546" i="2" s="1"/>
  <c r="B547" i="2" s="1"/>
  <c r="B548" i="2" s="1"/>
  <c r="B549" i="2" s="1"/>
  <c r="B550" i="2" s="1"/>
  <c r="B551" i="2" s="1"/>
  <c r="B552" i="2" s="1"/>
  <c r="B553" i="2" s="1"/>
  <c r="B554" i="2" s="1"/>
  <c r="B555" i="2" s="1"/>
  <c r="B556" i="2" s="1"/>
  <c r="B557" i="2" s="1"/>
  <c r="B558" i="2" s="1"/>
  <c r="B559" i="2" s="1"/>
  <c r="B561" i="2" s="1"/>
  <c r="C561" i="2" l="1"/>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80" i="2"/>
  <c r="B566" i="2"/>
  <c r="B567" i="2" s="1"/>
  <c r="B568" i="2" s="1"/>
  <c r="B569" i="2" s="1"/>
  <c r="B570" i="2" s="1"/>
  <c r="B571" i="2" s="1"/>
  <c r="B572" i="2" s="1"/>
  <c r="B573" i="2" s="1"/>
  <c r="B574" i="2" s="1"/>
  <c r="B575" i="2" s="1"/>
  <c r="B576" i="2" s="1"/>
  <c r="B577" i="2" s="1"/>
  <c r="B578" i="2" s="1"/>
  <c r="B579" i="2" s="1"/>
  <c r="B580" i="2" s="1"/>
  <c r="B582" i="2" s="1"/>
  <c r="C582" i="2" l="1"/>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601" i="2"/>
  <c r="H603" i="2" l="1"/>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22" i="2"/>
  <c r="C624" i="2" l="1"/>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43" i="2"/>
  <c r="C645" i="2" l="1"/>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64" i="2"/>
  <c r="B667" i="2" l="1"/>
  <c r="B668" i="2" s="1"/>
  <c r="C666" i="2"/>
  <c r="J666" i="2"/>
  <c r="H666" i="2"/>
  <c r="C667" i="2" l="1"/>
  <c r="C668" i="2" s="1"/>
  <c r="E670" i="2"/>
  <c r="D666" i="2"/>
  <c r="B670" i="2"/>
  <c r="B669" i="2"/>
  <c r="B671" i="2" l="1"/>
  <c r="B672" i="2" s="1"/>
  <c r="B673" i="2" s="1"/>
  <c r="B674" i="2" s="1"/>
  <c r="B675" i="2" s="1"/>
  <c r="B676" i="2" s="1"/>
  <c r="B677" i="2" s="1"/>
  <c r="B678" i="2" s="1"/>
  <c r="B679" i="2" s="1"/>
  <c r="B680" i="2" s="1"/>
  <c r="B681" i="2" s="1"/>
  <c r="B682" i="2" s="1"/>
  <c r="B683" i="2" s="1"/>
  <c r="B684" i="2" s="1"/>
  <c r="B685" i="2" s="1"/>
  <c r="B687" i="2" s="1"/>
  <c r="M685" i="2"/>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7" i="2"/>
  <c r="J687" i="2"/>
  <c r="C687" i="2"/>
  <c r="C688" i="2" l="1"/>
  <c r="C689" i="2" s="1"/>
  <c r="E691" i="2"/>
  <c r="D687" i="2"/>
  <c r="B691" i="2"/>
  <c r="B690" i="2"/>
  <c r="B692" i="2" l="1"/>
  <c r="B693" i="2" s="1"/>
  <c r="B694" i="2" s="1"/>
  <c r="B695" i="2" s="1"/>
  <c r="B696" i="2" s="1"/>
  <c r="B697" i="2" s="1"/>
  <c r="B698" i="2" s="1"/>
  <c r="B699" i="2" s="1"/>
  <c r="B700" i="2" s="1"/>
  <c r="B701" i="2" s="1"/>
  <c r="B702" i="2" s="1"/>
  <c r="B703" i="2" s="1"/>
  <c r="B704" i="2" s="1"/>
  <c r="B705" i="2" s="1"/>
  <c r="B706" i="2" s="1"/>
  <c r="B708" i="2" s="1"/>
  <c r="M706" i="2"/>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B713" i="2"/>
  <c r="B714" i="2" s="1"/>
  <c r="B715" i="2" s="1"/>
  <c r="B716" i="2" s="1"/>
  <c r="B717" i="2" s="1"/>
  <c r="B718" i="2" s="1"/>
  <c r="B719" i="2" s="1"/>
  <c r="B720" i="2" s="1"/>
  <c r="B721" i="2" s="1"/>
  <c r="B722" i="2" s="1"/>
  <c r="B723" i="2" s="1"/>
  <c r="B724" i="2" s="1"/>
  <c r="B725" i="2" s="1"/>
  <c r="B726" i="2" s="1"/>
  <c r="B727" i="2" s="1"/>
  <c r="B729" i="2" s="1"/>
  <c r="M727" i="2"/>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48"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69"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B774" i="2" l="1"/>
  <c r="B775" i="2"/>
  <c r="D771" i="2"/>
  <c r="C772" i="2"/>
  <c r="C773" i="2" s="1"/>
  <c r="E775" i="2"/>
  <c r="M790" i="2" l="1"/>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811"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813" i="2" l="1"/>
  <c r="H813" i="2"/>
  <c r="J813" i="2"/>
  <c r="B814" i="2"/>
  <c r="B815" i="2" s="1"/>
  <c r="E817" i="2" l="1"/>
  <c r="D813" i="2"/>
  <c r="C814" i="2"/>
  <c r="C815" i="2" s="1"/>
  <c r="B816" i="2"/>
  <c r="B817" i="2"/>
  <c r="M832" i="2" l="1"/>
  <c r="B818" i="2"/>
  <c r="B819" i="2" s="1"/>
  <c r="B820" i="2" s="1"/>
  <c r="B821" i="2" s="1"/>
  <c r="B822" i="2" s="1"/>
  <c r="B823" i="2" s="1"/>
  <c r="B824" i="2" s="1"/>
  <c r="B825" i="2" s="1"/>
  <c r="B826" i="2" s="1"/>
  <c r="B827" i="2" s="1"/>
  <c r="B828" i="2" s="1"/>
  <c r="B829" i="2" s="1"/>
  <c r="B830" i="2" s="1"/>
  <c r="B831" i="2" s="1"/>
  <c r="B832" i="2" s="1"/>
  <c r="B834" i="2" s="1"/>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C834" i="2" l="1"/>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53" i="2"/>
  <c r="B839" i="2"/>
  <c r="B840" i="2" s="1"/>
  <c r="B841" i="2" s="1"/>
  <c r="B842" i="2" s="1"/>
  <c r="B843" i="2" s="1"/>
  <c r="B844" i="2" s="1"/>
  <c r="B845" i="2" s="1"/>
  <c r="B846" i="2" s="1"/>
  <c r="B847" i="2" s="1"/>
  <c r="B848" i="2" s="1"/>
  <c r="B849" i="2" s="1"/>
  <c r="B850" i="2" s="1"/>
  <c r="B851" i="2" s="1"/>
  <c r="B852" i="2" s="1"/>
  <c r="B853" i="2" s="1"/>
  <c r="B855"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B858" i="2" l="1"/>
  <c r="B859" i="2"/>
  <c r="D855" i="2"/>
  <c r="C856" i="2"/>
  <c r="C857" i="2" s="1"/>
  <c r="E859" i="2"/>
  <c r="M874" i="2" l="1"/>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B879" i="2" l="1"/>
  <c r="B880" i="2"/>
  <c r="D876" i="2"/>
  <c r="C877" i="2"/>
  <c r="C878" i="2" s="1"/>
  <c r="E880" i="2"/>
  <c r="M895" i="2" l="1"/>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916"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C918" i="2" l="1"/>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37"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C939" i="2" l="1"/>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58"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C960" i="2" l="1"/>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79"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C981" i="2" l="1"/>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1000"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C1002" i="2" l="1"/>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21"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C1023" i="2"/>
  <c r="H1023" i="2"/>
  <c r="J1023" i="2"/>
  <c r="C1024" i="2" l="1"/>
  <c r="C1025" i="2" s="1"/>
  <c r="E1027" i="2"/>
  <c r="D1023" i="2"/>
  <c r="B1027" i="2"/>
  <c r="B1026" i="2"/>
  <c r="B1028" i="2" l="1"/>
  <c r="B1029" i="2" s="1"/>
  <c r="B1030" i="2" s="1"/>
  <c r="B1031" i="2" s="1"/>
  <c r="B1032" i="2" s="1"/>
  <c r="B1033" i="2" s="1"/>
  <c r="B1034" i="2" s="1"/>
  <c r="B1035" i="2" s="1"/>
  <c r="B1036" i="2" s="1"/>
  <c r="B1037" i="2" s="1"/>
  <c r="B1038" i="2" s="1"/>
  <c r="B1039" i="2" s="1"/>
  <c r="B1040" i="2" s="1"/>
  <c r="B1041" i="2" s="1"/>
  <c r="B1042" i="2" s="1"/>
  <c r="B1044" i="2" s="1"/>
  <c r="M1042" i="2"/>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C1044" i="2"/>
  <c r="H1044" i="2"/>
  <c r="J1044" i="2"/>
  <c r="C1045" i="2" l="1"/>
  <c r="C1046" i="2" s="1"/>
  <c r="E1048" i="2"/>
  <c r="D1044" i="2"/>
  <c r="B1048" i="2"/>
  <c r="B1047" i="2"/>
  <c r="B1049" i="2" l="1"/>
  <c r="B1050" i="2" s="1"/>
  <c r="B1051" i="2" s="1"/>
  <c r="B1052" i="2" s="1"/>
  <c r="B1053" i="2" s="1"/>
  <c r="B1054" i="2" s="1"/>
  <c r="B1055" i="2" s="1"/>
  <c r="B1056" i="2" s="1"/>
  <c r="B1057" i="2" s="1"/>
  <c r="B1058" i="2" s="1"/>
  <c r="B1059" i="2" s="1"/>
  <c r="B1060" i="2" s="1"/>
  <c r="B1061" i="2" s="1"/>
  <c r="B1062" i="2" s="1"/>
  <c r="B1063" i="2" s="1"/>
  <c r="B1065" i="2" s="1"/>
  <c r="M1063" i="2"/>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C1065" i="2"/>
  <c r="H1065" i="2"/>
  <c r="C1066" i="2" l="1"/>
  <c r="C1067" i="2" s="1"/>
  <c r="E1069" i="2"/>
  <c r="D1065" i="2"/>
  <c r="B1069" i="2"/>
  <c r="B1068" i="2"/>
  <c r="B1070" i="2" l="1"/>
  <c r="B1071" i="2" s="1"/>
  <c r="B1072" i="2" s="1"/>
  <c r="B1073" i="2" s="1"/>
  <c r="B1074" i="2" s="1"/>
  <c r="B1075" i="2" s="1"/>
  <c r="B1076" i="2" s="1"/>
  <c r="B1077" i="2" s="1"/>
  <c r="B1078" i="2" s="1"/>
  <c r="B1079" i="2" s="1"/>
  <c r="B1080" i="2" s="1"/>
  <c r="B1081" i="2" s="1"/>
  <c r="B1082" i="2" s="1"/>
  <c r="B1083" i="2" s="1"/>
  <c r="B1084" i="2" s="1"/>
  <c r="B1086" i="2" s="1"/>
  <c r="M1084" i="2"/>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B1091" i="2"/>
  <c r="B1092" i="2" s="1"/>
  <c r="B1093" i="2" s="1"/>
  <c r="B1094" i="2" s="1"/>
  <c r="B1095" i="2" s="1"/>
  <c r="B1096" i="2" s="1"/>
  <c r="B1097" i="2" s="1"/>
  <c r="B1098" i="2" s="1"/>
  <c r="B1099" i="2" s="1"/>
  <c r="B1100" i="2" s="1"/>
  <c r="B1101" i="2" s="1"/>
  <c r="B1102" i="2" s="1"/>
  <c r="B1103" i="2" s="1"/>
  <c r="B1104" i="2" s="1"/>
  <c r="B1105" i="2" s="1"/>
  <c r="B1107" i="2" s="1"/>
  <c r="M1105" i="2"/>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26"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B1133" i="2"/>
  <c r="B1134" i="2" s="1"/>
  <c r="B1135" i="2" s="1"/>
  <c r="B1136" i="2" s="1"/>
  <c r="B1137" i="2" s="1"/>
  <c r="B1138" i="2" s="1"/>
  <c r="B1139" i="2" s="1"/>
  <c r="B1140" i="2" s="1"/>
  <c r="B1141" i="2" s="1"/>
  <c r="B1142" i="2" s="1"/>
  <c r="B1143" i="2" s="1"/>
  <c r="B1144" i="2" s="1"/>
  <c r="B1145" i="2" s="1"/>
  <c r="B1146" i="2" s="1"/>
  <c r="B1147" i="2" s="1"/>
  <c r="B1149" i="2" s="1"/>
  <c r="M1147" i="2"/>
  <c r="H1149" i="2" l="1"/>
  <c r="B1150" i="2"/>
  <c r="B1151" i="2" s="1"/>
  <c r="C1149" i="2"/>
  <c r="J1149" i="2"/>
  <c r="D1149" i="2" l="1"/>
  <c r="C1150" i="2"/>
  <c r="C1151" i="2" s="1"/>
  <c r="E1153" i="2"/>
  <c r="B1152" i="2"/>
  <c r="B1153" i="2"/>
  <c r="M1168" i="2" l="1"/>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89"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B1196" i="2"/>
  <c r="B1197" i="2" s="1"/>
  <c r="B1198" i="2" s="1"/>
  <c r="B1199" i="2" s="1"/>
  <c r="B1200" i="2" s="1"/>
  <c r="B1201" i="2" s="1"/>
  <c r="B1202" i="2" s="1"/>
  <c r="B1203" i="2" s="1"/>
  <c r="B1204" i="2" s="1"/>
  <c r="B1205" i="2" s="1"/>
  <c r="B1206" i="2" s="1"/>
  <c r="B1207" i="2" s="1"/>
  <c r="B1208" i="2" s="1"/>
  <c r="B1209" i="2" s="1"/>
  <c r="B1210" i="2" s="1"/>
  <c r="B1212" i="2" s="1"/>
  <c r="M1210" i="2"/>
  <c r="H1212" i="2" l="1"/>
  <c r="J1212" i="2"/>
  <c r="B1213" i="2"/>
  <c r="B1214" i="2" s="1"/>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31"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B1234" i="2" l="1"/>
  <c r="B1235" i="2" s="1"/>
  <c r="C1233" i="2"/>
  <c r="H1233" i="2"/>
  <c r="J1233" i="2"/>
  <c r="E1237" i="2" l="1"/>
  <c r="C1234" i="2"/>
  <c r="C1235" i="2" s="1"/>
  <c r="D1233" i="2"/>
  <c r="B1237" i="2"/>
  <c r="B1236" i="2"/>
  <c r="M1252" i="2" l="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73"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B1280" i="2"/>
  <c r="B1281" i="2" s="1"/>
  <c r="B1282" i="2" s="1"/>
  <c r="B1283" i="2" s="1"/>
  <c r="B1284" i="2" s="1"/>
  <c r="B1285" i="2" s="1"/>
  <c r="B1286" i="2" s="1"/>
  <c r="B1287" i="2" s="1"/>
  <c r="B1288" i="2" s="1"/>
  <c r="B1289" i="2" s="1"/>
  <c r="B1290" i="2" s="1"/>
  <c r="B1291" i="2" s="1"/>
  <c r="B1292" i="2" s="1"/>
  <c r="B1293" i="2" s="1"/>
  <c r="B1294" i="2" s="1"/>
  <c r="B1296" i="2" s="1"/>
  <c r="M1294" i="2"/>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C1296" i="2"/>
  <c r="J1296" i="2"/>
  <c r="H1296" i="2"/>
  <c r="C1297" i="2" l="1"/>
  <c r="C1298" i="2" s="1"/>
  <c r="E1300" i="2"/>
  <c r="D1296" i="2"/>
  <c r="B1300" i="2"/>
  <c r="B1299" i="2"/>
  <c r="B1301" i="2" l="1"/>
  <c r="B1302" i="2" s="1"/>
  <c r="B1303" i="2" s="1"/>
  <c r="B1304" i="2" s="1"/>
  <c r="B1305" i="2" s="1"/>
  <c r="B1306" i="2" s="1"/>
  <c r="B1307" i="2" s="1"/>
  <c r="B1308" i="2" s="1"/>
  <c r="B1309" i="2" s="1"/>
  <c r="B1310" i="2" s="1"/>
  <c r="B1311" i="2" s="1"/>
  <c r="B1312" i="2" s="1"/>
  <c r="B1313" i="2" s="1"/>
  <c r="B1314" i="2" s="1"/>
  <c r="B1315" i="2" s="1"/>
  <c r="B1317" i="2" s="1"/>
  <c r="M1315"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C1317" i="2"/>
  <c r="H1317" i="2"/>
  <c r="C1318" i="2" l="1"/>
  <c r="C1319" i="2" s="1"/>
  <c r="E1321" i="2"/>
  <c r="D1317" i="2"/>
  <c r="B1321" i="2"/>
  <c r="B1320" i="2"/>
  <c r="B1322" i="2" l="1"/>
  <c r="B1323" i="2" s="1"/>
  <c r="B1324" i="2" s="1"/>
  <c r="B1325" i="2" s="1"/>
  <c r="B1326" i="2" s="1"/>
  <c r="B1327" i="2" s="1"/>
  <c r="B1328" i="2" s="1"/>
  <c r="B1329" i="2" s="1"/>
  <c r="B1330" i="2" s="1"/>
  <c r="B1331" i="2" s="1"/>
  <c r="B1332" i="2" s="1"/>
  <c r="B1333" i="2" s="1"/>
  <c r="B1334" i="2" s="1"/>
  <c r="B1335" i="2" s="1"/>
  <c r="B1336" i="2" s="1"/>
  <c r="B1338" i="2" s="1"/>
  <c r="M1336" i="2"/>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B1343" i="2"/>
  <c r="B1344" i="2" s="1"/>
  <c r="B1345" i="2" s="1"/>
  <c r="B1346" i="2" s="1"/>
  <c r="B1347" i="2" s="1"/>
  <c r="B1348" i="2" s="1"/>
  <c r="B1349" i="2" s="1"/>
  <c r="B1350" i="2" s="1"/>
  <c r="B1351" i="2" s="1"/>
  <c r="B1352" i="2" s="1"/>
  <c r="B1353" i="2" s="1"/>
  <c r="B1354" i="2" s="1"/>
  <c r="B1355" i="2" s="1"/>
  <c r="B1356" i="2" s="1"/>
  <c r="B1357" i="2" s="1"/>
  <c r="B1359" i="2" s="1"/>
  <c r="M1357" i="2"/>
  <c r="H1359" i="2" l="1"/>
  <c r="J1359" i="2"/>
  <c r="B1360" i="2"/>
  <c r="B1361" i="2" s="1"/>
  <c r="C1359" i="2"/>
  <c r="D1359" i="2" l="1"/>
  <c r="C1360" i="2"/>
  <c r="C1361" i="2" s="1"/>
  <c r="E1363" i="2"/>
  <c r="B1362" i="2"/>
  <c r="B1363" i="2"/>
  <c r="M1378" i="2" l="1"/>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99"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20"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41"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62"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C1464" i="2" l="1"/>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83" i="2"/>
  <c r="B1469" i="2"/>
  <c r="B1470" i="2" l="1"/>
  <c r="B1471" i="2" l="1"/>
  <c r="B1472" i="2" l="1"/>
  <c r="B1473" i="2" l="1"/>
  <c r="B1474" i="2" l="1"/>
  <c r="B1475" i="2" l="1"/>
  <c r="B1476" i="2" l="1"/>
  <c r="B1477" i="2" l="1"/>
  <c r="B1478" i="2" l="1"/>
  <c r="B1479" i="2" l="1"/>
  <c r="B1480" i="2" s="1"/>
  <c r="B1481" i="2" s="1"/>
  <c r="B1482" i="2" s="1"/>
  <c r="B1483" i="2" s="1"/>
  <c r="B1485" i="2" s="1"/>
  <c r="C1485" i="2" l="1"/>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504"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C1506" i="2" l="1"/>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25"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46" i="2"/>
  <c r="J1548" i="2" l="1"/>
  <c r="B1549" i="2"/>
  <c r="B1550" i="2" s="1"/>
  <c r="C1548" i="2"/>
  <c r="H1548" i="2"/>
  <c r="C1549" i="2" l="1"/>
  <c r="C1550" i="2" s="1"/>
  <c r="E1552" i="2"/>
  <c r="D1548" i="2"/>
  <c r="B1552" i="2"/>
  <c r="B1551" i="2"/>
  <c r="B1553" i="2" l="1"/>
  <c r="B1554" i="2" s="1"/>
  <c r="B1555" i="2" s="1"/>
  <c r="B1556" i="2" s="1"/>
  <c r="B1557" i="2" s="1"/>
  <c r="B1558" i="2" s="1"/>
  <c r="B1559" i="2" s="1"/>
  <c r="B1560" i="2" s="1"/>
  <c r="B1561" i="2" s="1"/>
  <c r="B1562" i="2" s="1"/>
  <c r="B1563" i="2" s="1"/>
  <c r="B1564" i="2" s="1"/>
  <c r="B1565" i="2" s="1"/>
  <c r="B1566" i="2" s="1"/>
  <c r="B1567" i="2" s="1"/>
  <c r="B1569" i="2" s="1"/>
  <c r="M1567" i="2"/>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88" i="2"/>
  <c r="H1590" i="2" l="1"/>
  <c r="J1590" i="2"/>
  <c r="B1591" i="2"/>
  <c r="B1592" i="2" s="1"/>
  <c r="C1590" i="2"/>
  <c r="C1591" i="2" l="1"/>
  <c r="C1592" i="2" s="1"/>
  <c r="E1594" i="2"/>
  <c r="D1590" i="2"/>
  <c r="B1593" i="2"/>
  <c r="B1594" i="2"/>
  <c r="B1595" i="2" l="1"/>
  <c r="B1596" i="2" s="1"/>
  <c r="B1597" i="2" s="1"/>
  <c r="B1598" i="2" s="1"/>
  <c r="B1599" i="2" s="1"/>
  <c r="B1600" i="2" s="1"/>
  <c r="B1601" i="2" s="1"/>
  <c r="B1602" i="2" s="1"/>
  <c r="B1603" i="2" s="1"/>
  <c r="B1604" i="2" s="1"/>
  <c r="B1605" i="2" s="1"/>
  <c r="B1606" i="2" s="1"/>
  <c r="B1607" i="2" s="1"/>
  <c r="B1608" i="2" s="1"/>
  <c r="B1609" i="2" s="1"/>
  <c r="B1611" i="2" s="1"/>
  <c r="M1609"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C1611" i="2"/>
  <c r="D1611" i="2" l="1"/>
  <c r="C1612" i="2"/>
  <c r="C1613" i="2" s="1"/>
  <c r="E1615" i="2"/>
  <c r="B1614" i="2"/>
  <c r="B1615" i="2"/>
  <c r="M1630" i="2" l="1"/>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B1635" i="2" l="1"/>
  <c r="B1636" i="2"/>
  <c r="D1632" i="2"/>
  <c r="C1633" i="2"/>
  <c r="C1634" i="2" s="1"/>
  <c r="E1636" i="2"/>
  <c r="M1651" i="2" l="1"/>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B1656" i="2" l="1"/>
  <c r="B1657" i="2"/>
  <c r="D1653" i="2"/>
  <c r="C1654" i="2"/>
  <c r="C1655" i="2" s="1"/>
  <c r="E1657" i="2"/>
  <c r="M1672" i="2" l="1"/>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B1677" i="2" l="1"/>
  <c r="B1678" i="2"/>
  <c r="D1674" i="2"/>
  <c r="C1675" i="2"/>
  <c r="C1676" i="2" s="1"/>
  <c r="E1678" i="2"/>
  <c r="M1693" i="2" l="1"/>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B1700" i="2"/>
  <c r="B1701" i="2" s="1"/>
  <c r="B1702" i="2" s="1"/>
  <c r="B1703" i="2" s="1"/>
  <c r="B1704" i="2" s="1"/>
  <c r="B1705" i="2" s="1"/>
  <c r="B1706" i="2" s="1"/>
  <c r="B1707" i="2" s="1"/>
  <c r="B1708" i="2" s="1"/>
  <c r="B1709" i="2" s="1"/>
  <c r="B1710" i="2" s="1"/>
  <c r="B1711" i="2" s="1"/>
  <c r="B1712" i="2" s="1"/>
  <c r="B1713" i="2" s="1"/>
  <c r="B1714" i="2" s="1"/>
  <c r="B1716" i="2" s="1"/>
  <c r="M1714" i="2"/>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C1716" i="2"/>
  <c r="D1716" i="2" l="1"/>
  <c r="C1717" i="2"/>
  <c r="C1718" i="2" s="1"/>
  <c r="E1720" i="2"/>
  <c r="B1719" i="2"/>
  <c r="B1720" i="2"/>
  <c r="M1735" i="2" l="1"/>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56"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B1761" i="2" l="1"/>
  <c r="B1762" i="2"/>
  <c r="D1758" i="2"/>
  <c r="C1759" i="2"/>
  <c r="C1760" i="2" s="1"/>
  <c r="E1762" i="2"/>
  <c r="M1777" i="2" l="1"/>
  <c r="B1763" i="2"/>
  <c r="B1764" i="2" s="1"/>
  <c r="B1765" i="2" s="1"/>
  <c r="B1766" i="2" s="1"/>
  <c r="B1767" i="2" s="1"/>
  <c r="B1768" i="2" s="1"/>
  <c r="B1769" i="2" s="1"/>
  <c r="B1770" i="2" s="1"/>
  <c r="B1771" i="2" s="1"/>
  <c r="B1772" i="2" s="1"/>
  <c r="B1773" i="2" s="1"/>
  <c r="B1774" i="2" s="1"/>
  <c r="B1775" i="2" s="1"/>
  <c r="B1776" i="2" s="1"/>
  <c r="B1777" i="2" s="1"/>
  <c r="B1779" i="2" s="1"/>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B1782" i="2" l="1"/>
  <c r="B1783" i="2"/>
  <c r="D1779" i="2"/>
  <c r="C1780" i="2"/>
  <c r="C1781" i="2" s="1"/>
  <c r="E1783" i="2"/>
  <c r="M1798" i="2" l="1"/>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800" i="2" l="1"/>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19"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C1821" i="2" l="1"/>
  <c r="J1821" i="2"/>
  <c r="B1822" i="2"/>
  <c r="B1823" i="2" s="1"/>
  <c r="H1821" i="2"/>
  <c r="B1824" i="2" l="1"/>
  <c r="B1825" i="2"/>
  <c r="E1825" i="2"/>
  <c r="D1821" i="2"/>
  <c r="C1822" i="2"/>
  <c r="C1823" i="2" s="1"/>
  <c r="M1840" i="2" l="1"/>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C1842" i="2" l="1"/>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61"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B1866" i="2" l="1"/>
  <c r="B1867" i="2"/>
  <c r="D1863" i="2"/>
  <c r="C1864" i="2"/>
  <c r="C1865" i="2" s="1"/>
  <c r="E1867" i="2"/>
  <c r="M1882" i="2" l="1"/>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B1887" i="2" l="1"/>
  <c r="B1888" i="2"/>
  <c r="D1884" i="2"/>
  <c r="C1885" i="2"/>
  <c r="C1886" i="2" s="1"/>
  <c r="E1888" i="2"/>
  <c r="M1903" i="2" l="1"/>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905" i="2" l="1"/>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24"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C1926" i="2" l="1"/>
  <c r="H1926" i="2"/>
  <c r="J1926" i="2"/>
  <c r="B1927" i="2"/>
  <c r="B1928" i="2" s="1"/>
  <c r="B1929" i="2" l="1"/>
  <c r="B1930" i="2"/>
  <c r="E1930" i="2"/>
  <c r="D1926" i="2"/>
  <c r="C1927" i="2"/>
  <c r="C1928" i="2" s="1"/>
  <c r="M1945" i="2" l="1"/>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C1947" i="2" l="1"/>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66" i="2"/>
  <c r="C1951" i="2"/>
  <c r="C1952" i="2" s="1"/>
  <c r="C1953" i="2" s="1"/>
  <c r="C1954" i="2" s="1"/>
  <c r="C1955" i="2" s="1"/>
  <c r="C1956" i="2" s="1"/>
  <c r="C1957" i="2" s="1"/>
  <c r="C1958" i="2" s="1"/>
  <c r="C1959" i="2" s="1"/>
  <c r="C1960" i="2" s="1"/>
  <c r="C1961" i="2" s="1"/>
  <c r="C1962" i="2" s="1"/>
  <c r="C1963" i="2" s="1"/>
  <c r="C1964" i="2" s="1"/>
  <c r="C1965" i="2" s="1"/>
  <c r="C1966" i="2" s="1"/>
  <c r="C1950" i="2"/>
  <c r="C1968" i="2" l="1"/>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87"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C1989" i="2"/>
  <c r="H1989" i="2"/>
  <c r="J1989" i="2"/>
  <c r="C1990" i="2" l="1"/>
  <c r="C1991" i="2" s="1"/>
  <c r="E1993" i="2"/>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2008"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C2010" i="2"/>
  <c r="H2010" i="2"/>
  <c r="J2010" i="2"/>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29" i="2"/>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50" i="2"/>
  <c r="B2036" i="2"/>
  <c r="B2037" i="2" s="1"/>
  <c r="B2038" i="2" s="1"/>
  <c r="B2039" i="2" s="1"/>
  <c r="B2040" i="2" s="1"/>
  <c r="B2041" i="2" s="1"/>
  <c r="B2042" i="2" s="1"/>
  <c r="B2043" i="2" s="1"/>
  <c r="B2044" i="2" s="1"/>
  <c r="B2045" i="2" s="1"/>
  <c r="B2046" i="2" s="1"/>
  <c r="B2047" i="2" s="1"/>
  <c r="B2048" i="2" s="1"/>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C2052" i="2" l="1"/>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71" i="2" l="1"/>
  <c r="B2057" i="2"/>
  <c r="B2058" i="2" s="1"/>
  <c r="B2059" i="2" s="1"/>
  <c r="B2060" i="2" s="1"/>
  <c r="B2061" i="2" s="1"/>
  <c r="B2062" i="2" s="1"/>
  <c r="B2063" i="2" s="1"/>
  <c r="B2064" i="2" s="1"/>
  <c r="B2065" i="2" s="1"/>
  <c r="B2066" i="2" s="1"/>
  <c r="B2067" i="2" s="1"/>
  <c r="B2068" i="2" s="1"/>
  <c r="B2069" i="2" s="1"/>
  <c r="B2070" i="2" s="1"/>
  <c r="B2071" i="2" s="1"/>
  <c r="B2073" i="2" s="1"/>
  <c r="C2073" i="2" l="1"/>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92"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C2094" i="2" l="1"/>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113" i="2"/>
  <c r="C2098" i="2"/>
  <c r="C2099" i="2" s="1"/>
  <c r="C2100" i="2" s="1"/>
  <c r="C2101" i="2" s="1"/>
  <c r="C2102" i="2" s="1"/>
  <c r="C2103" i="2" s="1"/>
  <c r="C2104" i="2" s="1"/>
  <c r="C2105" i="2" s="1"/>
  <c r="C2106" i="2" s="1"/>
  <c r="C2107" i="2" s="1"/>
  <c r="C2108" i="2" s="1"/>
  <c r="C2109" i="2" s="1"/>
  <c r="C2110" i="2" s="1"/>
  <c r="C2111" i="2" s="1"/>
  <c r="C2112" i="2" s="1"/>
  <c r="C2113" i="2" s="1"/>
  <c r="C2097" i="2"/>
  <c r="C2115" i="2" l="1"/>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34"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C2137" i="2" l="1"/>
  <c r="C2138" i="2" s="1"/>
  <c r="D2136" i="2"/>
  <c r="E2140" i="2"/>
  <c r="B2140" i="2"/>
  <c r="B2139" i="2"/>
  <c r="B2141" i="2" l="1"/>
  <c r="B2142" i="2" s="1"/>
  <c r="B2143" i="2" s="1"/>
  <c r="B2144" i="2" s="1"/>
  <c r="B2145" i="2" s="1"/>
  <c r="B2146" i="2" s="1"/>
  <c r="B2147" i="2" s="1"/>
  <c r="B2148" i="2" s="1"/>
  <c r="B2149" i="2" s="1"/>
  <c r="B2150" i="2" s="1"/>
  <c r="B2151" i="2" s="1"/>
  <c r="B2152" i="2" s="1"/>
  <c r="B2153" i="2" s="1"/>
  <c r="B2154" i="2" s="1"/>
  <c r="B2155" i="2" s="1"/>
  <c r="B2157" i="2" s="1"/>
  <c r="M2155" i="2"/>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C2158" i="2" l="1"/>
  <c r="C2159" i="2" s="1"/>
  <c r="E2161" i="2"/>
  <c r="D2157" i="2"/>
  <c r="B2161" i="2"/>
  <c r="B2160" i="2"/>
  <c r="B2162" i="2" l="1"/>
  <c r="B2163" i="2" s="1"/>
  <c r="B2164" i="2" s="1"/>
  <c r="B2165" i="2" s="1"/>
  <c r="B2166" i="2" s="1"/>
  <c r="B2167" i="2" s="1"/>
  <c r="B2168" i="2" s="1"/>
  <c r="B2169" i="2" s="1"/>
  <c r="B2170" i="2" s="1"/>
  <c r="B2171" i="2" s="1"/>
  <c r="B2172" i="2" s="1"/>
  <c r="B2173" i="2" s="1"/>
  <c r="B2174" i="2" s="1"/>
  <c r="B2175" i="2" s="1"/>
  <c r="B2176" i="2" s="1"/>
  <c r="M2176" i="2"/>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AG8" i="12" l="1"/>
  <c r="O8" i="12"/>
  <c r="AA8" i="12"/>
  <c r="AE8" i="12"/>
  <c r="U8" i="12"/>
  <c r="Y8" i="12"/>
  <c r="AK8" i="12"/>
  <c r="Q8" i="12"/>
  <c r="AC8" i="12"/>
  <c r="W8" i="12"/>
  <c r="AI8" i="12"/>
  <c r="S8" i="12"/>
  <c r="D10" i="12"/>
  <c r="C10" i="12"/>
  <c r="D10" i="11"/>
  <c r="C10" i="11"/>
  <c r="K9" i="12"/>
  <c r="B11" i="12" l="1"/>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J11" i="12"/>
  <c r="AB11" i="12" s="1"/>
  <c r="B12" i="11"/>
  <c r="AH9" i="12" l="1"/>
  <c r="AI9" i="12" s="1"/>
  <c r="AF9" i="12"/>
  <c r="AG9" i="12" s="1"/>
  <c r="R9" i="12"/>
  <c r="S9" i="12" s="1"/>
  <c r="X9" i="12"/>
  <c r="Y9" i="12" s="1"/>
  <c r="AD9" i="12"/>
  <c r="AE9" i="12" s="1"/>
  <c r="Z9" i="12"/>
  <c r="AA9" i="12" s="1"/>
  <c r="T9" i="12"/>
  <c r="U9" i="12" s="1"/>
  <c r="AB9" i="12"/>
  <c r="AC9" i="12" s="1"/>
  <c r="N9" i="12"/>
  <c r="O9" i="12" s="1"/>
  <c r="P9" i="12"/>
  <c r="Q9" i="12" s="1"/>
  <c r="AJ9" i="12"/>
  <c r="AK9" i="12" s="1"/>
  <c r="D12" i="12"/>
  <c r="AJ11" i="12"/>
  <c r="AH11" i="12"/>
  <c r="AD11" i="12"/>
  <c r="N11" i="12"/>
  <c r="B13" i="12"/>
  <c r="F12" i="12"/>
  <c r="I12" i="12"/>
  <c r="G12" i="12"/>
  <c r="H12" i="12"/>
  <c r="R11" i="12"/>
  <c r="V11" i="12"/>
  <c r="P11" i="12"/>
  <c r="T11" i="12"/>
  <c r="AF11" i="12"/>
  <c r="X11" i="12"/>
  <c r="K11" i="12"/>
  <c r="AC11" i="12" s="1"/>
  <c r="J12" i="12"/>
  <c r="V12" i="12" s="1"/>
  <c r="Z11" i="12"/>
  <c r="C12" i="11"/>
  <c r="D12" i="11"/>
  <c r="O11" i="12" l="1"/>
  <c r="AE11" i="12"/>
  <c r="AI11" i="12"/>
  <c r="AK11" i="12"/>
  <c r="AG11" i="12"/>
  <c r="W11" i="12"/>
  <c r="U11" i="12"/>
  <c r="AA11" i="12"/>
  <c r="Y11" i="12"/>
  <c r="Q11" i="12"/>
  <c r="S11" i="12"/>
  <c r="D13" i="12"/>
  <c r="T12" i="12"/>
  <c r="AB12" i="12"/>
  <c r="AJ12" i="12"/>
  <c r="C13" i="12"/>
  <c r="J13" i="12" s="1"/>
  <c r="AH12" i="12"/>
  <c r="K12" i="12"/>
  <c r="W12" i="12" s="1"/>
  <c r="P12" i="12"/>
  <c r="N12" i="12"/>
  <c r="R12" i="12"/>
  <c r="X12" i="12"/>
  <c r="L12" i="11"/>
  <c r="I12" i="11"/>
  <c r="G12" i="11"/>
  <c r="H12" i="11"/>
  <c r="F12" i="11"/>
  <c r="AF12" i="12"/>
  <c r="AD12" i="12"/>
  <c r="Z12" i="12"/>
  <c r="B13" i="11"/>
  <c r="O12" i="12" l="1"/>
  <c r="S12" i="12"/>
  <c r="Q12" i="12"/>
  <c r="AI12" i="12"/>
  <c r="AG12" i="12"/>
  <c r="AA12" i="12"/>
  <c r="AE12" i="12"/>
  <c r="AC12" i="12"/>
  <c r="AK12" i="12"/>
  <c r="U12" i="12"/>
  <c r="Y12" i="12"/>
  <c r="N13" i="12"/>
  <c r="B14" i="12"/>
  <c r="D14" i="12" s="1"/>
  <c r="E13" i="12"/>
  <c r="F13" i="12"/>
  <c r="H13" i="12"/>
  <c r="I13" i="12"/>
  <c r="K13" i="12" s="1"/>
  <c r="G13" i="12"/>
  <c r="AD13" i="12"/>
  <c r="Z13" i="12"/>
  <c r="AF13" i="12"/>
  <c r="AB13" i="12"/>
  <c r="P13" i="12"/>
  <c r="X13" i="12"/>
  <c r="T13" i="12"/>
  <c r="R13" i="12"/>
  <c r="V13" i="12"/>
  <c r="AJ13" i="12"/>
  <c r="AH13" i="12"/>
  <c r="D13" i="11"/>
  <c r="C13" i="11"/>
  <c r="C14" i="12" l="1"/>
  <c r="J14" i="12" s="1"/>
  <c r="AG13" i="12"/>
  <c r="AE13" i="12"/>
  <c r="AI13" i="12"/>
  <c r="O13" i="12"/>
  <c r="W13" i="12"/>
  <c r="U13" i="12"/>
  <c r="AC13" i="12"/>
  <c r="S13" i="12"/>
  <c r="Q13" i="12"/>
  <c r="AA13" i="12"/>
  <c r="AK13" i="12"/>
  <c r="Y13" i="12"/>
  <c r="Z14" i="12"/>
  <c r="N14" i="12"/>
  <c r="AF14" i="12"/>
  <c r="R14" i="12"/>
  <c r="P14" i="12"/>
  <c r="AH14" i="12"/>
  <c r="AB14" i="12"/>
  <c r="G13" i="11"/>
  <c r="F13" i="11"/>
  <c r="E13" i="11"/>
  <c r="H13" i="11"/>
  <c r="L13" i="11"/>
  <c r="I13" i="11"/>
  <c r="V14" i="12"/>
  <c r="X14" i="12"/>
  <c r="B15" i="12"/>
  <c r="D15" i="12" s="1"/>
  <c r="E14" i="12"/>
  <c r="H14" i="12"/>
  <c r="I14" i="12"/>
  <c r="K14" i="12" s="1"/>
  <c r="F14" i="12"/>
  <c r="AJ14" i="12"/>
  <c r="T14" i="12"/>
  <c r="AD14" i="12"/>
  <c r="B14" i="11"/>
  <c r="G14" i="12" s="1"/>
  <c r="Q14" i="12" l="1"/>
  <c r="AE14" i="12"/>
  <c r="AG14" i="12"/>
  <c r="W14" i="12"/>
  <c r="Y14" i="12"/>
  <c r="AA14" i="12"/>
  <c r="U14" i="12"/>
  <c r="AK14" i="12"/>
  <c r="O14" i="12"/>
  <c r="AC14" i="12"/>
  <c r="AI14" i="12"/>
  <c r="S14" i="12"/>
  <c r="C15" i="12"/>
  <c r="B16" i="12" s="1"/>
  <c r="C14" i="11"/>
  <c r="D14" i="11"/>
  <c r="J15" i="12" l="1"/>
  <c r="D16" i="12"/>
  <c r="C16" i="12"/>
  <c r="I15" i="12"/>
  <c r="H15" i="12"/>
  <c r="F15" i="12"/>
  <c r="E15" i="12"/>
  <c r="G14" i="11"/>
  <c r="H14" i="11"/>
  <c r="I14" i="11"/>
  <c r="F14" i="11"/>
  <c r="L14" i="11"/>
  <c r="E14" i="11"/>
  <c r="B15" i="11"/>
  <c r="E16" i="12" l="1"/>
  <c r="AJ15" i="12"/>
  <c r="R15" i="12"/>
  <c r="P15" i="12"/>
  <c r="N15" i="12"/>
  <c r="X15" i="12"/>
  <c r="AD15" i="12"/>
  <c r="AB15" i="12"/>
  <c r="K15" i="12"/>
  <c r="AF15" i="12"/>
  <c r="T15" i="12"/>
  <c r="V15" i="12"/>
  <c r="AH15" i="12"/>
  <c r="Z15" i="12"/>
  <c r="I16" i="12"/>
  <c r="F16" i="12"/>
  <c r="H16" i="12"/>
  <c r="B17" i="12"/>
  <c r="D17" i="12" s="1"/>
  <c r="J16" i="12"/>
  <c r="G15" i="12"/>
  <c r="D15" i="11"/>
  <c r="C15" i="11"/>
  <c r="AA15" i="12" l="1"/>
  <c r="AI15" i="12"/>
  <c r="W15" i="12"/>
  <c r="U15" i="12"/>
  <c r="AG15" i="12"/>
  <c r="Q15" i="12"/>
  <c r="AC15" i="12"/>
  <c r="Y15" i="12"/>
  <c r="S15" i="12"/>
  <c r="AE15" i="12"/>
  <c r="O15" i="12"/>
  <c r="AK15" i="12"/>
  <c r="C17" i="12"/>
  <c r="B18" i="12" s="1"/>
  <c r="T16" i="12"/>
  <c r="AJ16" i="12"/>
  <c r="AF16" i="12"/>
  <c r="P16" i="12"/>
  <c r="AH16" i="12"/>
  <c r="V16" i="12"/>
  <c r="AD16" i="12"/>
  <c r="Z16" i="12"/>
  <c r="N16" i="12"/>
  <c r="R16" i="12"/>
  <c r="K16" i="12"/>
  <c r="AB16" i="12"/>
  <c r="X16" i="12"/>
  <c r="B16" i="11"/>
  <c r="C16" i="11" s="1"/>
  <c r="H15" i="11"/>
  <c r="I15" i="11"/>
  <c r="L15" i="11"/>
  <c r="G15" i="11"/>
  <c r="F15" i="11"/>
  <c r="E15" i="11"/>
  <c r="I17" i="12" l="1"/>
  <c r="H17" i="12"/>
  <c r="J17" i="12"/>
  <c r="AJ17" i="12" s="1"/>
  <c r="F17" i="12"/>
  <c r="E17" i="12"/>
  <c r="Y16" i="12"/>
  <c r="W16" i="12"/>
  <c r="AI16" i="12"/>
  <c r="Q16" i="12"/>
  <c r="AG16" i="12"/>
  <c r="U16" i="12"/>
  <c r="AK16" i="12"/>
  <c r="AA16" i="12"/>
  <c r="AE16" i="12"/>
  <c r="S16" i="12"/>
  <c r="O16" i="12"/>
  <c r="AC16" i="12"/>
  <c r="D16" i="11"/>
  <c r="E16" i="11" s="1"/>
  <c r="C18" i="12"/>
  <c r="J18" i="12" s="1"/>
  <c r="D18" i="12"/>
  <c r="V17" i="12"/>
  <c r="R17" i="12"/>
  <c r="T17" i="12"/>
  <c r="Z17" i="12"/>
  <c r="P17" i="12"/>
  <c r="AF17" i="12"/>
  <c r="N17" i="12"/>
  <c r="AH17" i="12"/>
  <c r="B17" i="11"/>
  <c r="G16" i="11"/>
  <c r="H16" i="11"/>
  <c r="F16" i="11"/>
  <c r="I16" i="11"/>
  <c r="L16" i="11"/>
  <c r="G16" i="12"/>
  <c r="AB17" i="12" l="1"/>
  <c r="X17" i="12"/>
  <c r="K17" i="12"/>
  <c r="AD17" i="12"/>
  <c r="AI17" i="12"/>
  <c r="O17" i="12"/>
  <c r="AG17" i="12"/>
  <c r="Q17" i="12"/>
  <c r="S17" i="12"/>
  <c r="W17" i="12"/>
  <c r="AC17" i="12"/>
  <c r="Y17" i="12"/>
  <c r="AE17" i="12"/>
  <c r="AK17" i="12"/>
  <c r="AA17" i="12"/>
  <c r="U17" i="12"/>
  <c r="G17" i="12"/>
  <c r="V18" i="12"/>
  <c r="Z18" i="12"/>
  <c r="X18" i="12"/>
  <c r="AH18" i="12"/>
  <c r="R18" i="12"/>
  <c r="T18" i="12"/>
  <c r="AD18" i="12"/>
  <c r="AF18" i="12"/>
  <c r="AB18" i="12"/>
  <c r="N18" i="12"/>
  <c r="P18" i="12"/>
  <c r="AJ18" i="12"/>
  <c r="B19" i="12"/>
  <c r="H18" i="12"/>
  <c r="E18" i="12"/>
  <c r="I18" i="12"/>
  <c r="K18" i="12" s="1"/>
  <c r="F18" i="12"/>
  <c r="C17" i="11"/>
  <c r="D17" i="11"/>
  <c r="AE18" i="12" l="1"/>
  <c r="U18" i="12"/>
  <c r="AI18" i="12"/>
  <c r="Y18" i="12"/>
  <c r="Q18" i="12"/>
  <c r="O18" i="12"/>
  <c r="AG18" i="12"/>
  <c r="W18" i="12"/>
  <c r="AK18" i="12"/>
  <c r="S18" i="12"/>
  <c r="AA18" i="12"/>
  <c r="AC18" i="12"/>
  <c r="D19" i="12"/>
  <c r="C19" i="12"/>
  <c r="B18" i="11"/>
  <c r="F17" i="11"/>
  <c r="L17" i="11"/>
  <c r="G17" i="11"/>
  <c r="H17" i="11"/>
  <c r="E17" i="11"/>
  <c r="I17" i="11"/>
  <c r="E19" i="12" l="1"/>
  <c r="C18" i="11"/>
  <c r="G18" i="12"/>
  <c r="D18" i="11"/>
  <c r="B20" i="12"/>
  <c r="H19" i="12"/>
  <c r="F19" i="12"/>
  <c r="I19" i="12"/>
  <c r="J19" i="12"/>
  <c r="AB19" i="12" l="1"/>
  <c r="X19" i="12"/>
  <c r="AH19" i="12"/>
  <c r="AD19" i="12"/>
  <c r="Z19" i="12"/>
  <c r="R19" i="12"/>
  <c r="N19" i="12"/>
  <c r="V19" i="12"/>
  <c r="AF19" i="12"/>
  <c r="K19" i="12"/>
  <c r="T19" i="12"/>
  <c r="AJ19" i="12"/>
  <c r="P19" i="12"/>
  <c r="D20" i="12"/>
  <c r="C20" i="12"/>
  <c r="B19" i="11"/>
  <c r="E18" i="11"/>
  <c r="G18" i="11"/>
  <c r="F18" i="11"/>
  <c r="I18" i="11"/>
  <c r="H18" i="11"/>
  <c r="L18" i="11"/>
  <c r="U19" i="12" l="1"/>
  <c r="W19" i="12" s="1"/>
  <c r="AE19" i="12"/>
  <c r="AG19" i="12"/>
  <c r="O19" i="12"/>
  <c r="AI19" i="12"/>
  <c r="AK19" i="12" s="1"/>
  <c r="AC19" i="12"/>
  <c r="S19" i="12"/>
  <c r="AA19" i="12"/>
  <c r="Q19" i="12"/>
  <c r="Y19" i="12"/>
  <c r="C19" i="11"/>
  <c r="D19" i="11"/>
  <c r="G19" i="12"/>
  <c r="B21" i="12"/>
  <c r="I20" i="12"/>
  <c r="H20" i="12"/>
  <c r="F20" i="12"/>
  <c r="E20" i="12"/>
  <c r="J20" i="12"/>
  <c r="AF20" i="12" l="1"/>
  <c r="V20" i="12"/>
  <c r="AD20" i="12"/>
  <c r="P20" i="12"/>
  <c r="X20" i="12"/>
  <c r="AH20" i="12"/>
  <c r="N20" i="12"/>
  <c r="R20" i="12"/>
  <c r="T20" i="12"/>
  <c r="AJ20" i="12"/>
  <c r="K20" i="12"/>
  <c r="Z20" i="12"/>
  <c r="AB20" i="12"/>
  <c r="C21" i="12"/>
  <c r="D21" i="12"/>
  <c r="B20" i="11"/>
  <c r="L19" i="11"/>
  <c r="E19" i="11"/>
  <c r="G19" i="11"/>
  <c r="I19" i="11"/>
  <c r="F19" i="11"/>
  <c r="H19" i="11"/>
  <c r="S20" i="12" l="1"/>
  <c r="AK20" i="12"/>
  <c r="AC20" i="12"/>
  <c r="O20" i="12"/>
  <c r="AA20" i="12"/>
  <c r="AI20" i="12"/>
  <c r="W20" i="12"/>
  <c r="U20" i="12"/>
  <c r="Y20" i="12"/>
  <c r="Q20" i="12"/>
  <c r="AE20" i="12"/>
  <c r="AG20" i="12"/>
  <c r="C20" i="11"/>
  <c r="D20" i="11"/>
  <c r="G20" i="12"/>
  <c r="B22" i="12"/>
  <c r="E21" i="12"/>
  <c r="F21" i="12"/>
  <c r="I21" i="12"/>
  <c r="H21" i="12"/>
  <c r="J21" i="12"/>
  <c r="D22" i="12" l="1"/>
  <c r="C22" i="12"/>
  <c r="AH21" i="12"/>
  <c r="N21" i="12"/>
  <c r="AF21" i="12"/>
  <c r="T21" i="12"/>
  <c r="R21" i="12"/>
  <c r="P21" i="12"/>
  <c r="AD21" i="12"/>
  <c r="AB21" i="12"/>
  <c r="V21" i="12"/>
  <c r="Z21" i="12"/>
  <c r="K21" i="12"/>
  <c r="AJ21" i="12"/>
  <c r="X21" i="12"/>
  <c r="B21" i="11"/>
  <c r="G20" i="11"/>
  <c r="L20" i="11"/>
  <c r="E20" i="11"/>
  <c r="F20" i="11"/>
  <c r="H20" i="11"/>
  <c r="I20" i="11"/>
  <c r="Q21" i="12" l="1"/>
  <c r="AK21" i="12"/>
  <c r="W21" i="12"/>
  <c r="AC21" i="12"/>
  <c r="AA21" i="12"/>
  <c r="AE21" i="12"/>
  <c r="O21" i="12"/>
  <c r="U21" i="12"/>
  <c r="AG21" i="12"/>
  <c r="AI21" i="12"/>
  <c r="Y21" i="12"/>
  <c r="S21" i="12"/>
  <c r="B23" i="12"/>
  <c r="E22" i="12"/>
  <c r="F22" i="12"/>
  <c r="H22" i="12"/>
  <c r="I22" i="12"/>
  <c r="C21" i="11"/>
  <c r="D21" i="11"/>
  <c r="G21" i="12"/>
  <c r="J22" i="12"/>
  <c r="B22" i="11" l="1"/>
  <c r="G21" i="11"/>
  <c r="H21" i="11"/>
  <c r="F21" i="11"/>
  <c r="I21" i="11"/>
  <c r="E21" i="11"/>
  <c r="L21" i="11"/>
  <c r="T22" i="12"/>
  <c r="V22" i="12"/>
  <c r="X22" i="12"/>
  <c r="AJ22" i="12"/>
  <c r="AF22" i="12"/>
  <c r="AB22" i="12"/>
  <c r="Z22" i="12"/>
  <c r="N22" i="12"/>
  <c r="AD22" i="12"/>
  <c r="AH22" i="12"/>
  <c r="P22" i="12"/>
  <c r="K22" i="12"/>
  <c r="R22" i="12"/>
  <c r="C23" i="12"/>
  <c r="D23" i="12"/>
  <c r="AG22" i="12" l="1"/>
  <c r="AE22" i="12"/>
  <c r="AK22" i="12"/>
  <c r="AA22" i="12"/>
  <c r="W22" i="12"/>
  <c r="AI22" i="12"/>
  <c r="O22" i="12"/>
  <c r="Y22" i="12"/>
  <c r="S22" i="12"/>
  <c r="Q22" i="12"/>
  <c r="AC22" i="12"/>
  <c r="U22" i="12"/>
  <c r="B24" i="12"/>
  <c r="H23" i="12"/>
  <c r="E23" i="12"/>
  <c r="I23" i="12"/>
  <c r="F23" i="12"/>
  <c r="J23" i="12"/>
  <c r="D22" i="11"/>
  <c r="C22" i="11"/>
  <c r="G22" i="12"/>
  <c r="T23" i="12" l="1"/>
  <c r="Z23" i="12"/>
  <c r="R23" i="12"/>
  <c r="N23" i="12"/>
  <c r="K23" i="12"/>
  <c r="AH23" i="12"/>
  <c r="AD23" i="12"/>
  <c r="AJ23" i="12"/>
  <c r="AK23" i="12" s="1"/>
  <c r="AB23" i="12"/>
  <c r="P23" i="12"/>
  <c r="X23" i="12"/>
  <c r="AF23" i="12"/>
  <c r="V23" i="12"/>
  <c r="B23" i="11"/>
  <c r="E22" i="11"/>
  <c r="G22" i="11"/>
  <c r="I22" i="11"/>
  <c r="F22" i="11"/>
  <c r="L22" i="11"/>
  <c r="H22" i="11"/>
  <c r="C24" i="12"/>
  <c r="J24" i="12" s="1"/>
  <c r="D24" i="12"/>
  <c r="AE23" i="12" l="1"/>
  <c r="AA23" i="12"/>
  <c r="AC23" i="12"/>
  <c r="AI23" i="12"/>
  <c r="O23" i="12"/>
  <c r="Q23" i="12"/>
  <c r="Y23" i="12"/>
  <c r="AG23" i="12"/>
  <c r="U23" i="12"/>
  <c r="W23" i="12"/>
  <c r="S23" i="12"/>
  <c r="AJ24" i="12"/>
  <c r="V24" i="12"/>
  <c r="Z24" i="12"/>
  <c r="AB24" i="12"/>
  <c r="X24" i="12"/>
  <c r="AF24" i="12"/>
  <c r="R24" i="12"/>
  <c r="N24" i="12"/>
  <c r="P24" i="12"/>
  <c r="AH24" i="12"/>
  <c r="AD24" i="12"/>
  <c r="T24" i="12"/>
  <c r="C23" i="11"/>
  <c r="D23" i="11"/>
  <c r="G23" i="12"/>
  <c r="B25" i="12"/>
  <c r="H24" i="12"/>
  <c r="F24" i="12"/>
  <c r="I24" i="12"/>
  <c r="K24" i="12" s="1"/>
  <c r="E24" i="12"/>
  <c r="AI24" i="12" l="1"/>
  <c r="O24" i="12"/>
  <c r="AA24" i="12"/>
  <c r="AC24" i="12"/>
  <c r="Y24" i="12"/>
  <c r="S24" i="12"/>
  <c r="W24" i="12"/>
  <c r="U24" i="12"/>
  <c r="Q24" i="12"/>
  <c r="AG24" i="12"/>
  <c r="AK24" i="12"/>
  <c r="AE24" i="12"/>
  <c r="C25" i="12"/>
  <c r="D25" i="12"/>
  <c r="B24" i="11"/>
  <c r="I23" i="11"/>
  <c r="G23" i="11"/>
  <c r="F23" i="11"/>
  <c r="H23" i="11"/>
  <c r="E23" i="11"/>
  <c r="L23" i="11"/>
  <c r="D24" i="11" l="1"/>
  <c r="C24" i="11"/>
  <c r="G24" i="12"/>
  <c r="B26" i="12"/>
  <c r="F25" i="12"/>
  <c r="E25" i="12"/>
  <c r="H25" i="12"/>
  <c r="I25" i="12"/>
  <c r="J25" i="12"/>
  <c r="B25" i="11" l="1"/>
  <c r="I24" i="11"/>
  <c r="L24" i="11"/>
  <c r="H24" i="11"/>
  <c r="E24" i="11"/>
  <c r="F24" i="11"/>
  <c r="G24" i="11"/>
  <c r="AJ25" i="12"/>
  <c r="V25" i="12"/>
  <c r="AH25" i="12"/>
  <c r="P25" i="12"/>
  <c r="K25" i="12"/>
  <c r="Z25" i="12"/>
  <c r="R25" i="12"/>
  <c r="T25" i="12"/>
  <c r="AB25" i="12"/>
  <c r="AF25" i="12"/>
  <c r="AG25" i="12" s="1"/>
  <c r="N25" i="12"/>
  <c r="X25" i="12"/>
  <c r="Y25" i="12" s="1"/>
  <c r="AD25" i="12"/>
  <c r="C26" i="12"/>
  <c r="J26" i="12" s="1"/>
  <c r="D26" i="12"/>
  <c r="E26" i="12" s="1"/>
  <c r="S25" i="12" l="1"/>
  <c r="U25" i="12"/>
  <c r="AA25" i="12"/>
  <c r="W25" i="12"/>
  <c r="AI25" i="12"/>
  <c r="AE25" i="12"/>
  <c r="Q25" i="12"/>
  <c r="AK25" i="12"/>
  <c r="AC25" i="12"/>
  <c r="O25" i="12"/>
  <c r="P26" i="12"/>
  <c r="AD26" i="12"/>
  <c r="AB26" i="12"/>
  <c r="X26" i="12"/>
  <c r="V26" i="12"/>
  <c r="AJ26" i="12"/>
  <c r="T26" i="12"/>
  <c r="AH26" i="12"/>
  <c r="Z26" i="12"/>
  <c r="R26" i="12"/>
  <c r="AF26" i="12"/>
  <c r="N26" i="12"/>
  <c r="B27" i="12"/>
  <c r="I26" i="12"/>
  <c r="K26" i="12" s="1"/>
  <c r="F26" i="12"/>
  <c r="H26" i="12"/>
  <c r="C25" i="11"/>
  <c r="D25" i="11"/>
  <c r="G25" i="12"/>
  <c r="U26" i="12" l="1"/>
  <c r="AK26" i="12"/>
  <c r="W26" i="12"/>
  <c r="Y26" i="12"/>
  <c r="AA26" i="12"/>
  <c r="AI26" i="12"/>
  <c r="AE26" i="12"/>
  <c r="Q26" i="12"/>
  <c r="O26" i="12"/>
  <c r="AG26" i="12"/>
  <c r="AC26" i="12"/>
  <c r="S26" i="12"/>
  <c r="B26" i="1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R27" i="12"/>
  <c r="AD27" i="12"/>
  <c r="P27" i="12"/>
  <c r="AH27" i="12"/>
  <c r="N27" i="12"/>
  <c r="AJ27" i="12"/>
  <c r="T27" i="12"/>
  <c r="AF27" i="12"/>
  <c r="Z27" i="12"/>
  <c r="V27" i="12"/>
  <c r="D28" i="12"/>
  <c r="C28" i="12"/>
  <c r="AI27" i="12" l="1"/>
  <c r="U27" i="12"/>
  <c r="AK27" i="12"/>
  <c r="O27" i="12"/>
  <c r="Q27" i="12"/>
  <c r="AE27" i="12"/>
  <c r="S27" i="12"/>
  <c r="AG27" i="12"/>
  <c r="Y27" i="12"/>
  <c r="AC27" i="12"/>
  <c r="W27" i="12"/>
  <c r="AA27" i="12"/>
  <c r="E28" i="12"/>
  <c r="B29" i="12"/>
  <c r="H28" i="12"/>
  <c r="F28" i="12"/>
  <c r="I28" i="12"/>
  <c r="J28" i="12"/>
  <c r="D27" i="11"/>
  <c r="C27" i="11"/>
  <c r="G27" i="12"/>
  <c r="E27" i="11" l="1"/>
  <c r="AD28" i="12"/>
  <c r="AB28" i="12"/>
  <c r="T28" i="12"/>
  <c r="V28" i="12"/>
  <c r="Z28" i="12"/>
  <c r="K28" i="12"/>
  <c r="P28" i="12"/>
  <c r="N28" i="12"/>
  <c r="AF28" i="12"/>
  <c r="R28" i="12"/>
  <c r="AJ28" i="12"/>
  <c r="X28" i="12"/>
  <c r="AH28" i="12"/>
  <c r="B28" i="11"/>
  <c r="H27" i="11"/>
  <c r="L27" i="11"/>
  <c r="G27" i="11"/>
  <c r="I27" i="11"/>
  <c r="F27" i="11"/>
  <c r="C29" i="12"/>
  <c r="D29" i="12"/>
  <c r="E29" i="12" s="1"/>
  <c r="U28" i="12" l="1"/>
  <c r="AI28" i="12"/>
  <c r="Y28" i="12"/>
  <c r="AG28" i="12"/>
  <c r="Q28" i="12"/>
  <c r="O28" i="12"/>
  <c r="W28" i="12"/>
  <c r="AE28" i="12"/>
  <c r="AA28" i="12"/>
  <c r="S28" i="12"/>
  <c r="AC28" i="12"/>
  <c r="AK28" i="12"/>
  <c r="B30" i="12"/>
  <c r="H29" i="12"/>
  <c r="I29" i="12"/>
  <c r="F29" i="12"/>
  <c r="C28" i="11"/>
  <c r="D28" i="11"/>
  <c r="G28" i="12"/>
  <c r="J29" i="12"/>
  <c r="E28" i="11" l="1"/>
  <c r="B29" i="11"/>
  <c r="F28" i="11"/>
  <c r="H28" i="11"/>
  <c r="L28" i="11"/>
  <c r="I28" i="11"/>
  <c r="G28" i="11"/>
  <c r="AF29" i="12"/>
  <c r="T29" i="12"/>
  <c r="P29" i="12"/>
  <c r="R29" i="12"/>
  <c r="AJ29" i="12"/>
  <c r="AD29" i="12"/>
  <c r="AB29" i="12"/>
  <c r="AH29" i="12"/>
  <c r="K29" i="12"/>
  <c r="Z29" i="12"/>
  <c r="V29" i="12"/>
  <c r="N29" i="12"/>
  <c r="X29" i="12"/>
  <c r="D30" i="12"/>
  <c r="C30" i="12"/>
  <c r="Y29" i="12" l="1"/>
  <c r="AG29" i="12"/>
  <c r="AE29" i="12"/>
  <c r="AK29" i="12"/>
  <c r="Q29" i="12"/>
  <c r="S29" i="12"/>
  <c r="U29" i="12"/>
  <c r="AI29" i="12"/>
  <c r="AA29" i="12"/>
  <c r="W29" i="12"/>
  <c r="AC29" i="12"/>
  <c r="O29" i="12"/>
  <c r="B31" i="12"/>
  <c r="H30" i="12"/>
  <c r="F30" i="12"/>
  <c r="I30" i="12"/>
  <c r="E30" i="12"/>
  <c r="J30" i="12"/>
  <c r="D29" i="11"/>
  <c r="C29" i="11"/>
  <c r="G29" i="12"/>
  <c r="B30" i="11" l="1"/>
  <c r="H29" i="11"/>
  <c r="L29" i="11"/>
  <c r="I29" i="11"/>
  <c r="F29" i="11"/>
  <c r="G29" i="11"/>
  <c r="R30" i="12"/>
  <c r="AH30" i="12"/>
  <c r="K30" i="12"/>
  <c r="Z30" i="12"/>
  <c r="V30" i="12"/>
  <c r="T30" i="12"/>
  <c r="AB30" i="12"/>
  <c r="N30" i="12"/>
  <c r="AF30" i="12"/>
  <c r="AD30" i="12"/>
  <c r="P30" i="12"/>
  <c r="AJ30" i="12"/>
  <c r="X30" i="12"/>
  <c r="E29" i="11"/>
  <c r="D31" i="12"/>
  <c r="C31" i="12"/>
  <c r="J31" i="12" s="1"/>
  <c r="AK30" i="12" l="1"/>
  <c r="Q30" i="12"/>
  <c r="AE30" i="12"/>
  <c r="AC30" i="12"/>
  <c r="W30" i="12"/>
  <c r="U30" i="12"/>
  <c r="AI30" i="12"/>
  <c r="AG30" i="12"/>
  <c r="Y30" i="12"/>
  <c r="AA30" i="12"/>
  <c r="S30" i="12"/>
  <c r="O30" i="12"/>
  <c r="E31" i="12"/>
  <c r="T31" i="12"/>
  <c r="AJ31" i="12"/>
  <c r="AB31" i="12"/>
  <c r="P31" i="12"/>
  <c r="R31" i="12"/>
  <c r="N31" i="12"/>
  <c r="Z31" i="12"/>
  <c r="AF31" i="12"/>
  <c r="AH31" i="12"/>
  <c r="X31" i="12"/>
  <c r="AD31" i="12"/>
  <c r="V31" i="12"/>
  <c r="B32" i="12"/>
  <c r="I31" i="12"/>
  <c r="K31" i="12" s="1"/>
  <c r="F31" i="12"/>
  <c r="H31" i="12"/>
  <c r="D30" i="11"/>
  <c r="C30" i="11"/>
  <c r="G30" i="12"/>
  <c r="W31" i="12" l="1"/>
  <c r="AK31" i="12"/>
  <c r="S31" i="12"/>
  <c r="Q31" i="12"/>
  <c r="O31" i="12"/>
  <c r="U31" i="12"/>
  <c r="AG31" i="12"/>
  <c r="AE31" i="12"/>
  <c r="AC31" i="12"/>
  <c r="AA31" i="12"/>
  <c r="AI31" i="12"/>
  <c r="Y31" i="12"/>
  <c r="B31" i="11"/>
  <c r="L30" i="11"/>
  <c r="I30" i="11"/>
  <c r="G30" i="11"/>
  <c r="H30" i="11"/>
  <c r="F30" i="11"/>
  <c r="E30" i="11"/>
  <c r="C32" i="12"/>
  <c r="D32" i="12"/>
  <c r="E32" i="12" l="1"/>
  <c r="B33" i="12"/>
  <c r="H32" i="12"/>
  <c r="I32" i="12"/>
  <c r="F32" i="12"/>
  <c r="J32" i="12"/>
  <c r="C31" i="11"/>
  <c r="D31" i="11"/>
  <c r="G31" i="12"/>
  <c r="E31" i="11" l="1"/>
  <c r="B32" i="11"/>
  <c r="L31" i="11"/>
  <c r="H31" i="11"/>
  <c r="I31" i="11"/>
  <c r="G31" i="11"/>
  <c r="F31" i="11"/>
  <c r="AD32" i="12"/>
  <c r="X32" i="12"/>
  <c r="Z32" i="12"/>
  <c r="AJ32" i="12"/>
  <c r="N32" i="12"/>
  <c r="T32" i="12"/>
  <c r="K32" i="12"/>
  <c r="R32" i="12"/>
  <c r="P32" i="12"/>
  <c r="V32" i="12"/>
  <c r="AB32" i="12"/>
  <c r="AF32" i="12"/>
  <c r="AH32" i="12"/>
  <c r="D33" i="12"/>
  <c r="C33" i="12"/>
  <c r="J33" i="12" s="1"/>
  <c r="AC32" i="12" l="1"/>
  <c r="AA32" i="12"/>
  <c r="O32" i="12"/>
  <c r="U32" i="12"/>
  <c r="AK32" i="12"/>
  <c r="AG32" i="12"/>
  <c r="Y32" i="12"/>
  <c r="W32" i="12"/>
  <c r="AI32" i="12"/>
  <c r="Q32" i="12"/>
  <c r="AE32" i="12"/>
  <c r="S32" i="12"/>
  <c r="AH33" i="12"/>
  <c r="AJ33" i="12"/>
  <c r="N33" i="12"/>
  <c r="R33" i="12"/>
  <c r="AF33" i="12"/>
  <c r="Z33" i="12"/>
  <c r="T33" i="12"/>
  <c r="P33" i="12"/>
  <c r="V33" i="12"/>
  <c r="X33" i="12"/>
  <c r="AB33" i="12"/>
  <c r="AD33" i="12"/>
  <c r="B34" i="12"/>
  <c r="H33" i="12"/>
  <c r="F33" i="12"/>
  <c r="I33" i="12"/>
  <c r="K33" i="12" s="1"/>
  <c r="D32" i="11"/>
  <c r="C32" i="11"/>
  <c r="G32" i="12"/>
  <c r="E33" i="12"/>
  <c r="AA33" i="12" l="1"/>
  <c r="AG33" i="12"/>
  <c r="O33" i="12"/>
  <c r="AK33" i="12"/>
  <c r="AC33" i="12"/>
  <c r="U33" i="12"/>
  <c r="AE33" i="12"/>
  <c r="Q33" i="12"/>
  <c r="W33" i="12"/>
  <c r="S33" i="12"/>
  <c r="AI33" i="12"/>
  <c r="Y33" i="12"/>
  <c r="E32" i="11"/>
  <c r="B33" i="11"/>
  <c r="L32" i="11"/>
  <c r="I32" i="11"/>
  <c r="F32" i="11"/>
  <c r="H32" i="11"/>
  <c r="G32" i="11"/>
  <c r="D34" i="12"/>
  <c r="C34" i="12"/>
  <c r="B35" i="12" l="1"/>
  <c r="I34" i="12"/>
  <c r="H34" i="12"/>
  <c r="F34" i="12"/>
  <c r="J34" i="12"/>
  <c r="E34" i="12"/>
  <c r="C33" i="11"/>
  <c r="D33" i="11"/>
  <c r="G33" i="12"/>
  <c r="B34" i="11" l="1"/>
  <c r="I33" i="11"/>
  <c r="F33" i="11"/>
  <c r="G33" i="11"/>
  <c r="L33" i="11"/>
  <c r="H33" i="11"/>
  <c r="P34" i="12"/>
  <c r="R34" i="12"/>
  <c r="X34" i="12"/>
  <c r="K34" i="12"/>
  <c r="V34" i="12"/>
  <c r="AD34" i="12"/>
  <c r="AB34" i="12"/>
  <c r="N34" i="12"/>
  <c r="AJ34" i="12"/>
  <c r="AH34" i="12"/>
  <c r="Z34" i="12"/>
  <c r="AF34" i="12"/>
  <c r="T34" i="12"/>
  <c r="E33" i="11"/>
  <c r="C35" i="12"/>
  <c r="D35" i="12"/>
  <c r="U34" i="12" l="1"/>
  <c r="AG34" i="12"/>
  <c r="AK34" i="12"/>
  <c r="O34" i="12"/>
  <c r="AE34" i="12"/>
  <c r="W34" i="12"/>
  <c r="Y34" i="12"/>
  <c r="AI34" i="12"/>
  <c r="S34" i="12"/>
  <c r="AA34" i="12"/>
  <c r="AC34" i="12"/>
  <c r="Q34" i="12"/>
  <c r="B36" i="12"/>
  <c r="I35" i="12"/>
  <c r="H35" i="12"/>
  <c r="F35" i="12"/>
  <c r="J35" i="12"/>
  <c r="E35" i="12"/>
  <c r="C34" i="11"/>
  <c r="D34" i="11"/>
  <c r="G34" i="12"/>
  <c r="AJ35" i="12" l="1"/>
  <c r="Z35" i="12"/>
  <c r="T35" i="12"/>
  <c r="AF35" i="12"/>
  <c r="AB35" i="12"/>
  <c r="P35" i="12"/>
  <c r="AD35" i="12"/>
  <c r="X35" i="12"/>
  <c r="R35" i="12"/>
  <c r="N35" i="12"/>
  <c r="V35" i="12"/>
  <c r="K35" i="12"/>
  <c r="AH35" i="12"/>
  <c r="B35" i="11"/>
  <c r="L34" i="11"/>
  <c r="H34" i="11"/>
  <c r="G34" i="11"/>
  <c r="I34" i="11"/>
  <c r="F34" i="11"/>
  <c r="E34" i="11"/>
  <c r="C36" i="12"/>
  <c r="J36" i="12" s="1"/>
  <c r="D36" i="12"/>
  <c r="AK35" i="12" l="1"/>
  <c r="AI35" i="12"/>
  <c r="W35" i="12"/>
  <c r="Q35" i="12"/>
  <c r="O35" i="12"/>
  <c r="AG35" i="12"/>
  <c r="AE35" i="12"/>
  <c r="AC35" i="12"/>
  <c r="S35" i="12"/>
  <c r="Y35" i="12"/>
  <c r="AA35" i="12"/>
  <c r="U35" i="12"/>
  <c r="V36" i="12"/>
  <c r="AB36" i="12"/>
  <c r="AJ36" i="12"/>
  <c r="P36" i="12"/>
  <c r="AH36" i="12"/>
  <c r="AD36" i="12"/>
  <c r="X36" i="12"/>
  <c r="N36" i="12"/>
  <c r="Z36" i="12"/>
  <c r="R36" i="12"/>
  <c r="T36" i="12"/>
  <c r="AF36" i="12"/>
  <c r="E36" i="12"/>
  <c r="D35" i="11"/>
  <c r="C35" i="11"/>
  <c r="G35" i="12"/>
  <c r="B37" i="12"/>
  <c r="I36" i="12"/>
  <c r="K36" i="12" s="1"/>
  <c r="H36" i="12"/>
  <c r="F36" i="12"/>
  <c r="AE36" i="12" l="1"/>
  <c r="Q36" i="12"/>
  <c r="W36" i="12"/>
  <c r="AK36" i="12"/>
  <c r="O36" i="12"/>
  <c r="Y36" i="12"/>
  <c r="AI36" i="12"/>
  <c r="AA36" i="12"/>
  <c r="AG36" i="12"/>
  <c r="S36" i="12"/>
  <c r="AC36" i="12"/>
  <c r="U36" i="12"/>
  <c r="E35" i="11"/>
  <c r="D37" i="12"/>
  <c r="C37" i="12"/>
  <c r="B36" i="11"/>
  <c r="H35" i="11"/>
  <c r="L35" i="11"/>
  <c r="I35" i="11"/>
  <c r="G35" i="11"/>
  <c r="F35" i="11"/>
  <c r="E37" i="12" l="1"/>
  <c r="D36" i="11"/>
  <c r="C36" i="11"/>
  <c r="G36" i="12"/>
  <c r="B38" i="12"/>
  <c r="F37" i="12"/>
  <c r="I37" i="12"/>
  <c r="H37" i="12"/>
  <c r="J37" i="12"/>
  <c r="E36" i="11" l="1"/>
  <c r="B37" i="11"/>
  <c r="I36" i="11"/>
  <c r="L36" i="11"/>
  <c r="H36" i="11"/>
  <c r="F36" i="11"/>
  <c r="G36" i="11"/>
  <c r="AB37" i="12"/>
  <c r="X37" i="12"/>
  <c r="V37" i="12"/>
  <c r="K37" i="12"/>
  <c r="AF37" i="12"/>
  <c r="AH37" i="12"/>
  <c r="P37" i="12"/>
  <c r="N37" i="12"/>
  <c r="R37" i="12"/>
  <c r="T37" i="12"/>
  <c r="AJ37" i="12"/>
  <c r="Z37" i="12"/>
  <c r="AD37" i="12"/>
  <c r="D38" i="12"/>
  <c r="C38" i="12"/>
  <c r="Q37" i="12" l="1"/>
  <c r="AI37" i="12"/>
  <c r="AE37" i="12"/>
  <c r="AG37" i="12"/>
  <c r="W37" i="12"/>
  <c r="Y37" i="12"/>
  <c r="U37" i="12"/>
  <c r="AK37" i="12"/>
  <c r="O37" i="12"/>
  <c r="S37" i="12"/>
  <c r="AA37" i="12"/>
  <c r="AC37" i="12"/>
  <c r="E38" i="12"/>
  <c r="B39" i="12"/>
  <c r="I38" i="12"/>
  <c r="H38" i="12"/>
  <c r="F38" i="12"/>
  <c r="J38" i="12"/>
  <c r="C37" i="11"/>
  <c r="D37" i="11"/>
  <c r="G37" i="12"/>
  <c r="E37" i="11" l="1"/>
  <c r="B38" i="11"/>
  <c r="F37" i="11"/>
  <c r="H37" i="11"/>
  <c r="G37" i="11"/>
  <c r="I37" i="11"/>
  <c r="L37" i="11"/>
  <c r="X38" i="12"/>
  <c r="AD38" i="12"/>
  <c r="AH38" i="12"/>
  <c r="R38" i="12"/>
  <c r="AJ38" i="12"/>
  <c r="N38" i="12"/>
  <c r="V38" i="12"/>
  <c r="Z38" i="12"/>
  <c r="P38" i="12"/>
  <c r="AF38" i="12"/>
  <c r="K38" i="12"/>
  <c r="T38" i="12"/>
  <c r="AB38" i="12"/>
  <c r="D39" i="12"/>
  <c r="C39" i="12"/>
  <c r="Y38" i="12" l="1"/>
  <c r="S38" i="12"/>
  <c r="AG38" i="12"/>
  <c r="AA38" i="12"/>
  <c r="W38" i="12"/>
  <c r="O38" i="12"/>
  <c r="AK38" i="12"/>
  <c r="AI38" i="12"/>
  <c r="AE38" i="12"/>
  <c r="AC38" i="12"/>
  <c r="U38" i="12"/>
  <c r="Q38" i="12"/>
  <c r="B40" i="12"/>
  <c r="I39" i="12"/>
  <c r="H39" i="12"/>
  <c r="F39" i="12"/>
  <c r="E39" i="12"/>
  <c r="J39" i="12"/>
  <c r="D38" i="11"/>
  <c r="C38" i="11"/>
  <c r="G38" i="12"/>
  <c r="E38" i="11" l="1"/>
  <c r="B39" i="11"/>
  <c r="H38" i="11"/>
  <c r="I38" i="11"/>
  <c r="F38" i="11"/>
  <c r="L38" i="11"/>
  <c r="G38" i="11"/>
  <c r="V39" i="12"/>
  <c r="AF39" i="12"/>
  <c r="AD39" i="12"/>
  <c r="AJ39" i="12"/>
  <c r="X39" i="12"/>
  <c r="R39" i="12"/>
  <c r="AH39" i="12"/>
  <c r="T39" i="12"/>
  <c r="AB39" i="12"/>
  <c r="K39" i="12"/>
  <c r="N39" i="12"/>
  <c r="Z39" i="12"/>
  <c r="P39" i="12"/>
  <c r="C40" i="12"/>
  <c r="D40" i="12"/>
  <c r="E40" i="12" s="1"/>
  <c r="AC39" i="12" l="1"/>
  <c r="AA39" i="12"/>
  <c r="U39" i="12"/>
  <c r="AK39" i="12"/>
  <c r="S39" i="12"/>
  <c r="AE39" i="12"/>
  <c r="Q39" i="12"/>
  <c r="Y39" i="12"/>
  <c r="AG39" i="12"/>
  <c r="W39" i="12"/>
  <c r="O39" i="12"/>
  <c r="AI39" i="12"/>
  <c r="B41" i="12"/>
  <c r="I40" i="12"/>
  <c r="H40" i="12"/>
  <c r="F40" i="12"/>
  <c r="J40" i="12"/>
  <c r="D39" i="11"/>
  <c r="C39" i="11"/>
  <c r="G39" i="12"/>
  <c r="B40" i="11" l="1"/>
  <c r="G39" i="11"/>
  <c r="I39" i="11"/>
  <c r="H39" i="11"/>
  <c r="F39" i="11"/>
  <c r="L39" i="11"/>
  <c r="AF40" i="12"/>
  <c r="R40" i="12"/>
  <c r="Z40" i="12"/>
  <c r="AJ40" i="12"/>
  <c r="P40" i="12"/>
  <c r="V40" i="12"/>
  <c r="N40" i="12"/>
  <c r="T40" i="12"/>
  <c r="AD40" i="12"/>
  <c r="AB40" i="12"/>
  <c r="AH40" i="12"/>
  <c r="K40" i="12"/>
  <c r="X40" i="12"/>
  <c r="E39" i="11"/>
  <c r="D41" i="12"/>
  <c r="C41" i="12"/>
  <c r="J41" i="12" s="1"/>
  <c r="AG40" i="12" l="1"/>
  <c r="AI40" i="12"/>
  <c r="Q40" i="12"/>
  <c r="S40" i="12"/>
  <c r="Y40" i="12"/>
  <c r="W40" i="12"/>
  <c r="AA40" i="12"/>
  <c r="O40" i="12"/>
  <c r="AK40" i="12"/>
  <c r="U40" i="12"/>
  <c r="AC40" i="12"/>
  <c r="AE40" i="12"/>
  <c r="E41" i="12"/>
  <c r="AJ41" i="12"/>
  <c r="T41" i="12"/>
  <c r="Z41" i="12"/>
  <c r="AD41" i="12"/>
  <c r="N41" i="12"/>
  <c r="AH41" i="12"/>
  <c r="AB41" i="12"/>
  <c r="V41" i="12"/>
  <c r="AF41" i="12"/>
  <c r="X41" i="12"/>
  <c r="R41" i="12"/>
  <c r="P41" i="12"/>
  <c r="B42" i="12"/>
  <c r="F41" i="12"/>
  <c r="I41" i="12"/>
  <c r="K41" i="12" s="1"/>
  <c r="H41" i="12"/>
  <c r="D40" i="11"/>
  <c r="C40" i="11"/>
  <c r="G40" i="12"/>
  <c r="AE41" i="12" l="1"/>
  <c r="AI41" i="12"/>
  <c r="W41" i="12"/>
  <c r="AC41" i="12"/>
  <c r="AK41" i="12"/>
  <c r="Y41" i="12"/>
  <c r="Q41" i="12"/>
  <c r="U41" i="12"/>
  <c r="AG41" i="12"/>
  <c r="AA41" i="12"/>
  <c r="S41" i="12"/>
  <c r="O41" i="12"/>
  <c r="C42" i="12"/>
  <c r="D42" i="12"/>
  <c r="B41" i="11"/>
  <c r="G40" i="11"/>
  <c r="L40" i="11"/>
  <c r="F40" i="11"/>
  <c r="H40" i="11"/>
  <c r="I40" i="11"/>
  <c r="E40" i="11"/>
  <c r="E10" i="12"/>
  <c r="B43" i="12" l="1"/>
  <c r="I42" i="12"/>
  <c r="F42" i="12"/>
  <c r="H42" i="12"/>
  <c r="J42" i="12"/>
  <c r="C41" i="11"/>
  <c r="D41" i="11"/>
  <c r="G41" i="12"/>
  <c r="E42" i="12"/>
  <c r="K42" i="12" l="1"/>
  <c r="N42" i="12"/>
  <c r="AB42" i="12"/>
  <c r="X42" i="12"/>
  <c r="Z42" i="12"/>
  <c r="AD42" i="12"/>
  <c r="AF42" i="12"/>
  <c r="AH42" i="12"/>
  <c r="T42" i="12"/>
  <c r="P42" i="12"/>
  <c r="V42" i="12"/>
  <c r="R42" i="12"/>
  <c r="AJ42" i="12"/>
  <c r="B42" i="11"/>
  <c r="L41" i="11"/>
  <c r="I41" i="11"/>
  <c r="G41" i="11"/>
  <c r="F41" i="11"/>
  <c r="H41" i="11"/>
  <c r="E41" i="11"/>
  <c r="C43" i="12"/>
  <c r="D43" i="12"/>
  <c r="W42" i="12" l="1"/>
  <c r="AG42" i="12"/>
  <c r="AI42" i="12"/>
  <c r="AE42" i="12"/>
  <c r="AK42" i="12"/>
  <c r="S42" i="12"/>
  <c r="Q42" i="12"/>
  <c r="U42" i="12"/>
  <c r="O42" i="12"/>
  <c r="AA42" i="12"/>
  <c r="Y42" i="12"/>
  <c r="AC42" i="12"/>
  <c r="E43" i="12"/>
  <c r="B44" i="12"/>
  <c r="H43" i="12"/>
  <c r="F43" i="12"/>
  <c r="I43" i="12"/>
  <c r="J43" i="12"/>
  <c r="D42" i="11"/>
  <c r="C42" i="11"/>
  <c r="G42" i="12"/>
  <c r="E42" i="11" l="1"/>
  <c r="B43" i="11"/>
  <c r="F42" i="11"/>
  <c r="H42" i="11"/>
  <c r="G42" i="11"/>
  <c r="L42" i="11"/>
  <c r="I42" i="11"/>
  <c r="T43" i="12"/>
  <c r="P43" i="12"/>
  <c r="AJ43" i="12"/>
  <c r="V43" i="12"/>
  <c r="AH43" i="12"/>
  <c r="AB43" i="12"/>
  <c r="AF43" i="12"/>
  <c r="X43" i="12"/>
  <c r="Z43" i="12"/>
  <c r="R43" i="12"/>
  <c r="AD43" i="12"/>
  <c r="N43" i="12"/>
  <c r="K43" i="12"/>
  <c r="D44" i="12"/>
  <c r="C44" i="12"/>
  <c r="AC43" i="12" l="1"/>
  <c r="Q43" i="12"/>
  <c r="AA43" i="12"/>
  <c r="AG43" i="12"/>
  <c r="AK43" i="12"/>
  <c r="O43" i="12"/>
  <c r="AI43" i="12"/>
  <c r="W43" i="12"/>
  <c r="U43" i="12"/>
  <c r="AE43" i="12"/>
  <c r="Y43" i="12"/>
  <c r="S43" i="12"/>
  <c r="J44" i="12"/>
  <c r="E44" i="12"/>
  <c r="B45" i="12"/>
  <c r="H44" i="12"/>
  <c r="I44" i="12"/>
  <c r="F44" i="12"/>
  <c r="C43" i="11"/>
  <c r="D43" i="11"/>
  <c r="G43" i="12"/>
  <c r="AH44" i="12" l="1"/>
  <c r="Z44" i="12"/>
  <c r="N44" i="12"/>
  <c r="P44" i="12"/>
  <c r="V44" i="12"/>
  <c r="AF44" i="12"/>
  <c r="R44" i="12"/>
  <c r="AD44" i="12"/>
  <c r="AB44" i="12"/>
  <c r="T44" i="12"/>
  <c r="AJ44" i="12"/>
  <c r="X44" i="12"/>
  <c r="K44" i="12"/>
  <c r="C45" i="12"/>
  <c r="D45" i="12"/>
  <c r="E43" i="11"/>
  <c r="B44" i="11"/>
  <c r="H43" i="11"/>
  <c r="I43" i="11"/>
  <c r="L43" i="11"/>
  <c r="G43" i="11"/>
  <c r="F43" i="11"/>
  <c r="S44" i="12" l="1"/>
  <c r="AK44" i="12"/>
  <c r="Q44" i="12"/>
  <c r="U44" i="12"/>
  <c r="AC44" i="12"/>
  <c r="W44" i="12"/>
  <c r="AA44" i="12"/>
  <c r="Y44" i="12"/>
  <c r="O44" i="12"/>
  <c r="AE44" i="12"/>
  <c r="AG44" i="12"/>
  <c r="AI44" i="12"/>
  <c r="E45" i="12"/>
  <c r="B46" i="12"/>
  <c r="I45" i="12"/>
  <c r="H45" i="12"/>
  <c r="F45" i="12"/>
  <c r="J45" i="12"/>
  <c r="C44" i="11"/>
  <c r="D44" i="11"/>
  <c r="G44" i="12"/>
  <c r="B45" i="11" l="1"/>
  <c r="L44" i="11"/>
  <c r="F44" i="11"/>
  <c r="I44" i="11"/>
  <c r="G44" i="11"/>
  <c r="H44" i="11"/>
  <c r="C46" i="12"/>
  <c r="D46" i="12"/>
  <c r="V45" i="12"/>
  <c r="X45" i="12"/>
  <c r="N45" i="12"/>
  <c r="P45" i="12"/>
  <c r="AJ45" i="12"/>
  <c r="AF45" i="12"/>
  <c r="K45" i="12"/>
  <c r="Z45" i="12"/>
  <c r="AB45" i="12"/>
  <c r="T45" i="12"/>
  <c r="AH45" i="12"/>
  <c r="AD45" i="12"/>
  <c r="R45" i="12"/>
  <c r="E44" i="11"/>
  <c r="W45" i="12" l="1"/>
  <c r="AK45" i="12"/>
  <c r="Q45" i="12"/>
  <c r="AE45" i="12"/>
  <c r="AI45" i="12"/>
  <c r="O45" i="12"/>
  <c r="U45" i="12"/>
  <c r="AC45" i="12"/>
  <c r="S45" i="12"/>
  <c r="AA45" i="12"/>
  <c r="AG45" i="12"/>
  <c r="Y45" i="12"/>
  <c r="E46" i="12"/>
  <c r="B47" i="12"/>
  <c r="I46" i="12"/>
  <c r="F46" i="12"/>
  <c r="H46" i="12"/>
  <c r="J46" i="12"/>
  <c r="C45" i="11"/>
  <c r="D45" i="11"/>
  <c r="G45" i="12"/>
  <c r="E45" i="11" l="1"/>
  <c r="AH46" i="12"/>
  <c r="Z46" i="12"/>
  <c r="K46" i="12"/>
  <c r="AJ46" i="12"/>
  <c r="R46" i="12"/>
  <c r="P46" i="12"/>
  <c r="Q46" i="12" s="1"/>
  <c r="AF46" i="12"/>
  <c r="AG46" i="12" s="1"/>
  <c r="X46" i="12"/>
  <c r="N46" i="12"/>
  <c r="AB46" i="12"/>
  <c r="V46" i="12"/>
  <c r="T46" i="12"/>
  <c r="AD46" i="12"/>
  <c r="B46" i="11"/>
  <c r="F45" i="11"/>
  <c r="I45" i="11"/>
  <c r="L45" i="11"/>
  <c r="H45" i="11"/>
  <c r="G45" i="11"/>
  <c r="C47" i="12"/>
  <c r="J47" i="12" s="1"/>
  <c r="D47" i="12"/>
  <c r="AE46" i="12" l="1"/>
  <c r="AC46" i="12"/>
  <c r="U46" i="12"/>
  <c r="O46" i="12"/>
  <c r="Y46" i="12"/>
  <c r="AI46" i="12"/>
  <c r="S46" i="12"/>
  <c r="W46" i="12"/>
  <c r="AK46" i="12"/>
  <c r="AA46" i="12"/>
  <c r="E47" i="12"/>
  <c r="AH47" i="12"/>
  <c r="AF47" i="12"/>
  <c r="N47" i="12"/>
  <c r="T47" i="12"/>
  <c r="AD47" i="12"/>
  <c r="X47" i="12"/>
  <c r="Z47" i="12"/>
  <c r="AJ47" i="12"/>
  <c r="P47" i="12"/>
  <c r="AB47" i="12"/>
  <c r="R47" i="12"/>
  <c r="V47" i="12"/>
  <c r="C46" i="11"/>
  <c r="D46" i="11"/>
  <c r="G46" i="12"/>
  <c r="B48" i="12"/>
  <c r="F47" i="12"/>
  <c r="H47" i="12"/>
  <c r="I47" i="12"/>
  <c r="K47" i="12" s="1"/>
  <c r="W47" i="12" l="1"/>
  <c r="S47" i="12"/>
  <c r="AC47" i="12"/>
  <c r="Q47" i="12"/>
  <c r="AA47" i="12"/>
  <c r="O47" i="12"/>
  <c r="Y47" i="12"/>
  <c r="AK47" i="12"/>
  <c r="U47" i="12"/>
  <c r="AE47" i="12"/>
  <c r="AG47" i="12"/>
  <c r="AI47" i="12"/>
  <c r="E46" i="11"/>
  <c r="B47" i="11"/>
  <c r="H46" i="11"/>
  <c r="I46" i="11"/>
  <c r="G46" i="11"/>
  <c r="F46" i="11"/>
  <c r="L46" i="11"/>
  <c r="C48" i="12"/>
  <c r="D48" i="12"/>
  <c r="B49" i="12" l="1"/>
  <c r="I48" i="12"/>
  <c r="F48" i="12"/>
  <c r="H48" i="12"/>
  <c r="J48" i="12"/>
  <c r="E48" i="12"/>
  <c r="D47" i="11"/>
  <c r="C47" i="11"/>
  <c r="G47" i="12"/>
  <c r="B48" i="11" l="1"/>
  <c r="H47" i="11"/>
  <c r="F47" i="11"/>
  <c r="L47" i="11"/>
  <c r="I47" i="11"/>
  <c r="G47" i="11"/>
  <c r="T48" i="12"/>
  <c r="P48" i="12"/>
  <c r="R48" i="12"/>
  <c r="Z48" i="12"/>
  <c r="AD48" i="12"/>
  <c r="AB48" i="12"/>
  <c r="K48" i="12"/>
  <c r="AJ48" i="12"/>
  <c r="N48" i="12"/>
  <c r="V48" i="12"/>
  <c r="X48" i="12"/>
  <c r="AH48" i="12"/>
  <c r="AI48" i="12" s="1"/>
  <c r="AF48" i="12"/>
  <c r="E47" i="11"/>
  <c r="D49" i="12"/>
  <c r="C49" i="12"/>
  <c r="J49" i="12" s="1"/>
  <c r="AK48" i="12" l="1"/>
  <c r="AC48" i="12"/>
  <c r="W48" i="12"/>
  <c r="U48" i="12"/>
  <c r="AE48" i="12"/>
  <c r="Q48" i="12"/>
  <c r="AA48" i="12"/>
  <c r="O48" i="12"/>
  <c r="AG48" i="12"/>
  <c r="S48" i="12"/>
  <c r="Y48" i="12"/>
  <c r="E49" i="12"/>
  <c r="AH49" i="12"/>
  <c r="R49" i="12"/>
  <c r="X49" i="12"/>
  <c r="V49" i="12"/>
  <c r="P49" i="12"/>
  <c r="AJ49" i="12"/>
  <c r="T49" i="12"/>
  <c r="Z49" i="12"/>
  <c r="AF49" i="12"/>
  <c r="AB49" i="12"/>
  <c r="AD49" i="12"/>
  <c r="N49" i="12"/>
  <c r="B50" i="12"/>
  <c r="I49" i="12"/>
  <c r="K49" i="12" s="1"/>
  <c r="F49" i="12"/>
  <c r="H49" i="12"/>
  <c r="C48" i="11"/>
  <c r="D48" i="11"/>
  <c r="G48" i="12"/>
  <c r="U49" i="12" l="1"/>
  <c r="AA49" i="12"/>
  <c r="W49" i="12"/>
  <c r="AI49" i="12"/>
  <c r="AE49" i="12"/>
  <c r="AK49" i="12"/>
  <c r="S49" i="12"/>
  <c r="Y49" i="12"/>
  <c r="AG49" i="12"/>
  <c r="O49" i="12"/>
  <c r="AC49" i="12"/>
  <c r="Q49" i="12"/>
  <c r="B49" i="11"/>
  <c r="H48" i="11"/>
  <c r="F48" i="11"/>
  <c r="L48" i="11"/>
  <c r="I48" i="11"/>
  <c r="G48" i="11"/>
  <c r="C50" i="12"/>
  <c r="D50" i="12"/>
  <c r="E48" i="11"/>
  <c r="B51" i="12" l="1"/>
  <c r="H50" i="12"/>
  <c r="I50" i="12"/>
  <c r="F50" i="12"/>
  <c r="J50" i="12"/>
  <c r="E50" i="12"/>
  <c r="D49" i="11"/>
  <c r="C49" i="11"/>
  <c r="G49" i="12"/>
  <c r="AF50" i="12" l="1"/>
  <c r="X50" i="12"/>
  <c r="AH50" i="12"/>
  <c r="AJ50" i="12"/>
  <c r="AB50" i="12"/>
  <c r="Z50" i="12"/>
  <c r="R50" i="12"/>
  <c r="N50" i="12"/>
  <c r="AD50" i="12"/>
  <c r="P50" i="12"/>
  <c r="K50" i="12"/>
  <c r="T50" i="12"/>
  <c r="V50" i="12"/>
  <c r="B50" i="11"/>
  <c r="L49" i="11"/>
  <c r="F49" i="11"/>
  <c r="G49" i="11"/>
  <c r="I49" i="11"/>
  <c r="H49" i="11"/>
  <c r="E49" i="11"/>
  <c r="C51" i="12"/>
  <c r="J51" i="12" s="1"/>
  <c r="D51" i="12"/>
  <c r="S50" i="12" l="1"/>
  <c r="Q50" i="12"/>
  <c r="W50" i="12"/>
  <c r="U50" i="12"/>
  <c r="AE50" i="12"/>
  <c r="AI50" i="12"/>
  <c r="AA50" i="12"/>
  <c r="AC50" i="12"/>
  <c r="Y50" i="12"/>
  <c r="O50" i="12"/>
  <c r="AK50" i="12"/>
  <c r="AG50" i="12"/>
  <c r="AB51" i="12"/>
  <c r="AF51" i="12"/>
  <c r="V51" i="12"/>
  <c r="X51" i="12"/>
  <c r="AH51" i="12"/>
  <c r="N51" i="12"/>
  <c r="Z51" i="12"/>
  <c r="T51" i="12"/>
  <c r="AD51" i="12"/>
  <c r="R51" i="12"/>
  <c r="AJ51" i="12"/>
  <c r="P51" i="12"/>
  <c r="D50" i="11"/>
  <c r="C50" i="11"/>
  <c r="G50" i="12"/>
  <c r="B52" i="12"/>
  <c r="F51" i="12"/>
  <c r="H51" i="12"/>
  <c r="E51" i="12"/>
  <c r="I51" i="12"/>
  <c r="K51" i="12" s="1"/>
  <c r="W51" i="12" l="1"/>
  <c r="U51" i="12"/>
  <c r="AI51" i="12"/>
  <c r="Y51" i="12"/>
  <c r="AG51" i="12"/>
  <c r="AK51" i="12"/>
  <c r="AC51" i="12"/>
  <c r="Q51" i="12"/>
  <c r="S51" i="12"/>
  <c r="O51" i="12"/>
  <c r="AE51" i="12"/>
  <c r="AA51" i="12"/>
  <c r="E50" i="11"/>
  <c r="C52" i="12"/>
  <c r="D52" i="12"/>
  <c r="B51" i="11"/>
  <c r="I50" i="11"/>
  <c r="H50" i="11"/>
  <c r="G50" i="11"/>
  <c r="F50" i="11"/>
  <c r="L50" i="11"/>
  <c r="E52" i="12" l="1"/>
  <c r="C51" i="11"/>
  <c r="D51" i="11"/>
  <c r="G51" i="12"/>
  <c r="B53" i="12"/>
  <c r="F52" i="12"/>
  <c r="H52" i="12"/>
  <c r="I52" i="12"/>
  <c r="J52" i="12"/>
  <c r="E51" i="11" l="1"/>
  <c r="B52" i="11"/>
  <c r="H51" i="11"/>
  <c r="G51" i="11"/>
  <c r="I51" i="11"/>
  <c r="L51" i="11"/>
  <c r="F51" i="11"/>
  <c r="K52" i="12"/>
  <c r="Z52" i="12"/>
  <c r="N52" i="12"/>
  <c r="AH52" i="12"/>
  <c r="AF52" i="12"/>
  <c r="P52" i="12"/>
  <c r="AJ52" i="12"/>
  <c r="X52" i="12"/>
  <c r="AD52" i="12"/>
  <c r="T52" i="12"/>
  <c r="R52" i="12"/>
  <c r="V52" i="12"/>
  <c r="AB52" i="12"/>
  <c r="C53" i="12"/>
  <c r="D53" i="12"/>
  <c r="S52" i="12" l="1"/>
  <c r="Q52" i="12"/>
  <c r="AA52" i="12"/>
  <c r="AK52" i="12"/>
  <c r="AC52" i="12"/>
  <c r="Y52" i="12"/>
  <c r="AG52" i="12"/>
  <c r="AI52" i="12"/>
  <c r="O52" i="12"/>
  <c r="U52" i="12"/>
  <c r="AE52" i="12"/>
  <c r="W52" i="12"/>
  <c r="B54" i="12"/>
  <c r="I53" i="12"/>
  <c r="H53" i="12"/>
  <c r="F53" i="12"/>
  <c r="J53" i="12"/>
  <c r="E53" i="12"/>
  <c r="D52" i="11"/>
  <c r="C52" i="11"/>
  <c r="G52" i="12"/>
  <c r="V53" i="12" l="1"/>
  <c r="R53" i="12"/>
  <c r="T53" i="12"/>
  <c r="AF53" i="12"/>
  <c r="N53" i="12"/>
  <c r="Z53" i="12"/>
  <c r="AJ53" i="12"/>
  <c r="X53" i="12"/>
  <c r="AH53" i="12"/>
  <c r="AB53" i="12"/>
  <c r="AD53" i="12"/>
  <c r="P53" i="12"/>
  <c r="K53" i="12"/>
  <c r="B53" i="11"/>
  <c r="L52" i="11"/>
  <c r="H52" i="11"/>
  <c r="I52" i="11"/>
  <c r="F52" i="11"/>
  <c r="G52" i="11"/>
  <c r="E52" i="11"/>
  <c r="C54" i="12"/>
  <c r="J54" i="12" s="1"/>
  <c r="D54" i="12"/>
  <c r="W53" i="12" l="1"/>
  <c r="AE53" i="12"/>
  <c r="Q53" i="12"/>
  <c r="AI53" i="12"/>
  <c r="AG53" i="12"/>
  <c r="Y53" i="12"/>
  <c r="S53" i="12"/>
  <c r="AC53" i="12"/>
  <c r="AK53" i="12"/>
  <c r="U53" i="12"/>
  <c r="O53" i="12"/>
  <c r="AA53" i="12"/>
  <c r="E54" i="12"/>
  <c r="AH54" i="12"/>
  <c r="X54" i="12"/>
  <c r="N54" i="12"/>
  <c r="P54" i="12"/>
  <c r="V54" i="12"/>
  <c r="AF54" i="12"/>
  <c r="T54" i="12"/>
  <c r="AD54" i="12"/>
  <c r="Z54" i="12"/>
  <c r="AJ54" i="12"/>
  <c r="AB54" i="12"/>
  <c r="R54" i="12"/>
  <c r="B55" i="12"/>
  <c r="I54" i="12"/>
  <c r="K54" i="12" s="1"/>
  <c r="F54" i="12"/>
  <c r="H54" i="12"/>
  <c r="C53" i="11"/>
  <c r="D53" i="11"/>
  <c r="G53" i="12"/>
  <c r="O54" i="12" l="1"/>
  <c r="Y54" i="12"/>
  <c r="AE54" i="12"/>
  <c r="U54" i="12"/>
  <c r="W54" i="12"/>
  <c r="AI54" i="12"/>
  <c r="Q54" i="12"/>
  <c r="AA54" i="12"/>
  <c r="AG54" i="12"/>
  <c r="S54" i="12"/>
  <c r="AC54" i="12"/>
  <c r="AK54" i="12"/>
  <c r="B54" i="1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D55" i="12"/>
  <c r="AJ55" i="12"/>
  <c r="V55" i="12"/>
  <c r="AH55" i="12"/>
  <c r="T55" i="12"/>
  <c r="AF55" i="12"/>
  <c r="X55" i="12"/>
  <c r="K55" i="12"/>
  <c r="N55" i="12"/>
  <c r="Z55" i="12"/>
  <c r="P55" i="12"/>
  <c r="AB55" i="12"/>
  <c r="D56" i="12"/>
  <c r="C56" i="12"/>
  <c r="J56" i="12" s="1"/>
  <c r="S55" i="12" l="1"/>
  <c r="Q55" i="12"/>
  <c r="Y55" i="12"/>
  <c r="W55" i="12"/>
  <c r="AE55" i="12"/>
  <c r="AI55" i="12"/>
  <c r="AG55" i="12"/>
  <c r="U55" i="12"/>
  <c r="AA55" i="12"/>
  <c r="AK55" i="12"/>
  <c r="AC55" i="12"/>
  <c r="O55" i="12"/>
  <c r="X56" i="12"/>
  <c r="Z56" i="12"/>
  <c r="AF56" i="12"/>
  <c r="P56" i="12"/>
  <c r="AD56" i="12"/>
  <c r="AH56" i="12"/>
  <c r="AJ56" i="12"/>
  <c r="N56" i="12"/>
  <c r="T56" i="12"/>
  <c r="R56" i="12"/>
  <c r="AB56" i="12"/>
  <c r="V56" i="12"/>
  <c r="E56" i="12"/>
  <c r="B57" i="12"/>
  <c r="H56" i="12"/>
  <c r="F56" i="12"/>
  <c r="I56" i="12"/>
  <c r="K56" i="12" s="1"/>
  <c r="C55" i="11"/>
  <c r="D55" i="11"/>
  <c r="G55" i="12"/>
  <c r="O56" i="12" l="1"/>
  <c r="AK56" i="12"/>
  <c r="Q56" i="12"/>
  <c r="AE56" i="12"/>
  <c r="AG56" i="12"/>
  <c r="AA56" i="12"/>
  <c r="AC56" i="12"/>
  <c r="AI56" i="12"/>
  <c r="Y56" i="12"/>
  <c r="U56" i="12"/>
  <c r="S56" i="12"/>
  <c r="W56" i="12"/>
  <c r="E55" i="11"/>
  <c r="D57" i="12"/>
  <c r="C57" i="12"/>
  <c r="B56" i="11"/>
  <c r="F55" i="11"/>
  <c r="I55" i="11"/>
  <c r="L55" i="11"/>
  <c r="G55" i="11"/>
  <c r="H55" i="11"/>
  <c r="B58" i="12" l="1"/>
  <c r="H57" i="12"/>
  <c r="I57" i="12"/>
  <c r="F57" i="12"/>
  <c r="J57" i="12"/>
  <c r="D56" i="11"/>
  <c r="C56" i="11"/>
  <c r="G56" i="12"/>
  <c r="E57" i="12"/>
  <c r="E56" i="11" l="1"/>
  <c r="AB57" i="12"/>
  <c r="V57" i="12"/>
  <c r="AF57" i="12"/>
  <c r="Z57" i="12"/>
  <c r="P57" i="12"/>
  <c r="AJ57" i="12"/>
  <c r="AD57" i="12"/>
  <c r="R57" i="12"/>
  <c r="N57" i="12"/>
  <c r="K57" i="12"/>
  <c r="T57" i="12"/>
  <c r="AH57" i="12"/>
  <c r="X57" i="12"/>
  <c r="B57" i="11"/>
  <c r="G56" i="11"/>
  <c r="H56" i="11"/>
  <c r="I56" i="11"/>
  <c r="F56" i="11"/>
  <c r="L56" i="11"/>
  <c r="C58" i="12"/>
  <c r="D58" i="12"/>
  <c r="AI57" i="12" l="1"/>
  <c r="AC57" i="12"/>
  <c r="O57" i="12"/>
  <c r="S57" i="12"/>
  <c r="Q57" i="12"/>
  <c r="AE57" i="12"/>
  <c r="AK57" i="12"/>
  <c r="AG57" i="12"/>
  <c r="U57" i="12"/>
  <c r="AA57" i="12"/>
  <c r="W57" i="12"/>
  <c r="Y57" i="12"/>
  <c r="E58" i="12"/>
  <c r="B59" i="12"/>
  <c r="H58" i="12"/>
  <c r="F58" i="12"/>
  <c r="I58" i="12"/>
  <c r="J58" i="12"/>
  <c r="D57" i="11"/>
  <c r="C57" i="11"/>
  <c r="G57" i="12"/>
  <c r="E57" i="11" l="1"/>
  <c r="P58" i="12"/>
  <c r="R58" i="12"/>
  <c r="AH58" i="12"/>
  <c r="N58" i="12"/>
  <c r="Z58" i="12"/>
  <c r="V58" i="12"/>
  <c r="T58" i="12"/>
  <c r="AB58" i="12"/>
  <c r="X58" i="12"/>
  <c r="AD58" i="12"/>
  <c r="K58" i="12"/>
  <c r="AJ58" i="12"/>
  <c r="AF58" i="12"/>
  <c r="B58" i="11"/>
  <c r="H57" i="11"/>
  <c r="G57" i="11"/>
  <c r="F57" i="11"/>
  <c r="L57" i="11"/>
  <c r="I57" i="11"/>
  <c r="C59" i="12"/>
  <c r="J59" i="12" s="1"/>
  <c r="D59" i="12"/>
  <c r="AE58" i="12" l="1"/>
  <c r="AA58" i="12"/>
  <c r="AK58" i="12"/>
  <c r="U58" i="12"/>
  <c r="O58" i="12"/>
  <c r="Y58" i="12"/>
  <c r="W58" i="12"/>
  <c r="S58" i="12"/>
  <c r="Q58" i="12"/>
  <c r="AG58" i="12"/>
  <c r="AC58" i="12"/>
  <c r="AI58" i="12"/>
  <c r="E59" i="12"/>
  <c r="AF59" i="12"/>
  <c r="AB59" i="12"/>
  <c r="Z59" i="12"/>
  <c r="V59" i="12"/>
  <c r="P59" i="12"/>
  <c r="N59" i="12"/>
  <c r="AD59" i="12"/>
  <c r="AJ59" i="12"/>
  <c r="R59" i="12"/>
  <c r="AH59" i="12"/>
  <c r="T59" i="12"/>
  <c r="X59" i="12"/>
  <c r="D58" i="11"/>
  <c r="C58" i="11"/>
  <c r="G58" i="12"/>
  <c r="B60" i="12"/>
  <c r="F59" i="12"/>
  <c r="H59" i="12"/>
  <c r="I59" i="12"/>
  <c r="K59" i="12" s="1"/>
  <c r="W59" i="12" l="1"/>
  <c r="AA59" i="12"/>
  <c r="O59" i="12"/>
  <c r="Q59" i="12"/>
  <c r="AE59" i="12"/>
  <c r="Y59" i="12"/>
  <c r="AG59" i="12"/>
  <c r="AC59" i="12"/>
  <c r="U59" i="12"/>
  <c r="AI59" i="12"/>
  <c r="S59" i="12"/>
  <c r="AK59" i="12"/>
  <c r="B59" i="11"/>
  <c r="L58" i="11"/>
  <c r="H58" i="11"/>
  <c r="I58" i="11"/>
  <c r="F58" i="11"/>
  <c r="G58" i="11"/>
  <c r="D60" i="12"/>
  <c r="C60" i="12"/>
  <c r="E58" i="11"/>
  <c r="B61" i="12" l="1"/>
  <c r="F60" i="12"/>
  <c r="H60" i="12"/>
  <c r="I60" i="12"/>
  <c r="J60" i="12"/>
  <c r="E60" i="12"/>
  <c r="C59" i="11"/>
  <c r="D59" i="11"/>
  <c r="G59" i="12"/>
  <c r="T60" i="12" l="1"/>
  <c r="X60" i="12"/>
  <c r="N60" i="12"/>
  <c r="AH60" i="12"/>
  <c r="V60" i="12"/>
  <c r="AD60" i="12"/>
  <c r="Z60" i="12"/>
  <c r="K60" i="12"/>
  <c r="AJ60" i="12"/>
  <c r="AF60" i="12"/>
  <c r="R60" i="12"/>
  <c r="P60" i="12"/>
  <c r="AB60" i="12"/>
  <c r="B60" i="11"/>
  <c r="I59" i="11"/>
  <c r="F59" i="11"/>
  <c r="L59" i="11"/>
  <c r="G59" i="11"/>
  <c r="H59" i="11"/>
  <c r="E59" i="11"/>
  <c r="D61" i="12"/>
  <c r="C61" i="12"/>
  <c r="J61" i="12" s="1"/>
  <c r="S60" i="12" l="1"/>
  <c r="AG60" i="12"/>
  <c r="AK60" i="12"/>
  <c r="AE60" i="12"/>
  <c r="W60" i="12"/>
  <c r="AI60" i="12"/>
  <c r="Y60" i="12"/>
  <c r="AA60" i="12" s="1"/>
  <c r="Q60" i="12"/>
  <c r="O60" i="12"/>
  <c r="AC60" i="12"/>
  <c r="U60" i="12"/>
  <c r="E61" i="12"/>
  <c r="AB61" i="12"/>
  <c r="Z61" i="12"/>
  <c r="X61" i="12"/>
  <c r="N61" i="12"/>
  <c r="AF61" i="12"/>
  <c r="AH61" i="12" s="1"/>
  <c r="P61" i="12"/>
  <c r="R61" i="12" s="1"/>
  <c r="V61" i="12"/>
  <c r="T61" i="12"/>
  <c r="AJ61" i="12"/>
  <c r="AD61" i="12"/>
  <c r="C60" i="11"/>
  <c r="D60" i="11"/>
  <c r="G60" i="12"/>
  <c r="B62" i="12"/>
  <c r="F61" i="12"/>
  <c r="I61" i="12"/>
  <c r="K61" i="12" s="1"/>
  <c r="H61" i="12"/>
  <c r="W61" i="12" l="1"/>
  <c r="O61" i="12"/>
  <c r="AE61" i="12"/>
  <c r="Q61" i="12"/>
  <c r="U61" i="12"/>
  <c r="AG61" i="12"/>
  <c r="S61" i="12"/>
  <c r="AI61" i="12"/>
  <c r="AK61" i="12"/>
  <c r="Y61" i="12"/>
  <c r="AA61" i="12"/>
  <c r="AC61" i="12"/>
  <c r="E60" i="11"/>
  <c r="D62" i="12"/>
  <c r="C62" i="12"/>
  <c r="B61" i="11"/>
  <c r="I60" i="11"/>
  <c r="G60" i="11"/>
  <c r="L60" i="11"/>
  <c r="H60" i="11"/>
  <c r="F60" i="11"/>
  <c r="B63" i="12" l="1"/>
  <c r="I62" i="12"/>
  <c r="F62" i="12"/>
  <c r="H62" i="12"/>
  <c r="J62" i="12"/>
  <c r="C61" i="11"/>
  <c r="D61" i="11"/>
  <c r="G61" i="12"/>
  <c r="E62" i="12"/>
  <c r="E61" i="11" l="1"/>
  <c r="T62" i="12"/>
  <c r="AF62" i="12"/>
  <c r="Z62" i="12"/>
  <c r="AH62" i="12"/>
  <c r="AJ62" i="12"/>
  <c r="N62" i="12"/>
  <c r="R62" i="12"/>
  <c r="K62" i="12"/>
  <c r="AB62" i="12"/>
  <c r="AD62" i="12"/>
  <c r="V62" i="12"/>
  <c r="X62" i="12"/>
  <c r="P62" i="12"/>
  <c r="B62" i="11"/>
  <c r="I61" i="11"/>
  <c r="F61" i="11"/>
  <c r="G61" i="11"/>
  <c r="L61" i="11"/>
  <c r="H61" i="11"/>
  <c r="C63" i="12"/>
  <c r="D63" i="12"/>
  <c r="E10" i="11"/>
  <c r="E12" i="11"/>
  <c r="AI62" i="12" l="1"/>
  <c r="W62" i="12"/>
  <c r="AC62" i="12"/>
  <c r="S62" i="12"/>
  <c r="O62" i="12"/>
  <c r="AK62" i="12"/>
  <c r="AA62" i="12"/>
  <c r="U62" i="12"/>
  <c r="AE62" i="12"/>
  <c r="Q62" i="12"/>
  <c r="AG62" i="12"/>
  <c r="Y62" i="12"/>
  <c r="E63" i="12"/>
  <c r="B64" i="12"/>
  <c r="F63" i="12"/>
  <c r="H63" i="12"/>
  <c r="I63" i="12"/>
  <c r="J63" i="12"/>
  <c r="D62" i="11"/>
  <c r="C62" i="11"/>
  <c r="G62" i="12"/>
  <c r="E62" i="11" l="1"/>
  <c r="B63" i="11"/>
  <c r="F62" i="11"/>
  <c r="I62" i="11"/>
  <c r="H62" i="11"/>
  <c r="L62" i="11"/>
  <c r="G62" i="11"/>
  <c r="N63" i="12"/>
  <c r="V63" i="12"/>
  <c r="K63" i="12"/>
  <c r="X63" i="12"/>
  <c r="AF63" i="12"/>
  <c r="Z63" i="12"/>
  <c r="P63" i="12"/>
  <c r="AB63" i="12"/>
  <c r="R63" i="12"/>
  <c r="AJ63" i="12"/>
  <c r="T63" i="12"/>
  <c r="AD63" i="12"/>
  <c r="AH63" i="12"/>
  <c r="C64" i="12"/>
  <c r="J64" i="12" s="1"/>
  <c r="D64" i="12"/>
  <c r="U63" i="12" l="1"/>
  <c r="S63" i="12"/>
  <c r="Q63" i="12"/>
  <c r="AA63" i="12"/>
  <c r="AG63" i="12"/>
  <c r="Y63" i="12"/>
  <c r="O63" i="12"/>
  <c r="AE63" i="12"/>
  <c r="W63" i="12"/>
  <c r="AK63" i="12"/>
  <c r="AI63" i="12"/>
  <c r="AC63" i="12"/>
  <c r="E64" i="12"/>
  <c r="T64" i="12"/>
  <c r="AB64" i="12"/>
  <c r="Z64" i="12"/>
  <c r="P64" i="12"/>
  <c r="AH64" i="12"/>
  <c r="N64" i="12"/>
  <c r="AF64" i="12"/>
  <c r="AD64" i="12"/>
  <c r="AJ64" i="12"/>
  <c r="V64" i="12"/>
  <c r="X64" i="12"/>
  <c r="R64" i="12"/>
  <c r="B65" i="12"/>
  <c r="H64" i="12"/>
  <c r="I64" i="12"/>
  <c r="K64" i="12" s="1"/>
  <c r="F64" i="12"/>
  <c r="D63" i="11"/>
  <c r="C63" i="11"/>
  <c r="G63" i="12"/>
  <c r="AI64" i="12" l="1"/>
  <c r="W64" i="12"/>
  <c r="AK64" i="12"/>
  <c r="AE64" i="12"/>
  <c r="U64" i="12"/>
  <c r="AG64" i="12"/>
  <c r="O64" i="12"/>
  <c r="AA64" i="12"/>
  <c r="Q64" i="12"/>
  <c r="AC64" i="12"/>
  <c r="S64" i="12"/>
  <c r="Y64" i="12"/>
  <c r="E63" i="11"/>
  <c r="B64" i="11"/>
  <c r="G63" i="11"/>
  <c r="F63" i="11"/>
  <c r="I63" i="11"/>
  <c r="L63" i="11"/>
  <c r="H63" i="11"/>
  <c r="C65" i="12"/>
  <c r="J65" i="12" s="1"/>
  <c r="D65" i="12"/>
  <c r="E65" i="12" l="1"/>
  <c r="T65" i="12"/>
  <c r="V65" i="12"/>
  <c r="X65" i="12"/>
  <c r="AB65" i="12"/>
  <c r="Z65" i="12"/>
  <c r="AF65" i="12"/>
  <c r="R65" i="12"/>
  <c r="AD65" i="12"/>
  <c r="AJ65" i="12"/>
  <c r="P65" i="12"/>
  <c r="AH65" i="12"/>
  <c r="N65" i="12"/>
  <c r="G64" i="12"/>
  <c r="B66" i="12"/>
  <c r="F65" i="12"/>
  <c r="I65" i="12"/>
  <c r="K65" i="12" s="1"/>
  <c r="H65" i="12"/>
  <c r="D64" i="11"/>
  <c r="C64" i="11"/>
  <c r="AA65" i="12" l="1"/>
  <c r="S65" i="12"/>
  <c r="AE65" i="12"/>
  <c r="Q65" i="12"/>
  <c r="AK65" i="12"/>
  <c r="AG65" i="12"/>
  <c r="O65" i="12"/>
  <c r="W65" i="12"/>
  <c r="AC65" i="12"/>
  <c r="Y65" i="12"/>
  <c r="U65" i="12"/>
  <c r="AI65" i="12"/>
  <c r="E64" i="11"/>
  <c r="B65" i="11"/>
  <c r="I64" i="11"/>
  <c r="H64" i="11"/>
  <c r="G64" i="11"/>
  <c r="L64" i="11"/>
  <c r="F64" i="11"/>
  <c r="D65" i="11"/>
  <c r="C66" i="12"/>
  <c r="J66" i="12" s="1"/>
  <c r="D66" i="12"/>
  <c r="R66" i="12" l="1"/>
  <c r="AH66" i="12"/>
  <c r="T66" i="12"/>
  <c r="N66" i="12"/>
  <c r="V66" i="12"/>
  <c r="P66" i="12"/>
  <c r="AD66" i="12"/>
  <c r="AB66" i="12"/>
  <c r="Z66" i="12"/>
  <c r="X66" i="12"/>
  <c r="AF66" i="12"/>
  <c r="AJ66" i="12"/>
  <c r="G65" i="12"/>
  <c r="C65" i="11"/>
  <c r="B67" i="12"/>
  <c r="C67" i="12" s="1"/>
  <c r="I66" i="12"/>
  <c r="K66" i="12" s="1"/>
  <c r="E66" i="12"/>
  <c r="F66" i="12"/>
  <c r="H66" i="12"/>
  <c r="AC66" i="12" l="1"/>
  <c r="AI66" i="12"/>
  <c r="O66" i="12"/>
  <c r="AK66" i="12"/>
  <c r="U66" i="12"/>
  <c r="AA66" i="12"/>
  <c r="AE66" i="12"/>
  <c r="Q66" i="12"/>
  <c r="W66" i="12"/>
  <c r="Y66" i="12"/>
  <c r="AG66" i="12"/>
  <c r="S66" i="12"/>
  <c r="D67" i="12"/>
  <c r="E67" i="12" s="1"/>
  <c r="B66" i="11"/>
  <c r="F65" i="11"/>
  <c r="I65" i="11"/>
  <c r="H65" i="11"/>
  <c r="L65" i="11"/>
  <c r="G65" i="11"/>
  <c r="E65" i="11"/>
  <c r="B68" i="12"/>
  <c r="D68" i="12" s="1"/>
  <c r="I67" i="12"/>
  <c r="F67" i="12"/>
  <c r="H67" i="12"/>
  <c r="J67" i="12"/>
  <c r="C68" i="12" l="1"/>
  <c r="E12" i="12"/>
  <c r="AF67" i="12"/>
  <c r="AH67" i="12"/>
  <c r="K67" i="12"/>
  <c r="T67" i="12"/>
  <c r="V67" i="12"/>
  <c r="N67" i="12"/>
  <c r="AB67" i="12"/>
  <c r="R67" i="12"/>
  <c r="Z67" i="12"/>
  <c r="AJ67" i="12"/>
  <c r="P67" i="12"/>
  <c r="AD67" i="12"/>
  <c r="X67" i="12"/>
  <c r="C66" i="11"/>
  <c r="D66" i="11"/>
  <c r="G66" i="12"/>
  <c r="O67" i="12" l="1"/>
  <c r="W67" i="12"/>
  <c r="U67" i="12"/>
  <c r="AK67" i="12"/>
  <c r="Y67" i="12"/>
  <c r="AE67" i="12"/>
  <c r="Q67" i="12"/>
  <c r="S67" i="12"/>
  <c r="AC67" i="12"/>
  <c r="AG67" i="12"/>
  <c r="AI67" i="12"/>
  <c r="AA67" i="12"/>
  <c r="J68" i="12"/>
  <c r="L67" i="12" s="1"/>
  <c r="E9" i="12"/>
  <c r="G68" i="12" a="1"/>
  <c r="G68" i="12" s="1"/>
  <c r="E68" i="12"/>
  <c r="H68" i="12"/>
  <c r="I68" i="12"/>
  <c r="F68" i="12"/>
  <c r="B67" i="11"/>
  <c r="H66" i="11"/>
  <c r="I66" i="11"/>
  <c r="F66" i="11"/>
  <c r="G66" i="11"/>
  <c r="L66" i="11"/>
  <c r="E66" i="11"/>
  <c r="L65" i="12" l="1"/>
  <c r="L66" i="12"/>
  <c r="L63" i="12"/>
  <c r="L64" i="12"/>
  <c r="L61" i="12"/>
  <c r="L62" i="12"/>
  <c r="L59" i="12"/>
  <c r="L60" i="12"/>
  <c r="L57" i="12"/>
  <c r="L58" i="12"/>
  <c r="L55" i="12"/>
  <c r="L56" i="12"/>
  <c r="L53" i="12"/>
  <c r="L54" i="12"/>
  <c r="L51" i="12"/>
  <c r="L52" i="12"/>
  <c r="L49" i="12"/>
  <c r="L50" i="12"/>
  <c r="L47" i="12"/>
  <c r="L48" i="12"/>
  <c r="L45" i="12"/>
  <c r="L46" i="12"/>
  <c r="L43" i="12"/>
  <c r="L44" i="12"/>
  <c r="L41" i="12"/>
  <c r="L42" i="12"/>
  <c r="L39" i="12"/>
  <c r="L40" i="12"/>
  <c r="L37" i="12"/>
  <c r="L38" i="12"/>
  <c r="L35" i="12"/>
  <c r="L36" i="12"/>
  <c r="L33" i="12"/>
  <c r="L34" i="12"/>
  <c r="L31" i="12"/>
  <c r="L32" i="12"/>
  <c r="L29" i="12"/>
  <c r="L30" i="12"/>
  <c r="L27" i="12"/>
  <c r="L28" i="12"/>
  <c r="L25" i="12"/>
  <c r="L26" i="12"/>
  <c r="L23" i="12"/>
  <c r="L24" i="12"/>
  <c r="L21" i="12"/>
  <c r="L22" i="12"/>
  <c r="L19" i="12"/>
  <c r="L20" i="12"/>
  <c r="L17" i="12"/>
  <c r="L18" i="12"/>
  <c r="L15" i="12"/>
  <c r="L16" i="12"/>
  <c r="L13" i="12"/>
  <c r="L14" i="12"/>
  <c r="L9" i="12"/>
  <c r="L11" i="12"/>
  <c r="R68" i="12"/>
  <c r="L8" i="12"/>
  <c r="L10" i="12" s="1"/>
  <c r="N10" i="12" s="1"/>
  <c r="T68" i="12"/>
  <c r="AF68" i="12"/>
  <c r="AJ68" i="12"/>
  <c r="X68" i="12"/>
  <c r="V68" i="12"/>
  <c r="AH68" i="12"/>
  <c r="AB68" i="12"/>
  <c r="Z68" i="12"/>
  <c r="N68" i="12"/>
  <c r="P68" i="12"/>
  <c r="K68" i="12"/>
  <c r="L12" i="12" s="1"/>
  <c r="AD68" i="12"/>
  <c r="G67" i="12"/>
  <c r="C67" i="11"/>
  <c r="D67" i="11"/>
  <c r="S68" i="12" l="1"/>
  <c r="L68" i="12"/>
  <c r="U68" i="12"/>
  <c r="AA68" i="12"/>
  <c r="O68" i="12"/>
  <c r="AI68" i="12"/>
  <c r="Q68" i="12"/>
  <c r="Y68" i="12"/>
  <c r="AG68" i="12"/>
  <c r="W68" i="12"/>
  <c r="AE68" i="12"/>
  <c r="AC68" i="12"/>
  <c r="AK68" i="12"/>
  <c r="P10" i="12"/>
  <c r="R10" i="12" s="1"/>
  <c r="T10" i="12" s="1"/>
  <c r="V10" i="12" s="1"/>
  <c r="X10" i="12" s="1"/>
  <c r="Z10" i="12" s="1"/>
  <c r="AB10" i="12" s="1"/>
  <c r="AD10" i="12" s="1"/>
  <c r="AF10" i="12" s="1"/>
  <c r="AH10" i="12" s="1"/>
  <c r="AJ10" i="12" s="1"/>
  <c r="O10" i="12"/>
  <c r="E67" i="11"/>
  <c r="B68" i="11"/>
  <c r="H67" i="11"/>
  <c r="G67" i="11"/>
  <c r="F67" i="11"/>
  <c r="L67" i="11"/>
  <c r="I67" i="11"/>
  <c r="Q10" i="12" l="1"/>
  <c r="S10" i="12" s="1"/>
  <c r="U10" i="12" s="1"/>
  <c r="W10" i="12" s="1"/>
  <c r="Y10" i="12" s="1"/>
  <c r="AA10" i="12" s="1"/>
  <c r="AC10" i="12" s="1"/>
  <c r="AE10" i="12" s="1"/>
  <c r="AG10" i="12" s="1"/>
  <c r="AI10" i="12" s="1"/>
  <c r="AK10" i="12" s="1"/>
  <c r="D68" i="11"/>
  <c r="C68" i="11"/>
  <c r="E68" i="11" l="1"/>
  <c r="B69" i="11"/>
  <c r="G68" i="11"/>
  <c r="L68" i="11"/>
  <c r="I68" i="11"/>
  <c r="F68" i="11"/>
  <c r="H68" i="11"/>
  <c r="D69" i="11" l="1"/>
  <c r="C69" i="11"/>
  <c r="B70" i="11" l="1"/>
  <c r="F69" i="11"/>
  <c r="G69" i="11"/>
  <c r="L69" i="11"/>
  <c r="I69" i="11"/>
  <c r="H69" i="11"/>
  <c r="E69" i="11"/>
  <c r="D70" i="11" l="1"/>
  <c r="C70" i="11"/>
  <c r="E70" i="11" l="1"/>
  <c r="B71" i="1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l="1"/>
  <c r="B80" i="1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31" i="11"/>
  <c r="K31" i="11" s="1"/>
  <c r="J8" i="11"/>
  <c r="K8" i="11" s="1"/>
  <c r="J16" i="11"/>
  <c r="K16" i="11" s="1"/>
  <c r="J7" i="11"/>
  <c r="J14" i="11"/>
  <c r="K14" i="11" s="1"/>
  <c r="J57" i="11"/>
  <c r="K57" i="11" s="1"/>
  <c r="J41" i="11"/>
  <c r="K41" i="11" s="1"/>
  <c r="J59" i="11"/>
  <c r="K59" i="11" s="1"/>
  <c r="J40" i="11"/>
  <c r="K40" i="11" s="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K20" i="11"/>
  <c r="K63" i="11"/>
  <c r="K9" i="1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<sst xmlns="http://schemas.openxmlformats.org/spreadsheetml/2006/main" count="4260" uniqueCount="846">
  <si>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</si>
  <si>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</si>
  <si>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</si>
  <si>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</si>
  <si>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</si>
  <si>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</si>
  <si>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</si>
  <si>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</si>
  <si>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</si>
  <si>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</si>
  <si>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</si>
  <si>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</si>
  <si>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</si>
  <si>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</si>
  <si>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</si>
  <si>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</si>
  <si>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</si>
  <si>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</si>
  <si>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</si>
  <si>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</si>
  <si>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</si>
  <si>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</si>
  <si>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</si>
  <si>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</si>
  <si>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</si>
  <si>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</si>
  <si>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</si>
  <si>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</si>
  <si>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</si>
  <si>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</si>
  <si>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</si>
  <si>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</si>
  <si>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</si>
  <si>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</si>
  <si>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</si>
  <si>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</si>
  <si>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</si>
  <si>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</si>
  <si>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</si>
  <si>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</si>
  <si>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</si>
  <si>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</si>
  <si>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</si>
  <si>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</si>
  <si>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</si>
  <si>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</si>
  <si>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</si>
  <si>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</si>
  <si>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</si>
  <si>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</si>
  <si>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</si>
  <si>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</si>
  <si>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</si>
  <si>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</si>
  <si>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</si>
  <si>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</si>
  <si>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</si>
  <si>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</si>
  <si>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</si>
  <si>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</si>
  <si>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</si>
  <si>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</si>
  <si>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</si>
  <si>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</si>
  <si>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</si>
  <si>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</si>
  <si>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</si>
  <si>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</si>
  <si>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</si>
  <si>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</si>
  <si>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</si>
  <si>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</si>
  <si>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</si>
  <si>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</si>
  <si>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</si>
  <si>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</si>
  <si>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</si>
  <si>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</si>
  <si>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</si>
  <si>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</si>
  <si>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</si>
  <si>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</si>
  <si>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</si>
  <si>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</si>
  <si>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</si>
  <si>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</si>
  <si>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</si>
  <si>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</si>
  <si>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</si>
  <si>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</si>
  <si>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</si>
  <si>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</si>
  <si>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</si>
  <si>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</si>
  <si>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</si>
  <si>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</si>
  <si>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</si>
  <si>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</si>
  <si>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</si>
  <si>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</si>
  <si>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</si>
  <si>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</si>
  <si>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</si>
  <si>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</si>
  <si>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</si>
  <si>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</si>
  <si>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</si>
  <si>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</si>
  <si>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</si>
  <si>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</si>
  <si>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</si>
  <si>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</si>
  <si>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</si>
  <si>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</si>
  <si>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</si>
  <si>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</si>
  <si>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</si>
  <si>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</si>
  <si>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</si>
  <si>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</si>
  <si>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</si>
  <si>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</si>
  <si>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</si>
  <si>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</si>
  <si>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</si>
  <si>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</si>
  <si>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</si>
  <si>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</si>
  <si>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</si>
  <si>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</si>
  <si>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</si>
  <si>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</si>
  <si>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</si>
  <si>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</si>
  <si>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</si>
  <si>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</si>
  <si>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</si>
  <si>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</si>
  <si>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</si>
  <si>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</si>
  <si>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</si>
  <si>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</si>
  <si>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</si>
  <si>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</si>
  <si>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</si>
  <si>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</si>
  <si>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</si>
  <si>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</si>
  <si>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</si>
  <si>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</si>
  <si>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</si>
  <si>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</si>
  <si>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</si>
  <si>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</si>
  <si>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</si>
  <si>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</si>
  <si>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</si>
  <si>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</si>
  <si>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</si>
  <si>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</si>
  <si>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</si>
  <si>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</si>
  <si>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</si>
  <si>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</si>
  <si>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</si>
  <si>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</si>
  <si>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</si>
  <si>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</si>
  <si>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</si>
  <si>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</si>
  <si>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</si>
  <si>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</si>
  <si>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</si>
  <si>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</si>
  <si>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</si>
  <si>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</si>
  <si>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</si>
  <si>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</si>
  <si>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</si>
  <si>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</si>
  <si>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</si>
  <si>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</si>
  <si>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</si>
  <si>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</si>
  <si>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</si>
  <si>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</si>
  <si>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</si>
  <si>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</si>
  <si>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</si>
  <si>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</si>
  <si>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</si>
  <si>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</si>
  <si>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</si>
  <si>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</si>
  <si>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</si>
  <si>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</si>
  <si>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</si>
  <si>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</si>
  <si>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</si>
  <si>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</si>
  <si>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</si>
  <si>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</si>
  <si>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</si>
  <si>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</si>
  <si>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</si>
  <si>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</si>
  <si>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</si>
  <si>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</si>
  <si>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</si>
  <si>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</si>
  <si>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</si>
  <si>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</si>
  <si>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</si>
  <si>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</si>
  <si>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</si>
  <si>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</si>
  <si>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</si>
  <si>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</si>
  <si>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</si>
  <si>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</si>
  <si>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</si>
  <si>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</si>
  <si>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</si>
  <si>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</si>
  <si>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</si>
  <si>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</si>
  <si>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</si>
  <si>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</si>
  <si>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</si>
  <si>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</si>
  <si>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</si>
  <si>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</si>
  <si>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</si>
  <si>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</si>
  <si>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</si>
  <si>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</si>
  <si>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</si>
  <si>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</si>
  <si>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</si>
  <si>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</si>
  <si>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</si>
  <si>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</si>
  <si>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</si>
  <si>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</si>
  <si>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</si>
  <si>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</si>
  <si>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</si>
  <si>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</si>
  <si>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</si>
  <si>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</si>
  <si>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</si>
  <si>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</si>
  <si>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</si>
  <si>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</si>
  <si>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</si>
  <si>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</si>
  <si>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</si>
  <si>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</si>
  <si>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</si>
  <si>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</si>
  <si>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</si>
  <si>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</si>
  <si>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</si>
  <si>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</si>
  <si>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</si>
  <si>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</si>
  <si>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</si>
  <si>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</si>
  <si>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</si>
  <si>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</si>
  <si>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</si>
  <si>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</si>
  <si>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</si>
  <si>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</si>
  <si>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</si>
  <si>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</si>
  <si>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</si>
  <si>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</si>
  <si>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</si>
  <si>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</si>
  <si>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</si>
  <si>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</si>
  <si>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</si>
  <si>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</si>
  <si>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</si>
  <si>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</si>
  <si>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</si>
  <si>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</si>
  <si>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</si>
  <si>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</si>
  <si>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</si>
  <si>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</si>
  <si>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</si>
  <si>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</si>
  <si>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</si>
  <si>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</si>
  <si>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</si>
  <si>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</si>
  <si>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</si>
  <si>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</si>
  <si>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</si>
  <si>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</si>
  <si>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</si>
  <si>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</si>
  <si>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</si>
  <si>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</si>
  <si>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</si>
  <si>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</si>
  <si>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</si>
  <si>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</si>
  <si>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</si>
  <si>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</si>
  <si>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</si>
  <si>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</si>
  <si>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</si>
  <si>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</si>
  <si>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</si>
  <si>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</si>
  <si>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</si>
  <si>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</si>
  <si>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</si>
  <si>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</si>
  <si>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</si>
  <si>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</si>
  <si>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</si>
  <si>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</si>
  <si>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</si>
  <si>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</si>
  <si>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</si>
  <si>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</si>
  <si>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</si>
  <si>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</si>
  <si>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</si>
  <si>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</si>
  <si>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</si>
  <si>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</si>
  <si>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</si>
  <si>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</si>
  <si>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</si>
  <si>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</si>
  <si>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</si>
  <si>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</si>
  <si>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</si>
  <si>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</si>
  <si>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</si>
  <si>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</si>
  <si>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</si>
  <si>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</si>
  <si>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</si>
  <si>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</si>
  <si>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</si>
  <si>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</si>
  <si>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</si>
  <si>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</si>
  <si>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</si>
  <si>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</si>
  <si>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</si>
  <si>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</si>
  <si>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</si>
  <si>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</si>
  <si>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</si>
  <si>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</si>
  <si>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</si>
  <si>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</si>
  <si>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</si>
  <si>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</si>
  <si>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</si>
  <si>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</si>
  <si>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</si>
  <si>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</si>
  <si>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</si>
  <si>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</si>
  <si>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</si>
  <si>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</si>
  <si>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</si>
  <si>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</si>
  <si>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</si>
  <si>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</si>
  <si>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</si>
  <si>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</si>
  <si>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</si>
  <si>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</si>
  <si>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</si>
  <si>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</si>
  <si>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</si>
  <si>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</si>
  <si>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</si>
  <si>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</si>
  <si>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</si>
  <si>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</si>
  <si>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</si>
  <si>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</si>
  <si>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</si>
  <si>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</si>
  <si>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</si>
  <si>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</si>
  <si>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</si>
  <si>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</si>
  <si>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</si>
  <si>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</si>
  <si>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</si>
  <si>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</si>
  <si>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</si>
  <si>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</si>
  <si>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</si>
  <si>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</si>
  <si>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</si>
  <si>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</si>
  <si>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</si>
  <si>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</si>
  <si>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</si>
  <si>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</si>
  <si>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</si>
  <si>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</si>
  <si>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</si>
  <si>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</si>
  <si>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</si>
  <si>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</si>
  <si>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</si>
  <si>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</si>
  <si>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</si>
  <si>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</si>
  <si>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</si>
  <si>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</si>
  <si>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</si>
  <si>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</si>
  <si>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</si>
  <si>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</si>
  <si>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</si>
  <si>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</si>
  <si>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</si>
  <si>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</si>
  <si>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</si>
  <si>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D-ADM</t>
  </si>
  <si>
    <t>Marcos Machado</t>
  </si>
  <si>
    <t>Capacete de segurança classe B</t>
  </si>
  <si>
    <t>https://www.lojadoepi.com.br/capacete-de-seguranca-aba-frontal-classe-b-com-carneira-e-jugular-ca-34414-camper-37-p2077?utm_source=google&amp;utm_medium=cpc&amp;utm_campaign=lojavirtual&amp;srsltid=AfmBOopdbFWd7zOsss6lxyz8aB7wWPmkA7ywzN52jw63GCI2h8lgx9_dvgI</t>
  </si>
  <si>
    <t>https://www.astrodistribuidora.com/capacete-classe-a-e-b-branco-delta-plus?srsltid=AfmBOoqE24r0QtbyDBIAoa2bmD4tQuiG0MC0769C_epmKOLcB0uinbtFXVs</t>
  </si>
  <si>
    <t>https://www.plenobras.com.br/646a5b6cd496504d21e09703/capacete-protecao-com-aba-frontal-polietileno-branco-ca-29792-classe-ab?gad_source=4&amp;gad_campaignid=20992319193&amp;gclid=CjwKCAjwuuPRBhAnEiwA2Ji8etknqnqxD2LphoP7lX540nvkyTmp6PVRX63OSksctc6Q9f_6Db_oCBoC-KU</t>
  </si>
  <si>
    <t>Protetor auricular tipo plug</t>
  </si>
  <si>
    <t>https://www.lojadomecanico.com.br/produto/89789/36/315/protetor-auricular-cg-38k-com-cordao-carbografite-010218810/153/?utm_source=google&amp;utm_medium=cpc&amp;utm_campaign={campaignname}&amp;utm_content={adgroupname}&amp;utm_term=&amp;gad_source=4&amp;gad_campaignid=2147081820</t>
  </si>
  <si>
    <t>https://www.plenobras.com.br/646a5b34d496504d21e04517/protetor-auricular-com-cordao-13db-k10-ca-14470?gad_source=4&amp;gad_campaignid=20992319193&amp;gclid=CjwKCAjwuuPRBhAnEiwA2Ji8etj0ZQVrOBRYltsfvNJUlLwxkkQuMl93GdGR5Y9OPGmTst4ZkGzeURoC--EQAvD_BwE</t>
  </si>
  <si>
    <t>https://www.epipremium.com.br/protecao-auditiva/plug-de-insercao/protetor-auricular-em-silicone-com-cordao-valeplast-c-a-41681?parceiro=1&amp;gad_source=4&amp;gad_campaignid=22941187141&amp;gclid=CjwKCAjwuuPRBhAnEiwA2Ji8eg5HbneZs6kyl82qsxvr5-ukXd_97s49d6RiRDSgtAN8V5F</t>
  </si>
  <si>
    <t>Luva de malha pigmentada</t>
  </si>
  <si>
    <t>https://www.calcadosparatrabalhar.com.br/luva-algod-o-tricotada-tatex-branca-com-pigmento-kalipso.html?gad_source=4&amp;gad_campaignid=21485017915&amp;gclid=CjwKCAjwuuPRBhAnEiwA2Ji8eolgG6K1XXkSOQhF6GGbRzSQ3qkjgir9kJeYwIrAO6bnf0g6PgHLjRoCMQAQAvD_BwE</t>
  </si>
  <si>
    <t>https://www.plenobras.com.br/646a5b18d496504d21e01c1a/luva-algodaopoliester-pigmentada-tamanho-9-(g)-branca-ca-34491?gad_source=4&amp;gad_campaignid=20992319193&amp;gclid=CjwKCAjwuuPRBhAnEiwA2Ji8egqVW567qQA1Aps5T4zXIFyYrFCMz0jVvtIA5amH02SKLJgxgn7DBBoC5k4QAvD_BwE</t>
  </si>
  <si>
    <t>https://superepi.com.br/luva-de-algodao-pigmentada-branca-kalipso-p1050290?tsid=25&amp;srsltid=AfmBOopsc-7jaMXO3DktBjSj7XC89LQpvZIU1jzAV3MW0aRutjH4BpJZqm8</t>
  </si>
  <si>
    <t>https://superepi.com.br/chapeu-pescador-tipo-australiano-com-aba-na-nuca-protecao-uv-diversas-cores-p1070548?tsid=25&amp;srsltid=AfmBOoqUL4eKaVok_lJwpUUiYGyXszUiwRND-_32UjoPmtQwB2tryprayEQ</t>
  </si>
  <si>
    <t>https://www.mixsegequipamentos.com.br/equipamentos-epi/toucas-bones-chapeus/chapeu-pescador-australiano-com-protecao-de-nuca-azul-royal?parceiro=3110&amp;srsltid=AfmBOoqJZL93hAG2RkxjzfRIfsczc-3BcNiPiLOcNpCcdUgqN5_8okaxNl8</t>
  </si>
  <si>
    <t>https://www.bhepi.com.br/uniformes/chapeu-australiano-com-protecao-de-pescoco-cinza-escuro-liso-oxford?parceiro=3861&amp;srsltid=AfmBOorlsD4ZhD-XVIWHDeUvSE9sYZTW9EDKpgd_ZI5Ua7jZkZmYRIntSic</t>
  </si>
  <si>
    <t>Chapéu com proteção de nuca</t>
  </si>
  <si>
    <t xml:space="preserve">Rolo de lã de pintura 23 cm com cabo </t>
  </si>
  <si>
    <t>https://www.leroymerlin.com.br/rolo-pintura-economico-la-sintetica-c--cabo-23cm-tigre_1572481815?region=outros</t>
  </si>
  <si>
    <t>https://www.eloscimento.com.br/pintura/rolos/rolo-la-sintetica-resifacil-1366-23cm-tigre/</t>
  </si>
  <si>
    <t>https://www.casacostatintas.com.br/rolo-de-la-23cm-1312-sint-c-garfo-tigre-04686?srsltid=AfmBOopJF3RDdS4nGqp9EsiPv5yGGZpuuz6syN3uSyA2KpveZckysFef</t>
  </si>
  <si>
    <t>Rolo de lã de pintura 15 cm com cabo</t>
  </si>
  <si>
    <t>https://www.leroymerlin.com.br/rolo-la-sintetica-para-parede-lisa-15-cm-tigre_92141525?store_code=63&amp;gad_source=1&amp;gad_campaignid=23599428387&amp;gclid=CjwKCAjwuuPRBhAnEiwA2Ji8emS2QcjyoEFW7_o2Grl_ccUCbk9MoRTlVu07WjZdpAxHRhJGFRzPyxoCfuQQAvD_BwE</t>
  </si>
  <si>
    <t>https://www.ultramaquinas.com.br/produto/rolo-de-la-com-cabo-15cm-tigre-61366015-73229?gad_source=1&amp;gad_campaignid=22180159832&amp;gclid=CjwKCAjwuuPRBhAnEiwA2Ji8eiVrtTZ5RxFR0zwHFZQ_BrDHFiJFDf19TK4p1w9wXgVHIv-xOXnkyxoCPnYQAvD_BwE</t>
  </si>
  <si>
    <t>https://www.ferramentaskennedy.com.br/rolo-antirespingo-pinceis-tigre-15cm-1377-econ/p?adset_id=&amp;device=c&amp;gad_campaignid=17498598395&amp;gad_source=1&amp;gclid=CjwKCAjwuuPRBhAnEiwA2Ji8evEbRiMT_Sb8tt0tG7WkngVGQyQtn3UkROdtMzMA0NKNx83fJ123jhoC2KsQAvD_BwE&amp;kwd=&amp;matcht</t>
  </si>
  <si>
    <t xml:space="preserve">Kit com 5 pinceis de pintura </t>
  </si>
  <si>
    <t>https://www.amazon.com.br/Eda-6XG-Pincel-Pintura-Pe%C3%A7as/dp/B07D89YL34/ref=asc_df_B07D89YL34?mcid=d3c5cf9381b333d6b9c373882148b5fe&amp;tag=googleshopp00-20&amp;linkCode=df0&amp;hvadid=709963857530&amp;hvpos=&amp;hvnetw=g&amp;hvrand=14461304691974490349&amp;hvpone=&amp;hvptwo=&amp;hvqmt=&amp;</t>
  </si>
  <si>
    <t>https://www.mercadolivre.com.br/pincel-trincha-p-pintura-jogo-c-5-pecas-cabo-de-madeira/up/MLBU2977331825?pdp_filters=item_id%3AMLB3959988813&amp;from=gshop&amp;matt_tool=94591846&amp;matt_word=&amp;matt_source=google&amp;matt_campaign_id=23440873638&amp;matt_ad_group_id=1925550</t>
  </si>
  <si>
    <t>https://www.copafer.com.br/jogo-de-pinceis-para-pintura-5-pecas---6xg---excellent/p?idsku=27543&amp;srsltid=AfmBOoq-MpTbrlKQwinokc6qh6edK_hFUSCMmlIMeC_YKkYXiV45GG8xzF8</t>
  </si>
  <si>
    <t xml:space="preserve">Rolo de lã de pintura 9 cm com cabo </t>
  </si>
  <si>
    <t>https://www.superproatacado.com.br/rolo-la-carneiro-pinceis-tigre-09cm-1383-cb-116629/p?adset_id=&amp;device=c&amp;gad_campaignid=23590897656&amp;gad_source=4&amp;gclid=CjwKCAjwuuPRBhAnEiwA2Ji8enCjLwo0ysobaAXbrgaprEYeZ7xCit587dM00b3BkqA0EopftaqYbhoCIu4QAvD_BwE&amp;kwd=&amp;match</t>
  </si>
  <si>
    <t>https://www.ultramaquinas.com.br/produto/rolo-de-la-carneiro-9cm-1383-com-cabo-tigre-74933?gad_source=4&amp;gad_campaignid=22180159832&amp;gclid=CjwKCAjwuuPRBhAnEiwA2Ji8emxfJUxzh0ubuNSO4SD0uphc-3Ffb-ZMEJ3_tDGdOgizuXhlJYqfQxoCaJYQAvD_BwE</t>
  </si>
  <si>
    <t>https://www.mercadolivre.com.br/rolo-de-l-sintetica-9cm-epoxi-resina-esmalte-tigre/p/MLB24320249?product_trigger_id=MLB24357058&amp;pdp_filters=item_id%3AMLB6718089356&amp;applied_product_filters=MLB24320249&amp;from=gshop&amp;picker=true&amp;matt_tool=30290572&amp;matt_word=&amp;ma</t>
  </si>
  <si>
    <t>Bandeja para pintura</t>
  </si>
  <si>
    <t>https://www.lfmaquinaseferramentas.com.br/bandeja-de-pintura-3-6l-atlas-1534p/p?idsku=124151&amp;gad_source=1&amp;gad_campaignid=21901661036&amp;gclid=CjwKCAjwuuPRBhAnEiwA2Ji8eqDGD9v28z8OwrvnmiBwZI0Yw9v_VBtpBD2kfQmWErpj_-DTbmE4VhoCrocQAvD_BwE</t>
  </si>
  <si>
    <t>https://www.ferramentaskennedy.com.br/bandeja-pintura-atlas-profimaster-3-6lt-pr/p?adset_id=&amp;device=c&amp;gad_campaignid=17498598395&amp;gad_source=1&amp;gclid=CjwKCAjwuuPRBhAnEiwA2Ji8esNOe66001J8xfjuH5wQ9icmMcZqTv9OMaZXEuEhGUnkvlwGD4lfNhoCnfQQAvD_BwE&amp;kwd=&amp;matchtype=</t>
  </si>
  <si>
    <t>https://www.ubertintas.com.br/bandeja-plastica-preta-para-pintura-3-6-litros-atlas?srsltid=AfmBOorcvsyJQcDTueQSI6fBcTOOYQN0-2WJUV6mMOmrQyO4ns_ybkOE</t>
  </si>
  <si>
    <t>Espátula rígida</t>
  </si>
  <si>
    <t>https://www.lojadomecanico.com.br/produto/105157/31/276/espatula-de-aco-inoxidavel-lisa-100mm-mtx-855109/153/?utm_source=google&amp;utm_medium=cpc&amp;utm_campaign=MONKS_GG_F_SHOPPING_CC_FA&amp;utm_content=&amp;gad_source=1&amp;gad_campaignid=23683624310&amp;gclid=CjwKCAjwuuPRBh</t>
  </si>
  <si>
    <t>https://www.serralheria.com.br/produto/espatula-de-aco-inoxidavel-lisa-100mm-mtx-181083?srsltid=AfmBOoq3sPgbLlqycAmu5cfTH71MNa2V9Xl_Ynm_b0z9-iinBgehZkcJ</t>
  </si>
  <si>
    <t>https://www.anhangueraferramentas.com.br/produto/betumadeira-aco-inox-lisa-4-100mm-cabo-plastico-855109-mtx-139893?srsltid=AfmBOoqcJFD0JMPU39GpNSoLdZWaZR2NYReLJYGmjDEbS-ATY9iqkVqj</t>
  </si>
  <si>
    <t>Espátula flexível</t>
  </si>
  <si>
    <t>https://www.lojadomecanico.com.br/produto/133434/31/276/espatula-flexivel-12-cm-em-aco-carbono-com-cabo-de-polipropileno-tramontina-77396125/153/?utm_source=google&amp;utm_medium=cpc&amp;utm_campaign=MONKS_GG_F_PMAX_Sazonal&amp;utm_content=Sazonal_Entrega_Rapida_02/0</t>
  </si>
  <si>
    <t>https://www.tramontina.com.br/espatula-flexivel-12-cm-tramontina-em-aco-carbono-com-cabo-de-polipropileno/77396125.html?gad_source=1&amp;gad_campaignid=16780160538&amp;gclid=CjwKCAjwuuPRBhAnEiwA2Ji8eqa9308Q11p3tgHgZuDSOC5YgvNwVe6eKjMCBgfl8R1kNuxGDBWVkhoCDr4QAvD_B</t>
  </si>
  <si>
    <t>https://comercialbarbosa.com/produto/espatula-metalica-flexivel-tramontina-12cm/?gad_source=1&amp;gad_campaignid=23520982978&amp;gclid=CjwKCAjwuuPRBhAnEiwA2Ji8esmliZv6HsAlUqNAhZOx2IgoTu1zqe6bZ52xRzeF62e-zBb8seUSFhoCpj4QAvD_BwE</t>
  </si>
  <si>
    <t>Raspador</t>
  </si>
  <si>
    <t>https://www.lojaonlinetintasoliveira.com.br/vonder-raspador-rp011-05884?srsltid=AfmBOorCknA2DbuoH-Os1fQ01DR-cokTJJvGbgtal8qNBqTNWvD_MRS8</t>
  </si>
  <si>
    <t>https://www.fg.com.br/raspador-plano-rp-011---vonder/p</t>
  </si>
  <si>
    <t>https://www.lojasafubra.com.br/raspador-plano-rp-011-vonder-3599011000/p?srsltid=AfmBOop4DNhFOvkGuhLzQOJ0HD1JDXuX_S9mNnBAEWviKOjGbFnMhzWj</t>
  </si>
  <si>
    <t xml:space="preserve">Escova de aço </t>
  </si>
  <si>
    <t>https://www.ferimport.com.br/escova-carbografite-aco-carbono-4-carreiras/p</t>
  </si>
  <si>
    <t>https://palaciodasferramentas.com.br/escova-de-aco-manual-3-fileira-com-cabo-de-madeira-starfer?srsltid=AfmBOooTp7D-mHNZZ-SSRhMmHyMMf5w8ApM_m1OM-wuaOdT0g3UKFRG1iKw</t>
  </si>
  <si>
    <t>https://www.casadomecanico.com.br/escova-aco-manual-c-cabo-madeira-3-fileiras-1156-p20747?utm_source=google&amp;utm_medium=cpc&amp;utm_campaign=lojavirtual&amp;srsltid=AfmBOopavinHW1-aw_Kkd0QF5JJKDjF99UqK5qV1l4D9idmaJV9t9uyBEfQ</t>
  </si>
  <si>
    <t>Desempenadeira metálica</t>
  </si>
  <si>
    <t>https://www.copafer.com.br/desempenadeira-em-aco-temperado-com-cabo-fechado-120x290mm---212-00---galo/p?idsku=19680&amp;srsltid=AfmBOoo6wJfn9u4v2NS9RO0EDX-h3rsdWgPK3QWKW8KjSiA1ydh9T1Rpzxg</t>
  </si>
  <si>
    <t>https://www.leroymerlin.com.br/desempenadeira-aco-temperado-lisa-120x290mm-cabo-fechado-galo_90352346?store_code=63</t>
  </si>
  <si>
    <t>Desempenadeira plástica</t>
  </si>
  <si>
    <t>https://www.universodolar.com.br/desempenadeira-plastica-17x30cm-para-alisar-reboco---cabo-anatomico-340--dtools-max-2911002?utm_source=google&amp;utm_medium=Shopping&amp;utm_campaign=desempenadeira-plastica-17x30cm-para-alisar-reboco---cabo-anatomico-340--dtools</t>
  </si>
  <si>
    <t>https://www.leroymerlin.com.br/desempenadeira-plastica-15x26cm-para-alisar-reboco-cabo-anatomico_1572502127?region=outros</t>
  </si>
  <si>
    <t>https://thony.com.br/products/desempenadeira-plastica-sem-espuma-15-x-26cm?srsltid=AfmBOoonVEQ_pGY9KjJRsy5tCk3HNTr1FQS2y70y8JSGQcw9wJcHV9n312M</t>
  </si>
  <si>
    <t>Estilete</t>
  </si>
  <si>
    <t>https://www.anhangueraferramentas.com.br/produto/estilete-largo-18mm-aco-inox-3599018002-vonder-122472?srsltid=AfmBOooWpW-JSKhRz3L1C_jIh2F4L00Qyv7yaXfCuEHUAwO2HyYCsXFkTcw</t>
  </si>
  <si>
    <t>https://www.antferramentas.com.br/estilete-largo-emborrachado-com-trava-18mm-vonder-3599018002/p?idsku=2016044&amp;srsltid=AfmBOopCVtKpbuJkI2i7SShT342wZDRXh1FP4A1hsLfmstaASFZZaWFmJsE</t>
  </si>
  <si>
    <t>https://www.cassol.com.br/estilete-18mm-es218-vonder-/p?srsltid=AfmBOooVGVO6RrpU3OYLjuL4lOYc_vo7kQhAIZX_UZ-xt9OU2WUkG5FihGk&amp;region_id=cassol_312</t>
  </si>
  <si>
    <t xml:space="preserve">Trena 10 m </t>
  </si>
  <si>
    <t>https://www.anhangueraferramentas.com.br/produto/trena-em-aco-curta-10metrosx25mm-plus-3868100100-vonder-121372?srsltid=AfmBOooV0Wb-0f-P1pMT04rCnSeWZh1-w05f7f0AvO10ZpiW75qetAa45ps</t>
  </si>
  <si>
    <t>https://www.universodolar.com.br/trena-curta-de-aco-10-m-x-25-mm-vonder-plus-3868100100?utm_source=google&amp;utm_medium=Shopping&amp;utm_campaign=trena-curta-de-aco-10-m-x-25-mm-vonder-plus-3868100100&amp;inStock=&amp;srsltid=AfmBOorRflxB9bzk7aoknwto7N7u_YaZP1PKGUm1isQG</t>
  </si>
  <si>
    <t>https://www.cofermeta.com.br/medicao/trenas/trena-curta-de-aco-emborrachada-de-10-metros-x-25mm-vonder-plus?parceiro=9290&amp;srsltid=AfmBOorB3YDE-nIoOSLLeck0lWpKhNLFEhjUPxeczta0v5vab9vH4qL-tF0</t>
  </si>
  <si>
    <t>Cabo extensor telescópico</t>
  </si>
  <si>
    <t>https://www.universodolar.com.br/extensor-para-pintura-teles-1-95-metros-roma?utm_source=google&amp;utm_medium=Shopping&amp;utm_campaign=extensor-para-pintura-teles-1-95-metros-roma&amp;inStock=&amp;srsltid=AfmBOor4V_nDl0qAbVIPhq71SVxokdpMrJMC11aZSuNBF8qmwtFvREAvnjw</t>
  </si>
  <si>
    <t>https://www.diamantetintas.com.br/6118-prolongador-p--rolo-1-95mt-1950/p?idsku=748496</t>
  </si>
  <si>
    <t>https://www.webcontinental.com.br/extensor-para-pintura-teles-1-95-metros-para-tetos-e-paredes-roma-004846040707/p</t>
  </si>
  <si>
    <t>Alicate universal</t>
  </si>
  <si>
    <t>https://www.lojadomecanico.com.br/produto/19571/2/468/alicate-universal-8-pol-isolado-1000v-tramontina-41001108/153/?utm_source=google&amp;utm_medium=cpc&amp;utm_campaign=MONKS_GG_F_SHOPPING_CURVA_A&amp;utm_content=Cluster_Maior_0_Menor_1&amp;gad_source=1&amp;gad_campaignid=</t>
  </si>
  <si>
    <t>https://www.tumelero.com.br/alicate-universal-8--forjado-em-aco-eespecial--empunhadura-isolada-pvc-amarelo-40802258-1/p?idsku=40802258&amp;gad_source=1&amp;gad_campaignid=23304852875&amp;gclid=CjwKCAjwuuPRBhAnEiwA2Ji8esa-MKsDmuQLGWncqMy04POcvKHTNmAFPA-0f_2ObAMuxqcJjc</t>
  </si>
  <si>
    <t>https://www.leroymerlin.com.br/alicate-universal-8-tramontina_90345220?store_code=63&amp;gad_source=1&amp;gad_campaignid=23604906371&amp;gclid=CjwKCAjwuuPRBhAnEiwA2Ji8epd0BaTWs3pCz09OWpmQv9D_Ov4qfYRUCyutUWwN-LKLt0sFWkCoTxoCI8IQAvD_BwE</t>
  </si>
  <si>
    <t>Alicate de corte</t>
  </si>
  <si>
    <t>https://www.lojadomecanico.com.br/produto/20519/2/468/alicate-de-corte-diagonal-6-pol-tramontina-41006106/153/?utm_source=google&amp;utm_medium=cpc&amp;utm_campaign=MONKS_GG_F_SHOPPING_ACTIVATIO_1&amp;utm_content=&amp;gad_source=1&amp;gad_campaignid=23933285912&amp;gclid=CjwKCAj</t>
  </si>
  <si>
    <t>https://www.lfmaquinaseferramentas.com.br/alicate-corte-diagonal-isolado-tramontina-master-6/p?idsku=127780&amp;gad_source=1&amp;gad_campaignid=17880555278&amp;gclid=CjwKCAjwuuPRBhAnEiwA2Ji8essHC7NXy4TsY4ngKXhFZDDQVmWq_5gunSg6f14hjCCpNyloivzTGRoC4gEQAvD_BwE</t>
  </si>
  <si>
    <t>https://www.tramontina.com.br/alicate-corte-diagonal-6%22-tramontina-master/41006106.html?srsltid=AfmBOoqXGKfaygPujaAgCJxej7S_HBhUl5s511LFCY0Vlja2qgBmhsFD</t>
  </si>
  <si>
    <t>Alicate de bico</t>
  </si>
  <si>
    <t>https://www.lojadomecanico.com.br/produto/20518/2/468/alicate-6-pol-de-bico-meia-cana-tramontina-41008106/153/?utm_source=google&amp;utm_medium=cpc&amp;utm_campaign=MONKS_GG_F_SHOPPING_FM_FG&amp;utm_content=&amp;gad_source=1&amp;gad_campaignid=23667223569&amp;gclid=CjwKCAjwuuPRB</t>
  </si>
  <si>
    <t>https://www.ferramentaskennedy.com.br/alicate-bico-meia-cana-6-1000v-amarelo-tramontina-424099/p?adset_id=&amp;device=c&amp;gad_campaignid=23608289728&amp;gad_source=1&amp;gclid=CjwKCAjwuuPRBhAnEiwA2Ji8emKQSzE4wgKx4YkakubJfxYOVE2wpZDuX_zbFO3cMmE1GLIeRKHCERoCeL0QAvD_BwE&amp;k</t>
  </si>
  <si>
    <t>https://www.leroymerlin.com.br/alicate-bico-meia-cana-6-tramontina_90779885?store_code=19&amp;gad_source=1&amp;gad_campaignid=23604906371&amp;gclid=CjwKCAjwuuPRBhAnEiwA2Ji8eu9DsbwuTeQXezNR_Wbcorrur6Ope8NtejZguDwQvfL-P2BPRr_EFhoCMioQAvD_BwE</t>
  </si>
  <si>
    <t>Alicate prensa terminal</t>
  </si>
  <si>
    <t>https://www.lojadomecanico.com.br/produto/98544/2/468/alicate-prensa-terminais-7-pol-ap-256-vonder-3686864000/153/?utm_source=google&amp;utm_medium=cpc&amp;utm_campaign=MONKS_GG_F_SHOPPING_CURVA_A&amp;utm_content=Cluster_S_MACO&amp;gad_source=1&amp;gad_campaignid=22817350947</t>
  </si>
  <si>
    <t>https://www.dutramaquinas.com.br/p/alicate-prensa-terminais-tipo-pino-tubular-0-25-a-6-0mm-ap256-36-86-864-000?srsltid=AfmBOopWx2m8-9IWL9xyc2MhcZtKwxKot04YDQ1BlvRBDrG9fZzqqL9I</t>
  </si>
  <si>
    <t>https://www.fg.com.br/alicate-prensa-terminais-ap-256---vonder/p?idsku=1088857&amp;srsltid=AfmBOorG1FiypWHAjKH4u-L8WdU8kZ-8901pixUeUQ3r07LiQVd13V54v8s</t>
  </si>
  <si>
    <t xml:space="preserve">Alicate desencapador </t>
  </si>
  <si>
    <t>https://www.obramax.com.br/alicate-desencapador-de-fios-6-152mm-vonder-89714443/p?idsku=59260&amp;srsltid=AfmBOorK_20HL3U9UavwtL3SQY_rCELu5uZZQLQZ0demrBRw05pzeEDlgig</t>
  </si>
  <si>
    <t>https://www.anhangueraferramentas.com.br/produto/alicate-desencapador-de-fios-6-3686000006-vonder-133366?srsltid=AfmBOoomX9Me54IAvWLxC3oS5sv4iGMNSyscvFRHxb0ChXvXypP4b3_ZwMo</t>
  </si>
  <si>
    <t>https://www.fg.com.br/alicate-desencapador-de-fios-6--152mm---vonder/p?idsku=1129487&amp;srsltid=AfmBOopf7N5xioXclWa-N0Pp3NfCBwcFFbSSqMYSyzdgFFCwFZb88sclGpU</t>
  </si>
  <si>
    <t>Alicate bomba d'água 12 polegadas</t>
  </si>
  <si>
    <t>https://www.lojadomecanico.com.br/produto/126724/2/468/alicate-bomba-d-agua-12-polegadas-vonder-3662000300/153/?utm_source=google&amp;utm_medium=cpc&amp;utm_campaign=MONKS_GG_F_SHOPPING_FM_FG&amp;utm_content=&amp;gad_source=4&amp;gad_campaignid=23667223569&amp;gclid=CjwKCAjwuuPR</t>
  </si>
  <si>
    <t>https://www.plenobras.com.br/689ad9c8a7dd5d683e322801/alicate-bomba-d'agua-aco-vanadium-12%22?gad_source=4&amp;gad_campaignid=20992319193&amp;gclid=CjwKCAjwuuPRBhAnEiwA2Ji8ei3ih0r-T1yQtWtdoiQ-sKOS3HP0vkLxCHwiTebD_ZOVmvwP3LAXuxoC9NIQAvD_BwE</t>
  </si>
  <si>
    <t>https://www.queroquero.com.br/alicate-bomba-d-agua-12-cromo-vanadio-vonder-637634/p?idsku=674120&amp;utm_source=google&amp;utm_medium=x&amp;utm_campaign=[CV]_Performance_Max_Ferramentas_Google&amp;utm_content=Ferramentas&amp;utm_term=&amp;gad_source=4&amp;gad_campaignid=17970430214&amp;</t>
  </si>
  <si>
    <t xml:space="preserve">Alicate de pressão </t>
  </si>
  <si>
    <t>https://www.ferramac.com.br/10505/alicate-de-pressao-10-tramontina?srsltid=AfmBOops9jWk_saG3uv9-1QiVYRjIbprqDpk6_yJGRiiWoXoyz3XMjvsxQI</t>
  </si>
  <si>
    <t>https://www.leroymerlin.com.br/alicate-de-pressao-mordente-triangular-10-tramontina_90779920?store_code=63</t>
  </si>
  <si>
    <t>https://www.anhangueraferramentas.com.br/produto/alicate-de-pressao-mordente-triangular-10-41070-110-tramontina-master-101817?srsltid=AfmBOopdYyaFuIWmS-8JRuIeNU2ziqknm77HktAHHZovybSFOMeVMPOpAVo</t>
  </si>
  <si>
    <t xml:space="preserve">Kit chave philips isolada 5 peças </t>
  </si>
  <si>
    <t>https://www.lojadomecanico.com.br/produto/20533/2/121/jogo-de-chaves-phillips---5-pecas-tramontinapro-44135505</t>
  </si>
  <si>
    <t>https://www.mercadolivre.com.br/jogo-de-chave-phillips-com-5-pecas-44135505-tramontina-pro/p/MLB31072971?pdp_filters=item_id%3AMLB6142547726&amp;from=gshop&amp;matt_tool=78080246&amp;matt_word=&amp;matt_source=google&amp;matt_campaign_id=23351282087&amp;matt_ad_group_id=19304472</t>
  </si>
  <si>
    <t>https://www.mercadolivre.com.br/jogo-de-chave-de-fendaphillips-5-pcs-tramontina-pro/p/MLB42085525?pdp_filters=item_id%3AMLB5911025102&amp;from=gshop&amp;matt_tool=78080246&amp;matt_word=&amp;matt_source=google&amp;matt_campaign_id=23351282087&amp;matt_ad_group_id=193044726474&amp;ma</t>
  </si>
  <si>
    <t xml:space="preserve">Kit chave de fenda isolada 5 peças </t>
  </si>
  <si>
    <t>https://www.leroymerlin.com.br/jogo-chave-de-fenda-5-pecas-tramontina-pro_1566937371?region=outros&amp;gad_source=4&amp;gad_campaignid=23680894077&amp;gclid=CjwKCAjwuuPRBhAnEiwA2Ji8en3kElVjVKE6FNBspiYPMy3KbpaK1ITDdeGKtbOTS1745oy17efQfRoCb4wQAvD_BwE</t>
  </si>
  <si>
    <t>https://www.lojadomecanico.com.br/produto/19574/2/121/jogo-chave-de-fenda-phillips-com-5-pecas-tramontinapro-44130505/153/?utm_source=google&amp;utm_medium=cpc&amp;utm_campaign=MONKS_GG_F_SHOPPING_CURVA_A&amp;utm_content=Cluster_Maior_1_Menor_3&amp;gad_source=4&amp;gad_campa</t>
  </si>
  <si>
    <t>https://www.amazon.com.br/Jogo-chaves-fenda-5-pe%C3%A7as/dp/B076M911R3/ref=asc_df_B076M911R3?mcid=73c6b76fd91334d1b069738c5b5e9cb5&amp;tag=googleshopp00-20&amp;linkCode=df0&amp;hvadid=709857067875&amp;hvpos=&amp;hvnetw=g&amp;hvrand=8054611658254545299&amp;hvpone=&amp;hvptwo=&amp;hvqmt=&amp;hvde</t>
  </si>
  <si>
    <t>https://www.lojadomecanico.com.br/produto/105179/2/586/jogo-de-chaves-allen-de-15-a-10mm-9-pecas-mtx-11226/153/?srsltid=AfmBOor_i6e1OSDP6A24B6qhAC2j9lQNN_uchnDWJPeFuExJ1kojhQra49A</t>
  </si>
  <si>
    <t>https://www.leroymerlin.com.br/jogo-de-chave-allen-1,5-a-10mm-9-pecas-mtx_90057114?store_code=63</t>
  </si>
  <si>
    <t>https://www.anhangueraferramentas.com.br/produto/jogo-de-chave-hexagonal-l-1-5mm-a-10mm-com-9-pecas-112269-mtx-97197?srsltid=AfmBOoqytOOcb80SXZOkdCoS563EQrJ-6LwLrDXebeav_QKYgkFJm0_zfso</t>
  </si>
  <si>
    <t>Jogo de chaves Allen 9 peças</t>
  </si>
  <si>
    <t>Jogo de chaves Torx 9 peças</t>
  </si>
  <si>
    <t>https://refrilarpecas.com.br/produtos/jogo-de-chave-torx-com-guia-9-pecas-longo-dtools/?variant=870575558&amp;pf=mc&amp;srsltid=AfmBOor1Z7WVsng2zlRsFdrrzd3xTv2dxZsruZc9HW-c1jzxbL82YE8ysWg</t>
  </si>
  <si>
    <t>https://www.universodolar.com.br/jogo-de-chave-torx-com-guia-9-pecas-longo---dtools-t10-t15-t20-t27-t30-t40-t45-t50-1454--dtools-strong-th5-79?utm_source=google&amp;utm_medium=Shopping&amp;utm_campaign=jogo-de-chave-torx-com-guia-9-pecas-longo---dtools-t10-t15-t2</t>
  </si>
  <si>
    <t>https://www.redemacsuperbem.com.br/produto/jogo-chave-torx-dtools-9-pecas-longa.html?srsltid=AfmBOorqlTqeHKupKeP9pZRB6_F1GjHWL3qVli675HYeLPMoB0OVXvmMln8</t>
  </si>
  <si>
    <t>https://www.ferramac.com.br/885/jogo-de-chave-canho-3-a-14-mm-com-12-peas-gedore?srsltid=AfmBOorEVvR3c4KE2Exls1Oq-j9FOLwVTTSdOtSTc26O-LMp3k5qRJWJ-RY</t>
  </si>
  <si>
    <t>Jogos de chaves canhão 12 peças</t>
  </si>
  <si>
    <t>https://www.anhangueraferramentas.com.br/produto/jogo-de-chaves-canhao-de-3mm-a-14mm-com-12-pecas-33-12m-gedore-78357?srsltid=AfmBOooCPIhXpBWYPyo3pPyvk7RIzepiynl-bhrvmqluEVR8oMT1y6jt5Rs</t>
  </si>
  <si>
    <t>https://www.dimensional.com.br/chave-canhao-jogo-12-pecas-sextavado-aco-cromovanadio-reto-azul-3-a-14-mm-27350-gedore/p?idsku=515723&amp;srsltid=AfmBOoog1o8Ntx7KpgBoMJJ6HzfELImifzQr7_uNSozzXVmX6ummixpFjE4</t>
  </si>
  <si>
    <t>Chave inglesa</t>
  </si>
  <si>
    <t>https://www.amazon.com.br/Chave-Ajust%C3%A1vel-8-Vonder-VDO172/dp/B0779JWMCP/ref=asc_df_B0779JWMCP?mcid=eeaa43a3ca9c3d6f9e2a91a027583b32&amp;tag=googleshopp00-20&amp;linkCode=df0&amp;hvadid=709857067836&amp;hvpos=&amp;hvnetw=g&amp;hvrand=755462219004489932&amp;hvpone=&amp;hvptwo=&amp;hvqmt=</t>
  </si>
  <si>
    <t>https://www.leroymerlin.com.br/chave-inglesa-ajustavel-8-aco-carbono-fosfatizada-vonder_1572402928?region=outros&amp;gad_source=4&amp;gad_campaignid=23686328093&amp;gclid=CjwKCAjwuuPRBhAnEiwA2Ji8ep1BwrVeQ9yLhfso4JcnqEXVTXoqYA41GeSOVJtFYWMb_4czxYIZeRoC0XoQAvD_BwE</t>
  </si>
  <si>
    <t>https://palaciodasferramentas.com.br/chave-inglesa-8-polegadas-fosfatizada-vonder?gad_source=4&amp;gad_campaignid=22767722792&amp;gclid=CjwKCAjwuuPRBhAnEiwA2Ji8ejMwtmtRT3R0PrEZ_Mq627LwmveRCB4RMS5YCzwNmWVNdJTvXu5jRRoC9EYQAvD_BwE</t>
  </si>
  <si>
    <t>Chave de grifo</t>
  </si>
  <si>
    <t>https://www.refercomercio.com.br/ferramentas-manuais/chave-grifo-14-tipo-stillson-encartelada-vonder?parceiro=5922&amp;srsltid=AfmBOopLumdUGqmXc1G1-eYz1nOQS_BfpfDesNWjJqmXiavbmGZxHERJo3s</t>
  </si>
  <si>
    <t>https://www.leroymerlin.com.br/chave-grifo-stillson-14-para-tubo-vonder_87390191?store_code=63</t>
  </si>
  <si>
    <t>https://www.cassol.com.br/chave-grifo-14polegadas-vonder-aco-carbono/p?srsltid=AfmBOor0sbYJUqDAOOoHlgN0J3SJG1Ge9wSX3ItM5nz3JrT_xdTg_Xk9tSc&amp;region_id=cassol_312</t>
  </si>
  <si>
    <t>Fita guia passa fio 10 m</t>
  </si>
  <si>
    <t>https://www.disfer.com.br/fita-passa-fio-helicoidal-20m-150kgf-soprano?utm_source=Site&amp;utm_medium=GoogleMerchant&amp;utm_campaign=GoogleMerchant&amp;srsltid=AfmBOorw8LmVoYJ_EGAqldQOUgAi-vUJMgcgw5hEqvtbv_oEzi_xB-He9ec</t>
  </si>
  <si>
    <t>https://www.plenobras.com.br/670760ed222b0be033021e4d/passa-fio-poliester-helicoidal-20-m?srsltid=AfmBOooZUHGTu9Yt0i6IqqrkgXZBK1tfb_ZL99OCbwilETY8gFlfHxQbJLQ</t>
  </si>
  <si>
    <t>https://www.santil.com.br/passa-fio-com-alma-aco-20m-150kg-helicoidal-soprano/p?srsltid=AfmBOorzbWQjSGJNlrQ7Hit6pmvQyaAzHrqXnbYsH2AvOXf5-7ysaMOqaNs</t>
  </si>
  <si>
    <t>Fita guia passa fio 20 m</t>
  </si>
  <si>
    <t>https://www.ferramentaskennedy.com.br/passa-fio-liege-10m-alma-aco/p?srsltid=AfmBOorc5cqahAQseTZk7410gvHbJA56_MqBXCoXsMeXSWnwB7JYZVObG7M</t>
  </si>
  <si>
    <t>https://www.piatatem.com.br/casa-e-jardim/colas-fitas/fita-passa-fio-nylon-com-cabo-de-aco-10-m-liege?parceiro=5635</t>
  </si>
  <si>
    <t>https://www.carmosion.com.br/material-eletrico/acessorios-do-eletricista/sonda-calma-de-aco-10-mts-megatech?parceiro=7729&amp;srsltid=AfmBOooVs82LUmm1323kLexRf8OZgYIF0wfkFFAIrmQBpPsFASpd-Uj9M4k</t>
  </si>
  <si>
    <t>Lubrificante para passagem de cabos</t>
  </si>
  <si>
    <t>https://www.plenobras.com.br/646a59ccd496504d21de3559/lubrificante-liquido-para-puxar-cabos-500ml?gad_source=4&amp;gad_campaignid=20992319193&amp;gclid=CjwKCAjwuuPRBhAnEiwA2Ji8elVjfgDPQqF4KUs5zoAjqrw5jFEVTLQ_b3_9uhVqUeSd4uIsdS_4DhoC1Z4QAvD_BwE</t>
  </si>
  <si>
    <t>https://www.magazineluiza.com.br/lubrificante-puxa-cabo-500ml-3m/p/jbje7cdfd5/es/olbc/?&amp;seller_id=jaraguaeletrica&amp;utm_source=google&amp;utm_medium=cpc&amp;utm_term=84412&amp;utm_campaign=google_eco_per_ven_pla_es_sor_3p_bkf-es-rpf-su-b-0326&amp;utm_content=&amp;partner_id=84</t>
  </si>
  <si>
    <t>https://www.santil.com.br/lubrificante-puxa-fios-e-cabos-500ml-3m/p?gad_source=4&amp;gad_campaignid=23670563928&amp;gclid=CjwKCAjwuuPRBhAnEiwA2Ji8egmCd9_U0ahNhLeqZZifnhhZF6XHAqMrEXLE_6Z6db3-bD-EMIUalhoC4jYQAvD_BwE</t>
  </si>
  <si>
    <t>Multímetro digital</t>
  </si>
  <si>
    <t>https://www.leroymerlin.com.br/multimetro-digital-mdv-0610-vonder_90887174?store_code=63</t>
  </si>
  <si>
    <t>https://www.lojadomecanico.com.br/produto/121597/3/47/multimetro-digital-mdv0610-vonder-3870610000/153/?srsltid=AfmBOoq0dph3cpR9OlQy2qhBOE7QJ4BK7ue4H8k4ngHfZb9dPEJzNf_nh-A</t>
  </si>
  <si>
    <t>https://www.lojabrafer.com.br/multimetro-digital-mdv-0610-visor-lcd-grande-vonder/p/12034?c=13&amp;t=256&amp;srsltid=AfmBOopXubRpLzcoY1MbVor3iqDJTM4-Lbs9KXXWfqU05gbyv0JHUhqdnas</t>
  </si>
  <si>
    <t>Alicate amperímetro</t>
  </si>
  <si>
    <t>https://www.leroymerlin.com.br/alicate-amperimetro-digital-hikari-ha-3200_92010723?store_code=19</t>
  </si>
  <si>
    <t>https://www.lojadomecanico.com.br/produto/154110/19/194/alicate-amperimetro-digital-profissional-ha-3200-garra-60mm-com-bolsa-de-transporte-cat-ii-1000v-hikari-21n260/153/?srsltid=AfmBOorf0Smeaio6GMZ8eIC2C8_ssuh2NMLOAiNVKBQENl0AmRbx3vvSUuo</t>
  </si>
  <si>
    <t>https://www.cofermeta.com.br/medicao/alicate-amperimetro/alicate-amperimetro-digital-1000a-ac-750v-ha-3200-hikari?parceiro=9290&amp;srsltid=AfmBOoqk8IFl___N3LtXqqulNG5ShWshuV2LurRQS_-AwldgGQqHWFZRU04</t>
  </si>
  <si>
    <t>Detector de tensão</t>
  </si>
  <si>
    <t>https://www.kmabrasil.com.br/produto/instrumentos/sensores-tensao-e-corrente/1168-detector-de-tensao-hikari-hk-volt-ii?srsltid=AfmBOoq5dqjAxe8yCnO11b0fE_G-aiErmA8QgnB8rznupoJkPsDQh0NMqaw</t>
  </si>
  <si>
    <t>https://www.leroymerlin.com.br/testador-eletrico-hikari-hk-volt-ii_92010751?store_code=63</t>
  </si>
  <si>
    <t>https://www.lojadomecanico.com.br/produto/152168/19/189/detector-de-tensao-30-a-1000v-hk-volt-ii-hikari-21n262/153/?srsltid=AfmBOoofoZ3wwqyEHizD5xi0WWaNGlZ_FazNW_LXlljJPOIAjItR-slNTDM</t>
  </si>
  <si>
    <t>Localizador de cabos</t>
  </si>
  <si>
    <t>https://www.plenobras.com.br/660b6e7d15bb53a13fc4cfc0/identificador-de-cabos-mtc-183-com-led-8vcc-com-conector-rj11-14-khz?srsltid=AfmBOopbItkJo8IzdJ0gJUJjtNQM614zXQITddioeMrFVwudKmrN55b4v-w</t>
  </si>
  <si>
    <t>https://www.lojadomecanico.com.br/produto/141974/3/47/identificador-de-cabos-com-led-indicadores-minipa-mtc-183/153/?srsltid=AfmBOoqfOP7gRa9ZQlCHR3xKC6IppTN-kUz88ZnQLtA2K6BlWDzKRv_2W40</t>
  </si>
  <si>
    <t>https://www.anhangueraferramentas.com.br/produto/identificador-de-cabos-rj11-mtc-183-minipa-121196?srsltid=AfmBOoo0KutcyLlQ2_kysfAgTxoYDYOvCC1gaRq5IHf5YB05avDNte-mgVg</t>
  </si>
  <si>
    <t>Trena a laser</t>
  </si>
  <si>
    <t>https://www.leroymerlin.com.br/trena-laser-bosch-40-metros-glm-40_89521985?store_code=63</t>
  </si>
  <si>
    <t>https://www.obramax.com.br/trena-a-laser-40-metros-glm40-bosch-89034862/p?idsku=15384&amp;srsltid=AfmBOoocwJVXQjGgA5qWG888wnZ-fQP4B7ZBolPvUKTKBEJmsteiGnpnhqo</t>
  </si>
  <si>
    <t>https://www.copafer.com.br/trena-a-laser-cor-vermelha-glm40-alcance-de-40-metros---saco-protetor-com-2-pilhas---0601072900-000---bosch/p?idsku=17305&amp;srsltid=AfmBOooqSCUeXO6LGVPd3uIhJXMDgpoPVbbE9PtzXB4Qj_FOfYdjjm8UWk4</t>
  </si>
  <si>
    <t>Jogo de chaves fixas 8 peças</t>
  </si>
  <si>
    <t>https://martineliferramentas.com.br/index.php?route=product/product&amp;product_id=6465&amp;srsltid=AfmBOorQNaGUZ2Jbsrvv5TH5_FJHB0FcbmudpXT4yFFPICQFqoAv2Hi9cNY</t>
  </si>
  <si>
    <t>https://www.dutramaquinas.com.br/p/jogos-de-chave-fixa-6-a-22-mm-aco-cromo-vanadiocom-8-pecas-3365211?srsltid=AfmBOoqu2pXRw6HztUpmRCkgJyZY6pZOYdV5YviiI5RY9Xq1uqk_DHnb8xg</t>
  </si>
  <si>
    <t>https://www.fg.com.br/jogo-de-chaves-fixas-6-mm-a-22-mm-aco-cromo-vanadio-8-pcs-r05125008-gedore-red/p?idsku=1173739&amp;srsltid=AfmBOoreJRW1iLB7ZoTrJPM98FCmLsbDCXypfHph9OsSYKNuFgGWAlo2TYU</t>
  </si>
  <si>
    <t xml:space="preserve">Jogo de chaves combinadas 8 peças </t>
  </si>
  <si>
    <t>https://www.lojadomecanico.com.br/produto/101486/2/206/jogo-de-chaves-combinada-6---19-mm-com-8-pecas-mtx-154089/153/?srsltid=AfmBOooRkzBqkGDN1UFz799RNt9SWgNaLpXS1U9K-3J4btOaLEiQ1rDZR28</t>
  </si>
  <si>
    <t>https://www.anhangueraferramentas.com.br/produto/jogo-de-chaves-combinadas-de-6-a-19mm-com-8-pecas-154089-mtx-130239?srsltid=AfmBOor-6iBSdBjfgfsLOindGjoZ8k1I0nJymHvguzWyIyWVqHAjKtXP31k</t>
  </si>
  <si>
    <t>https://www.angatumaquinas.com.br/jogo-de-chaves-combinada-6-19-mm-com-8-pecas-mtx-154089?utm_camp=gshop&amp;idgrade=789&amp;srsltid=AfmBOorFxc_BJiaYSQ4dQMLTOco15JTcD5RTFAErDx074wkJofqXaw0mIOM</t>
  </si>
  <si>
    <t xml:space="preserve">Jogo de chaves para tubos 2 peças </t>
  </si>
  <si>
    <t>https://www.baradelconstrucoes.com.br/produto/kit-chave-p-tubos-cabo-revestido-8-e-12-profissional-idea.html?utm_source=Site&amp;utm_medium=GoogleMerchant&amp;utm_campaign=GoogleMerchant&amp;srsltid=AfmBOoonDcnEd9ng8zun7MjaUFg_TI2DOUEslmF2T8_SXnmISG3j8gCx3CQ</t>
  </si>
  <si>
    <t>https://www.leroymerlin.com.br/kit-chave-p--tubos-cabo-revestido-8-e-12-profissional-idea_1571495957?region=outros</t>
  </si>
  <si>
    <t>https://www.mercadolivre.com.br/kit-2-chaves-para-tubos-universal-boca-mestra-9-a-32mm-aco/up/MLBU3539507025</t>
  </si>
  <si>
    <t>Jogo de soquetes 17 peças</t>
  </si>
  <si>
    <t>https://www.ferramentaskennedy.com.br/jogo-de-soquetes-estriados-em-cr-v-12-8-30mm-17-pecas-tramontina/p?srsltid=AfmBOorBb-9kepSgzRpwJgnjjmiHcw2-U-XT_8yajDGQuNZm0nsyPdIYFRM</t>
  </si>
  <si>
    <t>https://www.telhanorte.com.br/jogo-de-soquetes-e-acessorios-12-17-pecas-em-aco-cromo-vanadio-43600017-tramontina-2381494/p?idsku=2381494&amp;srsltid=AfmBOorVAcbPaZOpEUMBuZVk8n8SXOLzgzHkP280vgBJu9JGLk5f4KRPRvY</t>
  </si>
  <si>
    <t>https://www.dutramaquinas.com.br/p/jogo-de-soquete-estriado-8-a-30-mm-encaixe-1-2-com-17-pecas-aco-cromo-vanadio-43600-017?srsltid=AfmBOopTeLanxlkbnMpxAOLcWYK3udR3r_vV7RXI0wj6fZIiat_tRea_KGs</t>
  </si>
  <si>
    <t>https://www.piresmartins.com.br/alicate-crimpador-manual-para-tubo-pex-acv-1632-vonder/p?srsltid=AfmBOopeLVM8D5nG3x_deZMHwlkKC2v1EDXKXrqKkf2azg1oyGS_G_5XjBc</t>
  </si>
  <si>
    <t>https://www.delupo.com.br/alicate-crimpador-para-tubo-pex-acv-1632-vonder---36-86-016-032/p?idsku=84165&amp;srsltid=AfmBOopD3VwBTzdL5eqpHErIQAbAFHlWsAkxBdgprIpu9C1DjtW0MCv7sgE</t>
  </si>
  <si>
    <t>https://www.cofermeta.com.br/ferramentas-manuais/alicates/prensa-terminais/alicate-prensa-tubo-pex-manual-de-16-a-32-mm-acv1632-vonder?parceiro=9290&amp;srsltid=AfmBOor6dUD2zUOpRn96KbNgF2n8r5Wpat0VVXGRslUnEMiy81REjuCzvMM</t>
  </si>
  <si>
    <t>Cortador de tubo</t>
  </si>
  <si>
    <t>https://www.eletrorastro.com.br/produto/cortador-de-tubo-de-pvc-vonder-89256?utm_source=google&amp;utm_medium=cpc&amp;srsltid=AfmBOop36jwMXg0UuOvSqgYcKFKDLPMbKhvXZgQWNdS4M3iuCepkZcaqHfA</t>
  </si>
  <si>
    <t>https://www.molyplast.com.br/ferramentas/manuais/cortador-de-tubos-pvc-ate-1-58-pol-42-mm-vonder?parceiro=9584&amp;srsltid=AfmBOoq5Db5XTVN6ZCepbo2IEh72puVnYA1UK4GCzvercyMvFR-7hCms1tQ</t>
  </si>
  <si>
    <t>https://www.fg.com.br/corta-tubos-de-pvc-diametro-ate-42mm---vonder/p?idsku=1088787&amp;srsltid=AfmBOor37vHAuT2Ar5wnzmdQrTowresLuU5CAUsGfTbLW4O76fqWBwR39fA</t>
  </si>
  <si>
    <t>Arco de serra</t>
  </si>
  <si>
    <t>https://www.lojadomecanico.com.br/produto/15554/2/562/arco-de-serra-fixo-12-pol-starret-140/153/?srsltid=AfmBOorX6fA2zg7ZvDTb6ygcqPIzS7eGz007swTsweLhLRfynoYD3Be_6Hg</t>
  </si>
  <si>
    <t>https://www.plenobras.com.br/646a59b2d496504d21de0fcc/arco-serra-manual-com-cabo-fechado-bi-metalico-12%22-300-mm?srsltid=AfmBOorSa4iFN9F-hISTKzQMZWac2vwQMvqKx-eXHy4tJjZWqe4G5w2q_lY</t>
  </si>
  <si>
    <t>https://www.leroymerlin.com.br/arco-de-serra-12--300mm--com-lamina-bi-metal-k140-starrett_87430910?region=outros&amp;region_id=52000</t>
  </si>
  <si>
    <t>Paquímetro Universal Analógico em Aço 150mm</t>
  </si>
  <si>
    <t>https://www.lojadomecanico.com.br/produto/81387/3/204/paquimetro-universal-analogico-em-aco-150mm-fortgpro-fg8330/153/?srsltid=AfmBOoozMHgnYPhhe3RzVDd2xX3-ffjionYp68T69jsw5AmwlHDbmAPaTf8</t>
  </si>
  <si>
    <t>https://galpaodasmaquinas.com.br/produto/paquimetro-universal-analogico-em-aco-150mm-fortgpro-fg8330?srsltid=AfmBOopgHI5ZzLuTINc4FwYveYF4g1cePZaZSaS_ludxu1o19fJ0BRj-Qyw</t>
  </si>
  <si>
    <t>https://www.mercadolivre.com.br/paquimetro-mecnico-fortg-150mm-fg8330-metal-resistente-com-estojo/p/MLB23859575?matt_tool=18956390&amp;utm_source=google_shopping&amp;utm_medium=organic&amp;pdp_filters=item_id%3AMLB5686386800&amp;from=gshop</t>
  </si>
  <si>
    <t xml:space="preserve">Alicate flangeador </t>
  </si>
  <si>
    <t>https://www.frigelar.com.br/kit-flangeador-eos-316-a-58/p/kit1505?srsltid=AfmBOoqM8oF2fzVWPNWVwaF-ue4U23r2u_8y5r9cfjxe9ZOAMqHWVYV2zvQ</t>
  </si>
  <si>
    <t>https://www.casadomecanico.com.br/flangeador-p-tubos-cobre-3-16-a-5-8-12054-p25772?utm_source=google&amp;utm_medium=cpc&amp;utm_campaign=lojavirtual&amp;srsltid=AfmBOopT_0v6lWF6reCKk_i4bZeTEqhdenAkOAjHUgGOktzOUOcXw0SmAvc</t>
  </si>
  <si>
    <t>https://www.mercadolivre.com.br/kit-flangeador-eos-316-a-58/p/MLB37394170?matt_tool=18956390&amp;utm_source=google_shopping&amp;utm_medium=organic&amp;pdp_filters=item_id%3AMLB4342968477&amp;from=gshop</t>
  </si>
  <si>
    <t>Alicate expansor de tubos</t>
  </si>
  <si>
    <t>https://www.epeletrica.com.br/alargador-de-tubo-tipo-alicate-gallant-19297-1?srsltid=AfmBOooO5qdXL0Nnaa4IUksgB0UXU8ZXJtXDjHlUDSSoBHOuST1TAw5TBTI</t>
  </si>
  <si>
    <t>https://climasolis.com.br/produto/alargador-de-tubos-tipo-alicate-gallant-glt0622-glt0622/</t>
  </si>
  <si>
    <t>https://www.leroymerlin.com.br/alicate-alargador-de-tubos-de-cobre-1-4-a-7-8_1572462712?region=outros</t>
  </si>
  <si>
    <t>Alicate dobrador de tubos</t>
  </si>
  <si>
    <t>https://www.leroymerlin.com.br/alicate-curvador-tubo-1066-420mm_91801696?store_code=63</t>
  </si>
  <si>
    <t>https://www.virtualtools.com.br/modelagem-de-tubo-e-mangueira/dobrador-de-tubos-14-516-38-wipcool-hb-3?parceiro=2737&amp;srsltid=AfmBOoqGBLPUh3C1F6X0TEdiUyYk46-9I6-14KQF8l_TN7G3Fnhv_MJZYTA</t>
  </si>
  <si>
    <t>https://www.amazon.com.br/Dobrador-Alum%C3%ADnio-Cortadores-Vergalh%C3%A3o-Dobradores/dp/B0CLS86D4C</t>
  </si>
  <si>
    <t>Cortador de tubo de cobre</t>
  </si>
  <si>
    <t>https://www.leroymerlin.com.br/cortador-de-tubo-de-cobre-1-8-a-1-1-4-3-a-32-mm--35-59-180-114-vonder_1569957407?region=outros</t>
  </si>
  <si>
    <t>https://www.dutramaquinas.com.br/p/cortador-de-tubo-de-cobre-1-8-a-1-1-4-3-a-32-mm-35-59-180-114-35-59-180-114?srsltid=AfmBOordr-XP7kt4lfsVVKrxBo8UKgkwVTjT40WtK3VY9ZmasCAUaY6mhq0</t>
  </si>
  <si>
    <t>https://www.anhangueraferramentas.com.br/produto/cortador-de-tubos-de-cobre-1-8-a-1-1-4-3559180114-vonder-111071?srsltid=AfmBOopkR6fDcZxMUzLBAg9wGhXliRmTZP-9jDPEpzJOspnQo8fjBePsn9Q</t>
  </si>
  <si>
    <t>Manifold digital profissional</t>
  </si>
  <si>
    <t>https://refrigeracao.suryha.com.br/produto/80150.208/manifold-digital-smart?srsltid=AfmBOoqz-m0I-OH3dZ3zWgasXJhGyLMIPa0m0ufhvoJOHI9fz0TEAiDG5ek</t>
  </si>
  <si>
    <t>https://www.virtualtools.com.br/manifolds/manifold-digital-smart-com-mangueira-90-cm-516-r32-r410?parceiro=2737&amp;srsltid=AfmBOorNfL2ZZquYMsMrxbIS_eoC5M8Gi7nnR4O9DbFokHSr8fqi-bFBNdA</t>
  </si>
  <si>
    <t>https://www.distriar.com.br/manifolds-e-acessorios/manifold-digital-smart-92-tipos-de-gases-suryha-80150208?parceiro=2688&amp;srsltid=AfmBOooZKDXVdGgkypAOZGpx3p63CnAVe8fq6CoJ6H7bjfQsK_pur8u-U08</t>
  </si>
  <si>
    <t>Vacuômetro digital</t>
  </si>
  <si>
    <t>https://shop.testo.com.br/shop/0560-5522-testo-552-13403?srsltid=AfmBOopAOE4VyKlWfSHIPSu69PAFRKZrgYqd9mw4SUq7dxilirhhOk67x-s#attr=</t>
  </si>
  <si>
    <t>https://www.tecnoferramentas.com.br/vacuometro-digital-capacidade-26-virgula-66-mbar-com-bluetooth-ref-0560-5522-testo-552/p?idsku=2007159&amp;srsltid=AfmBOoq9Zbbi5IvdFLfjwr9owib3fEyfyonvPRMy5tBGDQh8OFgN6fytlG0</t>
  </si>
  <si>
    <t>https://www.dufrio.com.br/vacuometro-digital-testo-2666-mbar-t552-0560-5522.html?srsltid=AfmBOooP8A9oxuoxl2O1JGuNOwIyVDwGhXBKRaonsZprlFg1svaYGOIR4fw</t>
  </si>
  <si>
    <t xml:space="preserve">Detector eletrônico de vazamentos </t>
  </si>
  <si>
    <t>https://www.eletrofrigor.com.br/produto/detector-eletronico-de-vazamento-de-fluido-refrigerante-suryha-80150017-5888?srsltid=AfmBOoofvCyKtq8HTYcBat0VjjBBAWuE-vO00w4F_2GCRJ45DLKXiQ5pBSE</t>
  </si>
  <si>
    <t>https://refrigeracao.suryha.com.br/produto/80150.017/detector-eletronico-de-vazamento-de-fluido-refrigerante?srsltid=AfmBOoo26W2xQKkVUZrIIzQx3kPe715sTtk6kyHCk-tOFdmDWLQ6i9ta__0</t>
  </si>
  <si>
    <t>https://www.distriar.com.br/detector-de-vazamento/detector-eletronico-de-vazamento-de-fluido-refrigerante-suryha-80150017?parceiro=2688&amp;srsltid=AfmBOoqRQEmHEBV35gIoFwXn7MNVnnhnGRGMHroW0HQxxzavmJ78ro3nPfE</t>
  </si>
  <si>
    <t>Termômetro infravermelho</t>
  </si>
  <si>
    <t>https://www.leroymerlin.com.br/termometro-hikari-infravermelho-ht-550_92010765?store_code=63</t>
  </si>
  <si>
    <t>https://www.lojadomecanico.com.br/produto/164712/3/283/termometro-infravermelho-digital-ht-550-hikari-21n255/153/?srsltid=AfmBOooAA4LNGQ88gCSyyl4SWS7ucgIh39rk0Triwc-rVrVAS6ARVWneh0o</t>
  </si>
  <si>
    <t>https://www.minasferramentas.com.br/25481/termometro-digital-laser-infravermelho-50a550-celsius-hikari-ht-550?srsltid=AfmBOor4vYRVm0huAQNyrkDHujKK_InM-mSFzYeDXi2cxWhKt1ITytkrYic</t>
  </si>
  <si>
    <t xml:space="preserve">Medidor de temperatura e umidade </t>
  </si>
  <si>
    <t>https://www.plenobras.com.br/646a58c8d496504d21dcb113/higrometro-medidor-para-temperatura-e-umidade-triplo-com-sensor?srsltid=AfmBOoq1Vgz3freV937nEzNv6X0UNloD9RlFfhFDzfwXQfMEMKxihtYmJ1g</t>
  </si>
  <si>
    <t>https://www.dutramaquinas.com.br/p/relogio-termo-higrometro-interno-e-externo-mt-241-mt-241?srsltid=AfmBOopH3bal_FLLRQB2xWdulQ6bKBK5ogXBKDlD35yrkqQelWaUkgdLv-o</t>
  </si>
  <si>
    <t>https://palaciodasferramentas.com.br/relogio-termo-higrometro-digital-mt-241-minipa?srsltid=AfmBOoqTkTsRxpitDCrYMs7aph8lyCRnYLl6Y1gv5YoCKC7RIhGIQKyrWq4</t>
  </si>
  <si>
    <t>Cortador profissional de vidro</t>
  </si>
  <si>
    <t>https://varejo.wurth.com.br/p/7495053/cortador-de-vidro-profissional-5-15mm-wurth-071470-110-unitario?srsltid=AfmBOooZ0oPzlZhOQNUj6ZkCQFUXJwzUaH9KYKRXjMuS_oNlI1qKc98InTE</t>
  </si>
  <si>
    <t>https://www.vandusolucoes.com.br/produtos/cortador-de-vidro-de-5-a-15mm-wurth/</t>
  </si>
  <si>
    <t>https://www.fastvidrosdistribuidora.com.br/acessorios/cortador-profissional-wurth-5-a-15mm-corte-de-vidro-espelho?parceiro=8753</t>
  </si>
  <si>
    <t>Ventosa para vidro</t>
  </si>
  <si>
    <t>https://www.superproatacado.com.br/ventosa-simples-abs-282006-worker-282006/p?srsltid=AfmBOorqBHZGhBED9BGdy0OaF7UdABKQMiGEx96ZnCbruG0YtHpTkOBFSkI</t>
  </si>
  <si>
    <t>https://www.ferramentaskennedy.com.br/ventosa-simples-abs-282006-worker/p?srsltid=AfmBOoqz673UFZx2fx_uaL8YSWXRUd5bEBcANjQJkb69_5p-9xLsqZQV3RQ</t>
  </si>
  <si>
    <t>https://www.lojadomecanico.com.br/produto/152331/24/557/ventosa-simples-ate-45kg-lith-lt2037</t>
  </si>
  <si>
    <t>Alicate para vidro</t>
  </si>
  <si>
    <t>https://www.leroymerlin.com.br/alicate-bico-de-pato-para-vidraceiros-destacar-vidro_1571449621?region=outros</t>
  </si>
  <si>
    <t>https://www.woodglassacessorios.com.br/ferramentas/alicate-para-vidraceiro-destacar-vidro-bico-de-pato?srsltid=AfmBOor1j8HCzg6x2B388jAoBQszvwq3v-E229UfoP6EeR0n4vat9umzWJY</t>
  </si>
  <si>
    <t>https://envidracamentoemsacadas.com.br/produtos/alicate-bico-de-pato-para-vidraceiro/</t>
  </si>
  <si>
    <t>Espátula para vidraceiro</t>
  </si>
  <si>
    <t>https://www.bartexbrasil.com.br/espatulas-para-acabamento/espatula-bartex-p-vidraceiro-2-cm-cabo-de-madeira?parceiro=9743&amp;srsltid=AfmBOopyrRsZhzIoK383jsOBYN8-EY7bUI9hM7u-zG7RND_kMy2cBKLjsRg</t>
  </si>
  <si>
    <t>https://www.mercadolivre.com.br/espatula-de-metal-com-cabo-de-madeira-multiuso/p/MLB2089997042?matt_tool=18956390&amp;utm_source=google_shopping&amp;utm_medium=organic&amp;pdp_filters=item_id%3AMLB3998549175&amp;from=gshop</t>
  </si>
  <si>
    <t>https://www.mercadolivre.com.br/espatula-bartex-p-vidraceiro-2-cm-cabo-de-madeira/up/MLBU780570153?matt_tool=18956390&amp;utm_source=google_shopping&amp;utm_medium=organic&amp;pdp_filters=item_id%3AMLB2631864863&amp;from=gshop</t>
  </si>
  <si>
    <t xml:space="preserve">Aplicador de silicone </t>
  </si>
  <si>
    <t>https://www.casadomecanico.com.br/aplicador-silicone-300ml-12253-p25871?utm_source=google&amp;utm_medium=cpc&amp;utm_campaign=lojavirtual&amp;srsltid=AfmBOorW-MrZnVZkvmGagVcq-IlJWDOZOT3hpTbxE1pPWh9daEjCsjRcmJU</t>
  </si>
  <si>
    <t>https://www.leroymerlin.com.br/aplicador-de-silicone-cartucho-300gr-starfer_1567332220?region=outros</t>
  </si>
  <si>
    <t>https://www.ultramaquinas.com.br/produto/aplicador-de-silicone-manual-fechado-starfer-73071?srsltid=AfmBOop4pq96f-Nwa5-qpSISTCfo5wL5gdQBsb8Auf8WIt911z0SQX8lSwo</t>
  </si>
  <si>
    <t>Esquadro metálico</t>
  </si>
  <si>
    <t>https://www.fg.com.br/esquadro-metalico-24----vonder/p?idsku=1087973&amp;srsltid=AfmBOopGNXecgpPMOJQS5qifauBazzg0bNO6VYq7pnxBAWhGwdghhM_5UTI</t>
  </si>
  <si>
    <t>https://www.elastobor.com.br/esquadro-de-aco-inox-vonder--24-x-16/p?idsku=71289001&amp;srsltid=AfmBOorj7c_U-Agjk1_aKGbLIVLY6jHZ2pZCBMmAUMHu8vXazMdHseXKU7c</t>
  </si>
  <si>
    <t>https://www.anhangueraferramentas.com.br/produto/esquadro-metalico-24-3550024000-vonder-124594?srsltid=AfmBOornN45knumI6ja8B85f0M_PBXKZv2kHnUE3Vb-dpXqc9SvmuTYed9c</t>
  </si>
  <si>
    <t xml:space="preserve">Nivel </t>
  </si>
  <si>
    <t>https://www.fg.com.br/nivel-aluminio-355mm-3-bolhas---vonder/p?idsku=1088398&amp;srsltid=AfmBOoo-cCIvEtLhU14Xsc9eweZAxPFmW3rtX7K-KZLRNF2AMETBL-ptqZo</t>
  </si>
  <si>
    <t>https://www.dutramaquinas.com.br/p/nivel-de-aluminio-14-com-3-bolhas-35-35-000-140?srsltid=AfmBOoqKtMGADBzTjzF37XQ8y93WDz5_TEMfRV3gZ6hrbCTuWtIV-xDhmRg</t>
  </si>
  <si>
    <t>https://www.lojadomecanico.com.br/produto/150327/31/267/nivel-de-aluminio-14-pol-vonder-3535000140/153/?srsltid=AfmBOopL4R6mjy37DLe7ZkuIxgrd-IxiBIUr0Wih74zGrrXNMSZLGQVOFIc</t>
  </si>
  <si>
    <t xml:space="preserve">Martelo de borracha </t>
  </si>
  <si>
    <t>https://www.lojadomecanico.com.br/produto/343310/2/253/martelo-de-borracha-preta-450g-com-cabo-de-madeira-sparta-1115055/153/?srsltid=AfmBOoqXce3nZDo1yI57onlbsaiknNyIFH234Oy7hWjw-YHmGM5sNfEG0So</t>
  </si>
  <si>
    <t>https://www.leroymerlin.com.br/martelo-borracha-preta-0450gr-cabo-madeira--sparta_1570726040?region=outros</t>
  </si>
  <si>
    <t>https://www.leomadeiras.com.br/p/10443570/martelo-borracha-preto-50mm-1115055-1-un-sparta?srsltid=AfmBOorlcNxAzznD5aYLwNtgrCwnPKFjjbIEa4GB_qoKHnrge_PvCgBvC0M</t>
  </si>
  <si>
    <t>Colher de pedreiro</t>
  </si>
  <si>
    <t>https://www.lojadomecanico.com.br/produto/149927/31/265/colher-de-pedreiro-com-canto-reto-numero-10-thompson-1583/153/?srsltid=AfmBOopg8T3ZGKU33J398MzhFzTNZbcfUvLQsGtrpRaa38oPoJdxcG5sZ84</t>
  </si>
  <si>
    <t>https://www.minasferramentas.com.br/17694/colher-de-pedreiro-canto-reto-10-thompson-1583?srsltid=AfmBOoonKuvj3co2c5BTG-JM5q3O3TqBgiPSkWVq580ZLsRmP9N2dQUtWe8</t>
  </si>
  <si>
    <t>https://www.fermaquinas.com.br/colher-para-pedreiro-reto-numero-10-1583-thompson/p?idsku=20018&amp;srsltid=AfmBOoo9KV4frLN2WWwp-vYWzVlFjQBb7IRxgwCPYuOB2iBMWeT8MtaPU7A</t>
  </si>
  <si>
    <t>Prumo</t>
  </si>
  <si>
    <t>https://www.ultramaquinas.com.br/produto/prumo-de-pedreiro-metal-700gr-74529?srsltid=AfmBOoqsyLO5m5wQw8uKa8KCH_KGlKSCS2sjW_zJVxA425dPsY6C1GNv964</t>
  </si>
  <si>
    <t>https://www.leroymerlin.com.br/prumo-de-parede-400g-corpo-metal-vonder_1570715984?region=outros</t>
  </si>
  <si>
    <t>https://www.dutramaquinas.com.br/p/prumo-de-parede-de-metal-700-g-33-21-010-700?srsltid=AfmBOop0T6NEUzVLEBO-3uzR0HQdUlOeSFvjEWMLtciKnoGF-woqbLacs7s</t>
  </si>
  <si>
    <t>https://www.leroymerlin.com.br/perfil-tubo-retangular-aluminio-1m-x-23mm-natural-decal_91775544?store_code=63</t>
  </si>
  <si>
    <t>Régua 2 m</t>
  </si>
  <si>
    <t>https://www.obramax.com.br/regua-de-pedreiro-aluminio-simples-decal/p?idsku=22842&amp;srsltid=AfmBOoqv-wK7iQAkoezMMScoxA8STa1HTbLY8yG6ZSHuqBLyol0flDBb_pM</t>
  </si>
  <si>
    <t>https://www.joli.com.br/regua-para-pedreiro-46x23x2mt-decal/p?idsku=17088&amp;srsltid=AfmBOoq7O3PNeMAlUH9cC0kiuHrJYxFq4R98dA0CBVSy4w5PF27OlftfQvk</t>
  </si>
  <si>
    <t>Martelo de pedreiro</t>
  </si>
  <si>
    <t>https://www.lojadomecanico.com.br/produto/20527/2/253/martelo-para-pedreiro-de-dois-cortes---500g-tramontina-40458000/153/?srsltid=AfmBOorwYxK_hkErDUF4ihZ4BTipw9b7KyPaSXdnpyjMgrrGVKkHWIuuYL8</t>
  </si>
  <si>
    <t>https://www.viainox.com/martelo-pedreiro-2-cortes-tramontina-master-500g-com-cabo-em-madeira-envernizada.html?srsltid=AfmBOopjX0MYYwrhJqY3P1r8ROb2xAF1EAIvXKJF48GGd71Y5cHBNb5dq-0</t>
  </si>
  <si>
    <t>https://www.leroymerlin.com.br/martelo-pedreiro-2-cortes-tromontina_89097932?region=outros&amp;region_id=52000</t>
  </si>
  <si>
    <t>Martelo de unha</t>
  </si>
  <si>
    <t>https://www.tramontina.com.br/martelo-de-unha-18-mm-tramontina-master-basic-com-cabo-em-madeira-envernizada/40370018.html?srsltid=AfmBOoq2OFVziI9D0FG66oi9DaJ2uT5lb-UI7e6s-H9PmsSxX_sGpI8Vmrg</t>
  </si>
  <si>
    <t>https://www.leroymerlin.com.br/martelo-de-unha-25mm-tramontina_90709220?store_code=19</t>
  </si>
  <si>
    <t>https://www.sodimac.com.br/sodimac-br/product/198510/martelo-27mm-basic-tramontina/198510/?srsltid=AfmBOopUuqTaGf8W0ChlOSq2AFFrD5d9S77PQdw8BIduiG1LXuYVUJYjNeg</t>
  </si>
  <si>
    <t>Marreta de pedreiro</t>
  </si>
  <si>
    <t>https://www.casadomecanico.com.br/marreta-oitavada-1-0kg-c-cabo-40500-10522-p25170?utm_source=google&amp;utm_medium=cpc&amp;utm_campaign=lojavirtual&amp;srsltid=AfmBOorE3EMaSoRD-LF4D4EntEOG7hyHMiyUAiK4oyZS7EkR2iYvfdavpdE</t>
  </si>
  <si>
    <t>https://www.leroymerlin.com.br/marreta-oitavada-1500g-tramontina_89053363?region=outros&amp;region_id=52000</t>
  </si>
  <si>
    <t>https://www.tramontina.com.br/marreta-oitavada-1000-g-tramontina-master-basic-com-cabo-de-madeira/40508002.html?srsltid=AfmBOopdS3FddTzGKWq9P3z49UJ5OEnkd_wwIFVQ9p1LdL-n5dlg3y24Hk4</t>
  </si>
  <si>
    <t>Talhadeira de pedreiro</t>
  </si>
  <si>
    <t>https://www.casadomecanico.com.br/talhadeira-sextavada-11mm-352-1282-p20845?utm_source=google&amp;utm_medium=cpc&amp;utm_campaign=lojavirtual&amp;srsltid=AfmBOop9kH0KcuruP2sAgZV9c1RsxKsGh_ttKRNLlVzzIF0UBDr2__1Ehf4</t>
  </si>
  <si>
    <t>https://www.leroymerlin.com.br/talhadeira-gedore-15mm-038102-038102_1566943359?region=outros</t>
  </si>
  <si>
    <t>https://www.lojadomecanico.com.br/produto/13508/31/263/talhadeira-octogonal-16mm-gedore-352-16/153/?srsltid=AfmBOorwwk5hAmXPZZkev7C4R_EChQ8z53YUSFEc4lJ_5sqQ5Dqcjbs3B0s</t>
  </si>
  <si>
    <t>https://www.minasferramentas.com.br/28079/ponteiro-redondo-3-4x10-paraboni-9150?srsltid=AfmBOooJwCAKdebGGV4eJO2qNd6iEXOFxmvV_wQjIvnqLd8tnpGz9Jbu-Cs</t>
  </si>
  <si>
    <t>https://www.casadomecanico.com.br/ponteiro-redondo-3-4-x12-10087-p24909?utm_source=google&amp;utm_medium=cpc&amp;utm_campaign=lojavirtual&amp;srsltid=AfmBOor8pnIlpqp2GSmpm3InPCsS3h39ECXkf1WNsiOoSXh1QxiPAOVprRI</t>
  </si>
  <si>
    <t>https://www.nichele.com.br/ponteiro--10pol-paraboni/p</t>
  </si>
  <si>
    <t>Balde de pedreiro</t>
  </si>
  <si>
    <t>Ponteiro de pedreiro</t>
  </si>
  <si>
    <t>https://www.lojadomecanico.com.br/produto/11891/31/266/balde-metalico-10-litros-para-concreto-vonder-3315010000/153/?srsltid=AfmBOorKy5ErLZYQkcVmL6_t55EBcbV5W2Wl3npaAcWLo_EHIVw3u-OCVIE</t>
  </si>
  <si>
    <t>https://www.copafer.com.br/balde-em-chapa-metalica-para-concreto-com-10-litros---3315010000---vonder/p?idsku=3360&amp;srsltid=AfmBOooxHcwUhUmvS0S8fB1n9Gvdr_XAphEFUByVxVWA6O7YWTHdYW2BcIM</t>
  </si>
  <si>
    <t>https://www.delupo.com.br/balde-metalico-para-concreto-10l-vonder---33-15-010-000/p?idsku=854&amp;srsltid=AfmBOoq9uRI_0V2Z81PkgshCYLuWeb0FghJ980ZcEyvbxPpj5xHFZCmV2IQ</t>
  </si>
  <si>
    <t>Enxada</t>
  </si>
  <si>
    <t>https://www.lojadomecanico.com.br/produto/119700/31/327/enxada-larga-15-com-cabo-de-madeira-130-cm-tramontina-77214654/153/?srsltid=AfmBOooRsi59eDik-kvkocZGgBKIzHOhLQi9c6HKE4hTm4TRPTciF1Da7Qk</t>
  </si>
  <si>
    <t>https://www.tramontina.com.br/enxada-larga-1.5-tramontina-em-aco-com-cabo-de-madeira-130-cm/77214654.html?srsltid=AfmBOooU7WxXKxzo9H4LKeCXoFBm48VZixk5WoWKUJpDaKNphZLsHZYDqPw</t>
  </si>
  <si>
    <t>https://martineliferramentas.com.br/enxada-larga-15-em-aco-com-cabo-de-madeira-130cm-tramontina-77214654_38393.html?srsltid=AfmBOorAM0olmpHA4vm-kPbLp-l_CCNkSButieBTr6BL0K2emssG08ioviA</t>
  </si>
  <si>
    <t>Picareta</t>
  </si>
  <si>
    <t>https://www.ferramentaskennedy.com.br/picareta-estreita-tamanho-4-cabo-de-madeira-90-cm-tramontina-77300543/p?srsltid=AfmBOooGQVhaS4CH-QvDZcoTsmYLfg_3-J-gEginHivx3b8zZp1I1IclY0E</t>
  </si>
  <si>
    <t>https://www.dutramaquinas.com.br/p/picareta-ponta-e-pa-estreita-com-cabo-de-madeira-90-cm-77300-543-77300-543?srsltid=AfmBOoqOoP7iMJ9rk7ufbVgtvuKLZs_ViDT5O8zv5cnCjlTEFZWhFC0HN0Y</t>
  </si>
  <si>
    <t>https://www.copafer.com.br/picareta-estreita-com-cabo-de-90cm-77300543-tramontina/p?idsku=31796&amp;srsltid=AfmBOoq_SF4sAAdw-26Z_a73UmPubGYQt2pgtrtSvGtEBiR4uRsixn36oLQ</t>
  </si>
  <si>
    <t>Cavadeira articulada</t>
  </si>
  <si>
    <t>https://redemac.com.br/loja/cavadeira-articulada-reforcada-140cm-tramontina/</t>
  </si>
  <si>
    <t>https://www.copafer.com.br/cavadeira-articulada-com-cabo-de-madeira-de-120-cm-77564503-tramontina/p?idsku=30994&amp;srsltid=AfmBOop06BFkpeMBVRGemOvB0f49pLtaIm_OpTirxvp0NxuqrYcFC4M8Ies</t>
  </si>
  <si>
    <t>https://www.anhangueraferramentas.com.br/produto/cavadeira-articulada-cabo-de-madeira-120cm-com-batente-plastico-77564503-tramontina-131296?srsltid=AfmBOorlhguXYTmw9rxgdNiMtvwxAWSf8sK3zU4F6C-DSdo4Y9JWdB86Ow0</t>
  </si>
  <si>
    <t>Pá reta</t>
  </si>
  <si>
    <t>https://www.lfmaquinaseferramentas.com.br/pa-quadrada-corte-tramontina-77400-424-cabo-71cm/p?idsku=5481&amp;gad_source=4&amp;gad_campaignid=22559429938&amp;gclid=CjwKCAjw3ejRBhAdEiwADkqPnxk4yphtTuTLyLjHrfw4a8BzRyM16uu2oA0KYrYMY5wKu3bKVW2lwxoCPtMQAvD_BwE</t>
  </si>
  <si>
    <t>https://www.tumelero.com.br/vanga-quadrada-com-cabo-71cm-77400424-preto-tramontina-40883851-1/p?idsku=40883851&amp;gad_source=4&amp;gad_campaignid=23304852875&amp;gclid=CjwKCAjw3ejRBhAdEiwADkqPnx2JoL8hI72fk7Ni3Viw8kKhOXXtfDdhezq-SorLIIv6OOB5cucIhhoC414QAvD_BwE</t>
  </si>
  <si>
    <t>https://www.mercadolivre.com.br/pa-reta-tramontina-77424404-cabo-de-madeira-de-71-cm/p/MLB28466252?pdp_filters=item_id%3AMLB4639439151&amp;from=gshop&amp;matt_tool=78080246&amp;matt_word=&amp;matt_source=google&amp;matt_campaign_id=23351282087&amp;matt_ad_group_id=193044725754&amp;m</t>
  </si>
  <si>
    <t>Pá de concha</t>
  </si>
  <si>
    <t>https://www.leroymerlin.com.br/pa-bico-com-cabo-12,1x101,5cm-tramontina_91975282?store_code=63&amp;gad_source=4&amp;gad_campaignid=23609586859&amp;gclid=CjwKCAjw3ejRBhAdEiwADkqPn62l6HZdtUwlhuLhmNQeSIUNTunIfazUyiAsTcfjP7bEjU_tBC4FERoC2MoQAvD_BwE</t>
  </si>
  <si>
    <t>https://www.leroymerlin.com.br/pa-ajuntadeira-metal-com-cabo-madeira-10x25x102cm-momfort_92376802?store_code=19&amp;gad_source=4&amp;gad_campaignid=23609586859&amp;gclid=CjwKCAjw3ejRBhAdEiwADkqPn2Ibzv4PW7_I5IO8EJQ8q2hNSr2qe_YUICS6jAxpavAoNt_s8TkBzxoCi9oQAvD_BwE</t>
  </si>
  <si>
    <t>https://www.ferramentaskennedy.com.br/pa-de-bico-em-aco-com-cabo-de-madeira-71cm-tramontina/p?srsltid=AfmBOorxOViUmhnPkTlrK9ErEcMiq8BcUfWYCTlY99GRuQaV2nVvmwXx1Nk</t>
  </si>
  <si>
    <t>Linha para pedreiro</t>
  </si>
  <si>
    <t>https://palaciodasferramentas.com.br/linha-para-pedreiro-rolo-0.80-x-100-metros-vonder?gad_source=4&amp;gad_campaignid=22767722792&amp;gclid=CjwKCAjw3ejRBhAdEiwADkqPn3yIcu7QJDCht5ACebp5vjb4vwEehNRg6iJf-WQJokzKcZQAOE-ehhoCrV4QAvD_BwE</t>
  </si>
  <si>
    <t>https://www.saogeraldotintas.com.br/linha-pedreiro-lisa-vonder/p?idsku=1165&amp;utm_source=google&amp;utm_medium=cpc&amp;utm_campaign=pmax_geral&amp;utm_content=&amp;utm_term=&amp;utm_source=google&amp;utm_medium=cpc&amp;utm_campaign={campaignname}&amp;utm_content=&amp;utm_term=&amp;gad_source=4&amp;ga</t>
  </si>
  <si>
    <t>https://www.lojasafubra.com.br/linha-pedreiro-100m/p?idsku=11754&amp;utm_source=google&amp;utm_medium=cpc&amp;utm_campaign=pmax_geral_sul&amp;utm_content=23658878101_{assetid}__{location}&amp;gad_source=4&amp;gad_campaignid=23658886483&amp;gclid=CjwKCAjw3ejRBhAdEiwADkqPn5VbN3qUu5wAD</t>
  </si>
  <si>
    <t>Jogo de formões 4 peças</t>
  </si>
  <si>
    <t>https://www.leroymerlin.com.br/jogo-de-formao-construcao-para-madeira-4-pecas-1819361-irwin_1571498889?region=outros</t>
  </si>
  <si>
    <t>https://www.lojadomecanico.com.br/produto/138407/31/273/jogo-de-formoes-para-construcao-cr-v-14-12-34-e-1-pol-irwin-1819361/153/?srsltid=AfmBOoohjyLbowNlzsGJ711ni7GUAJQ3alTLf8StE9Sfvgl62QYm1Xohu0M</t>
  </si>
  <si>
    <t>https://www.minasferramentas.com.br/28904/jogo-formao-4-pecas-1-4a1-irwin-1819361?srsltid=AfmBOooV20tOMrpZ1lBplLLnaeBOsCNx0E-LwjzZldUAem0puOe7buKlVBs</t>
  </si>
  <si>
    <t>Sargento</t>
  </si>
  <si>
    <t>https://www.lojadomecanico.com.br/produto/125878/2/324/grampo-sargento-de-aperto-rapido-6-pol-mtx-205619/153/?srsltid=AfmBOop5wjpcxZsjW4vsqfuCxyb7SJTPHijldIiL9Iyw-MpL-ff0lwpMxMw</t>
  </si>
  <si>
    <t>https://www.dutramaquinas.com.br/p/grampo-de-aperto-rapido-para-marceneiro-6-205619-205619?srsltid=AfmBOopQo1_2e__o2vdsKjhYbNIbVJzEnT9X0I4VsqPFdGmmsq1U5Jb4lW8</t>
  </si>
  <si>
    <t>https://palaciodasferramentas.com.br/grampo-sargento-de-aperto-rapido-6-polegadas-150-mm-mtx?srsltid=AfmBOorzEFUlxqGuNtAzIYGi-DHFZPug-MKCIDfIcOCrpA4dGAwioJLwAbE</t>
  </si>
  <si>
    <t>Serrote</t>
  </si>
  <si>
    <t>https://www.lojadomecanico.com.br/produto/108412/31/274/serrote-profissional-20-pol-5-dentes-por-polegada-tramontina-43242020/153/?srsltid=AfmBOoonoA-I8aeqq3lenDx7K5QkZTgAq0wkm92DgasZSLlvwrz61aBQ_d8</t>
  </si>
  <si>
    <t>https://www.universodolar.com.br/serrote-profissional-tramontina-20-com-5-dentes-por-polegada-em-aco-carbono-com-cabo-de-madeira-?utm_source=google&amp;utm_medium=Shopping&amp;utm_campaign=serrote-profissional-tramontina-20-com-5-dentes-por-polegada-em-aco-carbon</t>
  </si>
  <si>
    <t>https://www.anhangueraferramentas.com.br/produto/serrote-profissional-20-5-dentes-em-aco-carbono-43242020-tramontina-master-135390?srsltid=AfmBOooJ5FZsQzXfTD07Jg8WyNLu7WnuwVatfITgeM0cuuYpyW-4ac4Ima4</t>
  </si>
  <si>
    <t>Serra japonesa</t>
  </si>
  <si>
    <t>https://palaciodasferramentas.com.br/serrote-tipo-japones-300mm-aco-carbono-vonder?srsltid=AfmBOoqMAA41UCCgWzzg-oGBbWnp6JkD37RE6qQ0qj5xV296u7WrcRvDZcQ</t>
  </si>
  <si>
    <t>https://www.fg.com.br/serrote-tipo-japones-300-mm-vonder/p?idsku=1180896&amp;srsltid=AfmBOooHjNVmuQ4wSxrhZXemcXRen9xx36fazJk30wYuIlczWn-AoEKReGA</t>
  </si>
  <si>
    <t>https://www.ferragensfloresta.com.br/serrote-tipo-japones-300mm-vonder/p?idsku=14205&amp;srsltid=AfmBOop3ILcdld4T7tGKR7TCMYWURQX3PF2FZFC1iKl-uw2moHeNdWlDnPc</t>
  </si>
  <si>
    <t>Pé de cabra</t>
  </si>
  <si>
    <t>https://www.lojadomecanico.com.br/produto/108360/2/508/pe-de-cabra-simples-em-aco-especial-500mm-tramontina-42600050/153/?srsltid=AfmBOoraI_JZP-2NN-RBshDF4AOV6mtUyZ0msp2iWUfXZSSW6VFT-uKuXiA</t>
  </si>
  <si>
    <t>https://www.anhangueraferramentas.com.br/produto/pe-de-cabra-simples-500mm-42600050-tramontina-master-138215?srsltid=AfmBOooNxh13_xqG-Kwv7KiDA0OoAdBztNJIa2xbgbJ9ckcM30STT_9QLUg</t>
  </si>
  <si>
    <t>https://www.fg.com.br/pe-de-cabra-500mm-42600-050---tramontina/p?idsku=1065706&amp;srsltid=AfmBOornoftMdiOvmu3BST7fu3OFp8WH6owk_NZ2YAuSuPfOeUHX3Wr7gos</t>
  </si>
  <si>
    <t xml:space="preserve">Torquês </t>
  </si>
  <si>
    <t>https://www.lojadomecanico.com.br/produto/108363/31/272/torques-carpinteiro-6-pol-tramontina-41050106/153/?srsltid=AfmBOoqM4vyVAZetcjwdRcpPYSAzcdAMJGCyVQnaJ00HOvhyZnCc6GezPdM</t>
  </si>
  <si>
    <t>https://www.leroymerlin.com.br/torques-carpinteiro-6-tramontina_90345311?store_code=19</t>
  </si>
  <si>
    <t>https://www.fg.com.br/torques-carpinteiro-8-/p?idsku=6820387&amp;srsltid=AfmBOooso0el8HGvP161hr2ih1v6ICbu0jYA2uMHFbXUM2ZuSeDCI92O8wY</t>
  </si>
  <si>
    <t>Grampo rápico</t>
  </si>
  <si>
    <t>https://www.lojadomecanico.com.br/produto/113040/2/324/mini-grampo-rapido-quick-grip-15cm-irwin-2006021/153/?srsltid=AfmBOoqaE6XcbOzdDOAJRsQJk4KAT_KGjbW2QV0SN88sf9tPYvFUPFDN2Mo</t>
  </si>
  <si>
    <t>https://www.dutramaquinas.com.br/p/mini-grampos-de-aperto-rapido-para-marceneiro-6-quick-grip?srsltid=AfmBOorqmhjld9HJvFVzyGrBQy-fDSm8heQkPvfYHJXPTv-YUWTLI2YZnkk</t>
  </si>
  <si>
    <t>https://www.anhangueraferramentas.com.br/produto/mini-grampo-de-aperto-rapido-150-mm-2006021-irwin-97382?srsltid=AfmBOoo1r9go5tdRTB5l1DikGCqerJUBfCFklQulyFV405Ecwzdf7gA_WRY</t>
  </si>
  <si>
    <t xml:space="preserve">Jogo de brocas 33 peças </t>
  </si>
  <si>
    <t>https://www.leroymerlin.com.br/jogo-de-brocas-x-line-com-33-pecas-bosch_89893853?store_code=19</t>
  </si>
  <si>
    <t>https://www.ferramentaskennedy.com.br/jogo-pontas-e-brocas-x-line-com-33-pecas-bosch-200653/p?srsltid=AfmBOoppQyz7Q-QycEizmCGWfkjXaPRaNUsiIxRRJ0EKeHNc3ol_CUML720</t>
  </si>
  <si>
    <t>https://www.lojadomecanico.com.br/produto/120458/37/778/jogo-x-line-para-furar-e-parafusar-com-33-pecas-e-maleta-bosch-2607017398-000/153/?srsltid=AfmBOor5_6IRvRTr1bL_K9ccjzGtbAD3GBDYW2bObi8XIUlYUP5rqwY7p0k</t>
  </si>
  <si>
    <t>Jogo de serra copo 11 peças</t>
  </si>
  <si>
    <t>https://www.lojadomecanico.com.br/produto/154661/37/430/jogo-de-serra-copo-para-madeira-com-11-pecas-mtx-704739/153/?srsltid=AfmBOooaiY4u6FhJXbocyDA5CvXExBtxkkiYzvpzJ9Zzs5PiR-_l0Tw75FY</t>
  </si>
  <si>
    <t>https://www.leroymerlin.com.br/jogo-de-serras-copo-multi-videa-19-a-64mm-11-pecas-704739-mtx_90058115?region=outros&amp;region_id=52000</t>
  </si>
  <si>
    <t>https://www.dutramaquinas.com.br/p/jogo-de-serra-copo-para-madeira-19-a-64-mm-com-11-pecas-704739-704739?srsltid=AfmBOopD-DEiDWCVUSs9FN-X2k04sXIkUfXFJzZAbifhMut3wceCJgOetCA</t>
  </si>
  <si>
    <t xml:space="preserve">Inversora de solda </t>
  </si>
  <si>
    <t>https://www.leroymerlin.com.br/inversora-de-solda-140a-touch-150-bv-bivolt-com-funcao-tig-raspagem-e-acessorios-boxer_90723633?store_code=32</t>
  </si>
  <si>
    <t>https://www.casadosparafusosfranca.com.br/ferramentas-eletricas-maquinas/maquina-de-solda/inversora-de-solda/maquina-inversora-de-solda-touch-150-display-digital-tig-dc-140a-bivolt-boxer?parceiro=7954&amp;srsltid=AfmBOor9dNqyCAm_0AXKgn7GBokeNqk-6cm9uu1TtWiQRM</t>
  </si>
  <si>
    <t>https://www.cicampo.com.br/inversora-de-solda-boxer-touch-150bv-mmatig?parceiro=8650&amp;srsltid=AfmBOophjA3swTJX9PhtCaa0_yjk5JtgMwtJun02ftlP5eYnzEcyveLAwu0</t>
  </si>
  <si>
    <t>Morsa</t>
  </si>
  <si>
    <t>https://www.lojadomecanico.com.br/produto/147654/11/158/torno-morsa-de-bancada-60mm-sparta-1850955/153/?srsltid=AfmBOopGaBhFOCGLnfgKnbSPqCjqT_UDCVoQhd7qZCuv4V4cCIGXtkGGB7g</t>
  </si>
  <si>
    <t>https://www.leroymerlin.com.br/torno-morsa-de-bancada-60mm-sparta_90275192?store_code=19</t>
  </si>
  <si>
    <t>https://www.dutramaquinas.com.br/p/torno-de-bancada-tipo-mini-2-1-2-185095?srsltid=AfmBOopgEd4xL9-lNC-hq0ezsoq_0poz0X-ZpyVjMfIo963ZBqDsZtLAgZE</t>
  </si>
  <si>
    <t xml:space="preserve">Alicate de pressão para solda </t>
  </si>
  <si>
    <t>https://www.anhangueraferramentas.com.br/produto/alicate-de-pressao-para-solda-tipo-c-11-11r-19-visegrip-97366?srsltid=AfmBOorIKHMl_eJhzqE4Y3JxoHr-AOuLBfmKR_CPHm-SoNNoaYNSdwefp8Y</t>
  </si>
  <si>
    <t>https://www.lfmaquinaseferramentas.com.br/alicate-de-pressao-para-solda-tipo-c-11-pol-vise-grip-11r-19/p</t>
  </si>
  <si>
    <t>https://www.ultramaquinas.com.br/produto/alicate-de-pressao-para-solda-11-tipo-c-11r-19-irwin-75914?srsltid=AfmBOoo08y7vXsrnqtOecO_neFCWJQ8cnxpXJ3gQOWoKs1I1IBjAxRB-kBs</t>
  </si>
  <si>
    <t xml:space="preserve">Tesoura de chapa </t>
  </si>
  <si>
    <t>https://www.lojadomecanico.com.br/produto/4538/24/239/tesoura-de-chapa-tipo-aviacao-corte-reto-e-curvas-amplas-10-polegadas-irwin-014079/153/?srsltid=AfmBOoqmwsmJaCckF92DUYq6XsV_ugtUYUt8QQltRPfipjxKpYf0KE4qvhI</t>
  </si>
  <si>
    <t>https://www.anhangueraferramentas.com.br/produto/tesoura-de-chapa-10-tipo-aviacao-reto-e-curvas-amplas-2073113-irwin-78642?srsltid=AfmBOoqwQBkPAfFBhQXqUUExU-acW3odzq7r6pfD76WuyLJsI7VXVQPUONk</t>
  </si>
  <si>
    <t>https://www.tumelero.com.br/tesoura-aviacao-para-chapa-irwin-corte-reto-e-curvo-10-pol/p?idsku=5053251&amp;srsltid=AfmBOoptcbyWPf-ZpJ3eNJoSjH5Mc-4QTBDM2hw2-Dx5n2A3HAa0N6604uc</t>
  </si>
  <si>
    <t>Punção de serralheiro</t>
  </si>
  <si>
    <t>https://www.leroymerlin.com.br/puncao-de-centro-5-mm-tramontina-pro_1566902795?region=outros</t>
  </si>
  <si>
    <t>https://www.casadomecanico.com.br/puncao-centro-bico-5mm-13744-p26492?utm_source=google&amp;utm_medium=cpc&amp;utm_campaign=lojavirtual&amp;srsltid=AfmBOoq6s1s5edb_FUxLP9_E4ocJgtZObnrwhfG0SSBXeaFAFnwfNcd4BNE</t>
  </si>
  <si>
    <t>https://www.dutramaquinas.com.br/p/puncao-de-centro-4-mm-44472-104?srsltid=AfmBOoqpAsMbeFlMB_sbdCVemSeSp-OFlDWwRr3bB1vGV3MBQhOFa9621PY</t>
  </si>
  <si>
    <t xml:space="preserve">Martelo picador de solda </t>
  </si>
  <si>
    <t>https://www.leroymerlin.com.br/martelo-picador-de-solda-300g-vonder_87528322?store_code=19</t>
  </si>
  <si>
    <t>https://www.dutramaquinas.com.br/p/martelo-picador-de-solda-300-g-35-89-000-300?srsltid=AfmBOoof-B_zGubIeWpeUQq_2jWRWLz0LoxXLFvlBh53cCRb5hnUmmuwrtE</t>
  </si>
  <si>
    <t>https://www.eletrorastro.com.br/produto/martelo-picador-de-solda-vonder-89342?utm_source=google&amp;utm_medium=cpc&amp;srsltid=AfmBOoo7jXmELaUvE6BH6Es_KfsQzQ6SpeuZDiyBlJxFi9ssGek8emgG1yE</t>
  </si>
  <si>
    <t>Martelo de pena</t>
  </si>
  <si>
    <t xml:space="preserve">Martelo de bola </t>
  </si>
  <si>
    <t>https://www.lojadomecanico.com.br/produto/135202/2/253/martelo-bola-400-g-com-cabo-de-fibra-vonder-3589400002/153/?srsltid=AfmBOooF2kzwnlgL04lyYRRwfuLlHdiWtHKwjZHk1y9vXtHj9gxDc73nHL8</t>
  </si>
  <si>
    <t>https://www.leroymerlin.com.br/martelo-bola-800-g-com-cabo-de-fibra-vonder_1566843352?region=outros</t>
  </si>
  <si>
    <t>https://www.dutramaquinas.com.br/p/martelo-bola-800-g-com-cabo-de-fibra-35-89-800-002?srsltid=AfmBOooft1mAvasAjb9QSqVALMEfaciZcu5h6TBGch4o01wzHEAtOpWyUNo</t>
  </si>
  <si>
    <t>https://www.leroymerlin.com.br/martelo-pena-1000g-aco-forjado-cabo-fibra-emborrachado-von_1566843369?region=outros</t>
  </si>
  <si>
    <t>https://www.lojadomecanico.com.br/produto/135092/2/253/martelo-pena-1kg-com-cabo-de-fibra-vonder-3589100001/153/?srsltid=AfmBOoql6uKHQ2S6M8rS1r0JIbgw3fYy6Z3bc8a6ytS1rhoDcDvXkh6_9ew</t>
  </si>
  <si>
    <t>https://www.fg.com.br/martelo-pena-300g-com-cabo-fibra-de-vidro-emborrachado---vonder/p?idsku=1092606&amp;srsltid=AfmBOop22k59e2QNNmhcnuWD9FkmVNFftk_fNhtO-gUMeYhTlWY9LnPdDJQ</t>
  </si>
  <si>
    <t>Martelo de retrocesso</t>
  </si>
  <si>
    <t>http://www.ferramentaskennedy.com.br/martelo-anti-retrocesso-50mm-worker-342971/p?srsltid=AfmBOopjovliHLiByfIhCc9_RFM0eRpTs9eckdT4jVo02BueaGU45gnHDIA</t>
  </si>
  <si>
    <t>https://www.superproatacado.com.br/martelo-anti-retrocesso-50mm-worker-342971/p?srsltid=AfmBOopy1hF2-H0F8lioPZiEyt2JEJLdb7dd1SDyIAjsAy-G2lAVSWhkPQg</t>
  </si>
  <si>
    <t>https://www.leroymerlin.com.br/martelo-de-poliuretano-40mm-mtx_89972484?store_code=19</t>
  </si>
  <si>
    <t>Rastelo de aço com cabo</t>
  </si>
  <si>
    <t>https://www.tramontina.com.br/vassoura-metalica-regulavel-tramontina-com-22-dentes-modelo-arame-e-cabo-de-madeira-120-cm./77831721.html?srsltid=AfmBOoqmuKZ8Iypd86VatKlf-gf2OYiEfRi4ymgEAs-2basjRvMIWQPRcDE</t>
  </si>
  <si>
    <t>https://www.leroymerlin.com.br/vassoura-metalica-22-dentes-tramontina_87816834?region=outros&amp;region_id=52000</t>
  </si>
  <si>
    <t>https://www.telhanorte.com.br/vassoura-metalica-regulavel-para-jardim-cabo-com-1-20-mts-tramontina-1338161/p?idsku=1338161&amp;srsltid=AfmBOoo2tmEZm66dOzEm3zI6lvxHY2-pOe4LZtOtNWbWF8810WlATYgZ7wg</t>
  </si>
  <si>
    <t>Tesoura de poda</t>
  </si>
  <si>
    <t>https://www.tramontina.com.br/tesoura-de-poda-tramontina-com-lamina-metalica-e-cabo-plastico/78300001.html?srsltid=AfmBOoolYL6o40cDgaA_H7N2EAPQlP9s0T7yUOCSLBADBGGm3zjCAnxBcoo</t>
  </si>
  <si>
    <t>https://www.leroymerlin.com.br/tesoura-para-poda-aco-carbono-17mm-tramontina_90070785?store_code=19</t>
  </si>
  <si>
    <t>https://www.ferramentaskennedy.com.br/tesoura-de-poda-com-lamina-metalica-tramontina/p?srsltid=AfmBOorQ51mdaUNFAlcLusnjT7U5GZtynITuRq5L7xW17EnkBUNtGqO4jz0</t>
  </si>
  <si>
    <t>Tesourão de poda</t>
  </si>
  <si>
    <t>https://www.tramontina.com.br/tesoura-para-cerca-viva%2Fgrama-tramontina-com-lamina-metalica-e-cabo-de-madeira/78330125.html?srsltid=AfmBOorCfNvmka77IeK0u8ay04mGf0YfCmUuKNMF7Mb49vbsEg8IEU6zmrU</t>
  </si>
  <si>
    <t>https://www.telhanorte.com.br/tesoura-para-cerca-viva-12-tramontina-1574876/p?idsku=1574876&amp;srsltid=AfmBOootzFnEtDO5A_dKcii0VeZwsXTYHnSZbGiql2ECtz5eNKRV1MbG_yo</t>
  </si>
  <si>
    <t>https://www.ferramentaskennedy.com.br/tesoura-para-cerca-vivagrama-lamina-aco-carbono-tramontina-168963/p?srsltid=AfmBOoqeK_pIPLu4Wm9-kxwqmmHCoQU8bxOLgW1rrLMqbHqVOANTi5G8d7A</t>
  </si>
  <si>
    <t>Serrote de poda</t>
  </si>
  <si>
    <t>https://www.tramontina.com.br/serrote-para-poda-tramontina-master-12%22-com-5-dentes-por-polegada-em-aco-carbono-com-cabo-de-madeira/43290012.html?srsltid=AfmBOooQxX8RM8uYVPy-Wh85etA9Ij3OGmd0hjSmzjOrANbkHpGWH8Y_N9w</t>
  </si>
  <si>
    <t>https://www.telhanorte.com.br/serrote-de-poda-12-43290012-tramontina-269751/p?idsku=269751&amp;srsltid=AfmBOopXeTeWZMEdoYRGQ6R3-KkfKrTWsOyL_ygzsgBrgGd8FYkbm8Avyjs</t>
  </si>
  <si>
    <t>https://www.lojadomecanico.com.br/produto/14717/33/594/serrote-de-poda-12pol-tramontina-43290012/153/?srsltid=AfmBOoqMBIjqcUuwoxYpi95aibd4KEdd5DPWy8EPh66klOMDfJ-63nD3--M</t>
  </si>
  <si>
    <t xml:space="preserve">Facão </t>
  </si>
  <si>
    <t>https://www.tramontina.com.br/facao-para-mato-tramontina-com-lamina-de-aco-carbono-e-cabo-em-polipropileno-preto-16%22/26600116.html?srsltid=AfmBOor0QoStfOrXXyPMSwdjukIn49ID_r_zsDU6JSQCwarX3NI_JFFMHYM</t>
  </si>
  <si>
    <t>https://www.leroymerlin.com.br/facao-mato-16-tramontina_90268290?store_code=32</t>
  </si>
  <si>
    <t>https://www.balaroti.com.br/produto/facao-tramontina-16-para-mato-26600-116-171052?srsltid=AfmBOornYJzZgXZRa_K6t_r_ikp9vDzuqI6RkN0XWFOl-fiTrPz0-PU2gcc</t>
  </si>
  <si>
    <t>Alicate crimpador de tubos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</si>
</sst>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0">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20" fillId="0" borderId="0" xfId="11" applyProtection="1">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0" fillId="5" borderId="6" xfId="2" applyFont="1" applyFill="1" applyBorder="1" applyAlignment="1" applyProtection="1">
      <alignment horizontal="left" vertical="center" wrapText="1"/>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xmlns=""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17" Type="http://schemas.openxmlformats.org/officeDocument/2006/relationships/hyperlink" Target="https://www.leroymerlin.com.br/trena-laser-bosch-40-metros-glm-40_89521985?store_code=63" TargetMode="External"/><Relationship Id="rId299" Type="http://schemas.openxmlformats.org/officeDocument/2006/relationships/hyperlink" Target="https://www.ferramentaskennedy.com.br/tesoura-de-poda-com-lamina-metalica-tramontina/p?srsltid=AfmBOorQ51mdaUNFAlcLusnjT7U5GZtynITuRq5L7xW17EnkBUNtGqO4jz0" TargetMode="External"/><Relationship Id="rId303" Type="http://schemas.openxmlformats.org/officeDocument/2006/relationships/hyperlink" Target="https://www.tramontina.com.br/serrote-para-poda-tramontina-master-12%22-com-5-dentes-por-polegada-em-aco-carbono-com-cabo-de-madeira/43290012.html?srsltid=AfmBOooQxX8RM8uYVPy-Wh85etA9Ij3OGmd0hjSmzjOrANbkHpGWH8Y_N9w" TargetMode="External"/><Relationship Id="rId21" Type="http://schemas.openxmlformats.org/officeDocument/2006/relationships/hyperlink" Target="https://www.copafer.com.br/jogo-de-pinceis-para-pintura-5-pecas---6xg---excellent/p?idsku=27543&amp;srsltid=AfmBOoq-MpTbrlKQwinokc6qh6edK_hFUSCMmlIMeC_YKkYXiV45GG8xzF8" TargetMode="External"/><Relationship Id="rId42" Type="http://schemas.openxmlformats.org/officeDocument/2006/relationships/hyperlink" Target="https://www.universodolar.com.br/desempenadeira-plastica-17x30cm-para-alisar-reboco---cabo-anatomico-340--dtools-max-2911002?utm_source=google&amp;utm_medium=Shopping&amp;utm_campaign=desempenadeira-plastica-17x30cm-para-alisar-reboco---cabo-anatomico-340--dtools" TargetMode="External"/><Relationship Id="rId63" Type="http://schemas.openxmlformats.org/officeDocument/2006/relationships/hyperlink" Target="https://www.lojadomecanico.com.br/produto/98544/2/468/alicate-prensa-terminais-7-pol-ap-256-vonder-3686864000/153/?utm_source=google&amp;utm_medium=cpc&amp;utm_campaign=MONKS_GG_F_SHOPPING_CURVA_A&amp;utm_content=Cluster_S_MACO&amp;gad_source=1&amp;gad_campaignid=22817350947" TargetMode="External"/><Relationship Id="rId84" Type="http://schemas.openxmlformats.org/officeDocument/2006/relationships/hyperlink" Target="https://refrilarpecas.com.br/produtos/jogo-de-chave-torx-com-guia-9-pecas-longo-dtools/?variant=870575558&amp;pf=mc&amp;srsltid=AfmBOor1Z7WVsng2zlRsFdrrzd3xTv2dxZsruZc9HW-c1jzxbL82YE8ysWg" TargetMode="External"/><Relationship Id="rId138" Type="http://schemas.openxmlformats.org/officeDocument/2006/relationships/hyperlink" Target="https://www.lojadomecanico.com.br/produto/15554/2/562/arco-de-serra-fixo-12-pol-starret-140/153/?srsltid=AfmBOorX6fA2zg7ZvDTb6ygcqPIzS7eGz007swTsweLhLRfynoYD3Be_6Hg" TargetMode="External"/><Relationship Id="rId159" Type="http://schemas.openxmlformats.org/officeDocument/2006/relationships/hyperlink" Target="https://shop.testo.com.br/shop/0560-5522-testo-552-13403?srsltid=AfmBOopAOE4VyKlWfSHIPSu69PAFRKZrgYqd9mw4SUq7dxilirhhOk67x-s" TargetMode="External"/><Relationship Id="rId170" Type="http://schemas.openxmlformats.org/officeDocument/2006/relationships/hyperlink" Target="https://palaciodasferramentas.com.br/relogio-termo-higrometro-digital-mt-241-minipa?srsltid=AfmBOoqTkTsRxpitDCrYMs7aph8lyCRnYLl6Y1gv5YoCKC7RIhGIQKyrWq4" TargetMode="External"/><Relationship Id="rId191" Type="http://schemas.openxmlformats.org/officeDocument/2006/relationships/hyperlink" Target="https://www.lojadomecanico.com.br/produto/150327/31/267/nivel-de-aluminio-14-pol-vonder-3535000140/153/?srsltid=AfmBOopL4R6mjy37DLe7ZkuIxgrd-IxiBIUr0Wih74zGrrXNMSZLGQVOFIc" TargetMode="External"/><Relationship Id="rId205" Type="http://schemas.openxmlformats.org/officeDocument/2006/relationships/hyperlink" Target="https://www.viainox.com/martelo-pedreiro-2-cortes-tramontina-master-500g-com-cabo-em-madeira-envernizada.html?srsltid=AfmBOopjX0MYYwrhJqY3P1r8ROb2xAF1EAIvXKJF48GGd71Y5cHBNb5dq-0" TargetMode="External"/><Relationship Id="rId226" Type="http://schemas.openxmlformats.org/officeDocument/2006/relationships/hyperlink" Target="https://www.dutramaquinas.com.br/p/picareta-ponta-e-pa-estreita-com-cabo-de-madeira-90-cm-77300-543-77300-543?srsltid=AfmBOoqOoP7iMJ9rk7ufbVgtvuKLZs_ViDT5O8zv5cnCjlTEFZWhFC0HN0Y" TargetMode="External"/><Relationship Id="rId247" Type="http://schemas.openxmlformats.org/officeDocument/2006/relationships/hyperlink" Target="https://www.universodolar.com.br/serrote-profissional-tramontina-20-com-5-dentes-por-polegada-em-aco-carbono-com-cabo-de-madeira-?utm_source=google&amp;utm_medium=Shopping&amp;utm_campaign=serrote-profissional-tramontina-20-com-5-dentes-por-polegada-em-aco-carbon" TargetMode="External"/><Relationship Id="rId107" Type="http://schemas.openxmlformats.org/officeDocument/2006/relationships/hyperlink" Target="https://www.lojabrafer.com.br/multimetro-digital-mdv-0610-visor-lcd-grande-vonder/p/12034?c=13&amp;t=256&amp;srsltid=AfmBOopXubRpLzcoY1MbVor3iqDJTM4-Lbs9KXXWfqU05gbyv0JHUhqdnas" TargetMode="External"/><Relationship Id="rId268" Type="http://schemas.openxmlformats.org/officeDocument/2006/relationships/hyperlink" Target="https://www.casadosparafusosfranca.com.br/ferramentas-eletricas-maquinas/maquina-de-solda/inversora-de-solda/maquina-inversora-de-solda-touch-150-display-digital-tig-dc-140a-bivolt-boxer?parceiro=7954&amp;srsltid=AfmBOor9dNqyCAm_0AXKgn7GBokeNqk-6cm9uu1TtWiQRM" TargetMode="External"/><Relationship Id="rId289" Type="http://schemas.openxmlformats.org/officeDocument/2006/relationships/hyperlink" Target="https://www.lojadomecanico.com.br/produto/135092/2/253/martelo-pena-1kg-com-cabo-de-fibra-vonder-3589100001/153/?srsltid=AfmBOoql6uKHQ2S6M8rS1r0JIbgw3fYy6Z3bc8a6ytS1rhoDcDvXkh6_9ew" TargetMode="External"/><Relationship Id="rId11" Type="http://schemas.openxmlformats.org/officeDocument/2006/relationships/hyperlink" Target="https://www.mixsegequipamentos.com.br/equipamentos-epi/toucas-bones-chapeus/chapeu-pescador-australiano-com-protecao-de-nuca-azul-royal?parceiro=3110&amp;srsltid=AfmBOoqJZL93hAG2RkxjzfRIfsczc-3BcNiPiLOcNpCcdUgqN5_8okaxNl8" TargetMode="External"/><Relationship Id="rId32" Type="http://schemas.openxmlformats.org/officeDocument/2006/relationships/hyperlink" Target="https://www.tramontina.com.br/espatula-flexivel-12-cm-tramontina-em-aco-carbono-com-cabo-de-polipropileno/77396125.html?gad_source=1&amp;gad_campaignid=16780160538&amp;gclid=CjwKCAjwuuPRBhAnEiwA2Ji8eqa9308Q11p3tgHgZuDSOC5YgvNwVe6eKjMCBgfl8R1kNuxGDBWVkhoCDr4QAvD_B" TargetMode="External"/><Relationship Id="rId53" Type="http://schemas.openxmlformats.org/officeDocument/2006/relationships/hyperlink" Target="https://www.webcontinental.com.br/extensor-para-pintura-teles-1-95-metros-para-tetos-e-paredes-roma-004846040707/p" TargetMode="External"/><Relationship Id="rId74" Type="http://schemas.openxmlformats.org/officeDocument/2006/relationships/hyperlink" Target="https://www.anhangueraferramentas.com.br/produto/alicate-de-pressao-mordente-triangular-10-41070-110-tramontina-master-101817?srsltid=AfmBOopdYyaFuIWmS-8JRuIeNU2ziqknm77HktAHHZovybSFOMeVMPOpAVo" TargetMode="External"/><Relationship Id="rId128" Type="http://schemas.openxmlformats.org/officeDocument/2006/relationships/hyperlink" Target="https://www.mercadolivre.com.br/kit-2-chaves-para-tubos-universal-boca-mestra-9-a-32mm-aco/up/MLBU3539507025" TargetMode="External"/><Relationship Id="rId149" Type="http://schemas.openxmlformats.org/officeDocument/2006/relationships/hyperlink" Target="https://www.leroymerlin.com.br/alicate-alargador-de-tubos-de-cobre-1-4-a-7-8_1572462712?region=outros" TargetMode="External"/><Relationship Id="rId5" Type="http://schemas.openxmlformats.org/officeDocument/2006/relationships/hyperlink" Target="https://www.plenobras.com.br/646a5b34d496504d21e04517/protetor-auricular-com-cordao-13db-k10-ca-14470?gad_source=4&amp;gad_campaignid=20992319193&amp;gclid=CjwKCAjwuuPRBhAnEiwA2Ji8etj0ZQVrOBRYltsfvNJUlLwxkkQuMl93GdGR5Y9OPGmTst4ZkGzeURoC--EQAvD_BwE" TargetMode="External"/><Relationship Id="rId95" Type="http://schemas.openxmlformats.org/officeDocument/2006/relationships/hyperlink" Target="https://www.cassol.com.br/chave-grifo-14polegadas-vonder-aco-carbono/p?srsltid=AfmBOor0sbYJUqDAOOoHlgN0J3SJG1Ge9wSX3ItM5nz3JrT_xdTg_Xk9tSc&amp;region_id=cassol_312" TargetMode="External"/><Relationship Id="rId160" Type="http://schemas.openxmlformats.org/officeDocument/2006/relationships/hyperlink" Target="https://www.tecnoferramentas.com.br/vacuometro-digital-capacidade-26-virgula-66-mbar-com-bluetooth-ref-0560-5522-testo-552/p?idsku=2007159&amp;srsltid=AfmBOoq9Zbbi5IvdFLfjwr9owib3fEyfyonvPRMy5tBGDQh8OFgN6fytlG0" TargetMode="External"/><Relationship Id="rId181" Type="http://schemas.openxmlformats.org/officeDocument/2006/relationships/hyperlink" Target="https://www.mercadolivre.com.br/espatula-de-metal-com-cabo-de-madeira-multiuso/p/MLB2089997042?matt_tool=18956390&amp;utm_source=google_shopping&amp;utm_medium=organic&amp;pdp_filters=item_id%3AMLB3998549175&amp;from=gshop" TargetMode="External"/><Relationship Id="rId216" Type="http://schemas.openxmlformats.org/officeDocument/2006/relationships/hyperlink" Target="https://www.minasferramentas.com.br/28079/ponteiro-redondo-3-4x10-paraboni-9150?srsltid=AfmBOooJwCAKdebGGV4eJO2qNd6iEXOFxmvV_wQjIvnqLd8tnpGz9Jbu-Cs" TargetMode="External"/><Relationship Id="rId237" Type="http://schemas.openxmlformats.org/officeDocument/2006/relationships/hyperlink" Target="https://palaciodasferramentas.com.br/linha-para-pedreiro-rolo-0.80-x-100-metros-vonder?gad_source=4&amp;gad_campaignid=22767722792&amp;gclid=CjwKCAjw3ejRBhAdEiwADkqPn3yIcu7QJDCht5ACebp5vjb4vwEehNRg6iJf-WQJokzKcZQAOE-ehhoCrV4QAvD_BwE" TargetMode="External"/><Relationship Id="rId258" Type="http://schemas.openxmlformats.org/officeDocument/2006/relationships/hyperlink" Target="https://www.lojadomecanico.com.br/produto/113040/2/324/mini-grampo-rapido-quick-grip-15cm-irwin-2006021/153/?srsltid=AfmBOoqaE6XcbOzdDOAJRsQJk4KAT_KGjbW2QV0SN88sf9tPYvFUPFDN2Mo" TargetMode="External"/><Relationship Id="rId279" Type="http://schemas.openxmlformats.org/officeDocument/2006/relationships/hyperlink" Target="https://www.leroymerlin.com.br/puncao-de-centro-5-mm-tramontina-pro_1566902795?region=outros" TargetMode="External"/><Relationship Id="rId22" Type="http://schemas.openxmlformats.org/officeDocument/2006/relationships/hyperlink" Target="https://www.superproatacado.com.br/rolo-la-carneiro-pinceis-tigre-09cm-1383-cb-116629/p?adset_id=&amp;device=c&amp;gad_campaignid=23590897656&amp;gad_source=4&amp;gclid=CjwKCAjwuuPRBhAnEiwA2Ji8enCjLwo0ysobaAXbrgaprEYeZ7xCit587dM00b3BkqA0EopftaqYbhoCIu4QAvD_BwE&amp;kwd=&amp;match" TargetMode="External"/><Relationship Id="rId43" Type="http://schemas.openxmlformats.org/officeDocument/2006/relationships/hyperlink" Target="https://www.leroymerlin.com.br/desempenadeira-plastica-15x26cm-para-alisar-reboco-cabo-anatomico_1572502127?region=outros" TargetMode="External"/><Relationship Id="rId64" Type="http://schemas.openxmlformats.org/officeDocument/2006/relationships/hyperlink" Target="https://www.dutramaquinas.com.br/p/alicate-prensa-terminais-tipo-pino-tubular-0-25-a-6-0mm-ap256-36-86-864-000?srsltid=AfmBOopWx2m8-9IWL9xyc2MhcZtKwxKot04YDQ1BlvRBDrG9fZzqqL9I" TargetMode="External"/><Relationship Id="rId118" Type="http://schemas.openxmlformats.org/officeDocument/2006/relationships/hyperlink" Target="https://www.obramax.com.br/trena-a-laser-40-metros-glm40-bosch-89034862/p?idsku=15384&amp;srsltid=AfmBOoocwJVXQjGgA5qWG888wnZ-fQP4B7ZBolPvUKTKBEJmsteiGnpnhqo" TargetMode="External"/><Relationship Id="rId139" Type="http://schemas.openxmlformats.org/officeDocument/2006/relationships/hyperlink" Target="https://www.plenobras.com.br/646a59b2d496504d21de0fcc/arco-serra-manual-com-cabo-fechado-bi-metalico-12%22-300-mm?srsltid=AfmBOorSa4iFN9F-hISTKzQMZWac2vwQMvqKx-eXHy4tJjZWqe4G5w2q_lY" TargetMode="External"/><Relationship Id="rId290" Type="http://schemas.openxmlformats.org/officeDocument/2006/relationships/hyperlink" Target="https://www.fg.com.br/martelo-pena-300g-com-cabo-fibra-de-vidro-emborrachado---vonder/p?idsku=1092606&amp;srsltid=AfmBOop22k59e2QNNmhcnuWD9FkmVNFftk_fNhtO-gUMeYhTlWY9LnPdDJQ" TargetMode="External"/><Relationship Id="rId304" Type="http://schemas.openxmlformats.org/officeDocument/2006/relationships/hyperlink" Target="https://www.telhanorte.com.br/serrote-de-poda-12-43290012-tramontina-269751/p?idsku=269751&amp;srsltid=AfmBOopXeTeWZMEdoYRGQ6R3-KkfKrTWsOyL_ygzsgBrgGd8FYkbm8Avyjs" TargetMode="External"/><Relationship Id="rId85" Type="http://schemas.openxmlformats.org/officeDocument/2006/relationships/hyperlink" Target="https://www.universodolar.com.br/jogo-de-chave-torx-com-guia-9-pecas-longo---dtools-t10-t15-t20-t27-t30-t40-t45-t50-1454--dtools-strong-th5-79?utm_source=google&amp;utm_medium=Shopping&amp;utm_campaign=jogo-de-chave-torx-com-guia-9-pecas-longo---dtools-t10-t15-t2" TargetMode="External"/><Relationship Id="rId150" Type="http://schemas.openxmlformats.org/officeDocument/2006/relationships/hyperlink" Target="https://www.leroymerlin.com.br/alicate-curvador-tubo-1066-420mm_91801696?store_code=63" TargetMode="External"/><Relationship Id="rId171" Type="http://schemas.openxmlformats.org/officeDocument/2006/relationships/hyperlink" Target="https://varejo.wurth.com.br/p/7495053/cortador-de-vidro-profissional-5-15mm-wurth-071470-110-unitario?srsltid=AfmBOooZ0oPzlZhOQNUj6ZkCQFUXJwzUaH9KYKRXjMuS_oNlI1qKc98InTE" TargetMode="External"/><Relationship Id="rId192" Type="http://schemas.openxmlformats.org/officeDocument/2006/relationships/hyperlink" Target="https://www.lojadomecanico.com.br/produto/343310/2/253/martelo-de-borracha-preta-450g-com-cabo-de-madeira-sparta-1115055/153/?srsltid=AfmBOoqXce3nZDo1yI57onlbsaiknNyIFH234Oy7hWjw-YHmGM5sNfEG0So" TargetMode="External"/><Relationship Id="rId206" Type="http://schemas.openxmlformats.org/officeDocument/2006/relationships/hyperlink" Target="https://www.leroymerlin.com.br/martelo-pedreiro-2-cortes-tromontina_89097932?region=outros&amp;region_id=52000" TargetMode="External"/><Relationship Id="rId227" Type="http://schemas.openxmlformats.org/officeDocument/2006/relationships/hyperlink" Target="https://www.copafer.com.br/picareta-estreita-com-cabo-de-90cm-77300543-tramontina/p?idsku=31796&amp;srsltid=AfmBOoq_SF4sAAdw-26Z_a73UmPubGYQt2pgtrtSvGtEBiR4uRsixn36oLQ" TargetMode="External"/><Relationship Id="rId248" Type="http://schemas.openxmlformats.org/officeDocument/2006/relationships/hyperlink" Target="https://www.anhangueraferramentas.com.br/produto/serrote-profissional-20-5-dentes-em-aco-carbono-43242020-tramontina-master-135390?srsltid=AfmBOooJ5FZsQzXfTD07Jg8WyNLu7WnuwVatfITgeM0cuuYpyW-4ac4Ima4" TargetMode="External"/><Relationship Id="rId269" Type="http://schemas.openxmlformats.org/officeDocument/2006/relationships/hyperlink" Target="https://www.cicampo.com.br/inversora-de-solda-boxer-touch-150bv-mmatig?parceiro=8650&amp;srsltid=AfmBOophjA3swTJX9PhtCaa0_yjk5JtgMwtJun02ftlP5eYnzEcyveLAwu0" TargetMode="External"/><Relationship Id="rId12" Type="http://schemas.openxmlformats.org/officeDocument/2006/relationships/hyperlink" Target="https://www.bhepi.com.br/uniformes/chapeu-australiano-com-protecao-de-pescoco-cinza-escuro-liso-oxford?parceiro=3861&amp;srsltid=AfmBOorlsD4ZhD-XVIWHDeUvSE9sYZTW9EDKpgd_ZI5Ua7jZkZmYRIntSic" TargetMode="External"/><Relationship Id="rId33" Type="http://schemas.openxmlformats.org/officeDocument/2006/relationships/hyperlink" Target="https://comercialbarbosa.com/produto/espatula-metalica-flexivel-tramontina-12cm/?gad_source=1&amp;gad_campaignid=23520982978&amp;gclid=CjwKCAjwuuPRBhAnEiwA2Ji8esmliZv6HsAlUqNAhZOx2IgoTu1zqe6bZ52xRzeF62e-zBb8seUSFhoCpj4QAvD_BwE" TargetMode="External"/><Relationship Id="rId108" Type="http://schemas.openxmlformats.org/officeDocument/2006/relationships/hyperlink" Target="https://www.leroymerlin.com.br/alicate-amperimetro-digital-hikari-ha-3200_92010723?store_code=19" TargetMode="External"/><Relationship Id="rId129" Type="http://schemas.openxmlformats.org/officeDocument/2006/relationships/hyperlink" Target="https://www.ferramentaskennedy.com.br/jogo-de-soquetes-estriados-em-cr-v-12-8-30mm-17-pecas-tramontina/p?srsltid=AfmBOorBb-9kepSgzRpwJgnjjmiHcw2-U-XT_8yajDGQuNZm0nsyPdIYFRM" TargetMode="External"/><Relationship Id="rId280" Type="http://schemas.openxmlformats.org/officeDocument/2006/relationships/hyperlink" Target="https://www.casadomecanico.com.br/puncao-centro-bico-5mm-13744-p26492?utm_source=google&amp;utm_medium=cpc&amp;utm_campaign=lojavirtual&amp;srsltid=AfmBOoq6s1s5edb_FUxLP9_E4ocJgtZObnrwhfG0SSBXeaFAFnwfNcd4BNE" TargetMode="External"/><Relationship Id="rId54" Type="http://schemas.openxmlformats.org/officeDocument/2006/relationships/hyperlink" Target="https://www.lojadomecanico.com.br/produto/19571/2/468/alicate-universal-8-pol-isolado-1000v-tramontina-41001108/153/?utm_source=google&amp;utm_medium=cpc&amp;utm_campaign=MONKS_GG_F_SHOPPING_CURVA_A&amp;utm_content=Cluster_Maior_0_Menor_1&amp;gad_source=1&amp;gad_campaignid=" TargetMode="External"/><Relationship Id="rId75" Type="http://schemas.openxmlformats.org/officeDocument/2006/relationships/hyperlink" Target="https://www.lojadomecanico.com.br/produto/20533/2/121/jogo-de-chaves-phillips---5-pecas-tramontinapro-44135505" TargetMode="External"/><Relationship Id="rId96" Type="http://schemas.openxmlformats.org/officeDocument/2006/relationships/hyperlink" Target="https://www.disfer.com.br/fita-passa-fio-helicoidal-20m-150kgf-soprano?utm_source=Site&amp;utm_medium=GoogleMerchant&amp;utm_campaign=GoogleMerchant&amp;srsltid=AfmBOorw8LmVoYJ_EGAqldQOUgAi-vUJMgcgw5hEqvtbv_oEzi_xB-He9ec" TargetMode="External"/><Relationship Id="rId140" Type="http://schemas.openxmlformats.org/officeDocument/2006/relationships/hyperlink" Target="https://www.leroymerlin.com.br/arco-de-serra-12--300mm--com-lamina-bi-metal-k140-starrett_87430910?region=outros&amp;region_id=52000" TargetMode="External"/><Relationship Id="rId161" Type="http://schemas.openxmlformats.org/officeDocument/2006/relationships/hyperlink" Target="https://www.dufrio.com.br/vacuometro-digital-testo-2666-mbar-t552-0560-5522.html?srsltid=AfmBOooP8A9oxuoxl2O1JGuNOwIyVDwGhXBKRaonsZprlFg1svaYGOIR4fw" TargetMode="External"/><Relationship Id="rId182" Type="http://schemas.openxmlformats.org/officeDocument/2006/relationships/hyperlink" Target="https://www.mercadolivre.com.br/espatula-bartex-p-vidraceiro-2-cm-cabo-de-madeira/up/MLBU780570153?matt_tool=18956390&amp;utm_source=google_shopping&amp;utm_medium=organic&amp;pdp_filters=item_id%3AMLB2631864863&amp;from=gshop" TargetMode="External"/><Relationship Id="rId217" Type="http://schemas.openxmlformats.org/officeDocument/2006/relationships/hyperlink" Target="https://www.casadomecanico.com.br/ponteiro-redondo-3-4-x12-10087-p24909?utm_source=google&amp;utm_medium=cpc&amp;utm_campaign=lojavirtual&amp;srsltid=AfmBOor8pnIlpqp2GSmpm3InPCsS3h39ECXkf1WNsiOoSXh1QxiPAOVprRI" TargetMode="External"/><Relationship Id="rId6" Type="http://schemas.openxmlformats.org/officeDocument/2006/relationships/hyperlink" Target="https://www.epipremium.com.br/protecao-auditiva/plug-de-insercao/protetor-auricular-em-silicone-com-cordao-valeplast-c-a-41681?parceiro=1&amp;gad_source=4&amp;gad_campaignid=22941187141&amp;gclid=CjwKCAjwuuPRBhAnEiwA2Ji8eg5HbneZs6kyl82qsxvr5-ukXd_97s49d6RiRDSgtAN8V5F" TargetMode="External"/><Relationship Id="rId238" Type="http://schemas.openxmlformats.org/officeDocument/2006/relationships/hyperlink" Target="https://www.saogeraldotintas.com.br/linha-pedreiro-lisa-vonder/p?idsku=1165&amp;utm_source=google&amp;utm_medium=cpc&amp;utm_campaign=pmax_geral&amp;utm_content=&amp;utm_term=&amp;utm_source=google&amp;utm_medium=cpc&amp;utm_campaign=%7bcampaignname%7d&amp;utm_content=&amp;utm_term=&amp;gad_source=" TargetMode="External"/><Relationship Id="rId259" Type="http://schemas.openxmlformats.org/officeDocument/2006/relationships/hyperlink" Target="https://www.dutramaquinas.com.br/p/mini-grampos-de-aperto-rapido-para-marceneiro-6-quick-grip?srsltid=AfmBOorqmhjld9HJvFVzyGrBQy-fDSm8heQkPvfYHJXPTv-YUWTLI2YZnkk" TargetMode="External"/><Relationship Id="rId23" Type="http://schemas.openxmlformats.org/officeDocument/2006/relationships/hyperlink" Target="https://www.ultramaquinas.com.br/produto/rolo-de-la-carneiro-9cm-1383-com-cabo-tigre-74933?gad_source=4&amp;gad_campaignid=22180159832&amp;gclid=CjwKCAjwuuPRBhAnEiwA2Ji8emxfJUxzh0ubuNSO4SD0uphc-3Ffb-ZMEJ3_tDGdOgizuXhlJYqfQxoCaJYQAvD_BwE" TargetMode="External"/><Relationship Id="rId119" Type="http://schemas.openxmlformats.org/officeDocument/2006/relationships/hyperlink" Target="https://www.copafer.com.br/trena-a-laser-cor-vermelha-glm40-alcance-de-40-metros---saco-protetor-com-2-pilhas---0601072900-000---bosch/p?idsku=17305&amp;srsltid=AfmBOooqSCUeXO6LGVPd3uIhJXMDgpoPVbbE9PtzXB4Qj_FOfYdjjm8UWk4" TargetMode="External"/><Relationship Id="rId270" Type="http://schemas.openxmlformats.org/officeDocument/2006/relationships/hyperlink" Target="https://www.lojadomecanico.com.br/produto/147654/11/158/torno-morsa-de-bancada-60mm-sparta-1850955/153/?srsltid=AfmBOopGaBhFOCGLnfgKnbSPqCjqT_UDCVoQhd7qZCuv4V4cCIGXtkGGB7g" TargetMode="External"/><Relationship Id="rId291" Type="http://schemas.openxmlformats.org/officeDocument/2006/relationships/hyperlink" Target="http://www.ferramentaskennedy.com.br/martelo-anti-retrocesso-50mm-worker-342971/p?srsltid=AfmBOopjovliHLiByfIhCc9_RFM0eRpTs9eckdT4jVo02BueaGU45gnHDIA" TargetMode="External"/><Relationship Id="rId305" Type="http://schemas.openxmlformats.org/officeDocument/2006/relationships/hyperlink" Target="https://www.lojadomecanico.com.br/produto/14717/33/594/serrote-de-poda-12pol-tramontina-43290012/153/?srsltid=AfmBOoqMBIjqcUuwoxYpi95aibd4KEdd5DPWy8EPh66klOMDfJ-63nD3--M" TargetMode="External"/><Relationship Id="rId44" Type="http://schemas.openxmlformats.org/officeDocument/2006/relationships/hyperlink" Target="https://thony.com.br/products/desempenadeira-plastica-sem-espuma-15-x-26cm?srsltid=AfmBOoonVEQ_pGY9KjJRsy5tCk3HNTr1FQS2y70y8JSGQcw9wJcHV9n312M" TargetMode="External"/><Relationship Id="rId65" Type="http://schemas.openxmlformats.org/officeDocument/2006/relationships/hyperlink" Target="https://www.fg.com.br/alicate-prensa-terminais-ap-256---vonder/p?idsku=1088857&amp;srsltid=AfmBOorG1FiypWHAjKH4u-L8WdU8kZ-8901pixUeUQ3r07LiQVd13V54v8s" TargetMode="External"/><Relationship Id="rId86" Type="http://schemas.openxmlformats.org/officeDocument/2006/relationships/hyperlink" Target="https://www.redemacsuperbem.com.br/produto/jogo-chave-torx-dtools-9-pecas-longa.html?srsltid=AfmBOorqlTqeHKupKeP9pZRB6_F1GjHWL3qVli675HYeLPMoB0OVXvmMln8" TargetMode="External"/><Relationship Id="rId130" Type="http://schemas.openxmlformats.org/officeDocument/2006/relationships/hyperlink" Target="https://www.telhanorte.com.br/jogo-de-soquetes-e-acessorios-12-17-pecas-em-aco-cromo-vanadio-43600017-tramontina-2381494/p?idsku=2381494&amp;srsltid=AfmBOorVAcbPaZOpEUMBuZVk8n8SXOLzgzHkP280vgBJu9JGLk5f4KRPRvY" TargetMode="External"/><Relationship Id="rId151" Type="http://schemas.openxmlformats.org/officeDocument/2006/relationships/hyperlink" Target="https://www.virtualtools.com.br/modelagem-de-tubo-e-mangueira/dobrador-de-tubos-14-516-38-wipcool-hb-3?parceiro=2737&amp;srsltid=AfmBOoqGBLPUh3C1F6X0TEdiUyYk46-9I6-14KQF8l_TN7G3Fnhv_MJZYTA" TargetMode="External"/><Relationship Id="rId172" Type="http://schemas.openxmlformats.org/officeDocument/2006/relationships/hyperlink" Target="https://www.vandusolucoes.com.br/produtos/cortador-de-vidro-de-5-a-15mm-wurth/" TargetMode="External"/><Relationship Id="rId193" Type="http://schemas.openxmlformats.org/officeDocument/2006/relationships/hyperlink" Target="https://www.leroymerlin.com.br/martelo-borracha-preta-0450gr-cabo-madeira--sparta_1570726040?region=outros" TargetMode="External"/><Relationship Id="rId207" Type="http://schemas.openxmlformats.org/officeDocument/2006/relationships/hyperlink" Target="https://www.tramontina.com.br/martelo-de-unha-18-mm-tramontina-master-basic-com-cabo-em-madeira-envernizada/40370018.html?srsltid=AfmBOoq2OFVziI9D0FG66oi9DaJ2uT5lb-UI7e6s-H9PmsSxX_sGpI8Vmrg" TargetMode="External"/><Relationship Id="rId228" Type="http://schemas.openxmlformats.org/officeDocument/2006/relationships/hyperlink" Target="https://redemac.com.br/loja/cavadeira-articulada-reforcada-140cm-tramontina/" TargetMode="External"/><Relationship Id="rId249" Type="http://schemas.openxmlformats.org/officeDocument/2006/relationships/hyperlink" Target="https://palaciodasferramentas.com.br/serrote-tipo-japones-300mm-aco-carbono-vonder?srsltid=AfmBOoqMAA41UCCgWzzg-oGBbWnp6JkD37RE6qQ0qj5xV296u7WrcRvDZcQ" TargetMode="External"/><Relationship Id="rId13" Type="http://schemas.openxmlformats.org/officeDocument/2006/relationships/hyperlink" Target="https://www.leroymerlin.com.br/rolo-pintura-economico-la-sintetica-c--cabo-23cm-tigre_1572481815?region=outros" TargetMode="External"/><Relationship Id="rId109" Type="http://schemas.openxmlformats.org/officeDocument/2006/relationships/hyperlink" Target="https://www.lojadomecanico.com.br/produto/154110/19/194/alicate-amperimetro-digital-profissional-ha-3200-garra-60mm-com-bolsa-de-transporte-cat-ii-1000v-hikari-21n260/153/?srsltid=AfmBOorf0Smeaio6GMZ8eIC2C8_ssuh2NMLOAiNVKBQENl0AmRbx3vvSUuo" TargetMode="External"/><Relationship Id="rId260" Type="http://schemas.openxmlformats.org/officeDocument/2006/relationships/hyperlink" Target="https://www.anhangueraferramentas.com.br/produto/mini-grampo-de-aperto-rapido-150-mm-2006021-irwin-97382?srsltid=AfmBOoo1r9go5tdRTB5l1DikGCqerJUBfCFklQulyFV405Ecwzdf7gA_WRY" TargetMode="External"/><Relationship Id="rId281" Type="http://schemas.openxmlformats.org/officeDocument/2006/relationships/hyperlink" Target="https://www.dutramaquinas.com.br/p/puncao-de-centro-4-mm-44472-104?srsltid=AfmBOoqpAsMbeFlMB_sbdCVemSeSp-OFlDWwRr3bB1vGV3MBQhOFa9621PY" TargetMode="External"/><Relationship Id="rId34" Type="http://schemas.openxmlformats.org/officeDocument/2006/relationships/hyperlink" Target="https://www.lojaonlinetintasoliveira.com.br/vonder-raspador-rp011-05884?srsltid=AfmBOorCknA2DbuoH-Os1fQ01DR-cokTJJvGbgtal8qNBqTNWvD_MRS8" TargetMode="External"/><Relationship Id="rId55" Type="http://schemas.openxmlformats.org/officeDocument/2006/relationships/hyperlink" Target="https://www.tumelero.com.br/alicate-universal-8--forjado-em-aco-eespecial--empunhadura-isolada-pvc-amarelo-40802258-1/p?idsku=40802258&amp;gad_source=1&amp;gad_campaignid=23304852875&amp;gclid=CjwKCAjwuuPRBhAnEiwA2Ji8esa-MKsDmuQLGWncqMy04POcvKHTNmAFPA-0f_2ObAMuxqcJjc" TargetMode="External"/><Relationship Id="rId76" Type="http://schemas.openxmlformats.org/officeDocument/2006/relationships/hyperlink" Target="https://www.mercadolivre.com.br/jogo-de-chave-phillips-com-5-pecas-44135505-tramontina-pro/p/MLB31072971?pdp_filters=item_id%3AMLB6142547726&amp;from=gshop&amp;matt_tool=78080246&amp;matt_word=&amp;matt_source=google&amp;matt_campaign_id=23351282087&amp;matt_ad_group_id=19304472" TargetMode="External"/><Relationship Id="rId97" Type="http://schemas.openxmlformats.org/officeDocument/2006/relationships/hyperlink" Target="https://www.plenobras.com.br/670760ed222b0be033021e4d/passa-fio-poliester-helicoidal-20-m?srsltid=AfmBOooZUHGTu9Yt0i6IqqrkgXZBK1tfb_ZL99OCbwilETY8gFlfHxQbJLQ" TargetMode="External"/><Relationship Id="rId120" Type="http://schemas.openxmlformats.org/officeDocument/2006/relationships/hyperlink" Target="https://martineliferramentas.com.br/index.php?route=product/product&amp;product_id=6465&amp;srsltid=AfmBOorQNaGUZ2Jbsrvv5TH5_FJHB0FcbmudpXT4yFFPICQFqoAv2Hi9cNY" TargetMode="External"/><Relationship Id="rId141" Type="http://schemas.openxmlformats.org/officeDocument/2006/relationships/hyperlink" Target="https://www.lojadomecanico.com.br/produto/81387/3/204/paquimetro-universal-analogico-em-aco-150mm-fortgpro-fg8330/153/?srsltid=AfmBOoozMHgnYPhhe3RzVDd2xX3-ffjionYp68T69jsw5AmwlHDbmAPaTf8" TargetMode="External"/><Relationship Id="rId7" Type="http://schemas.openxmlformats.org/officeDocument/2006/relationships/hyperlink" Target="https://www.calcadosparatrabalhar.com.br/luva-algod-o-tricotada-tatex-branca-com-pigmento-kalipso.html?gad_source=4&amp;gad_campaignid=21485017915&amp;gclid=CjwKCAjwuuPRBhAnEiwA2Ji8eolgG6K1XXkSOQhF6GGbRzSQ3qkjgir9kJeYwIrAO6bnf0g6PgHLjRoCMQAQAvD_BwE" TargetMode="External"/><Relationship Id="rId162" Type="http://schemas.openxmlformats.org/officeDocument/2006/relationships/hyperlink" Target="https://www.eletrofrigor.com.br/produto/detector-eletronico-de-vazamento-de-fluido-refrigerante-suryha-80150017-5888?srsltid=AfmBOoofvCyKtq8HTYcBat0VjjBBAWuE-vO00w4F_2GCRJ45DLKXiQ5pBSE" TargetMode="External"/><Relationship Id="rId183" Type="http://schemas.openxmlformats.org/officeDocument/2006/relationships/hyperlink" Target="https://www.casadomecanico.com.br/aplicador-silicone-300ml-12253-p25871?utm_source=google&amp;utm_medium=cpc&amp;utm_campaign=lojavirtual&amp;srsltid=AfmBOorW-MrZnVZkvmGagVcq-IlJWDOZOT3hpTbxE1pPWh9daEjCsjRcmJU" TargetMode="External"/><Relationship Id="rId218" Type="http://schemas.openxmlformats.org/officeDocument/2006/relationships/hyperlink" Target="https://www.nichele.com.br/ponteiro--10pol-paraboni/p" TargetMode="External"/><Relationship Id="rId239" Type="http://schemas.openxmlformats.org/officeDocument/2006/relationships/hyperlink" Target="https://www.lojasafubra.com.br/linha-pedreiro-100m/p?idsku=11754&amp;utm_source=google&amp;utm_medium=cpc&amp;utm_campaign=pmax_geral_sul&amp;utm_content=23658878101_%7bassetid%7d__%7blocation%7d&amp;gad_source=4&amp;gad_campaignid=23658886483&amp;gclid=CjwKCAjw3ejRBhAdEiwADkqPn5VbN" TargetMode="External"/><Relationship Id="rId250" Type="http://schemas.openxmlformats.org/officeDocument/2006/relationships/hyperlink" Target="https://www.fg.com.br/serrote-tipo-japones-300-mm-vonder/p?idsku=1180896&amp;srsltid=AfmBOooHjNVmuQ4wSxrhZXemcXRen9xx36fazJk30wYuIlczWn-AoEKReGA" TargetMode="External"/><Relationship Id="rId271" Type="http://schemas.openxmlformats.org/officeDocument/2006/relationships/hyperlink" Target="https://www.leroymerlin.com.br/torno-morsa-de-bancada-60mm-sparta_90275192?store_code=19" TargetMode="External"/><Relationship Id="rId292" Type="http://schemas.openxmlformats.org/officeDocument/2006/relationships/hyperlink" Target="https://www.superproatacado.com.br/martelo-anti-retrocesso-50mm-worker-342971/p?srsltid=AfmBOopy1hF2-H0F8lioPZiEyt2JEJLdb7dd1SDyIAjsAy-G2lAVSWhkPQg" TargetMode="External"/><Relationship Id="rId306" Type="http://schemas.openxmlformats.org/officeDocument/2006/relationships/hyperlink" Target="https://www.tramontina.com.br/facao-para-mato-tramontina-com-lamina-de-aco-carbono-e-cabo-em-polipropileno-preto-16%22/26600116.html?srsltid=AfmBOor0QoStfOrXXyPMSwdjukIn49ID_r_zsDU6JSQCwarX3NI_JFFMHYM" TargetMode="External"/><Relationship Id="rId24" Type="http://schemas.openxmlformats.org/officeDocument/2006/relationships/hyperlink" Target="https://www.mercadolivre.com.br/rolo-de-l-sintetica-9cm-epoxi-resina-esmalte-tigre/p/MLB24320249?product_trigger_id=MLB24357058&amp;pdp_filters=item_id%3AMLB6718089356&amp;applied_product_filters=MLB24320249&amp;from=gshop&amp;picker=true&amp;matt_tool=30290572&amp;matt_word=&amp;ma" TargetMode="External"/><Relationship Id="rId40" Type="http://schemas.openxmlformats.org/officeDocument/2006/relationships/hyperlink" Target="https://www.copafer.com.br/desempenadeira-em-aco-temperado-com-cabo-fechado-120x290mm---212-00---galo/p?idsku=19680&amp;srsltid=AfmBOoo6wJfn9u4v2NS9RO0EDX-h3rsdWgPK3QWKW8KjSiA1ydh9T1Rpzxg" TargetMode="External"/><Relationship Id="rId45" Type="http://schemas.openxmlformats.org/officeDocument/2006/relationships/hyperlink" Target="https://www.anhangueraferramentas.com.br/produto/estilete-largo-18mm-aco-inox-3599018002-vonder-122472?srsltid=AfmBOooWpW-JSKhRz3L1C_jIh2F4L00Qyv7yaXfCuEHUAwO2HyYCsXFkTcw" TargetMode="External"/><Relationship Id="rId66" Type="http://schemas.openxmlformats.org/officeDocument/2006/relationships/hyperlink" Target="https://www.obramax.com.br/alicate-desencapador-de-fios-6-152mm-vonder-89714443/p?idsku=59260&amp;srsltid=AfmBOorK_20HL3U9UavwtL3SQY_rCELu5uZZQLQZ0demrBRw05pzeEDlgig" TargetMode="External"/><Relationship Id="rId87" Type="http://schemas.openxmlformats.org/officeDocument/2006/relationships/hyperlink" Target="https://www.ferramac.com.br/885/jogo-de-chave-canho-3-a-14-mm-com-12-peas-gedore?srsltid=AfmBOorEVvR3c4KE2Exls1Oq-j9FOLwVTTSdOtSTc26O-LMp3k5qRJWJ-RY" TargetMode="External"/><Relationship Id="rId110" Type="http://schemas.openxmlformats.org/officeDocument/2006/relationships/hyperlink" Target="https://www.cofermeta.com.br/medicao/alicate-amperimetro/alicate-amperimetro-digital-1000a-ac-750v-ha-3200-hikari?parceiro=9290&amp;srsltid=AfmBOoqk8IFl___N3LtXqqulNG5ShWshuV2LurRQS_-AwldgGQqHWFZRU04" TargetMode="External"/><Relationship Id="rId115" Type="http://schemas.openxmlformats.org/officeDocument/2006/relationships/hyperlink" Target="https://www.lojadomecanico.com.br/produto/141974/3/47/identificador-de-cabos-com-led-indicadores-minipa-mtc-183/153/?srsltid=AfmBOoqfOP7gRa9ZQlCHR3xKC6IppTN-kUz88ZnQLtA2K6BlWDzKRv_2W40" TargetMode="External"/><Relationship Id="rId131" Type="http://schemas.openxmlformats.org/officeDocument/2006/relationships/hyperlink" Target="https://www.dutramaquinas.com.br/p/jogo-de-soquete-estriado-8-a-30-mm-encaixe-1-2-com-17-pecas-aco-cromo-vanadio-43600-017?srsltid=AfmBOopTeLanxlkbnMpxAOLcWYK3udR3r_vV7RXI0wj6fZIiat_tRea_KGs" TargetMode="External"/><Relationship Id="rId136" Type="http://schemas.openxmlformats.org/officeDocument/2006/relationships/hyperlink" Target="https://www.molyplast.com.br/ferramentas/manuais/cortador-de-tubos-pvc-ate-1-58-pol-42-mm-vonder?parceiro=9584&amp;srsltid=AfmBOoq5Db5XTVN6ZCepbo2IEh72puVnYA1UK4GCzvercyMvFR-7hCms1tQ" TargetMode="External"/><Relationship Id="rId157" Type="http://schemas.openxmlformats.org/officeDocument/2006/relationships/hyperlink" Target="https://www.virtualtools.com.br/manifolds/manifold-digital-smart-com-mangueira-90-cm-516-r32-r410?parceiro=2737&amp;srsltid=AfmBOorNfL2ZZquYMsMrxbIS_eoC5M8Gi7nnR4O9DbFokHSr8fqi-bFBNdA" TargetMode="External"/><Relationship Id="rId178" Type="http://schemas.openxmlformats.org/officeDocument/2006/relationships/hyperlink" Target="https://www.woodglassacessorios.com.br/ferramentas/alicate-para-vidraceiro-destacar-vidro-bico-de-pato?srsltid=AfmBOor1j8HCzg6x2B388jAoBQszvwq3v-E229UfoP6EeR0n4vat9umzWJY" TargetMode="External"/><Relationship Id="rId301" Type="http://schemas.openxmlformats.org/officeDocument/2006/relationships/hyperlink" Target="https://www.telhanorte.com.br/tesoura-para-cerca-viva-12-tramontina-1574876/p?idsku=1574876&amp;srsltid=AfmBOootzFnEtDO5A_dKcii0VeZwsXTYHnSZbGiql2ECtz5eNKRV1MbG_yo" TargetMode="External"/><Relationship Id="rId61" Type="http://schemas.openxmlformats.org/officeDocument/2006/relationships/hyperlink" Target="https://www.ferramentaskennedy.com.br/alicate-bico-meia-cana-6-1000v-amarelo-tramontina-424099/p?adset_id=&amp;device=c&amp;gad_campaignid=23608289728&amp;gad_source=1&amp;gclid=CjwKCAjwuuPRBhAnEiwA2Ji8emKQSzE4wgKx4YkakubJfxYOVE2wpZDuX_zbFO3cMmE1GLIeRKHCERoCeL0QAvD_BwE&amp;k" TargetMode="External"/><Relationship Id="rId82" Type="http://schemas.openxmlformats.org/officeDocument/2006/relationships/hyperlink" Target="https://www.leroymerlin.com.br/jogo-de-chave-allen-1,5-a-10mm-9-pecas-mtx_90057114?store_code=63" TargetMode="External"/><Relationship Id="rId152" Type="http://schemas.openxmlformats.org/officeDocument/2006/relationships/hyperlink" Target="https://www.amazon.com.br/Dobrador-Alum%C3%ADnio-Cortadores-Vergalh%C3%A3o-Dobradores/dp/B0CLS86D4C" TargetMode="External"/><Relationship Id="rId173" Type="http://schemas.openxmlformats.org/officeDocument/2006/relationships/hyperlink" Target="https://www.fastvidrosdistribuidora.com.br/acessorios/cortador-profissional-wurth-5-a-15mm-corte-de-vidro-espelho?parceiro=8753" TargetMode="External"/><Relationship Id="rId194" Type="http://schemas.openxmlformats.org/officeDocument/2006/relationships/hyperlink" Target="https://www.leomadeiras.com.br/p/10443570/martelo-borracha-preto-50mm-1115055-1-un-sparta?srsltid=AfmBOorlcNxAzznD5aYLwNtgrCwnPKFjjbIEa4GB_qoKHnrge_PvCgBvC0M" TargetMode="External"/><Relationship Id="rId199" Type="http://schemas.openxmlformats.org/officeDocument/2006/relationships/hyperlink" Target="https://www.leroymerlin.com.br/prumo-de-parede-400g-corpo-metal-vonder_1570715984?region=outros" TargetMode="External"/><Relationship Id="rId203" Type="http://schemas.openxmlformats.org/officeDocument/2006/relationships/hyperlink" Target="https://www.joli.com.br/regua-para-pedreiro-46x23x2mt-decal/p?idsku=17088&amp;srsltid=AfmBOoq7O3PNeMAlUH9cC0kiuHrJYxFq4R98dA0CBVSy4w5PF27OlftfQvk" TargetMode="External"/><Relationship Id="rId208" Type="http://schemas.openxmlformats.org/officeDocument/2006/relationships/hyperlink" Target="https://www.leroymerlin.com.br/martelo-de-unha-25mm-tramontina_90709220?store_code=19" TargetMode="External"/><Relationship Id="rId229" Type="http://schemas.openxmlformats.org/officeDocument/2006/relationships/hyperlink" Target="https://www.copafer.com.br/cavadeira-articulada-com-cabo-de-madeira-de-120-cm-77564503-tramontina/p?idsku=30994&amp;srsltid=AfmBOop06BFkpeMBVRGemOvB0f49pLtaIm_OpTirxvp0NxuqrYcFC4M8Ies" TargetMode="External"/><Relationship Id="rId19" Type="http://schemas.openxmlformats.org/officeDocument/2006/relationships/hyperlink" Target="https://www.amazon.com.br/Eda-6XG-Pincel-Pintura-Pe%C3%A7as/dp/B07D89YL34/ref=asc_df_B07D89YL34?mcid=d3c5cf9381b333d6b9c373882148b5fe&amp;tag=googleshopp00-20&amp;linkCode=df0&amp;hvadid=709963857530&amp;hvpos=&amp;hvnetw=g&amp;hvrand=14461304691974490349&amp;hvpone=&amp;hvptwo=&amp;hvqmt=&amp;" TargetMode="External"/><Relationship Id="rId224" Type="http://schemas.openxmlformats.org/officeDocument/2006/relationships/hyperlink" Target="https://martineliferramentas.com.br/enxada-larga-15-em-aco-com-cabo-de-madeira-130cm-tramontina-77214654_38393.html?srsltid=AfmBOorAM0olmpHA4vm-kPbLp-l_CCNkSButieBTr6BL0K2emssG08ioviA" TargetMode="External"/><Relationship Id="rId240" Type="http://schemas.openxmlformats.org/officeDocument/2006/relationships/hyperlink" Target="https://www.leroymerlin.com.br/jogo-de-formao-construcao-para-madeira-4-pecas-1819361-irwin_1571498889?region=outros" TargetMode="External"/><Relationship Id="rId245" Type="http://schemas.openxmlformats.org/officeDocument/2006/relationships/hyperlink" Target="https://palaciodasferramentas.com.br/grampo-sargento-de-aperto-rapido-6-polegadas-150-mm-mtx?srsltid=AfmBOorzEFUlxqGuNtAzIYGi-DHFZPug-MKCIDfIcOCrpA4dGAwioJLwAbE" TargetMode="External"/><Relationship Id="rId261" Type="http://schemas.openxmlformats.org/officeDocument/2006/relationships/hyperlink" Target="https://www.leroymerlin.com.br/jogo-de-brocas-x-line-com-33-pecas-bosch_89893853?store_code=19" TargetMode="External"/><Relationship Id="rId266" Type="http://schemas.openxmlformats.org/officeDocument/2006/relationships/hyperlink" Target="https://www.dutramaquinas.com.br/p/jogo-de-serra-copo-para-madeira-19-a-64-mm-com-11-pecas-704739-704739?srsltid=AfmBOopD-DEiDWCVUSs9FN-X2k04sXIkUfXFJzZAbifhMut3wceCJgOetCA" TargetMode="External"/><Relationship Id="rId287" Type="http://schemas.openxmlformats.org/officeDocument/2006/relationships/hyperlink" Target="https://www.dutramaquinas.com.br/p/martelo-bola-800-g-com-cabo-de-fibra-35-89-800-002?srsltid=AfmBOooft1mAvasAjb9QSqVALMEfaciZcu5h6TBGch4o01wzHEAtOpWyUNo" TargetMode="External"/><Relationship Id="rId14" Type="http://schemas.openxmlformats.org/officeDocument/2006/relationships/hyperlink" Target="https://www.eloscimento.com.br/pintura/rolos/rolo-la-sintetica-resifacil-1366-23cm-tigre/" TargetMode="External"/><Relationship Id="rId30" Type="http://schemas.openxmlformats.org/officeDocument/2006/relationships/hyperlink" Target="https://www.anhangueraferramentas.com.br/produto/betumadeira-aco-inox-lisa-4-100mm-cabo-plastico-855109-mtx-139893?srsltid=AfmBOoqcJFD0JMPU39GpNSoLdZWaZR2NYReLJYGmjDEbS-ATY9iqkVqj" TargetMode="External"/><Relationship Id="rId35" Type="http://schemas.openxmlformats.org/officeDocument/2006/relationships/hyperlink" Target="https://www.fg.com.br/raspador-plano-rp-011---vonder/p" TargetMode="External"/><Relationship Id="rId56" Type="http://schemas.openxmlformats.org/officeDocument/2006/relationships/hyperlink" Target="https://www.leroymerlin.com.br/alicate-universal-8-tramontina_90345220?store_code=63&amp;gad_source=1&amp;gad_campaignid=23604906371&amp;gclid=CjwKCAjwuuPRBhAnEiwA2Ji8epd0BaTWs3pCz09OWpmQv9D_Ov4qfYRUCyutUWwN-LKLt0sFWkCoTxoCI8IQAvD_BwE" TargetMode="External"/><Relationship Id="rId77" Type="http://schemas.openxmlformats.org/officeDocument/2006/relationships/hyperlink" Target="https://www.mercadolivre.com.br/jogo-de-chave-de-fendaphillips-5-pcs-tramontina-pro/p/MLB42085525?pdp_filters=item_id%3AMLB5911025102&amp;from=gshop&amp;matt_tool=78080246&amp;matt_word=&amp;matt_source=google&amp;matt_campaign_id=23351282087&amp;matt_ad_group_id=193044726474&amp;ma" TargetMode="External"/><Relationship Id="rId100" Type="http://schemas.openxmlformats.org/officeDocument/2006/relationships/hyperlink" Target="https://www.piatatem.com.br/casa-e-jardim/colas-fitas/fita-passa-fio-nylon-com-cabo-de-aco-10-m-liege?parceiro=5635" TargetMode="External"/><Relationship Id="rId105" Type="http://schemas.openxmlformats.org/officeDocument/2006/relationships/hyperlink" Target="https://www.leroymerlin.com.br/multimetro-digital-mdv-0610-vonder_90887174?store_code=63" TargetMode="External"/><Relationship Id="rId126" Type="http://schemas.openxmlformats.org/officeDocument/2006/relationships/hyperlink" Target="https://www.baradelconstrucoes.com.br/produto/kit-chave-p-tubos-cabo-revestido-8-e-12-profissional-idea.html?utm_source=Site&amp;utm_medium=GoogleMerchant&amp;utm_campaign=GoogleMerchant&amp;srsltid=AfmBOoonDcnEd9ng8zun7MjaUFg_TI2DOUEslmF2T8_SXnmISG3j8gCx3CQ" TargetMode="External"/><Relationship Id="rId147" Type="http://schemas.openxmlformats.org/officeDocument/2006/relationships/hyperlink" Target="https://www.epeletrica.com.br/alargador-de-tubo-tipo-alicate-gallant-19297-1?srsltid=AfmBOooO5qdXL0Nnaa4IUksgB0UXU8ZXJtXDjHlUDSSoBHOuST1TAw5TBTI" TargetMode="External"/><Relationship Id="rId168" Type="http://schemas.openxmlformats.org/officeDocument/2006/relationships/hyperlink" Target="https://www.plenobras.com.br/646a58c8d496504d21dcb113/higrometro-medidor-para-temperatura-e-umidade-triplo-com-sensor?srsltid=AfmBOoq1Vgz3freV937nEzNv6X0UNloD9RlFfhFDzfwXQfMEMKxihtYmJ1g" TargetMode="External"/><Relationship Id="rId282" Type="http://schemas.openxmlformats.org/officeDocument/2006/relationships/hyperlink" Target="https://www.leroymerlin.com.br/martelo-picador-de-solda-300g-vonder_87528322?store_code=19" TargetMode="External"/><Relationship Id="rId312" Type="http://schemas.openxmlformats.org/officeDocument/2006/relationships/ctrlProp" Target="../ctrlProps/ctrlProp1.xml"/><Relationship Id="rId8" Type="http://schemas.openxmlformats.org/officeDocument/2006/relationships/hyperlink" Target="https://www.plenobras.com.br/646a5b18d496504d21e01c1a/luva-algodaopoliester-pigmentada-tamanho-9-(g)-branca-ca-34491?gad_source=4&amp;gad_campaignid=20992319193&amp;gclid=CjwKCAjwuuPRBhAnEiwA2Ji8egqVW567qQA1Aps5T4zXIFyYrFCMz0jVvtIA5amH02SKLJgxgn7DBBoC5k4QAvD_BwE" TargetMode="External"/><Relationship Id="rId51" Type="http://schemas.openxmlformats.org/officeDocument/2006/relationships/hyperlink" Target="https://www.universodolar.com.br/extensor-para-pintura-teles-1-95-metros-roma?utm_source=google&amp;utm_medium=Shopping&amp;utm_campaign=extensor-para-pintura-teles-1-95-metros-roma&amp;inStock=&amp;srsltid=AfmBOor4V_nDl0qAbVIPhq71SVxokdpMrJMC11aZSuNBF8qmwtFvREAvnjw" TargetMode="External"/><Relationship Id="rId72" Type="http://schemas.openxmlformats.org/officeDocument/2006/relationships/hyperlink" Target="https://www.ferramac.com.br/10505/alicate-de-pressao-10-tramontina?srsltid=AfmBOops9jWk_saG3uv9-1QiVYRjIbprqDpk6_yJGRiiWoXoyz3XMjvsxQI" TargetMode="External"/><Relationship Id="rId93" Type="http://schemas.openxmlformats.org/officeDocument/2006/relationships/hyperlink" Target="https://www.refercomercio.com.br/ferramentas-manuais/chave-grifo-14-tipo-stillson-encartelada-vonder?parceiro=5922&amp;srsltid=AfmBOopLumdUGqmXc1G1-eYz1nOQS_BfpfDesNWjJqmXiavbmGZxHERJo3s" TargetMode="External"/><Relationship Id="rId98" Type="http://schemas.openxmlformats.org/officeDocument/2006/relationships/hyperlink" Target="https://www.santil.com.br/passa-fio-com-alma-aco-20m-150kg-helicoidal-soprano/p?srsltid=AfmBOorzbWQjSGJNlrQ7Hit6pmvQyaAzHrqXnbYsH2AvOXf5-7ysaMOqaNs" TargetMode="External"/><Relationship Id="rId121" Type="http://schemas.openxmlformats.org/officeDocument/2006/relationships/hyperlink" Target="https://www.dutramaquinas.com.br/p/jogos-de-chave-fixa-6-a-22-mm-aco-cromo-vanadiocom-8-pecas-3365211?srsltid=AfmBOoqu2pXRw6HztUpmRCkgJyZY6pZOYdV5YviiI5RY9Xq1uqk_DHnb8xg" TargetMode="External"/><Relationship Id="rId142" Type="http://schemas.openxmlformats.org/officeDocument/2006/relationships/hyperlink" Target="https://galpaodasmaquinas.com.br/produto/paquimetro-universal-analogico-em-aco-150mm-fortgpro-fg8330?srsltid=AfmBOopgHI5ZzLuTINc4FwYveYF4g1cePZaZSaS_ludxu1o19fJ0BRj-Qyw" TargetMode="External"/><Relationship Id="rId163" Type="http://schemas.openxmlformats.org/officeDocument/2006/relationships/hyperlink" Target="https://refrigeracao.suryha.com.br/produto/80150.017/detector-eletronico-de-vazamento-de-fluido-refrigerante?srsltid=AfmBOoo26W2xQKkVUZrIIzQx3kPe715sTtk6kyHCk-tOFdmDWLQ6i9ta__0" TargetMode="External"/><Relationship Id="rId184" Type="http://schemas.openxmlformats.org/officeDocument/2006/relationships/hyperlink" Target="https://www.leroymerlin.com.br/aplicador-de-silicone-cartucho-300gr-starfer_1567332220?region=outros" TargetMode="External"/><Relationship Id="rId189" Type="http://schemas.openxmlformats.org/officeDocument/2006/relationships/hyperlink" Target="https://www.fg.com.br/nivel-aluminio-355mm-3-bolhas---vonder/p?idsku=1088398&amp;srsltid=AfmBOoo-cCIvEtLhU14Xsc9eweZAxPFmW3rtX7K-KZLRNF2AMETBL-ptqZo" TargetMode="External"/><Relationship Id="rId219" Type="http://schemas.openxmlformats.org/officeDocument/2006/relationships/hyperlink" Target="https://www.lojadomecanico.com.br/produto/11891/31/266/balde-metalico-10-litros-para-concreto-vonder-3315010000/153/?srsltid=AfmBOorKy5ErLZYQkcVmL6_t55EBcbV5W2Wl3npaAcWLo_EHIVw3u-OCVIE" TargetMode="External"/><Relationship Id="rId3" Type="http://schemas.openxmlformats.org/officeDocument/2006/relationships/hyperlink" Target="https://www.plenobras.com.br/646a5b6cd496504d21e09703/capacete-protecao-com-aba-frontal-polietileno-branco-ca-29792-classe-ab?gad_source=4&amp;gad_campaignid=20992319193&amp;gclid=CjwKCAjwuuPRBhAnEiwA2Ji8etknqnqxD2LphoP7lX540nvkyTmp6PVRX63OSksctc6Q9f_6Db_oCBoC-KU" TargetMode="External"/><Relationship Id="rId214" Type="http://schemas.openxmlformats.org/officeDocument/2006/relationships/hyperlink" Target="https://www.leroymerlin.com.br/talhadeira-gedore-15mm-038102-038102_1566943359?region=outros" TargetMode="External"/><Relationship Id="rId230" Type="http://schemas.openxmlformats.org/officeDocument/2006/relationships/hyperlink" Target="https://www.anhangueraferramentas.com.br/produto/cavadeira-articulada-cabo-de-madeira-120cm-com-batente-plastico-77564503-tramontina-131296?srsltid=AfmBOorlhguXYTmw9rxgdNiMtvwxAWSf8sK3zU4F6C-DSdo4Y9JWdB86Ow0" TargetMode="External"/><Relationship Id="rId235" Type="http://schemas.openxmlformats.org/officeDocument/2006/relationships/hyperlink" Target="https://www.leroymerlin.com.br/pa-ajuntadeira-metal-com-cabo-madeira-10x25x102cm-momfort_92376802?store_code=19&amp;gad_source=4&amp;gad_campaignid=23609586859&amp;gclid=CjwKCAjw3ejRBhAdEiwADkqPn2Ibzv4PW7_I5IO8EJQ8q2hNSr2qe_YUICS6jAxpavAoNt_s8TkBzxoCi9oQAvD_BwE" TargetMode="External"/><Relationship Id="rId251" Type="http://schemas.openxmlformats.org/officeDocument/2006/relationships/hyperlink" Target="https://www.ferragensfloresta.com.br/serrote-tipo-japones-300mm-vonder/p?idsku=14205&amp;srsltid=AfmBOop3ILcdld4T7tGKR7TCMYWURQX3PF2FZFC1iKl-uw2moHeNdWlDnPc" TargetMode="External"/><Relationship Id="rId256" Type="http://schemas.openxmlformats.org/officeDocument/2006/relationships/hyperlink" Target="https://www.leroymerlin.com.br/torques-carpinteiro-6-tramontina_90345311?store_code=19" TargetMode="External"/><Relationship Id="rId277" Type="http://schemas.openxmlformats.org/officeDocument/2006/relationships/hyperlink" Target="https://www.anhangueraferramentas.com.br/produto/tesoura-de-chapa-10-tipo-aviacao-reto-e-curvas-amplas-2073113-irwin-78642?srsltid=AfmBOoqwQBkPAfFBhQXqUUExU-acW3odzq7r6pfD76WuyLJsI7VXVQPUONk" TargetMode="External"/><Relationship Id="rId298" Type="http://schemas.openxmlformats.org/officeDocument/2006/relationships/hyperlink" Target="https://www.leroymerlin.com.br/tesoura-para-poda-aco-carbono-17mm-tramontina_90070785?store_code=19" TargetMode="External"/><Relationship Id="rId25" Type="http://schemas.openxmlformats.org/officeDocument/2006/relationships/hyperlink" Target="https://www.lfmaquinaseferramentas.com.br/bandeja-de-pintura-3-6l-atlas-1534p/p?idsku=124151&amp;gad_source=1&amp;gad_campaignid=21901661036&amp;gclid=CjwKCAjwuuPRBhAnEiwA2Ji8eqDGD9v28z8OwrvnmiBwZI0Yw9v_VBtpBD2kfQmWErpj_-DTbmE4VhoCrocQAvD_BwE" TargetMode="External"/><Relationship Id="rId46" Type="http://schemas.openxmlformats.org/officeDocument/2006/relationships/hyperlink" Target="https://www.antferramentas.com.br/estilete-largo-emborrachado-com-trava-18mm-vonder-3599018002/p?idsku=2016044&amp;srsltid=AfmBOopCVtKpbuJkI2i7SShT342wZDRXh1FP4A1hsLfmstaASFZZaWFmJsE" TargetMode="External"/><Relationship Id="rId67" Type="http://schemas.openxmlformats.org/officeDocument/2006/relationships/hyperlink" Target="https://www.anhangueraferramentas.com.br/produto/alicate-desencapador-de-fios-6-3686000006-vonder-133366?srsltid=AfmBOoomX9Me54IAvWLxC3oS5sv4iGMNSyscvFRHxb0ChXvXypP4b3_ZwMo" TargetMode="External"/><Relationship Id="rId116" Type="http://schemas.openxmlformats.org/officeDocument/2006/relationships/hyperlink" Target="https://www.anhangueraferramentas.com.br/produto/identificador-de-cabos-rj11-mtc-183-minipa-121196?srsltid=AfmBOoo0KutcyLlQ2_kysfAgTxoYDYOvCC1gaRq5IHf5YB05avDNte-mgVg" TargetMode="External"/><Relationship Id="rId137" Type="http://schemas.openxmlformats.org/officeDocument/2006/relationships/hyperlink" Target="https://www.fg.com.br/corta-tubos-de-pvc-diametro-ate-42mm---vonder/p?idsku=1088787&amp;srsltid=AfmBOor37vHAuT2Ar5wnzmdQrTowresLuU5CAUsGfTbLW4O76fqWBwR39fA" TargetMode="External"/><Relationship Id="rId158" Type="http://schemas.openxmlformats.org/officeDocument/2006/relationships/hyperlink" Target="https://www.distriar.com.br/manifolds-e-acessorios/manifold-digital-smart-92-tipos-de-gases-suryha-80150208?parceiro=2688&amp;srsltid=AfmBOooZKDXVdGgkypAOZGpx3p63CnAVe8fq6CoJ6H7bjfQsK_pur8u-U08" TargetMode="External"/><Relationship Id="rId272" Type="http://schemas.openxmlformats.org/officeDocument/2006/relationships/hyperlink" Target="https://www.dutramaquinas.com.br/p/torno-de-bancada-tipo-mini-2-1-2-185095?srsltid=AfmBOopgEd4xL9-lNC-hq0ezsoq_0poz0X-ZpyVjMfIo963ZBqDsZtLAgZE" TargetMode="External"/><Relationship Id="rId293" Type="http://schemas.openxmlformats.org/officeDocument/2006/relationships/hyperlink" Target="https://www.leroymerlin.com.br/martelo-de-poliuretano-40mm-mtx_89972484?store_code=19" TargetMode="External"/><Relationship Id="rId302" Type="http://schemas.openxmlformats.org/officeDocument/2006/relationships/hyperlink" Target="https://www.ferramentaskennedy.com.br/tesoura-para-cerca-vivagrama-lamina-aco-carbono-tramontina-168963/p?srsltid=AfmBOoqeK_pIPLu4Wm9-kxwqmmHCoQU8bxOLgW1rrLMqbHqVOANTi5G8d7A" TargetMode="External"/><Relationship Id="rId307" Type="http://schemas.openxmlformats.org/officeDocument/2006/relationships/hyperlink" Target="https://www.leroymerlin.com.br/facao-mato-16-tramontina_90268290?store_code=32" TargetMode="External"/><Relationship Id="rId20" Type="http://schemas.openxmlformats.org/officeDocument/2006/relationships/hyperlink" Target="https://www.mercadolivre.com.br/pincel-trincha-p-pintura-jogo-c-5-pecas-cabo-de-madeira/up/MLBU2977331825?pdp_filters=item_id%3AMLB3959988813&amp;from=gshop&amp;matt_tool=94591846&amp;matt_word=&amp;matt_source=google&amp;matt_campaign_id=23440873638&amp;matt_ad_group_id=1925550" TargetMode="External"/><Relationship Id="rId41" Type="http://schemas.openxmlformats.org/officeDocument/2006/relationships/hyperlink" Target="https://www.leroymerlin.com.br/desempenadeira-aco-temperado-lisa-120x290mm-cabo-fechado-galo_90352346?store_code=63" TargetMode="External"/><Relationship Id="rId62" Type="http://schemas.openxmlformats.org/officeDocument/2006/relationships/hyperlink" Target="https://www.leroymerlin.com.br/alicate-bico-meia-cana-6-tramontina_90779885?store_code=19&amp;gad_source=1&amp;gad_campaignid=23604906371&amp;gclid=CjwKCAjwuuPRBhAnEiwA2Ji8eu9DsbwuTeQXezNR_Wbcorrur6Ope8NtejZguDwQvfL-P2BPRr_EFhoCMioQAvD_BwE" TargetMode="External"/><Relationship Id="rId83" Type="http://schemas.openxmlformats.org/officeDocument/2006/relationships/hyperlink" Target="https://www.anhangueraferramentas.com.br/produto/jogo-de-chave-hexagonal-l-1-5mm-a-10mm-com-9-pecas-112269-mtx-97197?srsltid=AfmBOoqytOOcb80SXZOkdCoS563EQrJ-6LwLrDXebeav_QKYgkFJm0_zfso" TargetMode="External"/><Relationship Id="rId88" Type="http://schemas.openxmlformats.org/officeDocument/2006/relationships/hyperlink" Target="https://www.anhangueraferramentas.com.br/produto/jogo-de-chaves-canhao-de-3mm-a-14mm-com-12-pecas-33-12m-gedore-78357?srsltid=AfmBOooCPIhXpBWYPyo3pPyvk7RIzepiynl-bhrvmqluEVR8oMT1y6jt5Rs" TargetMode="External"/><Relationship Id="rId111" Type="http://schemas.openxmlformats.org/officeDocument/2006/relationships/hyperlink" Target="https://www.kmabrasil.com.br/produto/instrumentos/sensores-tensao-e-corrente/1168-detector-de-tensao-hikari-hk-volt-ii?srsltid=AfmBOoq5dqjAxe8yCnO11b0fE_G-aiErmA8QgnB8rznupoJkPsDQh0NMqaw" TargetMode="External"/><Relationship Id="rId132" Type="http://schemas.openxmlformats.org/officeDocument/2006/relationships/hyperlink" Target="https://www.piresmartins.com.br/alicate-crimpador-manual-para-tubo-pex-acv-1632-vonder/p?srsltid=AfmBOopeLVM8D5nG3x_deZMHwlkKC2v1EDXKXrqKkf2azg1oyGS_G_5XjBc" TargetMode="External"/><Relationship Id="rId153" Type="http://schemas.openxmlformats.org/officeDocument/2006/relationships/hyperlink" Target="https://www.leroymerlin.com.br/cortador-de-tubo-de-cobre-1-8-a-1-1-4-3-a-32-mm--35-59-180-114-vonder_1569957407?region=outros" TargetMode="External"/><Relationship Id="rId174" Type="http://schemas.openxmlformats.org/officeDocument/2006/relationships/hyperlink" Target="https://www.superproatacado.com.br/ventosa-simples-abs-282006-worker-282006/p?srsltid=AfmBOorqBHZGhBED9BGdy0OaF7UdABKQMiGEx96ZnCbruG0YtHpTkOBFSkI" TargetMode="External"/><Relationship Id="rId179" Type="http://schemas.openxmlformats.org/officeDocument/2006/relationships/hyperlink" Target="https://envidracamentoemsacadas.com.br/produtos/alicate-bico-de-pato-para-vidraceiro/" TargetMode="External"/><Relationship Id="rId195" Type="http://schemas.openxmlformats.org/officeDocument/2006/relationships/hyperlink" Target="https://www.lojadomecanico.com.br/produto/149927/31/265/colher-de-pedreiro-com-canto-reto-numero-10-thompson-1583/153/?srsltid=AfmBOopg8T3ZGKU33J398MzhFzTNZbcfUvLQsGtrpRaa38oPoJdxcG5sZ84" TargetMode="External"/><Relationship Id="rId209" Type="http://schemas.openxmlformats.org/officeDocument/2006/relationships/hyperlink" Target="https://www.sodimac.com.br/sodimac-br/product/198510/martelo-27mm-basic-tramontina/198510/?srsltid=AfmBOopUuqTaGf8W0ChlOSq2AFFrD5d9S77PQdw8BIduiG1LXuYVUJYjNeg" TargetMode="External"/><Relationship Id="rId190" Type="http://schemas.openxmlformats.org/officeDocument/2006/relationships/hyperlink" Target="https://www.dutramaquinas.com.br/p/nivel-de-aluminio-14-com-3-bolhas-35-35-000-140?srsltid=AfmBOoqKtMGADBzTjzF37XQ8y93WDz5_TEMfRV3gZ6hrbCTuWtIV-xDhmRg" TargetMode="External"/><Relationship Id="rId204" Type="http://schemas.openxmlformats.org/officeDocument/2006/relationships/hyperlink" Target="https://www.lojadomecanico.com.br/produto/20527/2/253/martelo-para-pedreiro-de-dois-cortes---500g-tramontina-40458000/153/?srsltid=AfmBOorwYxK_hkErDUF4ihZ4BTipw9b7KyPaSXdnpyjMgrrGVKkHWIuuYL8" TargetMode="External"/><Relationship Id="rId220" Type="http://schemas.openxmlformats.org/officeDocument/2006/relationships/hyperlink" Target="https://www.copafer.com.br/balde-em-chapa-metalica-para-concreto-com-10-litros---3315010000---vonder/p?idsku=3360&amp;srsltid=AfmBOooxHcwUhUmvS0S8fB1n9Gvdr_XAphEFUByVxVWA6O7YWTHdYW2BcIM" TargetMode="External"/><Relationship Id="rId225" Type="http://schemas.openxmlformats.org/officeDocument/2006/relationships/hyperlink" Target="https://www.ferramentaskennedy.com.br/picareta-estreita-tamanho-4-cabo-de-madeira-90-cm-tramontina-77300543/p?srsltid=AfmBOooGQVhaS4CH-QvDZcoTsmYLfg_3-J-gEginHivx3b8zZp1I1IclY0E" TargetMode="External"/><Relationship Id="rId241" Type="http://schemas.openxmlformats.org/officeDocument/2006/relationships/hyperlink" Target="https://www.lojadomecanico.com.br/produto/138407/31/273/jogo-de-formoes-para-construcao-cr-v-14-12-34-e-1-pol-irwin-1819361/153/?srsltid=AfmBOoohjyLbowNlzsGJ711ni7GUAJQ3alTLf8StE9Sfvgl62QYm1Xohu0M" TargetMode="External"/><Relationship Id="rId246" Type="http://schemas.openxmlformats.org/officeDocument/2006/relationships/hyperlink" Target="https://www.lojadomecanico.com.br/produto/108412/31/274/serrote-profissional-20-pol-5-dentes-por-polegada-tramontina-43242020/153/?srsltid=AfmBOoonoA-I8aeqq3lenDx7K5QkZTgAq0wkm92DgasZSLlvwrz61aBQ_d8" TargetMode="External"/><Relationship Id="rId267" Type="http://schemas.openxmlformats.org/officeDocument/2006/relationships/hyperlink" Target="https://www.leroymerlin.com.br/inversora-de-solda-140a-touch-150-bv-bivolt-com-funcao-tig-raspagem-e-acessorios-boxer_90723633?store_code=32" TargetMode="External"/><Relationship Id="rId288" Type="http://schemas.openxmlformats.org/officeDocument/2006/relationships/hyperlink" Target="https://www.leroymerlin.com.br/martelo-pena-1000g-aco-forjado-cabo-fibra-emborrachado-von_1566843369?region=outros" TargetMode="External"/><Relationship Id="rId15" Type="http://schemas.openxmlformats.org/officeDocument/2006/relationships/hyperlink" Target="https://www.casacostatintas.com.br/rolo-de-la-23cm-1312-sint-c-garfo-tigre-04686?srsltid=AfmBOopJF3RDdS4nGqp9EsiPv5yGGZpuuz6syN3uSyA2KpveZckysFef" TargetMode="External"/><Relationship Id="rId36" Type="http://schemas.openxmlformats.org/officeDocument/2006/relationships/hyperlink" Target="https://www.lojasafubra.com.br/raspador-plano-rp-011-vonder-3599011000/p?srsltid=AfmBOop4DNhFOvkGuhLzQOJ0HD1JDXuX_S9mNnBAEWviKOjGbFnMhzWj" TargetMode="External"/><Relationship Id="rId57" Type="http://schemas.openxmlformats.org/officeDocument/2006/relationships/hyperlink" Target="https://www.lojadomecanico.com.br/produto/20519/2/468/alicate-de-corte-diagonal-6-pol-tramontina-41006106/153/?utm_source=google&amp;utm_medium=cpc&amp;utm_campaign=MONKS_GG_F_SHOPPING_ACTIVATIO_1&amp;utm_content=&amp;gad_source=1&amp;gad_campaignid=23933285912&amp;gclid=CjwKCAj" TargetMode="External"/><Relationship Id="rId106" Type="http://schemas.openxmlformats.org/officeDocument/2006/relationships/hyperlink" Target="https://www.lojadomecanico.com.br/produto/121597/3/47/multimetro-digital-mdv0610-vonder-3870610000/153/?srsltid=AfmBOoq0dph3cpR9OlQy2qhBOE7QJ4BK7ue4H8k4ngHfZb9dPEJzNf_nh-A" TargetMode="External"/><Relationship Id="rId127" Type="http://schemas.openxmlformats.org/officeDocument/2006/relationships/hyperlink" Target="https://www.leroymerlin.com.br/kit-chave-p--tubos-cabo-revestido-8-e-12-profissional-idea_1571495957?region=outros" TargetMode="External"/><Relationship Id="rId262" Type="http://schemas.openxmlformats.org/officeDocument/2006/relationships/hyperlink" Target="https://www.ferramentaskennedy.com.br/jogo-pontas-e-brocas-x-line-com-33-pecas-bosch-200653/p?srsltid=AfmBOoppQyz7Q-QycEizmCGWfkjXaPRaNUsiIxRRJ0EKeHNc3ol_CUML720" TargetMode="External"/><Relationship Id="rId283" Type="http://schemas.openxmlformats.org/officeDocument/2006/relationships/hyperlink" Target="https://www.dutramaquinas.com.br/p/martelo-picador-de-solda-300-g-35-89-000-300?srsltid=AfmBOoof-B_zGubIeWpeUQq_2jWRWLz0LoxXLFvlBh53cCRb5hnUmmuwrtE" TargetMode="External"/><Relationship Id="rId10" Type="http://schemas.openxmlformats.org/officeDocument/2006/relationships/hyperlink" Target="https://superepi.com.br/chapeu-pescador-tipo-australiano-com-aba-na-nuca-protecao-uv-diversas-cores-p1070548?tsid=25&amp;srsltid=AfmBOoqUL4eKaVok_lJwpUUiYGyXszUiwRND-_32UjoPmtQwB2tryprayEQ" TargetMode="External"/><Relationship Id="rId31" Type="http://schemas.openxmlformats.org/officeDocument/2006/relationships/hyperlink" Target="https://www.lojadomecanico.com.br/produto/133434/31/276/espatula-flexivel-12-cm-em-aco-carbono-com-cabo-de-polipropileno-tramontina-77396125/153/?utm_source=google&amp;utm_medium=cpc&amp;utm_campaign=MONKS_GG_F_PMAX_Sazonal&amp;utm_content=Sazonal_Entrega_Rapida_02/0" TargetMode="External"/><Relationship Id="rId52" Type="http://schemas.openxmlformats.org/officeDocument/2006/relationships/hyperlink" Target="https://www.diamantetintas.com.br/6118-prolongador-p--rolo-1-95mt-1950/p?idsku=748496" TargetMode="External"/><Relationship Id="rId73" Type="http://schemas.openxmlformats.org/officeDocument/2006/relationships/hyperlink" Target="https://www.leroymerlin.com.br/alicate-de-pressao-mordente-triangular-10-tramontina_90779920?store_code=63" TargetMode="External"/><Relationship Id="rId78" Type="http://schemas.openxmlformats.org/officeDocument/2006/relationships/hyperlink" Target="https://www.leroymerlin.com.br/jogo-chave-de-fenda-5-pecas-tramontina-pro_1566937371?region=outros&amp;gad_source=4&amp;gad_campaignid=23680894077&amp;gclid=CjwKCAjwuuPRBhAnEiwA2Ji8en3kElVjVKE6FNBspiYPMy3KbpaK1ITDdeGKtbOTS1745oy17efQfRoCb4wQAvD_BwE" TargetMode="External"/><Relationship Id="rId94" Type="http://schemas.openxmlformats.org/officeDocument/2006/relationships/hyperlink" Target="https://www.leroymerlin.com.br/chave-grifo-stillson-14-para-tubo-vonder_87390191?store_code=63" TargetMode="External"/><Relationship Id="rId99" Type="http://schemas.openxmlformats.org/officeDocument/2006/relationships/hyperlink" Target="https://www.ferramentaskennedy.com.br/passa-fio-liege-10m-alma-aco/p?srsltid=AfmBOorc5cqahAQseTZk7410gvHbJA56_MqBXCoXsMeXSWnwB7JYZVObG7M" TargetMode="External"/><Relationship Id="rId101" Type="http://schemas.openxmlformats.org/officeDocument/2006/relationships/hyperlink" Target="https://www.carmosion.com.br/material-eletrico/acessorios-do-eletricista/sonda-calma-de-aco-10-mts-megatech?parceiro=7729&amp;srsltid=AfmBOooVs82LUmm1323kLexRf8OZgYIF0wfkFFAIrmQBpPsFASpd-Uj9M4k" TargetMode="External"/><Relationship Id="rId122" Type="http://schemas.openxmlformats.org/officeDocument/2006/relationships/hyperlink" Target="https://www.fg.com.br/jogo-de-chaves-fixas-6-mm-a-22-mm-aco-cromo-vanadio-8-pcs-r05125008-gedore-red/p?idsku=1173739&amp;srsltid=AfmBOoreJRW1iLB7ZoTrJPM98FCmLsbDCXypfHph9OsSYKNuFgGWAlo2TYU" TargetMode="External"/><Relationship Id="rId143" Type="http://schemas.openxmlformats.org/officeDocument/2006/relationships/hyperlink" Target="https://www.mercadolivre.com.br/paquimetro-mecnico-fortg-150mm-fg8330-metal-resistente-com-estojo/p/MLB23859575?matt_tool=18956390&amp;utm_source=google_shopping&amp;utm_medium=organic&amp;pdp_filters=item_id%3AMLB5686386800&amp;from=gshop" TargetMode="External"/><Relationship Id="rId148" Type="http://schemas.openxmlformats.org/officeDocument/2006/relationships/hyperlink" Target="https://climasolis.com.br/produto/alargador-de-tubos-tipo-alicate-gallant-glt0622-glt0622/" TargetMode="External"/><Relationship Id="rId164" Type="http://schemas.openxmlformats.org/officeDocument/2006/relationships/hyperlink" Target="https://www.distriar.com.br/detector-de-vazamento/detector-eletronico-de-vazamento-de-fluido-refrigerante-suryha-80150017?parceiro=2688&amp;srsltid=AfmBOoqRQEmHEBV35gIoFwXn7MNVnnhnGRGMHroW0HQxxzavmJ78ro3nPfE" TargetMode="External"/><Relationship Id="rId169" Type="http://schemas.openxmlformats.org/officeDocument/2006/relationships/hyperlink" Target="https://www.dutramaquinas.com.br/p/relogio-termo-higrometro-interno-e-externo-mt-241-mt-241?srsltid=AfmBOopH3bal_FLLRQB2xWdulQ6bKBK5ogXBKDlD35yrkqQelWaUkgdLv-o" TargetMode="External"/><Relationship Id="rId185" Type="http://schemas.openxmlformats.org/officeDocument/2006/relationships/hyperlink" Target="https://www.ultramaquinas.com.br/produto/aplicador-de-silicone-manual-fechado-starfer-73071?srsltid=AfmBOop4pq96f-Nwa5-qpSISTCfo5wL5gdQBsb8Auf8WIt911z0SQX8lSwo" TargetMode="External"/><Relationship Id="rId4" Type="http://schemas.openxmlformats.org/officeDocument/2006/relationships/hyperlink" Target="https://www.lojadomecanico.com.br/produto/89789/36/315/protetor-auricular-cg-38k-com-cordao-carbografite-010218810/153/?utm_source=google&amp;utm_medium=cpc&amp;utm_campaign=%7bcampaignname%7d&amp;utm_content=%7badgroupname%7d&amp;utm_term=&amp;gad_source=4&amp;gad_campaignid=21" TargetMode="External"/><Relationship Id="rId9" Type="http://schemas.openxmlformats.org/officeDocument/2006/relationships/hyperlink" Target="https://superepi.com.br/luva-de-algodao-pigmentada-branca-kalipso-p1050290?tsid=25&amp;srsltid=AfmBOopsc-7jaMXO3DktBjSj7XC89LQpvZIU1jzAV3MW0aRutjH4BpJZqm8" TargetMode="External"/><Relationship Id="rId180" Type="http://schemas.openxmlformats.org/officeDocument/2006/relationships/hyperlink" Target="https://www.bartexbrasil.com.br/espatulas-para-acabamento/espatula-bartex-p-vidraceiro-2-cm-cabo-de-madeira?parceiro=9743&amp;srsltid=AfmBOopyrRsZhzIoK383jsOBYN8-EY7bUI9hM7u-zG7RND_kMy2cBKLjsRg" TargetMode="External"/><Relationship Id="rId210" Type="http://schemas.openxmlformats.org/officeDocument/2006/relationships/hyperlink" Target="https://www.casadomecanico.com.br/marreta-oitavada-1-0kg-c-cabo-40500-10522-p25170?utm_source=google&amp;utm_medium=cpc&amp;utm_campaign=lojavirtual&amp;srsltid=AfmBOorE3EMaSoRD-LF4D4EntEOG7hyHMiyUAiK4oyZS7EkR2iYvfdavpdE" TargetMode="External"/><Relationship Id="rId215" Type="http://schemas.openxmlformats.org/officeDocument/2006/relationships/hyperlink" Target="https://www.lojadomecanico.com.br/produto/13508/31/263/talhadeira-octogonal-16mm-gedore-352-16/153/?srsltid=AfmBOorwwk5hAmXPZZkev7C4R_EChQ8z53YUSFEc4lJ_5sqQ5Dqcjbs3B0s" TargetMode="External"/><Relationship Id="rId236" Type="http://schemas.openxmlformats.org/officeDocument/2006/relationships/hyperlink" Target="https://www.ferramentaskennedy.com.br/pa-de-bico-em-aco-com-cabo-de-madeira-71cm-tramontina/p?srsltid=AfmBOorxOViUmhnPkTlrK9ErEcMiq8BcUfWYCTlY99GRuQaV2nVvmwXx1Nk" TargetMode="External"/><Relationship Id="rId257" Type="http://schemas.openxmlformats.org/officeDocument/2006/relationships/hyperlink" Target="https://www.fg.com.br/torques-carpinteiro-8-/p?idsku=6820387&amp;srsltid=AfmBOooso0el8HGvP161hr2ih1v6ICbu0jYA2uMHFbXUM2ZuSeDCI92O8wY" TargetMode="External"/><Relationship Id="rId278" Type="http://schemas.openxmlformats.org/officeDocument/2006/relationships/hyperlink" Target="https://www.tumelero.com.br/tesoura-aviacao-para-chapa-irwin-corte-reto-e-curvo-10-pol/p?idsku=5053251&amp;srsltid=AfmBOoptcbyWPf-ZpJ3eNJoSjH5Mc-4QTBDM2hw2-Dx5n2A3HAa0N6604uc" TargetMode="External"/><Relationship Id="rId26" Type="http://schemas.openxmlformats.org/officeDocument/2006/relationships/hyperlink" Target="https://www.ferramentaskennedy.com.br/bandeja-pintura-atlas-profimaster-3-6lt-pr/p?adset_id=&amp;device=c&amp;gad_campaignid=17498598395&amp;gad_source=1&amp;gclid=CjwKCAjwuuPRBhAnEiwA2Ji8esNOe66001J8xfjuH5wQ9icmMcZqTv9OMaZXEuEhGUnkvlwGD4lfNhoCnfQQAvD_BwE&amp;kwd=&amp;matchtype=" TargetMode="External"/><Relationship Id="rId231" Type="http://schemas.openxmlformats.org/officeDocument/2006/relationships/hyperlink" Target="https://www.lfmaquinaseferramentas.com.br/pa-quadrada-corte-tramontina-77400-424-cabo-71cm/p?idsku=5481&amp;gad_source=4&amp;gad_campaignid=22559429938&amp;gclid=CjwKCAjw3ejRBhAdEiwADkqPnxk4yphtTuTLyLjHrfw4a8BzRyM16uu2oA0KYrYMY5wKu3bKVW2lwxoCPtMQAvD_BwE" TargetMode="External"/><Relationship Id="rId252" Type="http://schemas.openxmlformats.org/officeDocument/2006/relationships/hyperlink" Target="https://www.lojadomecanico.com.br/produto/108360/2/508/pe-de-cabra-simples-em-aco-especial-500mm-tramontina-42600050/153/?srsltid=AfmBOoraI_JZP-2NN-RBshDF4AOV6mtUyZ0msp2iWUfXZSSW6VFT-uKuXiA" TargetMode="External"/><Relationship Id="rId273" Type="http://schemas.openxmlformats.org/officeDocument/2006/relationships/hyperlink" Target="https://www.anhangueraferramentas.com.br/produto/alicate-de-pressao-para-solda-tipo-c-11-11r-19-visegrip-97366?srsltid=AfmBOorIKHMl_eJhzqE4Y3JxoHr-AOuLBfmKR_CPHm-SoNNoaYNSdwefp8Y" TargetMode="External"/><Relationship Id="rId294" Type="http://schemas.openxmlformats.org/officeDocument/2006/relationships/hyperlink" Target="https://www.tramontina.com.br/vassoura-metalica-regulavel-tramontina-com-22-dentes-modelo-arame-e-cabo-de-madeira-120-cm./77831721.html?srsltid=AfmBOoqmuKZ8Iypd86VatKlf-gf2OYiEfRi4ymgEAs-2basjRvMIWQPRcDE" TargetMode="External"/><Relationship Id="rId308" Type="http://schemas.openxmlformats.org/officeDocument/2006/relationships/hyperlink" Target="https://www.balaroti.com.br/produto/facao-tramontina-16-para-mato-26600-116-171052?srsltid=AfmBOornYJzZgXZRa_K6t_r_ikp9vDzuqI6RkN0XWFOl-fiTrPz0-PU2gcc" TargetMode="External"/><Relationship Id="rId47" Type="http://schemas.openxmlformats.org/officeDocument/2006/relationships/hyperlink" Target="https://www.cassol.com.br/estilete-18mm-es218-vonder-/p?srsltid=AfmBOooVGVO6RrpU3OYLjuL4lOYc_vo7kQhAIZX_UZ-xt9OU2WUkG5FihGk&amp;region_id=cassol_312" TargetMode="External"/><Relationship Id="rId68" Type="http://schemas.openxmlformats.org/officeDocument/2006/relationships/hyperlink" Target="https://www.fg.com.br/alicate-desencapador-de-fios-6--152mm---vonder/p?idsku=1129487&amp;srsltid=AfmBOopf7N5xioXclWa-N0Pp3NfCBwcFFbSSqMYSyzdgFFCwFZb88sclGpU" TargetMode="External"/><Relationship Id="rId89" Type="http://schemas.openxmlformats.org/officeDocument/2006/relationships/hyperlink" Target="https://www.dimensional.com.br/chave-canhao-jogo-12-pecas-sextavado-aco-cromovanadio-reto-azul-3-a-14-mm-27350-gedore/p?idsku=515723&amp;srsltid=AfmBOoog1o8Ntx7KpgBoMJJ6HzfELImifzQr7_uNSozzXVmX6ummixpFjE4" TargetMode="External"/><Relationship Id="rId112" Type="http://schemas.openxmlformats.org/officeDocument/2006/relationships/hyperlink" Target="https://www.leroymerlin.com.br/testador-eletrico-hikari-hk-volt-ii_92010751?store_code=63" TargetMode="External"/><Relationship Id="rId133" Type="http://schemas.openxmlformats.org/officeDocument/2006/relationships/hyperlink" Target="https://www.delupo.com.br/alicate-crimpador-para-tubo-pex-acv-1632-vonder---36-86-016-032/p?idsku=84165&amp;srsltid=AfmBOopD3VwBTzdL5eqpHErIQAbAFHlWsAkxBdgprIpu9C1DjtW0MCv7sgE" TargetMode="External"/><Relationship Id="rId154" Type="http://schemas.openxmlformats.org/officeDocument/2006/relationships/hyperlink" Target="https://www.dutramaquinas.com.br/p/cortador-de-tubo-de-cobre-1-8-a-1-1-4-3-a-32-mm-35-59-180-114-35-59-180-114?srsltid=AfmBOordr-XP7kt4lfsVVKrxBo8UKgkwVTjT40WtK3VY9ZmasCAUaY6mhq0" TargetMode="External"/><Relationship Id="rId175" Type="http://schemas.openxmlformats.org/officeDocument/2006/relationships/hyperlink" Target="https://www.ferramentaskennedy.com.br/ventosa-simples-abs-282006-worker/p?srsltid=AfmBOoqz673UFZx2fx_uaL8YSWXRUd5bEBcANjQJkb69_5p-9xLsqZQV3RQ" TargetMode="External"/><Relationship Id="rId196" Type="http://schemas.openxmlformats.org/officeDocument/2006/relationships/hyperlink" Target="https://www.minasferramentas.com.br/17694/colher-de-pedreiro-canto-reto-10-thompson-1583?srsltid=AfmBOoonKuvj3co2c5BTG-JM5q3O3TqBgiPSkWVq580ZLsRmP9N2dQUtWe8" TargetMode="External"/><Relationship Id="rId200" Type="http://schemas.openxmlformats.org/officeDocument/2006/relationships/hyperlink" Target="https://www.dutramaquinas.com.br/p/prumo-de-parede-de-metal-700-g-33-21-010-700?srsltid=AfmBOop0T6NEUzVLEBO-3uzR0HQdUlOeSFvjEWMLtciKnoGF-woqbLacs7s" TargetMode="External"/><Relationship Id="rId16" Type="http://schemas.openxmlformats.org/officeDocument/2006/relationships/hyperlink" Target="https://www.leroymerlin.com.br/rolo-la-sintetica-para-parede-lisa-15-cm-tigre_92141525?store_code=63&amp;gad_source=1&amp;gad_campaignid=23599428387&amp;gclid=CjwKCAjwuuPRBhAnEiwA2Ji8emS2QcjyoEFW7_o2Grl_ccUCbk9MoRTlVu07WjZdpAxHRhJGFRzPyxoCfuQQAvD_BwE" TargetMode="External"/><Relationship Id="rId221" Type="http://schemas.openxmlformats.org/officeDocument/2006/relationships/hyperlink" Target="https://www.delupo.com.br/balde-metalico-para-concreto-10l-vonder---33-15-010-000/p?idsku=854&amp;srsltid=AfmBOoq9uRI_0V2Z81PkgshCYLuWeb0FghJ980ZcEyvbxPpj5xHFZCmV2IQ" TargetMode="External"/><Relationship Id="rId242" Type="http://schemas.openxmlformats.org/officeDocument/2006/relationships/hyperlink" Target="https://www.minasferramentas.com.br/28904/jogo-formao-4-pecas-1-4a1-irwin-1819361?srsltid=AfmBOooV20tOMrpZ1lBplLLnaeBOsCNx0E-LwjzZldUAem0puOe7buKlVBs" TargetMode="External"/><Relationship Id="rId263" Type="http://schemas.openxmlformats.org/officeDocument/2006/relationships/hyperlink" Target="https://www.lojadomecanico.com.br/produto/120458/37/778/jogo-x-line-para-furar-e-parafusar-com-33-pecas-e-maleta-bosch-2607017398-000/153/?srsltid=AfmBOor5_6IRvRTr1bL_K9ccjzGtbAD3GBDYW2bObi8XIUlYUP5rqwY7p0k" TargetMode="External"/><Relationship Id="rId284" Type="http://schemas.openxmlformats.org/officeDocument/2006/relationships/hyperlink" Target="https://www.eletrorastro.com.br/produto/martelo-picador-de-solda-vonder-89342?utm_source=google&amp;utm_medium=cpc&amp;srsltid=AfmBOoo7jXmELaUvE6BH6Es_KfsQzQ6SpeuZDiyBlJxFi9ssGek8emgG1yE" TargetMode="External"/><Relationship Id="rId37" Type="http://schemas.openxmlformats.org/officeDocument/2006/relationships/hyperlink" Target="https://www.ferimport.com.br/escova-carbografite-aco-carbono-4-carreiras/p" TargetMode="External"/><Relationship Id="rId58" Type="http://schemas.openxmlformats.org/officeDocument/2006/relationships/hyperlink" Target="https://www.lfmaquinaseferramentas.com.br/alicate-corte-diagonal-isolado-tramontina-master-6/p?idsku=127780&amp;gad_source=1&amp;gad_campaignid=17880555278&amp;gclid=CjwKCAjwuuPRBhAnEiwA2Ji8essHC7NXy4TsY4ngKXhFZDDQVmWq_5gunSg6f14hjCCpNyloivzTGRoC4gEQAvD_BwE" TargetMode="External"/><Relationship Id="rId79" Type="http://schemas.openxmlformats.org/officeDocument/2006/relationships/hyperlink" Target="https://www.lojadomecanico.com.br/produto/19574/2/121/jogo-chave-de-fenda-phillips-com-5-pecas-tramontinapro-44130505/153/?utm_source=google&amp;utm_medium=cpc&amp;utm_campaign=MONKS_GG_F_SHOPPING_CURVA_A&amp;utm_content=Cluster_Maior_1_Menor_3&amp;gad_source=4&amp;gad_campa" TargetMode="External"/><Relationship Id="rId102" Type="http://schemas.openxmlformats.org/officeDocument/2006/relationships/hyperlink" Target="https://www.plenobras.com.br/646a59ccd496504d21de3559/lubrificante-liquido-para-puxar-cabos-500ml?gad_source=4&amp;gad_campaignid=20992319193&amp;gclid=CjwKCAjwuuPRBhAnEiwA2Ji8elVjfgDPQqF4KUs5zoAjqrw5jFEVTLQ_b3_9uhVqUeSd4uIsdS_4DhoC1Z4QAvD_BwE" TargetMode="External"/><Relationship Id="rId123" Type="http://schemas.openxmlformats.org/officeDocument/2006/relationships/hyperlink" Target="https://www.lojadomecanico.com.br/produto/101486/2/206/jogo-de-chaves-combinada-6---19-mm-com-8-pecas-mtx-154089/153/?srsltid=AfmBOooRkzBqkGDN1UFz799RNt9SWgNaLpXS1U9K-3J4btOaLEiQ1rDZR28" TargetMode="External"/><Relationship Id="rId144" Type="http://schemas.openxmlformats.org/officeDocument/2006/relationships/hyperlink" Target="https://www.frigelar.com.br/kit-flangeador-eos-316-a-58/p/kit1505?srsltid=AfmBOoqM8oF2fzVWPNWVwaF-ue4U23r2u_8y5r9cfjxe9ZOAMqHWVYV2zvQ" TargetMode="External"/><Relationship Id="rId90" Type="http://schemas.openxmlformats.org/officeDocument/2006/relationships/hyperlink" Target="https://www.amazon.com.br/Chave-Ajust%C3%A1vel-8-Vonder-VDO172/dp/B0779JWMCP/ref=asc_df_B0779JWMCP?mcid=eeaa43a3ca9c3d6f9e2a91a027583b32&amp;tag=googleshopp00-20&amp;linkCode=df0&amp;hvadid=709857067836&amp;hvpos=&amp;hvnetw=g&amp;hvrand=755462219004489932&amp;hvpone=&amp;hvptwo=&amp;hvqmt=" TargetMode="External"/><Relationship Id="rId165" Type="http://schemas.openxmlformats.org/officeDocument/2006/relationships/hyperlink" Target="https://www.leroymerlin.com.br/termometro-hikari-infravermelho-ht-550_92010765?store_code=63" TargetMode="External"/><Relationship Id="rId186" Type="http://schemas.openxmlformats.org/officeDocument/2006/relationships/hyperlink" Target="https://www.fg.com.br/esquadro-metalico-24----vonder/p?idsku=1087973&amp;srsltid=AfmBOopGNXecgpPMOJQS5qifauBazzg0bNO6VYq7pnxBAWhGwdghhM_5UTI" TargetMode="External"/><Relationship Id="rId211" Type="http://schemas.openxmlformats.org/officeDocument/2006/relationships/hyperlink" Target="https://www.leroymerlin.com.br/marreta-oitavada-1500g-tramontina_89053363?region=outros&amp;region_id=52000" TargetMode="External"/><Relationship Id="rId232" Type="http://schemas.openxmlformats.org/officeDocument/2006/relationships/hyperlink" Target="https://www.tumelero.com.br/vanga-quadrada-com-cabo-71cm-77400424-preto-tramontina-40883851-1/p?idsku=40883851&amp;gad_source=4&amp;gad_campaignid=23304852875&amp;gclid=CjwKCAjw3ejRBhAdEiwADkqPnx2JoL8hI72fk7Ni3Viw8kKhOXXtfDdhezq-SorLIIv6OOB5cucIhhoC414QAvD_BwE" TargetMode="External"/><Relationship Id="rId253" Type="http://schemas.openxmlformats.org/officeDocument/2006/relationships/hyperlink" Target="https://www.anhangueraferramentas.com.br/produto/pe-de-cabra-simples-500mm-42600050-tramontina-master-138215?srsltid=AfmBOooNxh13_xqG-Kwv7KiDA0OoAdBztNJIa2xbgbJ9ckcM30STT_9QLUg" TargetMode="External"/><Relationship Id="rId274" Type="http://schemas.openxmlformats.org/officeDocument/2006/relationships/hyperlink" Target="https://www.lfmaquinaseferramentas.com.br/alicate-de-pressao-para-solda-tipo-c-11-pol-vise-grip-11r-19/p" TargetMode="External"/><Relationship Id="rId295" Type="http://schemas.openxmlformats.org/officeDocument/2006/relationships/hyperlink" Target="https://www.leroymerlin.com.br/vassoura-metalica-22-dentes-tramontina_87816834?region=outros&amp;region_id=52000" TargetMode="External"/><Relationship Id="rId309" Type="http://schemas.openxmlformats.org/officeDocument/2006/relationships/printerSettings" Target="../printerSettings/printerSettings3.bin"/><Relationship Id="rId27" Type="http://schemas.openxmlformats.org/officeDocument/2006/relationships/hyperlink" Target="https://www.ubertintas.com.br/bandeja-plastica-preta-para-pintura-3-6-litros-atlas?srsltid=AfmBOorcvsyJQcDTueQSI6fBcTOOYQN0-2WJUV6mMOmrQyO4ns_ybkOE" TargetMode="External"/><Relationship Id="rId48" Type="http://schemas.openxmlformats.org/officeDocument/2006/relationships/hyperlink" Target="https://www.anhangueraferramentas.com.br/produto/trena-em-aco-curta-10metrosx25mm-plus-3868100100-vonder-121372?srsltid=AfmBOooV0Wb-0f-P1pMT04rCnSeWZh1-w05f7f0AvO10ZpiW75qetAa45ps" TargetMode="External"/><Relationship Id="rId69" Type="http://schemas.openxmlformats.org/officeDocument/2006/relationships/hyperlink" Target="https://www.lojadomecanico.com.br/produto/126724/2/468/alicate-bomba-d-agua-12-polegadas-vonder-3662000300/153/?utm_source=google&amp;utm_medium=cpc&amp;utm_campaign=MONKS_GG_F_SHOPPING_FM_FG&amp;utm_content=&amp;gad_source=4&amp;gad_campaignid=23667223569&amp;gclid=CjwKCAjwuuPR" TargetMode="External"/><Relationship Id="rId113" Type="http://schemas.openxmlformats.org/officeDocument/2006/relationships/hyperlink" Target="https://www.lojadomecanico.com.br/produto/152168/19/189/detector-de-tensao-30-a-1000v-hk-volt-ii-hikari-21n262/153/?srsltid=AfmBOoofoZ3wwqyEHizD5xi0WWaNGlZ_FazNW_LXlljJPOIAjItR-slNTDM" TargetMode="External"/><Relationship Id="rId134" Type="http://schemas.openxmlformats.org/officeDocument/2006/relationships/hyperlink" Target="https://www.cofermeta.com.br/ferramentas-manuais/alicates/prensa-terminais/alicate-prensa-tubo-pex-manual-de-16-a-32-mm-acv1632-vonder?parceiro=9290&amp;srsltid=AfmBOor6dUD2zUOpRn96KbNgF2n8r5Wpat0VVXGRslUnEMiy81REjuCzvMM" TargetMode="External"/><Relationship Id="rId80" Type="http://schemas.openxmlformats.org/officeDocument/2006/relationships/hyperlink" Target="https://www.amazon.com.br/Jogo-chaves-fenda-5-pe%C3%A7as/dp/B076M911R3/ref=asc_df_B076M911R3?mcid=73c6b76fd91334d1b069738c5b5e9cb5&amp;tag=googleshopp00-20&amp;linkCode=df0&amp;hvadid=709857067875&amp;hvpos=&amp;hvnetw=g&amp;hvrand=8054611658254545299&amp;hvpone=&amp;hvptwo=&amp;hvqmt=&amp;hvde" TargetMode="External"/><Relationship Id="rId155" Type="http://schemas.openxmlformats.org/officeDocument/2006/relationships/hyperlink" Target="https://www.anhangueraferramentas.com.br/produto/cortador-de-tubos-de-cobre-1-8-a-1-1-4-3559180114-vonder-111071?srsltid=AfmBOopkR6fDcZxMUzLBAg9wGhXliRmTZP-9jDPEpzJOspnQo8fjBePsn9Q" TargetMode="External"/><Relationship Id="rId176" Type="http://schemas.openxmlformats.org/officeDocument/2006/relationships/hyperlink" Target="https://www.lojadomecanico.com.br/produto/152331/24/557/ventosa-simples-ate-45kg-lith-lt2037" TargetMode="External"/><Relationship Id="rId197" Type="http://schemas.openxmlformats.org/officeDocument/2006/relationships/hyperlink" Target="https://www.fermaquinas.com.br/colher-para-pedreiro-reto-numero-10-1583-thompson/p?idsku=20018&amp;srsltid=AfmBOoo9KV4frLN2WWwp-vYWzVlFjQBb7IRxgwCPYuOB2iBMWeT8MtaPU7A" TargetMode="External"/><Relationship Id="rId201" Type="http://schemas.openxmlformats.org/officeDocument/2006/relationships/hyperlink" Target="https://www.leroymerlin.com.br/perfil-tubo-retangular-aluminio-1m-x-23mm-natural-decal_91775544?store_code=63" TargetMode="External"/><Relationship Id="rId222" Type="http://schemas.openxmlformats.org/officeDocument/2006/relationships/hyperlink" Target="https://www.lojadomecanico.com.br/produto/119700/31/327/enxada-larga-15-com-cabo-de-madeira-130-cm-tramontina-77214654/153/?srsltid=AfmBOooRsi59eDik-kvkocZGgBKIzHOhLQi9c6HKE4hTm4TRPTciF1Da7Qk" TargetMode="External"/><Relationship Id="rId243" Type="http://schemas.openxmlformats.org/officeDocument/2006/relationships/hyperlink" Target="https://www.lojadomecanico.com.br/produto/125878/2/324/grampo-sargento-de-aperto-rapido-6-pol-mtx-205619/153/?srsltid=AfmBOop5wjpcxZsjW4vsqfuCxyb7SJTPHijldIiL9Iyw-MpL-ff0lwpMxMw" TargetMode="External"/><Relationship Id="rId264" Type="http://schemas.openxmlformats.org/officeDocument/2006/relationships/hyperlink" Target="https://www.lojadomecanico.com.br/produto/154661/37/430/jogo-de-serra-copo-para-madeira-com-11-pecas-mtx-704739/153/?srsltid=AfmBOooaiY4u6FhJXbocyDA5CvXExBtxkkiYzvpzJ9Zzs5PiR-_l0Tw75FY" TargetMode="External"/><Relationship Id="rId285" Type="http://schemas.openxmlformats.org/officeDocument/2006/relationships/hyperlink" Target="https://www.lojadomecanico.com.br/produto/135202/2/253/martelo-bola-400-g-com-cabo-de-fibra-vonder-3589400002/153/?srsltid=AfmBOooF2kzwnlgL04lyYRRwfuLlHdiWtHKwjZHk1y9vXtHj9gxDc73nHL8" TargetMode="External"/><Relationship Id="rId17" Type="http://schemas.openxmlformats.org/officeDocument/2006/relationships/hyperlink" Target="https://www.ultramaquinas.com.br/produto/rolo-de-la-com-cabo-15cm-tigre-61366015-73229?gad_source=1&amp;gad_campaignid=22180159832&amp;gclid=CjwKCAjwuuPRBhAnEiwA2Ji8eiVrtTZ5RxFR0zwHFZQ_BrDHFiJFDf19TK4p1w9wXgVHIv-xOXnkyxoCPnYQAvD_BwE" TargetMode="External"/><Relationship Id="rId38" Type="http://schemas.openxmlformats.org/officeDocument/2006/relationships/hyperlink" Target="https://palaciodasferramentas.com.br/escova-de-aco-manual-3-fileira-com-cabo-de-madeira-starfer?srsltid=AfmBOooTp7D-mHNZZ-SSRhMmHyMMf5w8ApM_m1OM-wuaOdT0g3UKFRG1iKw" TargetMode="External"/><Relationship Id="rId59" Type="http://schemas.openxmlformats.org/officeDocument/2006/relationships/hyperlink" Target="https://www.tramontina.com.br/alicate-corte-diagonal-6%22-tramontina-master/41006106.html?srsltid=AfmBOoqXGKfaygPujaAgCJxej7S_HBhUl5s511LFCY0Vlja2qgBmhsFD" TargetMode="External"/><Relationship Id="rId103" Type="http://schemas.openxmlformats.org/officeDocument/2006/relationships/hyperlink" Target="https://www.magazineluiza.com.br/lubrificante-puxa-cabo-500ml-3m/p/jbje7cdfd5/es/olbc/?&amp;seller_id=jaraguaeletrica&amp;utm_source=google&amp;utm_medium=cpc&amp;utm_term=84412&amp;utm_campaign=google_eco_per_ven_pla_es_sor_3p_bkf-es-rpf-su-b-0326&amp;utm_content=&amp;partner_id=84" TargetMode="External"/><Relationship Id="rId124" Type="http://schemas.openxmlformats.org/officeDocument/2006/relationships/hyperlink" Target="https://www.anhangueraferramentas.com.br/produto/jogo-de-chaves-combinadas-de-6-a-19mm-com-8-pecas-154089-mtx-130239?srsltid=AfmBOor-6iBSdBjfgfsLOindGjoZ8k1I0nJymHvguzWyIyWVqHAjKtXP31k" TargetMode="External"/><Relationship Id="rId310" Type="http://schemas.openxmlformats.org/officeDocument/2006/relationships/drawing" Target="../drawings/drawing3.xml"/><Relationship Id="rId70" Type="http://schemas.openxmlformats.org/officeDocument/2006/relationships/hyperlink" Target="https://www.plenobras.com.br/689ad9c8a7dd5d683e322801/alicate-bomba-d'agua-aco-vanadium-12%22?gad_source=4&amp;gad_campaignid=20992319193&amp;gclid=CjwKCAjwuuPRBhAnEiwA2Ji8ei3ih0r-T1yQtWtdoiQ-sKOS3HP0vkLxCHwiTebD_ZOVmvwP3LAXuxoC9NIQAvD_BwE" TargetMode="External"/><Relationship Id="rId91" Type="http://schemas.openxmlformats.org/officeDocument/2006/relationships/hyperlink" Target="https://www.leroymerlin.com.br/chave-inglesa-ajustavel-8-aco-carbono-fosfatizada-vonder_1572402928?region=outros&amp;gad_source=4&amp;gad_campaignid=23686328093&amp;gclid=CjwKCAjwuuPRBhAnEiwA2Ji8ep1BwrVeQ9yLhfso4JcnqEXVTXoqYA41GeSOVJtFYWMb_4czxYIZeRoC0XoQAvD_BwE" TargetMode="External"/><Relationship Id="rId145" Type="http://schemas.openxmlformats.org/officeDocument/2006/relationships/hyperlink" Target="https://www.casadomecanico.com.br/flangeador-p-tubos-cobre-3-16-a-5-8-12054-p25772?utm_source=google&amp;utm_medium=cpc&amp;utm_campaign=lojavirtual&amp;srsltid=AfmBOopT_0v6lWF6reCKk_i4bZeTEqhdenAkOAjHUgGOktzOUOcXw0SmAvc" TargetMode="External"/><Relationship Id="rId166" Type="http://schemas.openxmlformats.org/officeDocument/2006/relationships/hyperlink" Target="https://www.lojadomecanico.com.br/produto/164712/3/283/termometro-infravermelho-digital-ht-550-hikari-21n255/153/?srsltid=AfmBOooAA4LNGQ88gCSyyl4SWS7ucgIh39rk0Triwc-rVrVAS6ARVWneh0o" TargetMode="External"/><Relationship Id="rId187" Type="http://schemas.openxmlformats.org/officeDocument/2006/relationships/hyperlink" Target="https://www.elastobor.com.br/esquadro-de-aco-inox-vonder--24-x-16/p?idsku=71289001&amp;srsltid=AfmBOorj7c_U-Agjk1_aKGbLIVLY6jHZ2pZCBMmAUMHu8vXazMdHseXKU7c" TargetMode="External"/><Relationship Id="rId1" Type="http://schemas.openxmlformats.org/officeDocument/2006/relationships/hyperlink" Target="https://www.lojadoepi.com.br/capacete-de-seguranca-aba-frontal-classe-b-com-carneira-e-jugular-ca-34414-camper-37-p2077?utm_source=google&amp;utm_medium=cpc&amp;utm_campaign=lojavirtual&amp;srsltid=AfmBOopdbFWd7zOsss6lxyz8aB7wWPmkA7ywzN52jw63GCI2h8lgx9_dvgI" TargetMode="External"/><Relationship Id="rId212" Type="http://schemas.openxmlformats.org/officeDocument/2006/relationships/hyperlink" Target="https://www.tramontina.com.br/marreta-oitavada-1000-g-tramontina-master-basic-com-cabo-de-madeira/40508002.html?srsltid=AfmBOopdS3FddTzGKWq9P3z49UJ5OEnkd_wwIFVQ9p1LdL-n5dlg3y24Hk4" TargetMode="External"/><Relationship Id="rId233" Type="http://schemas.openxmlformats.org/officeDocument/2006/relationships/hyperlink" Target="https://www.mercadolivre.com.br/pa-reta-tramontina-77424404-cabo-de-madeira-de-71-cm/p/MLB28466252?pdp_filters=item_id%3AMLB4639439151&amp;from=gshop&amp;matt_tool=78080246&amp;matt_word=&amp;matt_source=google&amp;matt_campaign_id=23351282087&amp;matt_ad_group_id=193044725754&amp;m" TargetMode="External"/><Relationship Id="rId254" Type="http://schemas.openxmlformats.org/officeDocument/2006/relationships/hyperlink" Target="https://www.fg.com.br/pe-de-cabra-500mm-42600-050---tramontina/p?idsku=1065706&amp;srsltid=AfmBOornoftMdiOvmu3BST7fu3OFp8WH6owk_NZ2YAuSuPfOeUHX3Wr7gos" TargetMode="External"/><Relationship Id="rId28" Type="http://schemas.openxmlformats.org/officeDocument/2006/relationships/hyperlink" Target="https://www.lojadomecanico.com.br/produto/105157/31/276/espatula-de-aco-inoxidavel-lisa-100mm-mtx-855109/153/?utm_source=google&amp;utm_medium=cpc&amp;utm_campaign=MONKS_GG_F_SHOPPING_CC_FA&amp;utm_content=&amp;gad_source=1&amp;gad_campaignid=23683624310&amp;gclid=CjwKCAjwuuPRBh" TargetMode="External"/><Relationship Id="rId49" Type="http://schemas.openxmlformats.org/officeDocument/2006/relationships/hyperlink" Target="https://www.universodolar.com.br/trena-curta-de-aco-10-m-x-25-mm-vonder-plus-3868100100?utm_source=google&amp;utm_medium=Shopping&amp;utm_campaign=trena-curta-de-aco-10-m-x-25-mm-vonder-plus-3868100100&amp;inStock=&amp;srsltid=AfmBOorRflxB9bzk7aoknwto7N7u_YaZP1PKGUm1isQG" TargetMode="External"/><Relationship Id="rId114" Type="http://schemas.openxmlformats.org/officeDocument/2006/relationships/hyperlink" Target="https://www.plenobras.com.br/660b6e7d15bb53a13fc4cfc0/identificador-de-cabos-mtc-183-com-led-8vcc-com-conector-rj11-14-khz?srsltid=AfmBOopbItkJo8IzdJ0gJUJjtNQM614zXQITddioeMrFVwudKmrN55b4v-w" TargetMode="External"/><Relationship Id="rId275" Type="http://schemas.openxmlformats.org/officeDocument/2006/relationships/hyperlink" Target="https://www.ultramaquinas.com.br/produto/alicate-de-pressao-para-solda-11-tipo-c-11r-19-irwin-75914?srsltid=AfmBOoo08y7vXsrnqtOecO_neFCWJQ8cnxpXJ3gQOWoKs1I1IBjAxRB-kBs" TargetMode="External"/><Relationship Id="rId296" Type="http://schemas.openxmlformats.org/officeDocument/2006/relationships/hyperlink" Target="https://www.telhanorte.com.br/vassoura-metalica-regulavel-para-jardim-cabo-com-1-20-mts-tramontina-1338161/p?idsku=1338161&amp;srsltid=AfmBOoo2tmEZm66dOzEm3zI6lvxHY2-pOe4LZtOtNWbWF8810WlATYgZ7wg" TargetMode="External"/><Relationship Id="rId300" Type="http://schemas.openxmlformats.org/officeDocument/2006/relationships/hyperlink" Target="https://www.tramontina.com.br/tesoura-para-cerca-viva%2Fgrama-tramontina-com-lamina-metalica-e-cabo-de-madeira/78330125.html?srsltid=AfmBOorCfNvmka77IeK0u8ay04mGf0YfCmUuKNMF7Mb49vbsEg8IEU6zmrU" TargetMode="External"/><Relationship Id="rId60" Type="http://schemas.openxmlformats.org/officeDocument/2006/relationships/hyperlink" Target="https://www.lojadomecanico.com.br/produto/20518/2/468/alicate-6-pol-de-bico-meia-cana-tramontina-41008106/153/?utm_source=google&amp;utm_medium=cpc&amp;utm_campaign=MONKS_GG_F_SHOPPING_FM_FG&amp;utm_content=&amp;gad_source=1&amp;gad_campaignid=23667223569&amp;gclid=CjwKCAjwuuPRB" TargetMode="External"/><Relationship Id="rId81" Type="http://schemas.openxmlformats.org/officeDocument/2006/relationships/hyperlink" Target="https://www.lojadomecanico.com.br/produto/105179/2/586/jogo-de-chaves-allen-de-15-a-10mm-9-pecas-mtx-11226/153/?srsltid=AfmBOor_i6e1OSDP6A24B6qhAC2j9lQNN_uchnDWJPeFuExJ1kojhQra49A" TargetMode="External"/><Relationship Id="rId135" Type="http://schemas.openxmlformats.org/officeDocument/2006/relationships/hyperlink" Target="https://www.eletrorastro.com.br/produto/cortador-de-tubo-de-pvc-vonder-89256?utm_source=google&amp;utm_medium=cpc&amp;srsltid=AfmBOop36jwMXg0UuOvSqgYcKFKDLPMbKhvXZgQWNdS4M3iuCepkZcaqHfA" TargetMode="External"/><Relationship Id="rId156" Type="http://schemas.openxmlformats.org/officeDocument/2006/relationships/hyperlink" Target="https://refrigeracao.suryha.com.br/produto/80150.208/manifold-digital-smart?srsltid=AfmBOoqz-m0I-OH3dZ3zWgasXJhGyLMIPa0m0ufhvoJOHI9fz0TEAiDG5ek" TargetMode="External"/><Relationship Id="rId177" Type="http://schemas.openxmlformats.org/officeDocument/2006/relationships/hyperlink" Target="https://www.leroymerlin.com.br/alicate-bico-de-pato-para-vidraceiros-destacar-vidro_1571449621?region=outros" TargetMode="External"/><Relationship Id="rId198" Type="http://schemas.openxmlformats.org/officeDocument/2006/relationships/hyperlink" Target="https://www.ultramaquinas.com.br/produto/prumo-de-pedreiro-metal-700gr-74529?srsltid=AfmBOoqsyLO5m5wQw8uKa8KCH_KGlKSCS2sjW_zJVxA425dPsY6C1GNv964" TargetMode="External"/><Relationship Id="rId202" Type="http://schemas.openxmlformats.org/officeDocument/2006/relationships/hyperlink" Target="https://www.obramax.com.br/regua-de-pedreiro-aluminio-simples-decal/p?idsku=22842&amp;srsltid=AfmBOoqv-wK7iQAkoezMMScoxA8STa1HTbLY8yG6ZSHuqBLyol0flDBb_pM" TargetMode="External"/><Relationship Id="rId223" Type="http://schemas.openxmlformats.org/officeDocument/2006/relationships/hyperlink" Target="https://www.tramontina.com.br/enxada-larga-1.5-tramontina-em-aco-com-cabo-de-madeira-130-cm/77214654.html?srsltid=AfmBOooU7WxXKxzo9H4LKeCXoFBm48VZixk5WoWKUJpDaKNphZLsHZYDqPw" TargetMode="External"/><Relationship Id="rId244" Type="http://schemas.openxmlformats.org/officeDocument/2006/relationships/hyperlink" Target="https://www.dutramaquinas.com.br/p/grampo-de-aperto-rapido-para-marceneiro-6-205619-205619?srsltid=AfmBOopQo1_2e__o2vdsKjhYbNIbVJzEnT9X0I4VsqPFdGmmsq1U5Jb4lW8" TargetMode="External"/><Relationship Id="rId18" Type="http://schemas.openxmlformats.org/officeDocument/2006/relationships/hyperlink" Target="https://www.ferramentaskennedy.com.br/rolo-antirespingo-pinceis-tigre-15cm-1377-econ/p?adset_id=&amp;device=c&amp;gad_campaignid=17498598395&amp;gad_source=1&amp;gclid=CjwKCAjwuuPRBhAnEiwA2Ji8evEbRiMT_Sb8tt0tG7WkngVGQyQtn3UkROdtMzMA0NKNx83fJ123jhoC2KsQAvD_BwE&amp;kwd=&amp;matcht" TargetMode="External"/><Relationship Id="rId39" Type="http://schemas.openxmlformats.org/officeDocument/2006/relationships/hyperlink" Target="https://www.casadomecanico.com.br/escova-aco-manual-c-cabo-madeira-3-fileiras-1156-p20747?utm_source=google&amp;utm_medium=cpc&amp;utm_campaign=lojavirtual&amp;srsltid=AfmBOopavinHW1-aw_Kkd0QF5JJKDjF99UqK5qV1l4D9idmaJV9t9uyBEfQ" TargetMode="External"/><Relationship Id="rId265" Type="http://schemas.openxmlformats.org/officeDocument/2006/relationships/hyperlink" Target="https://www.leroymerlin.com.br/jogo-de-serras-copo-multi-videa-19-a-64mm-11-pecas-704739-mtx_90058115?region=outros&amp;region_id=52000" TargetMode="External"/><Relationship Id="rId286" Type="http://schemas.openxmlformats.org/officeDocument/2006/relationships/hyperlink" Target="https://www.leroymerlin.com.br/martelo-bola-800-g-com-cabo-de-fibra-vonder_1566843352?region=outros" TargetMode="External"/><Relationship Id="rId50" Type="http://schemas.openxmlformats.org/officeDocument/2006/relationships/hyperlink" Target="https://www.cofermeta.com.br/medicao/trenas/trena-curta-de-aco-emborrachada-de-10-metros-x-25mm-vonder-plus?parceiro=9290&amp;srsltid=AfmBOorB3YDE-nIoOSLLeck0lWpKhNLFEhjUPxeczta0v5vab9vH4qL-tF0" TargetMode="External"/><Relationship Id="rId104" Type="http://schemas.openxmlformats.org/officeDocument/2006/relationships/hyperlink" Target="https://www.santil.com.br/lubrificante-puxa-fios-e-cabos-500ml-3m/p?gad_source=4&amp;gad_campaignid=23670563928&amp;gclid=CjwKCAjwuuPRBhAnEiwA2Ji8egmCd9_U0ahNhLeqZZifnhhZF6XHAqMrEXLE_6Z6db3-bD-EMIUalhoC4jYQAvD_BwE" TargetMode="External"/><Relationship Id="rId125" Type="http://schemas.openxmlformats.org/officeDocument/2006/relationships/hyperlink" Target="https://www.angatumaquinas.com.br/jogo-de-chaves-combinada-6-19-mm-com-8-pecas-mtx-154089?utm_camp=gshop&amp;idgrade=789&amp;srsltid=AfmBOorFxc_BJiaYSQ4dQMLTOco15JTcD5RTFAErDx074wkJofqXaw0mIOM" TargetMode="External"/><Relationship Id="rId146" Type="http://schemas.openxmlformats.org/officeDocument/2006/relationships/hyperlink" Target="https://www.mercadolivre.com.br/kit-flangeador-eos-316-a-58/p/MLB37394170?matt_tool=18956390&amp;utm_source=google_shopping&amp;utm_medium=organic&amp;pdp_filters=item_id%3AMLB4342968477&amp;from=gshop" TargetMode="External"/><Relationship Id="rId167" Type="http://schemas.openxmlformats.org/officeDocument/2006/relationships/hyperlink" Target="https://www.minasferramentas.com.br/25481/termometro-digital-laser-infravermelho-50a550-celsius-hikari-ht-550?srsltid=AfmBOor4vYRVm0huAQNyrkDHujKK_InM-mSFzYeDXi2cxWhKt1ITytkrYic" TargetMode="External"/><Relationship Id="rId188" Type="http://schemas.openxmlformats.org/officeDocument/2006/relationships/hyperlink" Target="https://www.anhangueraferramentas.com.br/produto/esquadro-metalico-24-3550024000-vonder-124594?srsltid=AfmBOornN45knumI6ja8B85f0M_PBXKZv2kHnUE3Vb-dpXqc9SvmuTYed9c" TargetMode="External"/><Relationship Id="rId311" Type="http://schemas.openxmlformats.org/officeDocument/2006/relationships/vmlDrawing" Target="../drawings/vmlDrawing1.vml"/><Relationship Id="rId71" Type="http://schemas.openxmlformats.org/officeDocument/2006/relationships/hyperlink" Target="https://www.queroquero.com.br/alicate-bomba-d-agua-12-cromo-vanadio-vonder-637634/p?idsku=674120&amp;utm_source=google&amp;utm_medium=x&amp;utm_campaign=%5bCV%5d_Performance_Max_Ferramentas_Google&amp;utm_content=Ferramentas&amp;utm_term=&amp;gad_source=4&amp;gad_campaignid=17970430" TargetMode="External"/><Relationship Id="rId92" Type="http://schemas.openxmlformats.org/officeDocument/2006/relationships/hyperlink" Target="https://palaciodasferramentas.com.br/chave-inglesa-8-polegadas-fosfatizada-vonder?gad_source=4&amp;gad_campaignid=22767722792&amp;gclid=CjwKCAjwuuPRBhAnEiwA2Ji8ejMwtmtRT3R0PrEZ_Mq627LwmveRCB4RMS5YCzwNmWVNdJTvXu5jRRoC9EYQAvD_BwE" TargetMode="External"/><Relationship Id="rId213" Type="http://schemas.openxmlformats.org/officeDocument/2006/relationships/hyperlink" Target="https://www.casadomecanico.com.br/talhadeira-sextavada-11mm-352-1282-p20845?utm_source=google&amp;utm_medium=cpc&amp;utm_campaign=lojavirtual&amp;srsltid=AfmBOop9kH0KcuruP2sAgZV9c1RsxKsGh_ttKRNLlVzzIF0UBDr2__1Ehf4" TargetMode="External"/><Relationship Id="rId234" Type="http://schemas.openxmlformats.org/officeDocument/2006/relationships/hyperlink" Target="https://www.leroymerlin.com.br/pa-bico-com-cabo-12,1x101,5cm-tramontina_91975282?store_code=63&amp;gad_source=4&amp;gad_campaignid=23609586859&amp;gclid=CjwKCAjw3ejRBhAdEiwADkqPn62l6HZdtUwlhuLhmNQeSIUNTunIfazUyiAsTcfjP7bEjU_tBC4FERoC2MoQAvD_BwE" TargetMode="External"/><Relationship Id="rId2" Type="http://schemas.openxmlformats.org/officeDocument/2006/relationships/hyperlink" Target="https://www.astrodistribuidora.com/capacete-classe-a-e-b-branco-delta-plus?srsltid=AfmBOoqE24r0QtbyDBIAoa2bmD4tQuiG0MC0769C_epmKOLcB0uinbtFXVs" TargetMode="External"/><Relationship Id="rId29" Type="http://schemas.openxmlformats.org/officeDocument/2006/relationships/hyperlink" Target="https://www.serralheria.com.br/produto/espatula-de-aco-inoxidavel-lisa-100mm-mtx-181083?srsltid=AfmBOoq3sPgbLlqycAmu5cfTH71MNa2V9Xl_Ynm_b0z9-iinBgehZkcJ" TargetMode="External"/><Relationship Id="rId255" Type="http://schemas.openxmlformats.org/officeDocument/2006/relationships/hyperlink" Target="https://www.lojadomecanico.com.br/produto/108363/31/272/torques-carpinteiro-6-pol-tramontina-41050106/153/?srsltid=AfmBOoqM4vyVAZetcjwdRcpPYSAzcdAMJGCyVQnaJ00HOvhyZnCc6GezPdM" TargetMode="External"/><Relationship Id="rId276" Type="http://schemas.openxmlformats.org/officeDocument/2006/relationships/hyperlink" Target="https://www.lojadomecanico.com.br/produto/4538/24/239/tesoura-de-chapa-tipo-aviacao-corte-reto-e-curvas-amplas-10-polegadas-irwin-014079/153/?srsltid=AfmBOoqmwsmJaCckF92DUYq6XsV_ugtUYUt8QQltRPfipjxKpYf0KE4qvhI" TargetMode="External"/><Relationship Id="rId297" Type="http://schemas.openxmlformats.org/officeDocument/2006/relationships/hyperlink" Target="https://www.tramontina.com.br/tesoura-de-poda-tramontina-com-lamina-metalica-e-cabo-plastico/78300001.html?srsltid=AfmBOoolYL6o40cDgaA_H7N2EAPQlP9s0T7yUOCSLBADBGGm3zjCAnxBco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topLeftCell="A1948" zoomScale="85" zoomScaleNormal="85" workbookViewId="0">
      <selection activeCell="H2029" sqref="H2029:J2029"/>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1" t="str">
        <f>CONCATENATE("PREFEITURA MUNICIPAL DE PORTO ALEGRE
",H5,"
MAPA DE PREÇOS - ", UPPER(TEXT(MAX('Tabela de Apoio'!A:A),"MMM/AA")))</f>
        <v>PREFEITURA MUNICIPAL DE PORTO ALEGRE
DEPARTAMENTO MUNICIPAL DE ÁGUA E ESGOTOS (DMAE)
MAPA DE PREÇOS - MAI/26</v>
      </c>
      <c r="F2" s="221"/>
      <c r="G2" s="221"/>
      <c r="H2" s="221"/>
      <c r="I2" s="221"/>
      <c r="J2" s="221"/>
      <c r="K2" s="221"/>
      <c r="L2" s="221"/>
      <c r="M2" s="221"/>
      <c r="N2" s="221"/>
      <c r="O2" s="221"/>
      <c r="P2" s="221"/>
      <c r="Q2" s="221"/>
      <c r="R2" s="221"/>
      <c r="S2" s="221"/>
      <c r="T2" s="221"/>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8" t="s">
        <v>326</v>
      </c>
      <c r="F4" s="219"/>
      <c r="G4" s="219"/>
      <c r="H4" s="219"/>
      <c r="I4" s="219"/>
      <c r="J4" s="220"/>
      <c r="K4" s="95"/>
      <c r="L4" s="219" t="s">
        <v>325</v>
      </c>
      <c r="M4" s="219"/>
      <c r="N4" s="219"/>
      <c r="O4" s="219"/>
      <c r="P4" s="220"/>
      <c r="Q4" s="98"/>
      <c r="R4" s="210" t="s">
        <v>14</v>
      </c>
      <c r="S4" s="210"/>
      <c r="T4" s="210"/>
      <c r="U4" s="210"/>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9" t="s">
        <v>327</v>
      </c>
      <c r="F5" s="209"/>
      <c r="G5" s="209"/>
      <c r="H5" s="222" t="s">
        <v>419</v>
      </c>
      <c r="I5" s="222"/>
      <c r="J5" s="222"/>
      <c r="K5" s="141"/>
      <c r="L5" s="208" t="s">
        <v>321</v>
      </c>
      <c r="M5" s="209"/>
      <c r="N5" s="209"/>
      <c r="O5" s="223" t="s">
        <v>433</v>
      </c>
      <c r="P5" s="224"/>
      <c r="Q5" s="98"/>
      <c r="R5" s="227" t="s">
        <v>383</v>
      </c>
      <c r="S5" s="227"/>
      <c r="T5" s="227"/>
      <c r="U5" s="227"/>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9" t="s">
        <v>320</v>
      </c>
      <c r="F6" s="209"/>
      <c r="G6" s="209"/>
      <c r="H6" s="226"/>
      <c r="I6" s="226"/>
      <c r="J6" s="226"/>
      <c r="K6" s="142"/>
      <c r="L6" s="208" t="s">
        <v>352</v>
      </c>
      <c r="M6" s="209"/>
      <c r="N6" s="209"/>
      <c r="O6" s="223" t="s">
        <v>434</v>
      </c>
      <c r="P6" s="224"/>
      <c r="Q6" s="98"/>
      <c r="R6" s="227"/>
      <c r="S6" s="227"/>
      <c r="T6" s="227"/>
      <c r="U6" s="227"/>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9" t="s">
        <v>322</v>
      </c>
      <c r="F7" s="209"/>
      <c r="G7" s="209"/>
      <c r="H7" s="222"/>
      <c r="I7" s="222"/>
      <c r="J7" s="222"/>
      <c r="K7" s="141"/>
      <c r="L7" s="208" t="s">
        <v>351</v>
      </c>
      <c r="M7" s="209"/>
      <c r="N7" s="209"/>
      <c r="O7" s="223">
        <v>390899</v>
      </c>
      <c r="P7" s="224"/>
      <c r="Q7" s="98"/>
      <c r="R7" s="227"/>
      <c r="S7" s="227"/>
      <c r="T7" s="227"/>
      <c r="U7" s="227"/>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9" t="s">
        <v>33</v>
      </c>
      <c r="F8" s="209"/>
      <c r="G8" s="209"/>
      <c r="H8" s="212">
        <v>110</v>
      </c>
      <c r="I8" s="213"/>
      <c r="J8" s="214"/>
      <c r="K8" s="141"/>
      <c r="L8" s="215" t="s">
        <v>301</v>
      </c>
      <c r="M8" s="216"/>
      <c r="N8" s="217"/>
      <c r="O8" s="229">
        <v>46195</v>
      </c>
      <c r="P8" s="230"/>
      <c r="Q8" s="97"/>
      <c r="R8" s="228" t="s">
        <v>379</v>
      </c>
      <c r="S8" s="228"/>
      <c r="T8" s="228"/>
      <c r="U8" s="228"/>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9" t="s">
        <v>350</v>
      </c>
      <c r="F9" s="209"/>
      <c r="G9" s="209"/>
      <c r="H9" s="211">
        <f>SUMIF(L:L,"TOTAL ITEM",M:M)</f>
        <v>35573.669999999984</v>
      </c>
      <c r="I9" s="211"/>
      <c r="J9" s="211"/>
      <c r="K9" s="141"/>
      <c r="L9" s="218"/>
      <c r="M9" s="219"/>
      <c r="N9" s="220"/>
      <c r="O9" s="231"/>
      <c r="P9" s="232"/>
      <c r="Q9" s="97"/>
      <c r="R9" s="228"/>
      <c r="S9" s="228"/>
      <c r="T9" s="228"/>
      <c r="U9" s="228"/>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0" t="s">
        <v>314</v>
      </c>
      <c r="F11" s="65"/>
      <c r="G11" s="210" t="s">
        <v>324</v>
      </c>
      <c r="H11" s="210"/>
      <c r="I11" s="210"/>
      <c r="J11" s="210"/>
      <c r="K11" s="65"/>
      <c r="L11" s="210" t="s">
        <v>10</v>
      </c>
      <c r="M11" s="210"/>
      <c r="N11" s="68"/>
      <c r="O11" s="225"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0"/>
      <c r="F12" s="65"/>
      <c r="G12" s="210"/>
      <c r="H12" s="210"/>
      <c r="I12" s="210"/>
      <c r="J12" s="210"/>
      <c r="K12" s="65"/>
      <c r="L12" s="210"/>
      <c r="M12" s="210"/>
      <c r="N12" s="69"/>
      <c r="O12" s="225"/>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4" t="s">
        <v>10</v>
      </c>
      <c r="M15" s="186">
        <f>IF(OR(ISBLANK($O$8),ISBLANK($O$7),ISBLANK($H$8),ISBLANK($O$6),ISBLANK($O$5),ISBLANK($H$5)),"",IFERROR(IF(VLOOKUP(L15,L21:M30,2,FALSE)&lt;1,ROUND(VLOOKUP(L15,L21:M30,2,FALSE),4),ROUND(VLOOKUP(L15,L21:M30,2,FALSE),2)),""))</f>
        <v>16.36</v>
      </c>
      <c r="N15" s="69"/>
      <c r="O15" s="27" t="s">
        <v>17</v>
      </c>
      <c r="P15" s="113">
        <v>17.95</v>
      </c>
      <c r="Q15" s="113">
        <v>17.29</v>
      </c>
      <c r="R15" s="113">
        <v>13.85</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8">
        <f>D15</f>
        <v>1</v>
      </c>
      <c r="F16" s="92"/>
      <c r="G16" s="190" t="s">
        <v>1</v>
      </c>
      <c r="H16" s="193" t="s">
        <v>435</v>
      </c>
      <c r="I16" s="194"/>
      <c r="J16" s="195"/>
      <c r="K16" s="66"/>
      <c r="L16" s="185"/>
      <c r="M16" s="187"/>
      <c r="N16" s="70"/>
      <c r="O16" s="27" t="s">
        <v>13</v>
      </c>
      <c r="P16" s="122">
        <v>46195</v>
      </c>
      <c r="Q16" s="122">
        <v>46195</v>
      </c>
      <c r="R16" s="122">
        <v>46195</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9"/>
      <c r="F17" s="93"/>
      <c r="G17" s="191"/>
      <c r="H17" s="196"/>
      <c r="I17" s="196"/>
      <c r="J17" s="197"/>
      <c r="K17" s="64"/>
      <c r="L17" s="130" t="s">
        <v>44</v>
      </c>
      <c r="M17" s="131">
        <v>46</v>
      </c>
      <c r="N17" s="71"/>
      <c r="O17" s="27" t="s">
        <v>380</v>
      </c>
      <c r="P17" s="114" t="s">
        <v>302</v>
      </c>
      <c r="Q17" s="114" t="s">
        <v>302</v>
      </c>
      <c r="R17" s="114" t="s">
        <v>302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2"/>
      <c r="H18" s="198"/>
      <c r="I18" s="198"/>
      <c r="J18" s="199"/>
      <c r="K18" s="64"/>
      <c r="L18" s="1" t="s">
        <v>2</v>
      </c>
      <c r="M18" s="6" t="s">
        <v>288</v>
      </c>
      <c r="N18" s="71"/>
      <c r="O18" s="27" t="s">
        <v>381</v>
      </c>
      <c r="P18" s="182" t="s">
        <v>436</v>
      </c>
      <c r="Q18" s="182" t="s">
        <v>437</v>
      </c>
      <c r="R18" s="182" t="s">
        <v>438</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200">
        <f>C15</f>
        <v>1</v>
      </c>
      <c r="F19" s="93"/>
      <c r="G19" s="202" t="s">
        <v>304</v>
      </c>
      <c r="H19" s="204"/>
      <c r="I19" s="205"/>
      <c r="J19" s="205"/>
      <c r="K19" s="67"/>
      <c r="L19" s="28" t="s">
        <v>303</v>
      </c>
      <c r="M19" s="133">
        <f>IFERROR(INDEX(I21:I33,MATCH(MAX(J21:J33),J21:J33,0)),"")</f>
        <v>0.10984952798290495</v>
      </c>
      <c r="N19" s="71"/>
      <c r="O19" s="27" t="s">
        <v>18</v>
      </c>
      <c r="P19" s="106">
        <f>IF(P15="","",
IF(OR(P17="Orçamento",P16="",MAX('Tabela de Apoio'!$A:$A)&lt;=P16),
P15,
(INDEX('Tabela de Apoio'!$B:$B,MATCH('MAPA DE PREÇOS'!$O$8,'Tabela de Apoio'!$A:$A,1))/INDEX('Tabela de Apoio'!$B:$B,MATCH('MAPA DE PREÇOS'!P16,'Tabela de Apoio'!$A:$A,1)-1))*P15))</f>
        <v>17.95</v>
      </c>
      <c r="Q19" s="106">
        <f>IF(Q15="","",
IF(OR(Q17="Orçamento",Q16="",MAX('Tabela de Apoio'!$A:$A)&lt;=Q16),
Q15,
(INDEX('Tabela de Apoio'!$B:$B,MATCH('MAPA DE PREÇOS'!$O$8,'Tabela de Apoio'!$A:$A,1))/INDEX('Tabela de Apoio'!$B:$B,MATCH('MAPA DE PREÇOS'!Q16,'Tabela de Apoio'!$A:$A,1)-1))*Q15))</f>
        <v>17.29</v>
      </c>
      <c r="R19" s="106">
        <f>IF(R15="","",
IF(OR(R17="Orçamento",R16="",MAX('Tabela de Apoio'!$A:$A)&lt;=R16),
R15,
(INDEX('Tabela de Apoio'!$B:$B,MATCH('MAPA DE PREÇOS'!$O$8,'Tabela de Apoio'!$A:$A,1))/INDEX('Tabela de Apoio'!$B:$B,MATCH('MAPA DE PREÇOS'!R16,'Tabela de Apoio'!$A:$A,1)-1))*R15))</f>
        <v>13.85</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1"/>
      <c r="F20" s="93"/>
      <c r="G20" s="203"/>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201"/>
      <c r="F21" s="93"/>
      <c r="G21" s="203"/>
      <c r="H21" s="134">
        <f>COUNT($P21:$XX21)</f>
        <v>3</v>
      </c>
      <c r="I21" s="132">
        <f>_xlfn.STDEV.P($P20:$XX21)/AVERAGE($P20:$XX21)</f>
        <v>0.10984952798290495</v>
      </c>
      <c r="J21" s="7">
        <f>ROW()</f>
        <v>21</v>
      </c>
      <c r="K21" s="67"/>
      <c r="L21" s="29" t="s">
        <v>10</v>
      </c>
      <c r="M21" s="30">
        <f>IFERROR(
IF(COUNTA(P15:AI15)=COUNTIF(P17:XX17,"Orçamento"),MIN(M26,M23),
IF(M24&lt;&gt;"",M24,
IF(M25&lt;&gt;"",M25,
M23
))),"")</f>
        <v>16.363333333333333</v>
      </c>
      <c r="N21" s="71"/>
      <c r="O21" s="27" t="s">
        <v>376</v>
      </c>
      <c r="P21" s="106">
        <f>IFERROR(IF(P19="",
            "",
            IF(COUNT($P19:$XX19)&lt;=4,
               P19,
               IF(OR(P19&gt;(QUARTILE($P19:$XX19,3)+(QUARTILE($P19:$XX19,3)-QUARTILE($P19:$XX19,1))),
                     P19&lt;(QUARTILE($P19:$XX19,1)-(QUARTILE($P19:$XX19,3)-QUARTILE($P19:$XX19,1)))
                  ),
               "DESCARTADO",P19)
             )
  ),P19)</f>
        <v>17.95</v>
      </c>
      <c r="Q21" s="106">
        <f t="shared" ref="Q21:AI21" si="3">IFERROR(IF(Q19="",
            "",
            IF(COUNT($P19:$XX19)&lt;=4,
               Q19,
               IF(OR(Q19&gt;(QUARTILE($P19:$XX19,3)+(QUARTILE($P19:$XX19,3)-QUARTILE($P19:$XX19,1))),
                     Q19&lt;(QUARTILE($P19:$XX19,1)-(QUARTILE($P19:$XX19,3)-QUARTILE($P19:$XX19,1)))
                  ),
               "DESCARTADO",Q19)
             )
  ),Q19)</f>
        <v>17.29</v>
      </c>
      <c r="R21" s="106">
        <f t="shared" si="3"/>
        <v>13.85</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201"/>
      <c r="F22" s="93"/>
      <c r="G22" s="203"/>
      <c r="H22"/>
      <c r="I22"/>
      <c r="J22"/>
      <c r="K22" s="66"/>
      <c r="L22" s="29" t="s">
        <v>360</v>
      </c>
      <c r="M22" s="30">
        <f>AVERAGE($P21:$XX21)</f>
        <v>16.363333333333333</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201"/>
      <c r="F23" s="93"/>
      <c r="G23" s="203"/>
      <c r="H23" s="134">
        <f>COUNT($P23:$XX23)</f>
        <v>3</v>
      </c>
      <c r="I23" s="132">
        <f>_xlfn.STDEV.P($P22:$XX23)/AVERAGE($P22:$XX23)</f>
        <v>0.10984952798290495</v>
      </c>
      <c r="J23" s="7">
        <f>IF(AND(H23&gt;2,
OR(L15="MÉDIA SANEADA",L15="MEDIANA SANEADA",
AND(L15="PREÇO ESTIMADO",NOT(AND(P17="Orçamento",COUNTA(P15:XX15)=COUNTIF(P17:XX17,"Orçamento")))))),
ROW(),0)</f>
        <v>23</v>
      </c>
      <c r="K23" s="66"/>
      <c r="L23" s="29" t="s">
        <v>361</v>
      </c>
      <c r="M23" s="30">
        <f>MEDIAN($P21:$XX21)</f>
        <v>17.29</v>
      </c>
      <c r="N23" s="71"/>
      <c r="O23" s="27" t="str">
        <f>"1 RODADA"</f>
        <v>1 RODADA</v>
      </c>
      <c r="P23" s="107">
        <f>IF(P21="","",IF((_xlfn.STDEV.P($P20:$XX21)/AVERAGE($P20:$XX21))&lt;=25%,P21,IF(OR(P21&gt;(AVERAGE($P20:$XX21)+_xlfn.STDEV.P($P20:$XX21)),P21&lt;(AVERAGE($P20:$XX21)-_xlfn.STDEV.P($P20:$XX21))),"DESCARTADO",P21)))</f>
        <v>17.95</v>
      </c>
      <c r="Q23" s="107">
        <f t="shared" ref="Q23:AI23" si="6">IF(Q21="","",IF((_xlfn.STDEV.P($P20:$XX21)/AVERAGE($P20:$XX21))&lt;=25%,Q21,IF(OR(Q21&gt;(AVERAGE($P20:$XX21)+_xlfn.STDEV.P($P20:$XX21)),Q21&lt;(AVERAGE($P20:$XX21)-_xlfn.STDEV.P($P20:$XX21))),"DESCARTADO",Q21)))</f>
        <v>17.29</v>
      </c>
      <c r="R23" s="107">
        <f t="shared" si="6"/>
        <v>13.85</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201"/>
      <c r="F24" s="93"/>
      <c r="G24" s="203"/>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16.363333333333333</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201"/>
      <c r="F25" s="93"/>
      <c r="G25" s="203"/>
      <c r="H25" s="134">
        <f>COUNT($P25:$XX25)</f>
        <v>3</v>
      </c>
      <c r="I25" s="132">
        <f>_xlfn.STDEV.P($P24:$XX25)/AVERAGE($P24:$XX25)</f>
        <v>0.10984952798290495</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17.29</v>
      </c>
      <c r="N25" s="71"/>
      <c r="O25" s="27" t="str">
        <f>"2 RODADA"</f>
        <v>2 RODADA</v>
      </c>
      <c r="P25" s="107">
        <f>IF(P23="","",IF((_xlfn.STDEV.P($P22:$XX23)/AVERAGE($P22:$XX23))&lt;=25%,P23,IF(OR(P23&gt;(AVERAGE($P22:$XX23)+_xlfn.STDEV.P($P22:$XX23)),P23&lt;(AVERAGE($P22:$XX23)-_xlfn.STDEV.P($P22:$XX23))),"DESCARTADO",P23)))</f>
        <v>17.95</v>
      </c>
      <c r="Q25" s="107">
        <f t="shared" ref="Q25:AI25" si="7">IF(Q23="","",IF((_xlfn.STDEV.P($P22:$XX23)/AVERAGE($P22:$XX23))&lt;=25%,Q23,IF(OR(Q23&gt;(AVERAGE($P22:$XX23)+_xlfn.STDEV.P($P22:$XX23)),Q23&lt;(AVERAGE($P22:$XX23)-_xlfn.STDEV.P($P22:$XX23))),"DESCARTADO",Q23)))</f>
        <v>17.29</v>
      </c>
      <c r="R25" s="107">
        <f t="shared" si="7"/>
        <v>13.85</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201"/>
      <c r="F26" s="93"/>
      <c r="G26" s="203"/>
      <c r="H26"/>
      <c r="I26"/>
      <c r="J26"/>
      <c r="K26" s="66"/>
      <c r="L26" s="29" t="s">
        <v>359</v>
      </c>
      <c r="M26" s="30">
        <f>HARMEAN($P20:$XX21)</f>
        <v>16.150794810311993</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201"/>
      <c r="F27" s="93"/>
      <c r="G27" s="203"/>
      <c r="H27" s="134">
        <f>COUNT($P27:$XX27)</f>
        <v>3</v>
      </c>
      <c r="I27" s="132">
        <f>_xlfn.STDEV.P($P26:$XX27)/AVERAGE($P26:$XX27)</f>
        <v>0.10984952798290495</v>
      </c>
      <c r="J27" s="7">
        <f>IF(AND(H27&gt;2,
OR(L15="MÉDIA SANEADA",L15="MEDIANA SANEADA",
AND(L15="PREÇO ESTIMADO",NOT(AND(P17="Orçamento",COUNTA(P15:XX15)=COUNTIF(P17:XX17,"Orçamento")))))),
ROW(),0)</f>
        <v>27</v>
      </c>
      <c r="K27" s="66"/>
      <c r="L27" s="29" t="s">
        <v>41</v>
      </c>
      <c r="M27" s="30">
        <f>IFERROR(_xlfn.QUARTILE.EXC($P21:$XX21,1),"")</f>
        <v>13.85</v>
      </c>
      <c r="N27" s="71"/>
      <c r="O27" s="27" t="str">
        <f>"3 RODADA"</f>
        <v>3 RODADA</v>
      </c>
      <c r="P27" s="107">
        <f>IF(P25="","",IF((_xlfn.STDEV.P($P24:$XX25)/AVERAGE($P24:$XX25))&lt;=25%,P25,IF(OR(P25&gt;(AVERAGE($P24:$XX25)+_xlfn.STDEV.P($P24:$XX25)),P25&lt;(AVERAGE($P24:$XX25)-_xlfn.STDEV.P($P24:$XX25))),"DESCARTADO",P25)))</f>
        <v>17.95</v>
      </c>
      <c r="Q27" s="107">
        <f t="shared" ref="Q27:AI27" si="8">IF(Q25="","",IF((_xlfn.STDEV.P($P24:$XX25)/AVERAGE($P24:$XX25))&lt;=25%,Q25,IF(OR(Q25&gt;(AVERAGE($P24:$XX25)+_xlfn.STDEV.P($P24:$XX25)),Q25&lt;(AVERAGE($P24:$XX25)-_xlfn.STDEV.P($P24:$XX25))),"DESCARTADO",Q25)))</f>
        <v>17.29</v>
      </c>
      <c r="R27" s="107">
        <f t="shared" si="8"/>
        <v>13.85</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201"/>
      <c r="F28" s="93"/>
      <c r="G28" s="203"/>
      <c r="H28"/>
      <c r="I28"/>
      <c r="J28"/>
      <c r="K28" s="66"/>
      <c r="L28" s="29" t="s">
        <v>39</v>
      </c>
      <c r="M28" s="30">
        <f>IFERROR(_xlfn.QUARTILE.EXC($P21:$XX21,3),"")</f>
        <v>17.95</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201"/>
      <c r="F29" s="93"/>
      <c r="G29" s="203"/>
      <c r="H29" s="134">
        <f>COUNT($P29:$XX29)</f>
        <v>3</v>
      </c>
      <c r="I29" s="132">
        <f>_xlfn.STDEV.P($P28:$XX29)/AVERAGE($P28:$XX29)</f>
        <v>0.10984952798290495</v>
      </c>
      <c r="J29" s="7">
        <f>IF(AND(H29&gt;2,
OR(L15="MÉDIA SANEADA",L15="MEDIANA SANEADA",
AND(L15="PREÇO ESTIMADO",NOT(AND(P17="Orçamento",COUNTA(P15:XX15)=COUNTIF(P17:XX17,"Orçamento")))))),
ROW(),0)</f>
        <v>29</v>
      </c>
      <c r="K29" s="66"/>
      <c r="L29" s="29" t="s">
        <v>42</v>
      </c>
      <c r="M29" s="30">
        <f>MIN($P21:$XX21)</f>
        <v>13.85</v>
      </c>
      <c r="N29" s="71"/>
      <c r="O29" s="27" t="str">
        <f>"4 RODADA"</f>
        <v>4 RODADA</v>
      </c>
      <c r="P29" s="107">
        <f>IF(P27="","",IF((_xlfn.STDEV.P($P26:$XX27)/AVERAGE($P26:$XX27))&lt;=25%,P27,IF(OR(P27&gt;(AVERAGE($P26:$XX27)+_xlfn.STDEV.P($P26:$XX27)),P27&lt;(AVERAGE($P26:$XX27)-_xlfn.STDEV.P($P26:$XX27))),"DESCARTADO",P27)))</f>
        <v>17.95</v>
      </c>
      <c r="Q29" s="107">
        <f t="shared" ref="Q29:AI29" si="9">IF(Q27="","",IF((_xlfn.STDEV.P($P26:$XX27)/AVERAGE($P26:$XX27))&lt;=25%,Q27,IF(OR(Q27&gt;(AVERAGE($P26:$XX27)+_xlfn.STDEV.P($P26:$XX27)),Q27&lt;(AVERAGE($P26:$XX27)-_xlfn.STDEV.P($P26:$XX27))),"DESCARTADO",Q27)))</f>
        <v>17.29</v>
      </c>
      <c r="R29" s="107">
        <f t="shared" si="9"/>
        <v>13.85</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201"/>
      <c r="F30" s="93"/>
      <c r="G30" s="203"/>
      <c r="H30"/>
      <c r="I30"/>
      <c r="J30"/>
      <c r="K30" s="66"/>
      <c r="L30" s="29" t="s">
        <v>40</v>
      </c>
      <c r="M30" s="30">
        <f>MAX($P21:$XX21)</f>
        <v>17.95</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201"/>
      <c r="F31" s="93"/>
      <c r="G31" s="203"/>
      <c r="H31" s="134">
        <f>COUNT($P31:$XX31)</f>
        <v>3</v>
      </c>
      <c r="I31" s="132">
        <f>_xlfn.STDEV.P($P30:$XX31)/AVERAGE($P30:$XX31)</f>
        <v>0.10984952798290495</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17.95</v>
      </c>
      <c r="Q31" s="107">
        <f t="shared" ref="Q31:AI31" si="10">IF(Q29="","",IF((_xlfn.STDEV.P($P28:$XX29)/AVERAGE($P28:$XX29))&lt;=25%,Q29,IF(OR(Q29&gt;(AVERAGE($P28:$XX29)+_xlfn.STDEV.P($P28:$XX29)),Q29&lt;(AVERAGE($P28:$XX29)-_xlfn.STDEV.P($P28:$XX29))),"DESCARTADO",Q29)))</f>
        <v>17.29</v>
      </c>
      <c r="R31" s="107">
        <f t="shared" si="10"/>
        <v>13.85</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201"/>
      <c r="F32" s="93"/>
      <c r="G32" s="203"/>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201"/>
      <c r="F33" s="93"/>
      <c r="G33" s="203"/>
      <c r="H33" s="134">
        <f>COUNT($P33:$XX33)</f>
        <v>3</v>
      </c>
      <c r="I33" s="132">
        <f>_xlfn.STDEV.P($P32:$XX33)/AVERAGE($P32:$XX33)</f>
        <v>0.10984952798290495</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17.95</v>
      </c>
      <c r="Q33" s="107">
        <f t="shared" ref="Q33:AI33" si="11">IFERROR(IF(Q31="","",IF((_xlfn.STDEV.P($P30:$XX31)/AVERAGE($P30:$XX31))&lt;=25%,Q31,IF(OR(Q31&gt;(AVERAGE($P30:$XX31)+_xlfn.STDEV.P($P30:$XX31)),Q31&lt;(AVERAGE($P30:$XX31)-_xlfn.STDEV.P($P30:$XX31))),"DESCARTADO",Q31))),)</f>
        <v>17.29</v>
      </c>
      <c r="R33" s="107">
        <f t="shared" si="11"/>
        <v>13.85</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201"/>
      <c r="F34" s="136"/>
      <c r="G34" s="203"/>
      <c r="H34" s="206"/>
      <c r="I34" s="206"/>
      <c r="J34" s="207"/>
      <c r="K34" s="67"/>
      <c r="L34" s="1" t="s">
        <v>43</v>
      </c>
      <c r="M34" s="143">
        <f>IFERROR(ROUND(M15*M17,2),"")</f>
        <v>752.56</v>
      </c>
      <c r="O34" s="27" t="s">
        <v>363</v>
      </c>
      <c r="P34" s="107">
        <f>INDEX(P21:P33,MATCH(MAX($J21:$J33),$J21:$J33,0))</f>
        <v>17.95</v>
      </c>
      <c r="Q34" s="107">
        <f t="shared" ref="Q34:R34" si="12">INDEX(Q21:Q33,MATCH(MAX($J21:$J33),$J21:$J33,0))</f>
        <v>17.29</v>
      </c>
      <c r="R34" s="107">
        <f t="shared" si="12"/>
        <v>13.85</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4" t="s">
        <v>10</v>
      </c>
      <c r="M36" s="186">
        <f t="shared" ref="M36" si="32">IF(OR(ISBLANK($O$8),ISBLANK($O$7),ISBLANK($H$8),ISBLANK($O$6),ISBLANK($O$5),ISBLANK($H$5)),"",IFERROR(IF(VLOOKUP(L36,L42:M51,2,FALSE)&lt;1,ROUND(VLOOKUP(L36,L42:M51,2,FALSE),4),ROUND(VLOOKUP(L36,L42:M51,2,FALSE),2)),""))</f>
        <v>1.51</v>
      </c>
      <c r="N36" s="69"/>
      <c r="O36" s="27" t="s">
        <v>17</v>
      </c>
      <c r="P36" s="113">
        <v>1.9</v>
      </c>
      <c r="Q36" s="113">
        <v>1.33</v>
      </c>
      <c r="R36" s="113">
        <v>1.31</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8">
        <f t="shared" ref="E37" si="34">D36</f>
        <v>2</v>
      </c>
      <c r="F37" s="92"/>
      <c r="G37" s="190" t="s">
        <v>1</v>
      </c>
      <c r="H37" s="193" t="s">
        <v>439</v>
      </c>
      <c r="I37" s="194"/>
      <c r="J37" s="195"/>
      <c r="K37" s="66"/>
      <c r="L37" s="185"/>
      <c r="M37" s="187"/>
      <c r="N37" s="70"/>
      <c r="O37" s="27" t="s">
        <v>13</v>
      </c>
      <c r="P37" s="122">
        <v>46195</v>
      </c>
      <c r="Q37" s="122">
        <v>46195</v>
      </c>
      <c r="R37" s="122">
        <v>46195</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9"/>
      <c r="F38" s="93"/>
      <c r="G38" s="191"/>
      <c r="H38" s="196"/>
      <c r="I38" s="196"/>
      <c r="J38" s="197"/>
      <c r="K38" s="64"/>
      <c r="L38" s="130" t="s">
        <v>44</v>
      </c>
      <c r="M38" s="131">
        <v>184</v>
      </c>
      <c r="N38" s="71"/>
      <c r="O38" s="27" t="s">
        <v>380</v>
      </c>
      <c r="P38" s="114" t="s">
        <v>302</v>
      </c>
      <c r="Q38" s="114" t="s">
        <v>302</v>
      </c>
      <c r="R38" s="114" t="s">
        <v>302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2"/>
      <c r="H39" s="198"/>
      <c r="I39" s="198"/>
      <c r="J39" s="199"/>
      <c r="K39" s="64"/>
      <c r="L39" s="1" t="s">
        <v>2</v>
      </c>
      <c r="M39" s="6" t="s">
        <v>288</v>
      </c>
      <c r="N39" s="71"/>
      <c r="O39" s="27" t="s">
        <v>381</v>
      </c>
      <c r="P39" s="182" t="s">
        <v>440</v>
      </c>
      <c r="Q39" s="182" t="s">
        <v>441</v>
      </c>
      <c r="R39" s="182" t="s">
        <v>442</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200">
        <f t="shared" ref="E40" si="38">C36</f>
        <v>1</v>
      </c>
      <c r="F40" s="93"/>
      <c r="G40" s="202" t="s">
        <v>304</v>
      </c>
      <c r="H40" s="204"/>
      <c r="I40" s="205"/>
      <c r="J40" s="205"/>
      <c r="K40" s="67"/>
      <c r="L40" s="28" t="s">
        <v>303</v>
      </c>
      <c r="M40" s="133">
        <f t="shared" ref="M40" si="39">IFERROR(INDEX(I42:I54,MATCH(MAX(J42:J54),J42:J54,0)),"")</f>
        <v>0.18075099769981195</v>
      </c>
      <c r="N40" s="71"/>
      <c r="O40" s="27" t="s">
        <v>18</v>
      </c>
      <c r="P40" s="106">
        <f>IF(P36="","",
IF(OR(P38="Orçamento",P37="",MAX('Tabela de Apoio'!$A:$A)&lt;=P37),
P36,
(INDEX('Tabela de Apoio'!$B:$B,MATCH('MAPA DE PREÇOS'!$O$8,'Tabela de Apoio'!$A:$A,1))/INDEX('Tabela de Apoio'!$B:$B,MATCH('MAPA DE PREÇOS'!P37,'Tabela de Apoio'!$A:$A,1)-1))*P36))</f>
        <v>1.9</v>
      </c>
      <c r="Q40" s="106">
        <f>IF(Q36="","",
IF(OR(Q38="Orçamento",Q37="",MAX('Tabela de Apoio'!$A:$A)&lt;=Q37),
Q36,
(INDEX('Tabela de Apoio'!$B:$B,MATCH('MAPA DE PREÇOS'!$O$8,'Tabela de Apoio'!$A:$A,1))/INDEX('Tabela de Apoio'!$B:$B,MATCH('MAPA DE PREÇOS'!Q37,'Tabela de Apoio'!$A:$A,1)-1))*Q36))</f>
        <v>1.33</v>
      </c>
      <c r="R40" s="106">
        <f>IF(R36="","",
IF(OR(R38="Orçamento",R37="",MAX('Tabela de Apoio'!$A:$A)&lt;=R37),
R36,
(INDEX('Tabela de Apoio'!$B:$B,MATCH('MAPA DE PREÇOS'!$O$8,'Tabela de Apoio'!$A:$A,1))/INDEX('Tabela de Apoio'!$B:$B,MATCH('MAPA DE PREÇOS'!R37,'Tabela de Apoio'!$A:$A,1)-1))*R36))</f>
        <v>1.31</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201"/>
      <c r="F41" s="93"/>
      <c r="G41" s="203"/>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201"/>
      <c r="F42" s="93"/>
      <c r="G42" s="203"/>
      <c r="H42" s="134">
        <f t="shared" ref="H42" si="44">COUNT($P42:$XX42)</f>
        <v>3</v>
      </c>
      <c r="I42" s="132">
        <f t="shared" ref="I42" si="45">_xlfn.STDEV.P($P41:$XX42)/AVERAGE($P41:$XX42)</f>
        <v>0.18075099769981195</v>
      </c>
      <c r="J42" s="7">
        <f>ROW()</f>
        <v>42</v>
      </c>
      <c r="K42" s="67"/>
      <c r="L42" s="29" t="s">
        <v>10</v>
      </c>
      <c r="M42" s="30">
        <f t="shared" ref="M42" si="46">IFERROR(
IF(COUNTA(P36:AI36)=COUNTIF(P38:XX38,"Orçamento"),MIN(M47,M44),
IF(M45&lt;&gt;"",M45,
IF(M46&lt;&gt;"",M46,
M44
))),"")</f>
        <v>1.5133333333333334</v>
      </c>
      <c r="N42" s="71"/>
      <c r="O42" s="27" t="s">
        <v>376</v>
      </c>
      <c r="P42" s="106">
        <f t="shared" ref="P42:AI42" si="47">IFERROR(IF(P40="",
            "",
            IF(COUNT($P40:$XX40)&lt;=4,
               P40,
               IF(OR(P40&gt;(QUARTILE($P40:$XX40,3)+(QUARTILE($P40:$XX40,3)-QUARTILE($P40:$XX40,1))),
                     P40&lt;(QUARTILE($P40:$XX40,1)-(QUARTILE($P40:$XX40,3)-QUARTILE($P40:$XX40,1)))
                  ),
               "DESCARTADO",P40)
             )
  ),P40)</f>
        <v>1.9</v>
      </c>
      <c r="Q42" s="106">
        <f t="shared" si="47"/>
        <v>1.33</v>
      </c>
      <c r="R42" s="106">
        <f t="shared" si="47"/>
        <v>1.31</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201"/>
      <c r="F43" s="93"/>
      <c r="G43" s="203"/>
      <c r="H43"/>
      <c r="I43"/>
      <c r="J43"/>
      <c r="K43" s="66"/>
      <c r="L43" s="29" t="s">
        <v>360</v>
      </c>
      <c r="M43" s="30">
        <f t="shared" ref="M43" si="51">AVERAGE($P42:$XX42)</f>
        <v>1.5133333333333334</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201"/>
      <c r="F44" s="93"/>
      <c r="G44" s="203"/>
      <c r="H44" s="134">
        <f t="shared" ref="H44" si="53">COUNT($P44:$XX44)</f>
        <v>3</v>
      </c>
      <c r="I44" s="132">
        <f t="shared" ref="I44" si="54">_xlfn.STDEV.P($P43:$XX44)/AVERAGE($P43:$XX44)</f>
        <v>0.18075099769981195</v>
      </c>
      <c r="J44" s="7">
        <f t="shared" ref="J44" si="55">IF(AND(H44&gt;2,
OR(L36="MÉDIA SANEADA",L36="MEDIANA SANEADA",
AND(L36="PREÇO ESTIMADO",NOT(AND(P38="Orçamento",COUNTA(P36:XX36)=COUNTIF(P38:XX38,"Orçamento")))))),
ROW(),0)</f>
        <v>44</v>
      </c>
      <c r="K44" s="66"/>
      <c r="L44" s="29" t="s">
        <v>361</v>
      </c>
      <c r="M44" s="30">
        <f t="shared" ref="M44" si="56">MEDIAN($P42:$XX42)</f>
        <v>1.33</v>
      </c>
      <c r="N44" s="71"/>
      <c r="O44" s="27" t="str">
        <f t="shared" ref="O44" si="57">"1 RODADA"</f>
        <v>1 RODADA</v>
      </c>
      <c r="P44" s="107">
        <f t="shared" ref="P44:AI44" si="58">IF(P42="","",IF((_xlfn.STDEV.P($P41:$XX42)/AVERAGE($P41:$XX42))&lt;=25%,P42,IF(OR(P42&gt;(AVERAGE($P41:$XX42)+_xlfn.STDEV.P($P41:$XX42)),P42&lt;(AVERAGE($P41:$XX42)-_xlfn.STDEV.P($P41:$XX42))),"DESCARTADO",P42)))</f>
        <v>1.9</v>
      </c>
      <c r="Q44" s="107">
        <f t="shared" si="58"/>
        <v>1.33</v>
      </c>
      <c r="R44" s="107">
        <f t="shared" si="58"/>
        <v>1.31</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201"/>
      <c r="F45" s="93"/>
      <c r="G45" s="203"/>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1.5133333333333334</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201"/>
      <c r="F46" s="93"/>
      <c r="G46" s="203"/>
      <c r="H46" s="134">
        <f t="shared" ref="H46" si="61">COUNT($P46:$XX46)</f>
        <v>3</v>
      </c>
      <c r="I46" s="132">
        <f t="shared" ref="I46" si="62">_xlfn.STDEV.P($P45:$XX46)/AVERAGE($P45:$XX46)</f>
        <v>0.18075099769981195</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1.33</v>
      </c>
      <c r="N46" s="71"/>
      <c r="O46" s="27" t="str">
        <f t="shared" ref="O46" si="65">"2 RODADA"</f>
        <v>2 RODADA</v>
      </c>
      <c r="P46" s="107">
        <f t="shared" ref="P46:AI46" si="66">IF(P44="","",IF((_xlfn.STDEV.P($P43:$XX44)/AVERAGE($P43:$XX44))&lt;=25%,P44,IF(OR(P44&gt;(AVERAGE($P43:$XX44)+_xlfn.STDEV.P($P43:$XX44)),P44&lt;(AVERAGE($P43:$XX44)-_xlfn.STDEV.P($P43:$XX44))),"DESCARTADO",P44)))</f>
        <v>1.9</v>
      </c>
      <c r="Q46" s="107">
        <f t="shared" si="66"/>
        <v>1.33</v>
      </c>
      <c r="R46" s="107">
        <f t="shared" si="66"/>
        <v>1.31</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201"/>
      <c r="F47" s="93"/>
      <c r="G47" s="203"/>
      <c r="H47"/>
      <c r="I47"/>
      <c r="J47"/>
      <c r="K47" s="66"/>
      <c r="L47" s="29" t="s">
        <v>359</v>
      </c>
      <c r="M47" s="30">
        <f t="shared" ref="M47" si="67">HARMEAN($P41:$XX42)</f>
        <v>1.4694686533595727</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201"/>
      <c r="F48" s="93"/>
      <c r="G48" s="203"/>
      <c r="H48" s="134">
        <f t="shared" ref="H48" si="69">COUNT($P48:$XX48)</f>
        <v>3</v>
      </c>
      <c r="I48" s="132">
        <f t="shared" ref="I48" si="70">_xlfn.STDEV.P($P47:$XX48)/AVERAGE($P47:$XX48)</f>
        <v>0.18075099769981195</v>
      </c>
      <c r="J48" s="7">
        <f t="shared" ref="J48" si="71">IF(AND(H48&gt;2,
OR(L36="MÉDIA SANEADA",L36="MEDIANA SANEADA",
AND(L36="PREÇO ESTIMADO",NOT(AND(P38="Orçamento",COUNTA(P36:XX36)=COUNTIF(P38:XX38,"Orçamento")))))),
ROW(),0)</f>
        <v>48</v>
      </c>
      <c r="K48" s="66"/>
      <c r="L48" s="29" t="s">
        <v>41</v>
      </c>
      <c r="M48" s="30">
        <f t="shared" ref="M48" si="72">IFERROR(_xlfn.QUARTILE.EXC($P42:$XX42,1),"")</f>
        <v>1.31</v>
      </c>
      <c r="N48" s="71"/>
      <c r="O48" s="27" t="str">
        <f t="shared" ref="O48" si="73">"3 RODADA"</f>
        <v>3 RODADA</v>
      </c>
      <c r="P48" s="107">
        <f t="shared" ref="P48:AI48" si="74">IF(P46="","",IF((_xlfn.STDEV.P($P45:$XX46)/AVERAGE($P45:$XX46))&lt;=25%,P46,IF(OR(P46&gt;(AVERAGE($P45:$XX46)+_xlfn.STDEV.P($P45:$XX46)),P46&lt;(AVERAGE($P45:$XX46)-_xlfn.STDEV.P($P45:$XX46))),"DESCARTADO",P46)))</f>
        <v>1.9</v>
      </c>
      <c r="Q48" s="107">
        <f t="shared" si="74"/>
        <v>1.33</v>
      </c>
      <c r="R48" s="107">
        <f t="shared" si="74"/>
        <v>1.31</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201"/>
      <c r="F49" s="93"/>
      <c r="G49" s="203"/>
      <c r="H49"/>
      <c r="I49"/>
      <c r="J49"/>
      <c r="K49" s="66"/>
      <c r="L49" s="29" t="s">
        <v>39</v>
      </c>
      <c r="M49" s="30">
        <f t="shared" ref="M49" si="75">IFERROR(_xlfn.QUARTILE.EXC($P42:$XX42,3),"")</f>
        <v>1.9</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201"/>
      <c r="F50" s="93"/>
      <c r="G50" s="203"/>
      <c r="H50" s="134">
        <f t="shared" ref="H50" si="77">COUNT($P50:$XX50)</f>
        <v>3</v>
      </c>
      <c r="I50" s="132">
        <f t="shared" ref="I50" si="78">_xlfn.STDEV.P($P49:$XX50)/AVERAGE($P49:$XX50)</f>
        <v>0.18075099769981195</v>
      </c>
      <c r="J50" s="7">
        <f t="shared" ref="J50" si="79">IF(AND(H50&gt;2,
OR(L36="MÉDIA SANEADA",L36="MEDIANA SANEADA",
AND(L36="PREÇO ESTIMADO",NOT(AND(P38="Orçamento",COUNTA(P36:XX36)=COUNTIF(P38:XX38,"Orçamento")))))),
ROW(),0)</f>
        <v>50</v>
      </c>
      <c r="K50" s="66"/>
      <c r="L50" s="29" t="s">
        <v>42</v>
      </c>
      <c r="M50" s="30">
        <f t="shared" ref="M50" si="80">MIN($P42:$XX42)</f>
        <v>1.31</v>
      </c>
      <c r="N50" s="71"/>
      <c r="O50" s="27" t="str">
        <f t="shared" ref="O50" si="81">"4 RODADA"</f>
        <v>4 RODADA</v>
      </c>
      <c r="P50" s="107">
        <f t="shared" ref="P50:AI50" si="82">IF(P48="","",IF((_xlfn.STDEV.P($P47:$XX48)/AVERAGE($P47:$XX48))&lt;=25%,P48,IF(OR(P48&gt;(AVERAGE($P47:$XX48)+_xlfn.STDEV.P($P47:$XX48)),P48&lt;(AVERAGE($P47:$XX48)-_xlfn.STDEV.P($P47:$XX48))),"DESCARTADO",P48)))</f>
        <v>1.9</v>
      </c>
      <c r="Q50" s="107">
        <f t="shared" si="82"/>
        <v>1.33</v>
      </c>
      <c r="R50" s="107">
        <f t="shared" si="82"/>
        <v>1.31</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201"/>
      <c r="F51" s="93"/>
      <c r="G51" s="203"/>
      <c r="H51"/>
      <c r="I51"/>
      <c r="J51"/>
      <c r="K51" s="66"/>
      <c r="L51" s="29" t="s">
        <v>40</v>
      </c>
      <c r="M51" s="30">
        <f t="shared" ref="M51" si="83">MAX($P42:$XX42)</f>
        <v>1.9</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201"/>
      <c r="F52" s="93"/>
      <c r="G52" s="203"/>
      <c r="H52" s="134">
        <f t="shared" ref="H52" si="85">COUNT($P52:$XX52)</f>
        <v>3</v>
      </c>
      <c r="I52" s="132">
        <f t="shared" ref="I52" si="86">_xlfn.STDEV.P($P51:$XX52)/AVERAGE($P51:$XX52)</f>
        <v>0.18075099769981195</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1.9</v>
      </c>
      <c r="Q52" s="107">
        <f t="shared" si="89"/>
        <v>1.33</v>
      </c>
      <c r="R52" s="107">
        <f t="shared" si="89"/>
        <v>1.31</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201"/>
      <c r="F53" s="93"/>
      <c r="G53" s="203"/>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201"/>
      <c r="F54" s="93"/>
      <c r="G54" s="203"/>
      <c r="H54" s="134">
        <f t="shared" ref="H54" si="91">COUNT($P54:$XX54)</f>
        <v>3</v>
      </c>
      <c r="I54" s="132">
        <f t="shared" ref="I54" si="92">_xlfn.STDEV.P($P53:$XX54)/AVERAGE($P53:$XX54)</f>
        <v>0.18075099769981195</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1.9</v>
      </c>
      <c r="Q54" s="107">
        <f t="shared" si="95"/>
        <v>1.33</v>
      </c>
      <c r="R54" s="107">
        <f t="shared" si="95"/>
        <v>1.31</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201"/>
      <c r="F55" s="136"/>
      <c r="G55" s="203"/>
      <c r="H55" s="206"/>
      <c r="I55" s="206"/>
      <c r="J55" s="207"/>
      <c r="K55" s="67"/>
      <c r="L55" s="1" t="s">
        <v>43</v>
      </c>
      <c r="M55" s="143">
        <f t="shared" ref="M55" si="96">IFERROR(ROUND(M36*M38,2),"")</f>
        <v>277.83999999999997</v>
      </c>
      <c r="O55" s="27" t="s">
        <v>363</v>
      </c>
      <c r="P55" s="107">
        <f t="shared" ref="P55:AI76" si="97">INDEX(P42:P54,MATCH(MAX($J42:$J54),$J42:$J54,0))</f>
        <v>1.9</v>
      </c>
      <c r="Q55" s="107">
        <f t="shared" si="97"/>
        <v>1.33</v>
      </c>
      <c r="R55" s="107">
        <f t="shared" si="97"/>
        <v>1.31</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4" t="s">
        <v>10</v>
      </c>
      <c r="M57" s="186">
        <f t="shared" ref="M57" si="100">IF(OR(ISBLANK($O$8),ISBLANK($O$7),ISBLANK($H$8),ISBLANK($O$6),ISBLANK($O$5),ISBLANK($H$5)),"",IFERROR(IF(VLOOKUP(L57,L63:M72,2,FALSE)&lt;1,ROUND(VLOOKUP(L57,L63:M72,2,FALSE),4),ROUND(VLOOKUP(L57,L63:M72,2,FALSE),2)),""))</f>
        <v>2.75</v>
      </c>
      <c r="N57" s="69"/>
      <c r="O57" s="27" t="s">
        <v>17</v>
      </c>
      <c r="P57" s="113">
        <v>2.4</v>
      </c>
      <c r="Q57" s="113">
        <v>2.2999999999999998</v>
      </c>
      <c r="R57" s="113">
        <v>3.54</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8">
        <f t="shared" ref="E58" si="102">D57</f>
        <v>3</v>
      </c>
      <c r="F58" s="92"/>
      <c r="G58" s="190" t="s">
        <v>1</v>
      </c>
      <c r="H58" s="193" t="s">
        <v>443</v>
      </c>
      <c r="I58" s="194"/>
      <c r="J58" s="195"/>
      <c r="K58" s="66"/>
      <c r="L58" s="185"/>
      <c r="M58" s="187"/>
      <c r="N58" s="70"/>
      <c r="O58" s="27" t="s">
        <v>13</v>
      </c>
      <c r="P58" s="122">
        <v>46195</v>
      </c>
      <c r="Q58" s="122">
        <v>46195</v>
      </c>
      <c r="R58" s="122">
        <v>46195</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9"/>
      <c r="F59" s="93"/>
      <c r="G59" s="191"/>
      <c r="H59" s="196"/>
      <c r="I59" s="196"/>
      <c r="J59" s="197"/>
      <c r="K59" s="64"/>
      <c r="L59" s="130" t="s">
        <v>44</v>
      </c>
      <c r="M59" s="131">
        <v>258</v>
      </c>
      <c r="N59" s="71"/>
      <c r="O59" s="27" t="s">
        <v>380</v>
      </c>
      <c r="P59" s="114" t="s">
        <v>302</v>
      </c>
      <c r="Q59" s="114" t="s">
        <v>302</v>
      </c>
      <c r="R59" s="114" t="s">
        <v>302</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2"/>
      <c r="H60" s="198"/>
      <c r="I60" s="198"/>
      <c r="J60" s="199"/>
      <c r="K60" s="64"/>
      <c r="L60" s="1" t="s">
        <v>2</v>
      </c>
      <c r="M60" s="6" t="s">
        <v>288</v>
      </c>
      <c r="N60" s="71"/>
      <c r="O60" s="27" t="s">
        <v>381</v>
      </c>
      <c r="P60" s="182" t="s">
        <v>444</v>
      </c>
      <c r="Q60" s="182" t="s">
        <v>445</v>
      </c>
      <c r="R60" s="182" t="s">
        <v>446</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200">
        <f t="shared" ref="E61" si="106">C57</f>
        <v>1</v>
      </c>
      <c r="F61" s="93"/>
      <c r="G61" s="202" t="s">
        <v>304</v>
      </c>
      <c r="H61" s="204"/>
      <c r="I61" s="205"/>
      <c r="J61" s="205"/>
      <c r="K61" s="67"/>
      <c r="L61" s="28" t="s">
        <v>303</v>
      </c>
      <c r="M61" s="133">
        <f t="shared" ref="M61" si="107">IFERROR(INDEX(I63:I75,MATCH(MAX(J63:J75),J63:J75,0)),"")</f>
        <v>0.20477728269412196</v>
      </c>
      <c r="N61" s="71"/>
      <c r="O61" s="27" t="s">
        <v>18</v>
      </c>
      <c r="P61" s="106">
        <f>IF(P57="","",
IF(OR(P59="Orçamento",P58="",MAX('Tabela de Apoio'!$A:$A)&lt;=P58),
P57,
(INDEX('Tabela de Apoio'!$B:$B,MATCH('MAPA DE PREÇOS'!$O$8,'Tabela de Apoio'!$A:$A,1))/INDEX('Tabela de Apoio'!$B:$B,MATCH('MAPA DE PREÇOS'!P58,'Tabela de Apoio'!$A:$A,1)-1))*P57))</f>
        <v>2.4</v>
      </c>
      <c r="Q61" s="106">
        <f>IF(Q57="","",
IF(OR(Q59="Orçamento",Q58="",MAX('Tabela de Apoio'!$A:$A)&lt;=Q58),
Q57,
(INDEX('Tabela de Apoio'!$B:$B,MATCH('MAPA DE PREÇOS'!$O$8,'Tabela de Apoio'!$A:$A,1))/INDEX('Tabela de Apoio'!$B:$B,MATCH('MAPA DE PREÇOS'!Q58,'Tabela de Apoio'!$A:$A,1)-1))*Q57))</f>
        <v>2.2999999999999998</v>
      </c>
      <c r="R61" s="106">
        <f>IF(R57="","",
IF(OR(R59="Orçamento",R58="",MAX('Tabela de Apoio'!$A:$A)&lt;=R58),
R57,
(INDEX('Tabela de Apoio'!$B:$B,MATCH('MAPA DE PREÇOS'!$O$8,'Tabela de Apoio'!$A:$A,1))/INDEX('Tabela de Apoio'!$B:$B,MATCH('MAPA DE PREÇOS'!R58,'Tabela de Apoio'!$A:$A,1)-1))*R57))</f>
        <v>3.54</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201"/>
      <c r="F62" s="93"/>
      <c r="G62" s="203"/>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201"/>
      <c r="F63" s="93"/>
      <c r="G63" s="203"/>
      <c r="H63" s="134">
        <f t="shared" ref="H63" si="111">COUNT($P63:$XX63)</f>
        <v>3</v>
      </c>
      <c r="I63" s="132">
        <f t="shared" ref="I63" si="112">_xlfn.STDEV.P($P62:$XX63)/AVERAGE($P62:$XX63)</f>
        <v>0.20477728269412196</v>
      </c>
      <c r="J63" s="7">
        <f>ROW()</f>
        <v>63</v>
      </c>
      <c r="K63" s="67"/>
      <c r="L63" s="29" t="s">
        <v>10</v>
      </c>
      <c r="M63" s="30">
        <f t="shared" ref="M63" si="113">IFERROR(
IF(COUNTA(P57:AI57)=COUNTIF(P59:XX59,"Orçamento"),MIN(M68,M65),
IF(M66&lt;&gt;"",M66,
IF(M67&lt;&gt;"",M67,
M65
))),"")</f>
        <v>2.7466666666666661</v>
      </c>
      <c r="N63" s="71"/>
      <c r="O63" s="27" t="s">
        <v>376</v>
      </c>
      <c r="P63" s="106">
        <f t="shared" ref="P63:AI63" si="114">IFERROR(IF(P61="",
            "",
            IF(COUNT($P61:$XX61)&lt;=4,
               P61,
               IF(OR(P61&gt;(QUARTILE($P61:$XX61,3)+(QUARTILE($P61:$XX61,3)-QUARTILE($P61:$XX61,1))),
                     P61&lt;(QUARTILE($P61:$XX61,1)-(QUARTILE($P61:$XX61,3)-QUARTILE($P61:$XX61,1)))
                  ),
               "DESCARTADO",P61)
             )
  ),P61)</f>
        <v>2.4</v>
      </c>
      <c r="Q63" s="106">
        <f t="shared" si="114"/>
        <v>2.2999999999999998</v>
      </c>
      <c r="R63" s="106">
        <f t="shared" si="114"/>
        <v>3.54</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201"/>
      <c r="F64" s="93"/>
      <c r="G64" s="203"/>
      <c r="H64"/>
      <c r="I64"/>
      <c r="J64"/>
      <c r="K64" s="66"/>
      <c r="L64" s="29" t="s">
        <v>360</v>
      </c>
      <c r="M64" s="30">
        <f t="shared" ref="M64" si="117">AVERAGE($P63:$XX63)</f>
        <v>2.7466666666666661</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201"/>
      <c r="F65" s="93"/>
      <c r="G65" s="203"/>
      <c r="H65" s="134">
        <f t="shared" ref="H65" si="119">COUNT($P65:$XX65)</f>
        <v>3</v>
      </c>
      <c r="I65" s="132">
        <f t="shared" ref="I65" si="120">_xlfn.STDEV.P($P64:$XX65)/AVERAGE($P64:$XX65)</f>
        <v>0.20477728269412196</v>
      </c>
      <c r="J65" s="7">
        <f t="shared" ref="J65" si="121">IF(AND(H65&gt;2,
OR(L57="MÉDIA SANEADA",L57="MEDIANA SANEADA",
AND(L57="PREÇO ESTIMADO",NOT(AND(P59="Orçamento",COUNTA(P57:XX57)=COUNTIF(P59:XX59,"Orçamento")))))),
ROW(),0)</f>
        <v>65</v>
      </c>
      <c r="K65" s="66"/>
      <c r="L65" s="29" t="s">
        <v>361</v>
      </c>
      <c r="M65" s="30">
        <f t="shared" ref="M65" si="122">MEDIAN($P63:$XX63)</f>
        <v>2.4</v>
      </c>
      <c r="N65" s="71"/>
      <c r="O65" s="27" t="str">
        <f t="shared" ref="O65" si="123">"1 RODADA"</f>
        <v>1 RODADA</v>
      </c>
      <c r="P65" s="107">
        <f t="shared" ref="P65:AI65" si="124">IF(P63="","",IF((_xlfn.STDEV.P($P62:$XX63)/AVERAGE($P62:$XX63))&lt;=25%,P63,IF(OR(P63&gt;(AVERAGE($P62:$XX63)+_xlfn.STDEV.P($P62:$XX63)),P63&lt;(AVERAGE($P62:$XX63)-_xlfn.STDEV.P($P62:$XX63))),"DESCARTADO",P63)))</f>
        <v>2.4</v>
      </c>
      <c r="Q65" s="107">
        <f t="shared" si="124"/>
        <v>2.2999999999999998</v>
      </c>
      <c r="R65" s="107">
        <f t="shared" si="124"/>
        <v>3.54</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201"/>
      <c r="F66" s="93"/>
      <c r="G66" s="203"/>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2.7466666666666661</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201"/>
      <c r="F67" s="93"/>
      <c r="G67" s="203"/>
      <c r="H67" s="134">
        <f t="shared" ref="H67" si="127">COUNT($P67:$XX67)</f>
        <v>3</v>
      </c>
      <c r="I67" s="132">
        <f t="shared" ref="I67" si="128">_xlfn.STDEV.P($P66:$XX67)/AVERAGE($P66:$XX67)</f>
        <v>0.20477728269412196</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2.4</v>
      </c>
      <c r="N67" s="71"/>
      <c r="O67" s="27" t="str">
        <f t="shared" ref="O67" si="131">"2 RODADA"</f>
        <v>2 RODADA</v>
      </c>
      <c r="P67" s="107">
        <f t="shared" ref="P67:AI67" si="132">IF(P65="","",IF((_xlfn.STDEV.P($P64:$XX65)/AVERAGE($P64:$XX65))&lt;=25%,P65,IF(OR(P65&gt;(AVERAGE($P64:$XX65)+_xlfn.STDEV.P($P64:$XX65)),P65&lt;(AVERAGE($P64:$XX65)-_xlfn.STDEV.P($P64:$XX65))),"DESCARTADO",P65)))</f>
        <v>2.4</v>
      </c>
      <c r="Q67" s="107">
        <f t="shared" si="132"/>
        <v>2.2999999999999998</v>
      </c>
      <c r="R67" s="107">
        <f t="shared" si="132"/>
        <v>3.54</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201"/>
      <c r="F68" s="93"/>
      <c r="G68" s="203"/>
      <c r="H68"/>
      <c r="I68"/>
      <c r="J68"/>
      <c r="K68" s="66"/>
      <c r="L68" s="29" t="s">
        <v>359</v>
      </c>
      <c r="M68" s="30">
        <f t="shared" ref="M68" si="133">HARMEAN($P62:$XX63)</f>
        <v>2.6456539398862713</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201"/>
      <c r="F69" s="93"/>
      <c r="G69" s="203"/>
      <c r="H69" s="134">
        <f t="shared" ref="H69" si="135">COUNT($P69:$XX69)</f>
        <v>3</v>
      </c>
      <c r="I69" s="132">
        <f t="shared" ref="I69" si="136">_xlfn.STDEV.P($P68:$XX69)/AVERAGE($P68:$XX69)</f>
        <v>0.20477728269412196</v>
      </c>
      <c r="J69" s="7">
        <f t="shared" ref="J69" si="137">IF(AND(H69&gt;2,
OR(L57="MÉDIA SANEADA",L57="MEDIANA SANEADA",
AND(L57="PREÇO ESTIMADO",NOT(AND(P59="Orçamento",COUNTA(P57:XX57)=COUNTIF(P59:XX59,"Orçamento")))))),
ROW(),0)</f>
        <v>69</v>
      </c>
      <c r="K69" s="66"/>
      <c r="L69" s="29" t="s">
        <v>41</v>
      </c>
      <c r="M69" s="30">
        <f t="shared" ref="M69" si="138">IFERROR(_xlfn.QUARTILE.EXC($P63:$XX63,1),"")</f>
        <v>2.2999999999999998</v>
      </c>
      <c r="N69" s="71"/>
      <c r="O69" s="27" t="str">
        <f t="shared" ref="O69" si="139">"3 RODADA"</f>
        <v>3 RODADA</v>
      </c>
      <c r="P69" s="107">
        <f t="shared" ref="P69:AI69" si="140">IF(P67="","",IF((_xlfn.STDEV.P($P66:$XX67)/AVERAGE($P66:$XX67))&lt;=25%,P67,IF(OR(P67&gt;(AVERAGE($P66:$XX67)+_xlfn.STDEV.P($P66:$XX67)),P67&lt;(AVERAGE($P66:$XX67)-_xlfn.STDEV.P($P66:$XX67))),"DESCARTADO",P67)))</f>
        <v>2.4</v>
      </c>
      <c r="Q69" s="107">
        <f t="shared" si="140"/>
        <v>2.2999999999999998</v>
      </c>
      <c r="R69" s="107">
        <f t="shared" si="140"/>
        <v>3.54</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201"/>
      <c r="F70" s="93"/>
      <c r="G70" s="203"/>
      <c r="H70"/>
      <c r="I70"/>
      <c r="J70"/>
      <c r="K70" s="66"/>
      <c r="L70" s="29" t="s">
        <v>39</v>
      </c>
      <c r="M70" s="30">
        <f t="shared" ref="M70" si="141">IFERROR(_xlfn.QUARTILE.EXC($P63:$XX63,3),"")</f>
        <v>3.54</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201"/>
      <c r="F71" s="93"/>
      <c r="G71" s="203"/>
      <c r="H71" s="134">
        <f t="shared" ref="H71" si="143">COUNT($P71:$XX71)</f>
        <v>3</v>
      </c>
      <c r="I71" s="132">
        <f t="shared" ref="I71" si="144">_xlfn.STDEV.P($P70:$XX71)/AVERAGE($P70:$XX71)</f>
        <v>0.20477728269412196</v>
      </c>
      <c r="J71" s="7">
        <f t="shared" ref="J71" si="145">IF(AND(H71&gt;2,
OR(L57="MÉDIA SANEADA",L57="MEDIANA SANEADA",
AND(L57="PREÇO ESTIMADO",NOT(AND(P59="Orçamento",COUNTA(P57:XX57)=COUNTIF(P59:XX59,"Orçamento")))))),
ROW(),0)</f>
        <v>71</v>
      </c>
      <c r="K71" s="66"/>
      <c r="L71" s="29" t="s">
        <v>42</v>
      </c>
      <c r="M71" s="30">
        <f t="shared" ref="M71" si="146">MIN($P63:$XX63)</f>
        <v>2.2999999999999998</v>
      </c>
      <c r="N71" s="71"/>
      <c r="O71" s="27" t="str">
        <f t="shared" ref="O71" si="147">"4 RODADA"</f>
        <v>4 RODADA</v>
      </c>
      <c r="P71" s="107">
        <f t="shared" ref="P71:AI71" si="148">IF(P69="","",IF((_xlfn.STDEV.P($P68:$XX69)/AVERAGE($P68:$XX69))&lt;=25%,P69,IF(OR(P69&gt;(AVERAGE($P68:$XX69)+_xlfn.STDEV.P($P68:$XX69)),P69&lt;(AVERAGE($P68:$XX69)-_xlfn.STDEV.P($P68:$XX69))),"DESCARTADO",P69)))</f>
        <v>2.4</v>
      </c>
      <c r="Q71" s="107">
        <f t="shared" si="148"/>
        <v>2.2999999999999998</v>
      </c>
      <c r="R71" s="107">
        <f t="shared" si="148"/>
        <v>3.54</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201"/>
      <c r="F72" s="93"/>
      <c r="G72" s="203"/>
      <c r="H72"/>
      <c r="I72"/>
      <c r="J72"/>
      <c r="K72" s="66"/>
      <c r="L72" s="29" t="s">
        <v>40</v>
      </c>
      <c r="M72" s="30">
        <f t="shared" ref="M72" si="149">MAX($P63:$XX63)</f>
        <v>3.54</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201"/>
      <c r="F73" s="93"/>
      <c r="G73" s="203"/>
      <c r="H73" s="134">
        <f t="shared" ref="H73" si="151">COUNT($P73:$XX73)</f>
        <v>3</v>
      </c>
      <c r="I73" s="132">
        <f t="shared" ref="I73" si="152">_xlfn.STDEV.P($P72:$XX73)/AVERAGE($P72:$XX73)</f>
        <v>0.20477728269412196</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2.4</v>
      </c>
      <c r="Q73" s="107">
        <f t="shared" si="155"/>
        <v>2.2999999999999998</v>
      </c>
      <c r="R73" s="107">
        <f t="shared" si="155"/>
        <v>3.54</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201"/>
      <c r="F74" s="93"/>
      <c r="G74" s="203"/>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201"/>
      <c r="F75" s="93"/>
      <c r="G75" s="203"/>
      <c r="H75" s="134">
        <f t="shared" ref="H75" si="157">COUNT($P75:$XX75)</f>
        <v>3</v>
      </c>
      <c r="I75" s="132">
        <f t="shared" ref="I75" si="158">_xlfn.STDEV.P($P74:$XX75)/AVERAGE($P74:$XX75)</f>
        <v>0.20477728269412196</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2.4</v>
      </c>
      <c r="Q75" s="107">
        <f t="shared" si="161"/>
        <v>2.2999999999999998</v>
      </c>
      <c r="R75" s="107">
        <f t="shared" si="161"/>
        <v>3.54</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201"/>
      <c r="F76" s="136"/>
      <c r="G76" s="203"/>
      <c r="H76" s="206"/>
      <c r="I76" s="206"/>
      <c r="J76" s="207"/>
      <c r="K76" s="67"/>
      <c r="L76" s="1" t="s">
        <v>43</v>
      </c>
      <c r="M76" s="143">
        <f t="shared" ref="M76" si="162">IFERROR(ROUND(M57*M59,2),"")</f>
        <v>709.5</v>
      </c>
      <c r="O76" s="27" t="s">
        <v>363</v>
      </c>
      <c r="P76" s="107">
        <f t="shared" ref="P76:R76" si="163">INDEX(P63:P75,MATCH(MAX($J63:$J75),$J63:$J75,0))</f>
        <v>2.4</v>
      </c>
      <c r="Q76" s="107">
        <f t="shared" si="163"/>
        <v>2.2999999999999998</v>
      </c>
      <c r="R76" s="107">
        <f t="shared" si="163"/>
        <v>3.54</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4" t="s">
        <v>10</v>
      </c>
      <c r="M78" s="186">
        <f t="shared" ref="M78" si="166">IF(OR(ISBLANK($O$8),ISBLANK($O$7),ISBLANK($H$8),ISBLANK($O$6),ISBLANK($O$5),ISBLANK($H$5)),"",IFERROR(IF(VLOOKUP(L78,L84:M93,2,FALSE)&lt;1,ROUND(VLOOKUP(L78,L84:M93,2,FALSE),4),ROUND(VLOOKUP(L78,L84:M93,2,FALSE),2)),""))</f>
        <v>20.18</v>
      </c>
      <c r="N78" s="69"/>
      <c r="O78" s="27" t="s">
        <v>17</v>
      </c>
      <c r="P78" s="113">
        <v>17.600000000000001</v>
      </c>
      <c r="Q78" s="113">
        <v>24.9</v>
      </c>
      <c r="R78" s="113">
        <v>18.05</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8">
        <f t="shared" ref="E79" si="168">D78</f>
        <v>4</v>
      </c>
      <c r="F79" s="92"/>
      <c r="G79" s="190" t="s">
        <v>1</v>
      </c>
      <c r="H79" s="193" t="s">
        <v>450</v>
      </c>
      <c r="I79" s="194"/>
      <c r="J79" s="195"/>
      <c r="K79" s="66"/>
      <c r="L79" s="185"/>
      <c r="M79" s="187"/>
      <c r="N79" s="70"/>
      <c r="O79" s="27" t="s">
        <v>13</v>
      </c>
      <c r="P79" s="122">
        <v>46195</v>
      </c>
      <c r="Q79" s="122">
        <v>46195</v>
      </c>
      <c r="R79" s="122">
        <v>46195</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9"/>
      <c r="F80" s="93"/>
      <c r="G80" s="191"/>
      <c r="H80" s="196"/>
      <c r="I80" s="196"/>
      <c r="J80" s="197"/>
      <c r="K80" s="64"/>
      <c r="L80" s="130" t="s">
        <v>44</v>
      </c>
      <c r="M80" s="131">
        <v>92</v>
      </c>
      <c r="N80" s="71"/>
      <c r="O80" s="27" t="s">
        <v>380</v>
      </c>
      <c r="P80" s="114" t="s">
        <v>302</v>
      </c>
      <c r="Q80" s="114" t="s">
        <v>302</v>
      </c>
      <c r="R80" s="114" t="s">
        <v>302</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2"/>
      <c r="H81" s="198"/>
      <c r="I81" s="198"/>
      <c r="J81" s="199"/>
      <c r="K81" s="64"/>
      <c r="L81" s="1" t="s">
        <v>2</v>
      </c>
      <c r="M81" s="6" t="s">
        <v>288</v>
      </c>
      <c r="N81" s="71"/>
      <c r="O81" s="27" t="s">
        <v>381</v>
      </c>
      <c r="P81" s="182" t="s">
        <v>447</v>
      </c>
      <c r="Q81" s="182" t="s">
        <v>448</v>
      </c>
      <c r="R81" s="182" t="s">
        <v>449</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200">
        <f t="shared" ref="E82" si="172">C78</f>
        <v>1</v>
      </c>
      <c r="F82" s="93"/>
      <c r="G82" s="202" t="s">
        <v>304</v>
      </c>
      <c r="H82" s="204"/>
      <c r="I82" s="205"/>
      <c r="J82" s="205"/>
      <c r="K82" s="67"/>
      <c r="L82" s="28" t="s">
        <v>303</v>
      </c>
      <c r="M82" s="133">
        <f t="shared" ref="M82" si="173">IFERROR(INDEX(I84:I96,MATCH(MAX(J84:J96),J84:J96,0)),"")</f>
        <v>0.16549510349183036</v>
      </c>
      <c r="N82" s="71"/>
      <c r="O82" s="27" t="s">
        <v>18</v>
      </c>
      <c r="P82" s="106">
        <f>IF(P78="","",
IF(OR(P80="Orçamento",P79="",MAX('Tabela de Apoio'!$A:$A)&lt;=P79),
P78,
(INDEX('Tabela de Apoio'!$B:$B,MATCH('MAPA DE PREÇOS'!$O$8,'Tabela de Apoio'!$A:$A,1))/INDEX('Tabela de Apoio'!$B:$B,MATCH('MAPA DE PREÇOS'!P79,'Tabela de Apoio'!$A:$A,1)-1))*P78))</f>
        <v>17.600000000000001</v>
      </c>
      <c r="Q82" s="106">
        <f>IF(Q78="","",
IF(OR(Q80="Orçamento",Q79="",MAX('Tabela de Apoio'!$A:$A)&lt;=Q79),
Q78,
(INDEX('Tabela de Apoio'!$B:$B,MATCH('MAPA DE PREÇOS'!$O$8,'Tabela de Apoio'!$A:$A,1))/INDEX('Tabela de Apoio'!$B:$B,MATCH('MAPA DE PREÇOS'!Q79,'Tabela de Apoio'!$A:$A,1)-1))*Q78))</f>
        <v>24.9</v>
      </c>
      <c r="R82" s="106">
        <f>IF(R78="","",
IF(OR(R80="Orçamento",R79="",MAX('Tabela de Apoio'!$A:$A)&lt;=R79),
R78,
(INDEX('Tabela de Apoio'!$B:$B,MATCH('MAPA DE PREÇOS'!$O$8,'Tabela de Apoio'!$A:$A,1))/INDEX('Tabela de Apoio'!$B:$B,MATCH('MAPA DE PREÇOS'!R79,'Tabela de Apoio'!$A:$A,1)-1))*R78))</f>
        <v>18.05</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201"/>
      <c r="F83" s="93"/>
      <c r="G83" s="203"/>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201"/>
      <c r="F84" s="93"/>
      <c r="G84" s="203"/>
      <c r="H84" s="134">
        <f t="shared" ref="H84" si="177">COUNT($P84:$XX84)</f>
        <v>3</v>
      </c>
      <c r="I84" s="132">
        <f t="shared" ref="I84" si="178">_xlfn.STDEV.P($P83:$XX84)/AVERAGE($P83:$XX84)</f>
        <v>0.16549510349183036</v>
      </c>
      <c r="J84" s="7">
        <f>ROW()</f>
        <v>84</v>
      </c>
      <c r="K84" s="67"/>
      <c r="L84" s="29" t="s">
        <v>10</v>
      </c>
      <c r="M84" s="30">
        <f t="shared" ref="M84" si="179">IFERROR(
IF(COUNTA(P78:AI78)=COUNTIF(P80:XX80,"Orçamento"),MIN(M89,M86),
IF(M87&lt;&gt;"",M87,
IF(M88&lt;&gt;"",M88,
M86
))),"")</f>
        <v>20.183333333333334</v>
      </c>
      <c r="N84" s="71"/>
      <c r="O84" s="27" t="s">
        <v>376</v>
      </c>
      <c r="P84" s="106">
        <f t="shared" ref="P84:AI84" si="180">IFERROR(IF(P82="",
            "",
            IF(COUNT($P82:$XX82)&lt;=4,
               P82,
               IF(OR(P82&gt;(QUARTILE($P82:$XX82,3)+(QUARTILE($P82:$XX82,3)-QUARTILE($P82:$XX82,1))),
                     P82&lt;(QUARTILE($P82:$XX82,1)-(QUARTILE($P82:$XX82,3)-QUARTILE($P82:$XX82,1)))
                  ),
               "DESCARTADO",P82)
             )
  ),P82)</f>
        <v>17.600000000000001</v>
      </c>
      <c r="Q84" s="106">
        <f t="shared" si="180"/>
        <v>24.9</v>
      </c>
      <c r="R84" s="106">
        <f t="shared" si="180"/>
        <v>18.05</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201"/>
      <c r="F85" s="93"/>
      <c r="G85" s="203"/>
      <c r="H85"/>
      <c r="I85"/>
      <c r="J85"/>
      <c r="K85" s="66"/>
      <c r="L85" s="29" t="s">
        <v>360</v>
      </c>
      <c r="M85" s="30">
        <f t="shared" ref="M85" si="183">AVERAGE($P84:$XX84)</f>
        <v>20.183333333333334</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201"/>
      <c r="F86" s="93"/>
      <c r="G86" s="203"/>
      <c r="H86" s="134">
        <f t="shared" ref="H86" si="185">COUNT($P86:$XX86)</f>
        <v>3</v>
      </c>
      <c r="I86" s="132">
        <f t="shared" ref="I86" si="186">_xlfn.STDEV.P($P85:$XX86)/AVERAGE($P85:$XX86)</f>
        <v>0.16549510349183036</v>
      </c>
      <c r="J86" s="7">
        <f t="shared" ref="J86" si="187">IF(AND(H86&gt;2,
OR(L78="MÉDIA SANEADA",L78="MEDIANA SANEADA",
AND(L78="PREÇO ESTIMADO",NOT(AND(P80="Orçamento",COUNTA(P78:XX78)=COUNTIF(P80:XX80,"Orçamento")))))),
ROW(),0)</f>
        <v>86</v>
      </c>
      <c r="K86" s="66"/>
      <c r="L86" s="29" t="s">
        <v>361</v>
      </c>
      <c r="M86" s="30">
        <f t="shared" ref="M86" si="188">MEDIAN($P84:$XX84)</f>
        <v>18.05</v>
      </c>
      <c r="N86" s="71"/>
      <c r="O86" s="27" t="str">
        <f t="shared" ref="O86" si="189">"1 RODADA"</f>
        <v>1 RODADA</v>
      </c>
      <c r="P86" s="107">
        <f t="shared" ref="P86:AI86" si="190">IF(P84="","",IF((_xlfn.STDEV.P($P83:$XX84)/AVERAGE($P83:$XX84))&lt;=25%,P84,IF(OR(P84&gt;(AVERAGE($P83:$XX84)+_xlfn.STDEV.P($P83:$XX84)),P84&lt;(AVERAGE($P83:$XX84)-_xlfn.STDEV.P($P83:$XX84))),"DESCARTADO",P84)))</f>
        <v>17.600000000000001</v>
      </c>
      <c r="Q86" s="107">
        <f t="shared" si="190"/>
        <v>24.9</v>
      </c>
      <c r="R86" s="107">
        <f t="shared" si="190"/>
        <v>18.05</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201"/>
      <c r="F87" s="93"/>
      <c r="G87" s="203"/>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20.183333333333334</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201"/>
      <c r="F88" s="93"/>
      <c r="G88" s="203"/>
      <c r="H88" s="134">
        <f t="shared" ref="H88" si="193">COUNT($P88:$XX88)</f>
        <v>3</v>
      </c>
      <c r="I88" s="132">
        <f t="shared" ref="I88" si="194">_xlfn.STDEV.P($P87:$XX88)/AVERAGE($P87:$XX88)</f>
        <v>0.16549510349183036</v>
      </c>
      <c r="J88" s="7">
        <f t="shared" ref="J88" si="195">IF(AND(H88&gt;2,
OR(L78="MÉDIA SANEADA",L78="MEDIANA SANEADA",
AND(L78="PREÇO ESTIMADO",NOT(AND(P80="Orçamento",COUNTA(P78:XX78)=COUNTIF(P80:XX80,"Orçamento")))))),
ROW(),0)</f>
        <v>88</v>
      </c>
      <c r="K88" s="66"/>
      <c r="L88" s="29" t="s">
        <v>362</v>
      </c>
      <c r="M88" s="30">
        <f t="shared" ref="M88" si="196" xml:space="preserve">
IF(H86&gt;2,MEDIAN(P85:XX86),
IF(H88&gt;2,MEDIAN(P87:XX88),
IF(H90&gt;2,MEDIAN(P89:XX90),
IF(H92&gt;2,MEDIAN(P91:XX92),
IF(H94&gt;2,MEDIAN(P93:XX94),
IF(H96&gt;2,MEDIAN(P95:XX96),
MEDIAN(P83:XX84)))))))</f>
        <v>18.05</v>
      </c>
      <c r="N88" s="71"/>
      <c r="O88" s="27" t="str">
        <f t="shared" ref="O88" si="197">"2 RODADA"</f>
        <v>2 RODADA</v>
      </c>
      <c r="P88" s="107">
        <f t="shared" ref="P88:AI88" si="198">IF(P86="","",IF((_xlfn.STDEV.P($P85:$XX86)/AVERAGE($P85:$XX86))&lt;=25%,P86,IF(OR(P86&gt;(AVERAGE($P85:$XX86)+_xlfn.STDEV.P($P85:$XX86)),P86&lt;(AVERAGE($P85:$XX86)-_xlfn.STDEV.P($P85:$XX86))),"DESCARTADO",P86)))</f>
        <v>17.600000000000001</v>
      </c>
      <c r="Q88" s="107">
        <f t="shared" si="198"/>
        <v>24.9</v>
      </c>
      <c r="R88" s="107">
        <f t="shared" si="198"/>
        <v>18.05</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201"/>
      <c r="F89" s="93"/>
      <c r="G89" s="203"/>
      <c r="H89"/>
      <c r="I89"/>
      <c r="J89"/>
      <c r="K89" s="66"/>
      <c r="L89" s="29" t="s">
        <v>359</v>
      </c>
      <c r="M89" s="30">
        <f t="shared" ref="M89" si="199">HARMEAN($P83:$XX84)</f>
        <v>19.687560199607589</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201"/>
      <c r="F90" s="93"/>
      <c r="G90" s="203"/>
      <c r="H90" s="134">
        <f t="shared" ref="H90" si="201">COUNT($P90:$XX90)</f>
        <v>3</v>
      </c>
      <c r="I90" s="132">
        <f t="shared" ref="I90" si="202">_xlfn.STDEV.P($P89:$XX90)/AVERAGE($P89:$XX90)</f>
        <v>0.16549510349183036</v>
      </c>
      <c r="J90" s="7">
        <f t="shared" ref="J90" si="203">IF(AND(H90&gt;2,
OR(L78="MÉDIA SANEADA",L78="MEDIANA SANEADA",
AND(L78="PREÇO ESTIMADO",NOT(AND(P80="Orçamento",COUNTA(P78:XX78)=COUNTIF(P80:XX80,"Orçamento")))))),
ROW(),0)</f>
        <v>90</v>
      </c>
      <c r="K90" s="66"/>
      <c r="L90" s="29" t="s">
        <v>41</v>
      </c>
      <c r="M90" s="30">
        <f t="shared" ref="M90" si="204">IFERROR(_xlfn.QUARTILE.EXC($P84:$XX84,1),"")</f>
        <v>17.600000000000001</v>
      </c>
      <c r="N90" s="71"/>
      <c r="O90" s="27" t="str">
        <f t="shared" ref="O90" si="205">"3 RODADA"</f>
        <v>3 RODADA</v>
      </c>
      <c r="P90" s="107">
        <f t="shared" ref="P90:AI90" si="206">IF(P88="","",IF((_xlfn.STDEV.P($P87:$XX88)/AVERAGE($P87:$XX88))&lt;=25%,P88,IF(OR(P88&gt;(AVERAGE($P87:$XX88)+_xlfn.STDEV.P($P87:$XX88)),P88&lt;(AVERAGE($P87:$XX88)-_xlfn.STDEV.P($P87:$XX88))),"DESCARTADO",P88)))</f>
        <v>17.600000000000001</v>
      </c>
      <c r="Q90" s="107">
        <f t="shared" si="206"/>
        <v>24.9</v>
      </c>
      <c r="R90" s="107">
        <f t="shared" si="206"/>
        <v>18.05</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201"/>
      <c r="F91" s="93"/>
      <c r="G91" s="203"/>
      <c r="H91"/>
      <c r="I91"/>
      <c r="J91"/>
      <c r="K91" s="66"/>
      <c r="L91" s="29" t="s">
        <v>39</v>
      </c>
      <c r="M91" s="30">
        <f t="shared" ref="M91" si="207">IFERROR(_xlfn.QUARTILE.EXC($P84:$XX84,3),"")</f>
        <v>24.9</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201"/>
      <c r="F92" s="93"/>
      <c r="G92" s="203"/>
      <c r="H92" s="134">
        <f t="shared" ref="H92" si="209">COUNT($P92:$XX92)</f>
        <v>3</v>
      </c>
      <c r="I92" s="132">
        <f t="shared" ref="I92" si="210">_xlfn.STDEV.P($P91:$XX92)/AVERAGE($P91:$XX92)</f>
        <v>0.16549510349183036</v>
      </c>
      <c r="J92" s="7">
        <f t="shared" ref="J92" si="211">IF(AND(H92&gt;2,
OR(L78="MÉDIA SANEADA",L78="MEDIANA SANEADA",
AND(L78="PREÇO ESTIMADO",NOT(AND(P80="Orçamento",COUNTA(P78:XX78)=COUNTIF(P80:XX80,"Orçamento")))))),
ROW(),0)</f>
        <v>92</v>
      </c>
      <c r="K92" s="66"/>
      <c r="L92" s="29" t="s">
        <v>42</v>
      </c>
      <c r="M92" s="30">
        <f t="shared" ref="M92" si="212">MIN($P84:$XX84)</f>
        <v>17.600000000000001</v>
      </c>
      <c r="N92" s="71"/>
      <c r="O92" s="27" t="str">
        <f t="shared" ref="O92" si="213">"4 RODADA"</f>
        <v>4 RODADA</v>
      </c>
      <c r="P92" s="107">
        <f t="shared" ref="P92:AI92" si="214">IF(P90="","",IF((_xlfn.STDEV.P($P89:$XX90)/AVERAGE($P89:$XX90))&lt;=25%,P90,IF(OR(P90&gt;(AVERAGE($P89:$XX90)+_xlfn.STDEV.P($P89:$XX90)),P90&lt;(AVERAGE($P89:$XX90)-_xlfn.STDEV.P($P89:$XX90))),"DESCARTADO",P90)))</f>
        <v>17.600000000000001</v>
      </c>
      <c r="Q92" s="107">
        <f t="shared" si="214"/>
        <v>24.9</v>
      </c>
      <c r="R92" s="107">
        <f t="shared" si="214"/>
        <v>18.05</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201"/>
      <c r="F93" s="93"/>
      <c r="G93" s="203"/>
      <c r="H93"/>
      <c r="I93"/>
      <c r="J93"/>
      <c r="K93" s="66"/>
      <c r="L93" s="29" t="s">
        <v>40</v>
      </c>
      <c r="M93" s="30">
        <f t="shared" ref="M93" si="215">MAX($P84:$XX84)</f>
        <v>24.9</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201"/>
      <c r="F94" s="93"/>
      <c r="G94" s="203"/>
      <c r="H94" s="134">
        <f t="shared" ref="H94" si="217">COUNT($P94:$XX94)</f>
        <v>3</v>
      </c>
      <c r="I94" s="132">
        <f t="shared" ref="I94" si="218">_xlfn.STDEV.P($P93:$XX94)/AVERAGE($P93:$XX94)</f>
        <v>0.16549510349183036</v>
      </c>
      <c r="J94" s="7">
        <f t="shared" ref="J94" si="219">IF(AND(H94&gt;2,
OR(L78="MÉDIA SANEADA",L78="MEDIANA SANEADA",
AND(L78="PREÇO ESTIMADO",NOT(AND(P80="Orçamento",COUNTA(P78:XX78)=COUNTIF(P80:XX80,"Orçamento")))))),
ROW(),0)</f>
        <v>94</v>
      </c>
      <c r="K94" s="66"/>
      <c r="N94" s="71"/>
      <c r="O94" s="27" t="str">
        <f t="shared" ref="O94" si="220">"5 RODADA"</f>
        <v>5 RODADA</v>
      </c>
      <c r="P94" s="107">
        <f t="shared" ref="P94:AI94" si="221">IF(P92="","",IF((_xlfn.STDEV.P($P91:$XX92)/AVERAGE($P91:$XX92))&lt;=25%,P92,IF(OR(P92&gt;(AVERAGE($P91:$XX92)+_xlfn.STDEV.P($P91:$XX92)),P92&lt;(AVERAGE($P91:$XX92)-_xlfn.STDEV.P($P91:$XX92))),"DESCARTADO",P92)))</f>
        <v>17.600000000000001</v>
      </c>
      <c r="Q94" s="107">
        <f t="shared" si="221"/>
        <v>24.9</v>
      </c>
      <c r="R94" s="107">
        <f t="shared" si="221"/>
        <v>18.05</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201"/>
      <c r="F95" s="93"/>
      <c r="G95" s="203"/>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201"/>
      <c r="F96" s="93"/>
      <c r="G96" s="203"/>
      <c r="H96" s="134">
        <f t="shared" ref="H96" si="223">COUNT($P96:$XX96)</f>
        <v>3</v>
      </c>
      <c r="I96" s="132">
        <f t="shared" ref="I96" si="224">_xlfn.STDEV.P($P95:$XX96)/AVERAGE($P95:$XX96)</f>
        <v>0.16549510349183036</v>
      </c>
      <c r="J96" s="7">
        <f t="shared" ref="J96" si="225">IF(AND(H96&gt;2,
OR(L78="MÉDIA SANEADA",L78="MEDIANA SANEADA",
AND(L78="PREÇO ESTIMADO",NOT(AND(P80="Orçamento",COUNTA(P78:XX78)=COUNTIF(P80:XX80,"Orçamento")))))),
ROW(),0)</f>
        <v>96</v>
      </c>
      <c r="N96" s="71"/>
      <c r="O96" s="27" t="str">
        <f t="shared" ref="O96" si="226">"6 RODADA"</f>
        <v>6 RODADA</v>
      </c>
      <c r="P96" s="107">
        <f t="shared" ref="P96:AI96" si="227">IFERROR(IF(P94="","",IF((_xlfn.STDEV.P($P93:$XX94)/AVERAGE($P93:$XX94))&lt;=25%,P94,IF(OR(P94&gt;(AVERAGE($P93:$XX94)+_xlfn.STDEV.P($P93:$XX94)),P94&lt;(AVERAGE($P93:$XX94)-_xlfn.STDEV.P($P93:$XX94))),"DESCARTADO",P94))),)</f>
        <v>17.600000000000001</v>
      </c>
      <c r="Q96" s="107">
        <f t="shared" si="227"/>
        <v>24.9</v>
      </c>
      <c r="R96" s="107">
        <f t="shared" si="227"/>
        <v>18.05</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201"/>
      <c r="F97" s="136"/>
      <c r="G97" s="203"/>
      <c r="H97" s="206"/>
      <c r="I97" s="206"/>
      <c r="J97" s="207"/>
      <c r="K97" s="67"/>
      <c r="L97" s="1" t="s">
        <v>43</v>
      </c>
      <c r="M97" s="143">
        <f t="shared" ref="M97" si="228">IFERROR(ROUND(M78*M80,2),"")</f>
        <v>1856.56</v>
      </c>
      <c r="O97" s="27" t="s">
        <v>363</v>
      </c>
      <c r="P97" s="107">
        <f t="shared" ref="P97:AI118" si="229">INDEX(P84:P96,MATCH(MAX($J84:$J96),$J84:$J96,0))</f>
        <v>17.600000000000001</v>
      </c>
      <c r="Q97" s="107">
        <f t="shared" si="229"/>
        <v>24.9</v>
      </c>
      <c r="R97" s="107">
        <f t="shared" si="229"/>
        <v>18.05</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81" t="s">
        <v>16</v>
      </c>
      <c r="J99" s="6">
        <f>INDEX('BASE FORMAÇÃO'!K:K,B99+1)</f>
        <v>0</v>
      </c>
      <c r="K99" s="65"/>
      <c r="L99" s="184" t="s">
        <v>10</v>
      </c>
      <c r="M99" s="186">
        <f t="shared" ref="M99" si="232">IF(OR(ISBLANK($O$8),ISBLANK($O$7),ISBLANK($H$8),ISBLANK($O$6),ISBLANK($O$5),ISBLANK($H$5)),"",IFERROR(IF(VLOOKUP(L99,L105:M114,2,FALSE)&lt;1,ROUND(VLOOKUP(L99,L105:M114,2,FALSE),4),ROUND(VLOOKUP(L99,L105:M114,2,FALSE),2)),""))</f>
        <v>22.07</v>
      </c>
      <c r="N99" s="69"/>
      <c r="O99" s="27" t="s">
        <v>17</v>
      </c>
      <c r="P99" s="113">
        <v>22.5</v>
      </c>
      <c r="Q99" s="113">
        <v>19.3</v>
      </c>
      <c r="R99" s="113">
        <v>24.4</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8">
        <f t="shared" ref="E100" si="234">D99</f>
        <v>5</v>
      </c>
      <c r="F100" s="92"/>
      <c r="G100" s="190" t="s">
        <v>1</v>
      </c>
      <c r="H100" s="193" t="s">
        <v>451</v>
      </c>
      <c r="I100" s="194"/>
      <c r="J100" s="195"/>
      <c r="K100" s="66"/>
      <c r="L100" s="185"/>
      <c r="M100" s="187"/>
      <c r="N100" s="70"/>
      <c r="O100" s="27" t="s">
        <v>13</v>
      </c>
      <c r="P100" s="122">
        <v>46195</v>
      </c>
      <c r="Q100" s="122">
        <v>46195</v>
      </c>
      <c r="R100" s="122">
        <v>46195</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9"/>
      <c r="F101" s="93"/>
      <c r="G101" s="191"/>
      <c r="H101" s="196"/>
      <c r="I101" s="196"/>
      <c r="J101" s="197"/>
      <c r="K101" s="64"/>
      <c r="L101" s="130" t="s">
        <v>44</v>
      </c>
      <c r="M101" s="131">
        <v>4</v>
      </c>
      <c r="N101" s="71"/>
      <c r="O101" s="27" t="s">
        <v>380</v>
      </c>
      <c r="P101" s="114" t="s">
        <v>302</v>
      </c>
      <c r="Q101" s="114" t="s">
        <v>302</v>
      </c>
      <c r="R101" s="114" t="s">
        <v>302</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2"/>
      <c r="H102" s="198"/>
      <c r="I102" s="198"/>
      <c r="J102" s="199"/>
      <c r="K102" s="64"/>
      <c r="L102" s="1" t="s">
        <v>2</v>
      </c>
      <c r="M102" s="6" t="s">
        <v>288</v>
      </c>
      <c r="N102" s="71"/>
      <c r="O102" s="27" t="s">
        <v>381</v>
      </c>
      <c r="P102" s="182" t="s">
        <v>452</v>
      </c>
      <c r="Q102" s="182" t="s">
        <v>453</v>
      </c>
      <c r="R102" s="182" t="s">
        <v>454</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200">
        <f t="shared" ref="E103" si="238">C99</f>
        <v>1</v>
      </c>
      <c r="F103" s="93"/>
      <c r="G103" s="202" t="s">
        <v>304</v>
      </c>
      <c r="H103" s="204"/>
      <c r="I103" s="205"/>
      <c r="J103" s="205"/>
      <c r="K103" s="67"/>
      <c r="L103" s="28" t="s">
        <v>303</v>
      </c>
      <c r="M103" s="133">
        <f t="shared" ref="M103" si="239">IFERROR(INDEX(I105:I117,MATCH(MAX(J105:J117),J105:J117,0)),"")</f>
        <v>9.5369752976825345E-2</v>
      </c>
      <c r="N103" s="71"/>
      <c r="O103" s="27" t="s">
        <v>18</v>
      </c>
      <c r="P103" s="106">
        <f>IF(P99="","",
IF(OR(P101="Orçamento",P100="",MAX('Tabela de Apoio'!$A:$A)&lt;=P100),
P99,
(INDEX('Tabela de Apoio'!$B:$B,MATCH('MAPA DE PREÇOS'!$O$8,'Tabela de Apoio'!$A:$A,1))/INDEX('Tabela de Apoio'!$B:$B,MATCH('MAPA DE PREÇOS'!P100,'Tabela de Apoio'!$A:$A,1)-1))*P99))</f>
        <v>22.5</v>
      </c>
      <c r="Q103" s="106">
        <f>IF(Q99="","",
IF(OR(Q101="Orçamento",Q100="",MAX('Tabela de Apoio'!$A:$A)&lt;=Q100),
Q99,
(INDEX('Tabela de Apoio'!$B:$B,MATCH('MAPA DE PREÇOS'!$O$8,'Tabela de Apoio'!$A:$A,1))/INDEX('Tabela de Apoio'!$B:$B,MATCH('MAPA DE PREÇOS'!Q100,'Tabela de Apoio'!$A:$A,1)-1))*Q99))</f>
        <v>19.3</v>
      </c>
      <c r="R103" s="106">
        <f>IF(R99="","",
IF(OR(R101="Orçamento",R100="",MAX('Tabela de Apoio'!$A:$A)&lt;=R100),
R99,
(INDEX('Tabela de Apoio'!$B:$B,MATCH('MAPA DE PREÇOS'!$O$8,'Tabela de Apoio'!$A:$A,1))/INDEX('Tabela de Apoio'!$B:$B,MATCH('MAPA DE PREÇOS'!R100,'Tabela de Apoio'!$A:$A,1)-1))*R99))</f>
        <v>24.4</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201"/>
      <c r="F104" s="93"/>
      <c r="G104" s="203"/>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201"/>
      <c r="F105" s="93"/>
      <c r="G105" s="203"/>
      <c r="H105" s="134">
        <f t="shared" ref="H105" si="243">COUNT($P105:$XX105)</f>
        <v>3</v>
      </c>
      <c r="I105" s="132">
        <f t="shared" ref="I105" si="244">_xlfn.STDEV.P($P104:$XX105)/AVERAGE($P104:$XX105)</f>
        <v>9.5369752976825345E-2</v>
      </c>
      <c r="J105" s="7">
        <f>ROW()</f>
        <v>105</v>
      </c>
      <c r="K105" s="67"/>
      <c r="L105" s="29" t="s">
        <v>10</v>
      </c>
      <c r="M105" s="30">
        <f t="shared" ref="M105" si="245">IFERROR(
IF(COUNTA(P99:AI99)=COUNTIF(P101:XX101,"Orçamento"),MIN(M110,M107),
IF(M108&lt;&gt;"",M108,
IF(M109&lt;&gt;"",M109,
M107
))),"")</f>
        <v>22.066666666666663</v>
      </c>
      <c r="N105" s="71"/>
      <c r="O105" s="27" t="s">
        <v>376</v>
      </c>
      <c r="P105" s="106">
        <f t="shared" ref="P105:AI105" si="246">IFERROR(IF(P103="",
            "",
            IF(COUNT($P103:$XX103)&lt;=4,
               P103,
               IF(OR(P103&gt;(QUARTILE($P103:$XX103,3)+(QUARTILE($P103:$XX103,3)-QUARTILE($P103:$XX103,1))),
                     P103&lt;(QUARTILE($P103:$XX103,1)-(QUARTILE($P103:$XX103,3)-QUARTILE($P103:$XX103,1)))
                  ),
               "DESCARTADO",P103)
             )
  ),P103)</f>
        <v>22.5</v>
      </c>
      <c r="Q105" s="106">
        <f t="shared" si="246"/>
        <v>19.3</v>
      </c>
      <c r="R105" s="106">
        <f t="shared" si="246"/>
        <v>24.4</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201"/>
      <c r="F106" s="93"/>
      <c r="G106" s="203"/>
      <c r="H106"/>
      <c r="I106"/>
      <c r="J106"/>
      <c r="K106" s="66"/>
      <c r="L106" s="29" t="s">
        <v>360</v>
      </c>
      <c r="M106" s="30">
        <f t="shared" ref="M106" si="249">AVERAGE($P105:$XX105)</f>
        <v>22.066666666666663</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201"/>
      <c r="F107" s="93"/>
      <c r="G107" s="203"/>
      <c r="H107" s="134">
        <f t="shared" ref="H107" si="251">COUNT($P107:$XX107)</f>
        <v>3</v>
      </c>
      <c r="I107" s="132">
        <f t="shared" ref="I107" si="252">_xlfn.STDEV.P($P106:$XX107)/AVERAGE($P106:$XX107)</f>
        <v>9.5369752976825345E-2</v>
      </c>
      <c r="J107" s="7">
        <f t="shared" ref="J107" si="253">IF(AND(H107&gt;2,
OR(L99="MÉDIA SANEADA",L99="MEDIANA SANEADA",
AND(L99="PREÇO ESTIMADO",NOT(AND(P101="Orçamento",COUNTA(P99:XX99)=COUNTIF(P101:XX101,"Orçamento")))))),
ROW(),0)</f>
        <v>107</v>
      </c>
      <c r="K107" s="66"/>
      <c r="L107" s="29" t="s">
        <v>361</v>
      </c>
      <c r="M107" s="30">
        <f t="shared" ref="M107" si="254">MEDIAN($P105:$XX105)</f>
        <v>22.5</v>
      </c>
      <c r="N107" s="71"/>
      <c r="O107" s="27" t="str">
        <f t="shared" ref="O107" si="255">"1 RODADA"</f>
        <v>1 RODADA</v>
      </c>
      <c r="P107" s="107">
        <f t="shared" ref="P107:AI107" si="256">IF(P105="","",IF((_xlfn.STDEV.P($P104:$XX105)/AVERAGE($P104:$XX105))&lt;=25%,P105,IF(OR(P105&gt;(AVERAGE($P104:$XX105)+_xlfn.STDEV.P($P104:$XX105)),P105&lt;(AVERAGE($P104:$XX105)-_xlfn.STDEV.P($P104:$XX105))),"DESCARTADO",P105)))</f>
        <v>22.5</v>
      </c>
      <c r="Q107" s="107">
        <f t="shared" si="256"/>
        <v>19.3</v>
      </c>
      <c r="R107" s="107">
        <f t="shared" si="256"/>
        <v>24.4</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201"/>
      <c r="F108" s="93"/>
      <c r="G108" s="203"/>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22.066666666666663</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201"/>
      <c r="F109" s="93"/>
      <c r="G109" s="203"/>
      <c r="H109" s="134">
        <f t="shared" ref="H109" si="259">COUNT($P109:$XX109)</f>
        <v>3</v>
      </c>
      <c r="I109" s="132">
        <f t="shared" ref="I109" si="260">_xlfn.STDEV.P($P108:$XX109)/AVERAGE($P108:$XX109)</f>
        <v>9.5369752976825345E-2</v>
      </c>
      <c r="J109" s="7">
        <f t="shared" ref="J109" si="261">IF(AND(H109&gt;2,
OR(L99="MÉDIA SANEADA",L99="MEDIANA SANEADA",
AND(L99="PREÇO ESTIMADO",NOT(AND(P101="Orçamento",COUNTA(P99:XX99)=COUNTIF(P101:XX101,"Orçamento")))))),
ROW(),0)</f>
        <v>109</v>
      </c>
      <c r="K109" s="66"/>
      <c r="L109" s="29" t="s">
        <v>362</v>
      </c>
      <c r="M109" s="30">
        <f t="shared" ref="M109" si="262" xml:space="preserve">
IF(H107&gt;2,MEDIAN(P106:XX107),
IF(H109&gt;2,MEDIAN(P108:XX109),
IF(H111&gt;2,MEDIAN(P110:XX111),
IF(H113&gt;2,MEDIAN(P112:XX113),
IF(H115&gt;2,MEDIAN(P114:XX115),
IF(H117&gt;2,MEDIAN(P116:XX117),
MEDIAN(P104:XX105)))))))</f>
        <v>22.5</v>
      </c>
      <c r="N109" s="71"/>
      <c r="O109" s="27" t="str">
        <f t="shared" ref="O109" si="263">"2 RODADA"</f>
        <v>2 RODADA</v>
      </c>
      <c r="P109" s="107">
        <f t="shared" ref="P109:AI109" si="264">IF(P107="","",IF((_xlfn.STDEV.P($P106:$XX107)/AVERAGE($P106:$XX107))&lt;=25%,P107,IF(OR(P107&gt;(AVERAGE($P106:$XX107)+_xlfn.STDEV.P($P106:$XX107)),P107&lt;(AVERAGE($P106:$XX107)-_xlfn.STDEV.P($P106:$XX107))),"DESCARTADO",P107)))</f>
        <v>22.5</v>
      </c>
      <c r="Q109" s="107">
        <f t="shared" si="264"/>
        <v>19.3</v>
      </c>
      <c r="R109" s="107">
        <f t="shared" si="264"/>
        <v>24.4</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201"/>
      <c r="F110" s="93"/>
      <c r="G110" s="203"/>
      <c r="H110"/>
      <c r="I110"/>
      <c r="J110"/>
      <c r="K110" s="66"/>
      <c r="L110" s="29" t="s">
        <v>359</v>
      </c>
      <c r="M110" s="30">
        <f t="shared" ref="M110" si="265">HARMEAN($P104:$XX105)</f>
        <v>21.859273675017363</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201"/>
      <c r="F111" s="93"/>
      <c r="G111" s="203"/>
      <c r="H111" s="134">
        <f t="shared" ref="H111" si="267">COUNT($P111:$XX111)</f>
        <v>3</v>
      </c>
      <c r="I111" s="132">
        <f t="shared" ref="I111" si="268">_xlfn.STDEV.P($P110:$XX111)/AVERAGE($P110:$XX111)</f>
        <v>9.5369752976825345E-2</v>
      </c>
      <c r="J111" s="7">
        <f t="shared" ref="J111" si="269">IF(AND(H111&gt;2,
OR(L99="MÉDIA SANEADA",L99="MEDIANA SANEADA",
AND(L99="PREÇO ESTIMADO",NOT(AND(P101="Orçamento",COUNTA(P99:XX99)=COUNTIF(P101:XX101,"Orçamento")))))),
ROW(),0)</f>
        <v>111</v>
      </c>
      <c r="K111" s="66"/>
      <c r="L111" s="29" t="s">
        <v>41</v>
      </c>
      <c r="M111" s="30">
        <f t="shared" ref="M111" si="270">IFERROR(_xlfn.QUARTILE.EXC($P105:$XX105,1),"")</f>
        <v>19.3</v>
      </c>
      <c r="N111" s="71"/>
      <c r="O111" s="27" t="str">
        <f t="shared" ref="O111" si="271">"3 RODADA"</f>
        <v>3 RODADA</v>
      </c>
      <c r="P111" s="107">
        <f t="shared" ref="P111:AI111" si="272">IF(P109="","",IF((_xlfn.STDEV.P($P108:$XX109)/AVERAGE($P108:$XX109))&lt;=25%,P109,IF(OR(P109&gt;(AVERAGE($P108:$XX109)+_xlfn.STDEV.P($P108:$XX109)),P109&lt;(AVERAGE($P108:$XX109)-_xlfn.STDEV.P($P108:$XX109))),"DESCARTADO",P109)))</f>
        <v>22.5</v>
      </c>
      <c r="Q111" s="107">
        <f t="shared" si="272"/>
        <v>19.3</v>
      </c>
      <c r="R111" s="107">
        <f t="shared" si="272"/>
        <v>24.4</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201"/>
      <c r="F112" s="93"/>
      <c r="G112" s="203"/>
      <c r="H112"/>
      <c r="I112"/>
      <c r="J112"/>
      <c r="K112" s="66"/>
      <c r="L112" s="29" t="s">
        <v>39</v>
      </c>
      <c r="M112" s="30">
        <f t="shared" ref="M112" si="273">IFERROR(_xlfn.QUARTILE.EXC($P105:$XX105,3),"")</f>
        <v>24.4</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201"/>
      <c r="F113" s="93"/>
      <c r="G113" s="203"/>
      <c r="H113" s="134">
        <f t="shared" ref="H113" si="275">COUNT($P113:$XX113)</f>
        <v>3</v>
      </c>
      <c r="I113" s="132">
        <f t="shared" ref="I113" si="276">_xlfn.STDEV.P($P112:$XX113)/AVERAGE($P112:$XX113)</f>
        <v>9.5369752976825345E-2</v>
      </c>
      <c r="J113" s="7">
        <f t="shared" ref="J113" si="277">IF(AND(H113&gt;2,
OR(L99="MÉDIA SANEADA",L99="MEDIANA SANEADA",
AND(L99="PREÇO ESTIMADO",NOT(AND(P101="Orçamento",COUNTA(P99:XX99)=COUNTIF(P101:XX101,"Orçamento")))))),
ROW(),0)</f>
        <v>113</v>
      </c>
      <c r="K113" s="66"/>
      <c r="L113" s="29" t="s">
        <v>42</v>
      </c>
      <c r="M113" s="30">
        <f t="shared" ref="M113" si="278">MIN($P105:$XX105)</f>
        <v>19.3</v>
      </c>
      <c r="N113" s="71"/>
      <c r="O113" s="27" t="str">
        <f t="shared" ref="O113" si="279">"4 RODADA"</f>
        <v>4 RODADA</v>
      </c>
      <c r="P113" s="107">
        <f t="shared" ref="P113:AI113" si="280">IF(P111="","",IF((_xlfn.STDEV.P($P110:$XX111)/AVERAGE($P110:$XX111))&lt;=25%,P111,IF(OR(P111&gt;(AVERAGE($P110:$XX111)+_xlfn.STDEV.P($P110:$XX111)),P111&lt;(AVERAGE($P110:$XX111)-_xlfn.STDEV.P($P110:$XX111))),"DESCARTADO",P111)))</f>
        <v>22.5</v>
      </c>
      <c r="Q113" s="107">
        <f t="shared" si="280"/>
        <v>19.3</v>
      </c>
      <c r="R113" s="107">
        <f t="shared" si="280"/>
        <v>24.4</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201"/>
      <c r="F114" s="93"/>
      <c r="G114" s="203"/>
      <c r="H114"/>
      <c r="I114"/>
      <c r="J114"/>
      <c r="K114" s="66"/>
      <c r="L114" s="29" t="s">
        <v>40</v>
      </c>
      <c r="M114" s="30">
        <f t="shared" ref="M114" si="281">MAX($P105:$XX105)</f>
        <v>24.4</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201"/>
      <c r="F115" s="93"/>
      <c r="G115" s="203"/>
      <c r="H115" s="134">
        <f t="shared" ref="H115" si="283">COUNT($P115:$XX115)</f>
        <v>3</v>
      </c>
      <c r="I115" s="132">
        <f t="shared" ref="I115" si="284">_xlfn.STDEV.P($P114:$XX115)/AVERAGE($P114:$XX115)</f>
        <v>9.5369752976825345E-2</v>
      </c>
      <c r="J115" s="7">
        <f t="shared" ref="J115" si="285">IF(AND(H115&gt;2,
OR(L99="MÉDIA SANEADA",L99="MEDIANA SANEADA",
AND(L99="PREÇO ESTIMADO",NOT(AND(P101="Orçamento",COUNTA(P99:XX99)=COUNTIF(P101:XX101,"Orçamento")))))),
ROW(),0)</f>
        <v>115</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22.5</v>
      </c>
      <c r="Q115" s="107">
        <f t="shared" si="287"/>
        <v>19.3</v>
      </c>
      <c r="R115" s="107">
        <f t="shared" si="287"/>
        <v>24.4</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201"/>
      <c r="F116" s="93"/>
      <c r="G116" s="203"/>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201"/>
      <c r="F117" s="93"/>
      <c r="G117" s="203"/>
      <c r="H117" s="134">
        <f t="shared" ref="H117" si="289">COUNT($P117:$XX117)</f>
        <v>3</v>
      </c>
      <c r="I117" s="132">
        <f t="shared" ref="I117" si="290">_xlfn.STDEV.P($P116:$XX117)/AVERAGE($P116:$XX117)</f>
        <v>9.5369752976825345E-2</v>
      </c>
      <c r="J117" s="7">
        <f t="shared" ref="J117" si="291">IF(AND(H117&gt;2,
OR(L99="MÉDIA SANEADA",L99="MEDIANA SANEADA",
AND(L99="PREÇO ESTIMADO",NOT(AND(P101="Orçamento",COUNTA(P99:XX99)=COUNTIF(P101:XX101,"Orçamento")))))),
ROW(),0)</f>
        <v>117</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22.5</v>
      </c>
      <c r="Q117" s="107">
        <f t="shared" si="293"/>
        <v>19.3</v>
      </c>
      <c r="R117" s="107">
        <f t="shared" si="293"/>
        <v>24.4</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201"/>
      <c r="F118" s="136"/>
      <c r="G118" s="203"/>
      <c r="H118" s="206"/>
      <c r="I118" s="206"/>
      <c r="J118" s="207"/>
      <c r="K118" s="67"/>
      <c r="L118" s="1" t="s">
        <v>43</v>
      </c>
      <c r="M118" s="143">
        <f t="shared" ref="M118" si="294">IFERROR(ROUND(M99*M101,2),"")</f>
        <v>88.28</v>
      </c>
      <c r="O118" s="27" t="s">
        <v>363</v>
      </c>
      <c r="P118" s="107">
        <f t="shared" ref="P118:R118" si="295">INDEX(P105:P117,MATCH(MAX($J105:$J117),$J105:$J117,0))</f>
        <v>22.5</v>
      </c>
      <c r="Q118" s="107">
        <f t="shared" si="295"/>
        <v>19.3</v>
      </c>
      <c r="R118" s="107">
        <f t="shared" si="295"/>
        <v>24.4</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81" t="s">
        <v>16</v>
      </c>
      <c r="J120" s="6">
        <f>INDEX('BASE FORMAÇÃO'!K:K,B120+1)</f>
        <v>0</v>
      </c>
      <c r="K120" s="65"/>
      <c r="L120" s="184" t="s">
        <v>10</v>
      </c>
      <c r="M120" s="186">
        <f t="shared" ref="M120" si="298">IF(OR(ISBLANK($O$8),ISBLANK($O$7),ISBLANK($H$8),ISBLANK($O$6),ISBLANK($O$5),ISBLANK($H$5)),"",IFERROR(IF(VLOOKUP(L120,L126:M135,2,FALSE)&lt;1,ROUND(VLOOKUP(L120,L126:M135,2,FALSE),4),ROUND(VLOOKUP(L120,L126:M135,2,FALSE),2)),""))</f>
        <v>14.64</v>
      </c>
      <c r="N120" s="69"/>
      <c r="O120" s="27" t="s">
        <v>17</v>
      </c>
      <c r="P120" s="113">
        <v>17.09</v>
      </c>
      <c r="Q120" s="113">
        <v>9.84</v>
      </c>
      <c r="R120" s="113">
        <v>16.989999999999998</v>
      </c>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8">
        <f t="shared" ref="E121" si="300">D120</f>
        <v>6</v>
      </c>
      <c r="F121" s="92"/>
      <c r="G121" s="190" t="s">
        <v>1</v>
      </c>
      <c r="H121" s="193" t="s">
        <v>455</v>
      </c>
      <c r="I121" s="194"/>
      <c r="J121" s="195"/>
      <c r="K121" s="66"/>
      <c r="L121" s="185"/>
      <c r="M121" s="187"/>
      <c r="N121" s="70"/>
      <c r="O121" s="27" t="s">
        <v>13</v>
      </c>
      <c r="P121" s="122">
        <v>46195</v>
      </c>
      <c r="Q121" s="122">
        <v>46195</v>
      </c>
      <c r="R121" s="122">
        <v>46195</v>
      </c>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9"/>
      <c r="F122" s="93"/>
      <c r="G122" s="191"/>
      <c r="H122" s="196"/>
      <c r="I122" s="196"/>
      <c r="J122" s="197"/>
      <c r="K122" s="64"/>
      <c r="L122" s="130" t="s">
        <v>44</v>
      </c>
      <c r="M122" s="131">
        <v>4</v>
      </c>
      <c r="N122" s="71"/>
      <c r="O122" s="27" t="s">
        <v>380</v>
      </c>
      <c r="P122" s="114" t="s">
        <v>302</v>
      </c>
      <c r="Q122" s="114" t="s">
        <v>302</v>
      </c>
      <c r="R122" s="114" t="s">
        <v>302</v>
      </c>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2"/>
      <c r="H123" s="198"/>
      <c r="I123" s="198"/>
      <c r="J123" s="199"/>
      <c r="K123" s="64"/>
      <c r="L123" s="1" t="s">
        <v>2</v>
      </c>
      <c r="M123" s="6" t="s">
        <v>288</v>
      </c>
      <c r="N123" s="71"/>
      <c r="O123" s="27" t="s">
        <v>381</v>
      </c>
      <c r="P123" s="182" t="s">
        <v>456</v>
      </c>
      <c r="Q123" s="182" t="s">
        <v>457</v>
      </c>
      <c r="R123" s="182" t="s">
        <v>458</v>
      </c>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200">
        <f t="shared" ref="E124" si="304">C120</f>
        <v>1</v>
      </c>
      <c r="F124" s="93"/>
      <c r="G124" s="202" t="s">
        <v>304</v>
      </c>
      <c r="H124" s="204"/>
      <c r="I124" s="205"/>
      <c r="J124" s="205"/>
      <c r="K124" s="67"/>
      <c r="L124" s="28" t="s">
        <v>303</v>
      </c>
      <c r="M124" s="133">
        <f t="shared" ref="M124" si="305">IFERROR(INDEX(I126:I138,MATCH(MAX(J126:J138),J126:J138,0)),"")</f>
        <v>0.23185505901664277</v>
      </c>
      <c r="N124" s="71"/>
      <c r="O124" s="27" t="s">
        <v>18</v>
      </c>
      <c r="P124" s="106">
        <f>IF(P120="","",
IF(OR(P122="Orçamento",P121="",MAX('Tabela de Apoio'!$A:$A)&lt;=P121),
P120,
(INDEX('Tabela de Apoio'!$B:$B,MATCH('MAPA DE PREÇOS'!$O$8,'Tabela de Apoio'!$A:$A,1))/INDEX('Tabela de Apoio'!$B:$B,MATCH('MAPA DE PREÇOS'!P121,'Tabela de Apoio'!$A:$A,1)-1))*P120))</f>
        <v>17.09</v>
      </c>
      <c r="Q124" s="106">
        <f>IF(Q120="","",
IF(OR(Q122="Orçamento",Q121="",MAX('Tabela de Apoio'!$A:$A)&lt;=Q121),
Q120,
(INDEX('Tabela de Apoio'!$B:$B,MATCH('MAPA DE PREÇOS'!$O$8,'Tabela de Apoio'!$A:$A,1))/INDEX('Tabela de Apoio'!$B:$B,MATCH('MAPA DE PREÇOS'!Q121,'Tabela de Apoio'!$A:$A,1)-1))*Q120))</f>
        <v>9.84</v>
      </c>
      <c r="R124" s="106">
        <f>IF(R120="","",
IF(OR(R122="Orçamento",R121="",MAX('Tabela de Apoio'!$A:$A)&lt;=R121),
R120,
(INDEX('Tabela de Apoio'!$B:$B,MATCH('MAPA DE PREÇOS'!$O$8,'Tabela de Apoio'!$A:$A,1))/INDEX('Tabela de Apoio'!$B:$B,MATCH('MAPA DE PREÇOS'!R121,'Tabela de Apoio'!$A:$A,1)-1))*R120))</f>
        <v>16.989999999999998</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201"/>
      <c r="F125" s="93"/>
      <c r="G125" s="203"/>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201"/>
      <c r="F126" s="93"/>
      <c r="G126" s="203"/>
      <c r="H126" s="134">
        <f t="shared" ref="H126" si="309">COUNT($P126:$XX126)</f>
        <v>3</v>
      </c>
      <c r="I126" s="132">
        <f t="shared" ref="I126" si="310">_xlfn.STDEV.P($P125:$XX126)/AVERAGE($P125:$XX126)</f>
        <v>0.23185505901664277</v>
      </c>
      <c r="J126" s="7">
        <f>ROW()</f>
        <v>126</v>
      </c>
      <c r="K126" s="67"/>
      <c r="L126" s="29" t="s">
        <v>10</v>
      </c>
      <c r="M126" s="30">
        <f t="shared" ref="M126" si="311">IFERROR(
IF(COUNTA(P120:AI120)=COUNTIF(P122:XX122,"Orçamento"),MIN(M131,M128),
IF(M129&lt;&gt;"",M129,
IF(M130&lt;&gt;"",M130,
M128
))),"")</f>
        <v>14.64</v>
      </c>
      <c r="N126" s="71"/>
      <c r="O126" s="27" t="s">
        <v>376</v>
      </c>
      <c r="P126" s="106">
        <f t="shared" ref="P126:AI126" si="312">IFERROR(IF(P124="",
            "",
            IF(COUNT($P124:$XX124)&lt;=4,
               P124,
               IF(OR(P124&gt;(QUARTILE($P124:$XX124,3)+(QUARTILE($P124:$XX124,3)-QUARTILE($P124:$XX124,1))),
                     P124&lt;(QUARTILE($P124:$XX124,1)-(QUARTILE($P124:$XX124,3)-QUARTILE($P124:$XX124,1)))
                  ),
               "DESCARTADO",P124)
             )
  ),P124)</f>
        <v>17.09</v>
      </c>
      <c r="Q126" s="106">
        <f t="shared" si="312"/>
        <v>9.84</v>
      </c>
      <c r="R126" s="106">
        <f t="shared" si="312"/>
        <v>16.989999999999998</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201"/>
      <c r="F127" s="93"/>
      <c r="G127" s="203"/>
      <c r="H127"/>
      <c r="I127"/>
      <c r="J127"/>
      <c r="K127" s="66"/>
      <c r="L127" s="29" t="s">
        <v>360</v>
      </c>
      <c r="M127" s="30">
        <f t="shared" ref="M127" si="315">AVERAGE($P126:$XX126)</f>
        <v>14.64</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201"/>
      <c r="F128" s="93"/>
      <c r="G128" s="203"/>
      <c r="H128" s="134">
        <f t="shared" ref="H128" si="317">COUNT($P128:$XX128)</f>
        <v>3</v>
      </c>
      <c r="I128" s="132">
        <f t="shared" ref="I128" si="318">_xlfn.STDEV.P($P127:$XX128)/AVERAGE($P127:$XX128)</f>
        <v>0.23185505901664277</v>
      </c>
      <c r="J128" s="7">
        <f t="shared" ref="J128" si="319">IF(AND(H128&gt;2,
OR(L120="MÉDIA SANEADA",L120="MEDIANA SANEADA",
AND(L120="PREÇO ESTIMADO",NOT(AND(P122="Orçamento",COUNTA(P120:XX120)=COUNTIF(P122:XX122,"Orçamento")))))),
ROW(),0)</f>
        <v>128</v>
      </c>
      <c r="K128" s="66"/>
      <c r="L128" s="29" t="s">
        <v>361</v>
      </c>
      <c r="M128" s="30">
        <f t="shared" ref="M128" si="320">MEDIAN($P126:$XX126)</f>
        <v>16.989999999999998</v>
      </c>
      <c r="N128" s="71"/>
      <c r="O128" s="27" t="str">
        <f t="shared" ref="O128" si="321">"1 RODADA"</f>
        <v>1 RODADA</v>
      </c>
      <c r="P128" s="107">
        <f t="shared" ref="P128:AI128" si="322">IF(P126="","",IF((_xlfn.STDEV.P($P125:$XX126)/AVERAGE($P125:$XX126))&lt;=25%,P126,IF(OR(P126&gt;(AVERAGE($P125:$XX126)+_xlfn.STDEV.P($P125:$XX126)),P126&lt;(AVERAGE($P125:$XX126)-_xlfn.STDEV.P($P125:$XX126))),"DESCARTADO",P126)))</f>
        <v>17.09</v>
      </c>
      <c r="Q128" s="107">
        <f t="shared" si="322"/>
        <v>9.84</v>
      </c>
      <c r="R128" s="107">
        <f t="shared" si="322"/>
        <v>16.989999999999998</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201"/>
      <c r="F129" s="93"/>
      <c r="G129" s="203"/>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14.64</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201"/>
      <c r="F130" s="93"/>
      <c r="G130" s="203"/>
      <c r="H130" s="134">
        <f t="shared" ref="H130" si="325">COUNT($P130:$XX130)</f>
        <v>3</v>
      </c>
      <c r="I130" s="132">
        <f t="shared" ref="I130" si="326">_xlfn.STDEV.P($P129:$XX130)/AVERAGE($P129:$XX130)</f>
        <v>0.23185505901664277</v>
      </c>
      <c r="J130" s="7">
        <f t="shared" ref="J130" si="327">IF(AND(H130&gt;2,
OR(L120="MÉDIA SANEADA",L120="MEDIANA SANEADA",
AND(L120="PREÇO ESTIMADO",NOT(AND(P122="Orçamento",COUNTA(P120:XX120)=COUNTIF(P122:XX122,"Orçamento")))))),
ROW(),0)</f>
        <v>130</v>
      </c>
      <c r="K130" s="66"/>
      <c r="L130" s="29" t="s">
        <v>362</v>
      </c>
      <c r="M130" s="30">
        <f t="shared" ref="M130" si="328" xml:space="preserve">
IF(H128&gt;2,MEDIAN(P127:XX128),
IF(H130&gt;2,MEDIAN(P129:XX130),
IF(H132&gt;2,MEDIAN(P131:XX132),
IF(H134&gt;2,MEDIAN(P133:XX134),
IF(H136&gt;2,MEDIAN(P135:XX136),
IF(H138&gt;2,MEDIAN(P137:XX138),
MEDIAN(P125:XX126)))))))</f>
        <v>16.989999999999998</v>
      </c>
      <c r="N130" s="71"/>
      <c r="O130" s="27" t="str">
        <f t="shared" ref="O130" si="329">"2 RODADA"</f>
        <v>2 RODADA</v>
      </c>
      <c r="P130" s="107">
        <f t="shared" ref="P130:AI130" si="330">IF(P128="","",IF((_xlfn.STDEV.P($P127:$XX128)/AVERAGE($P127:$XX128))&lt;=25%,P128,IF(OR(P128&gt;(AVERAGE($P127:$XX128)+_xlfn.STDEV.P($P127:$XX128)),P128&lt;(AVERAGE($P127:$XX128)-_xlfn.STDEV.P($P127:$XX128))),"DESCARTADO",P128)))</f>
        <v>17.09</v>
      </c>
      <c r="Q130" s="107">
        <f t="shared" si="330"/>
        <v>9.84</v>
      </c>
      <c r="R130" s="107">
        <f t="shared" si="330"/>
        <v>16.989999999999998</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201"/>
      <c r="F131" s="93"/>
      <c r="G131" s="203"/>
      <c r="H131"/>
      <c r="I131"/>
      <c r="J131"/>
      <c r="K131" s="66"/>
      <c r="L131" s="29" t="s">
        <v>359</v>
      </c>
      <c r="M131" s="30">
        <f t="shared" ref="M131" si="331">HARMEAN($P125:$XX126)</f>
        <v>13.698760316141934</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201"/>
      <c r="F132" s="93"/>
      <c r="G132" s="203"/>
      <c r="H132" s="134">
        <f t="shared" ref="H132" si="333">COUNT($P132:$XX132)</f>
        <v>3</v>
      </c>
      <c r="I132" s="132">
        <f t="shared" ref="I132" si="334">_xlfn.STDEV.P($P131:$XX132)/AVERAGE($P131:$XX132)</f>
        <v>0.23185505901664277</v>
      </c>
      <c r="J132" s="7">
        <f t="shared" ref="J132" si="335">IF(AND(H132&gt;2,
OR(L120="MÉDIA SANEADA",L120="MEDIANA SANEADA",
AND(L120="PREÇO ESTIMADO",NOT(AND(P122="Orçamento",COUNTA(P120:XX120)=COUNTIF(P122:XX122,"Orçamento")))))),
ROW(),0)</f>
        <v>132</v>
      </c>
      <c r="K132" s="66"/>
      <c r="L132" s="29" t="s">
        <v>41</v>
      </c>
      <c r="M132" s="30">
        <f t="shared" ref="M132" si="336">IFERROR(_xlfn.QUARTILE.EXC($P126:$XX126,1),"")</f>
        <v>9.84</v>
      </c>
      <c r="N132" s="71"/>
      <c r="O132" s="27" t="str">
        <f t="shared" ref="O132" si="337">"3 RODADA"</f>
        <v>3 RODADA</v>
      </c>
      <c r="P132" s="107">
        <f t="shared" ref="P132:AI132" si="338">IF(P130="","",IF((_xlfn.STDEV.P($P129:$XX130)/AVERAGE($P129:$XX130))&lt;=25%,P130,IF(OR(P130&gt;(AVERAGE($P129:$XX130)+_xlfn.STDEV.P($P129:$XX130)),P130&lt;(AVERAGE($P129:$XX130)-_xlfn.STDEV.P($P129:$XX130))),"DESCARTADO",P130)))</f>
        <v>17.09</v>
      </c>
      <c r="Q132" s="107">
        <f t="shared" si="338"/>
        <v>9.84</v>
      </c>
      <c r="R132" s="107">
        <f t="shared" si="338"/>
        <v>16.989999999999998</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201"/>
      <c r="F133" s="93"/>
      <c r="G133" s="203"/>
      <c r="H133"/>
      <c r="I133"/>
      <c r="J133"/>
      <c r="K133" s="66"/>
      <c r="L133" s="29" t="s">
        <v>39</v>
      </c>
      <c r="M133" s="30">
        <f t="shared" ref="M133" si="339">IFERROR(_xlfn.QUARTILE.EXC($P126:$XX126,3),"")</f>
        <v>17.09</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201"/>
      <c r="F134" s="93"/>
      <c r="G134" s="203"/>
      <c r="H134" s="134">
        <f t="shared" ref="H134" si="341">COUNT($P134:$XX134)</f>
        <v>3</v>
      </c>
      <c r="I134" s="132">
        <f t="shared" ref="I134" si="342">_xlfn.STDEV.P($P133:$XX134)/AVERAGE($P133:$XX134)</f>
        <v>0.23185505901664277</v>
      </c>
      <c r="J134" s="7">
        <f t="shared" ref="J134" si="343">IF(AND(H134&gt;2,
OR(L120="MÉDIA SANEADA",L120="MEDIANA SANEADA",
AND(L120="PREÇO ESTIMADO",NOT(AND(P122="Orçamento",COUNTA(P120:XX120)=COUNTIF(P122:XX122,"Orçamento")))))),
ROW(),0)</f>
        <v>134</v>
      </c>
      <c r="K134" s="66"/>
      <c r="L134" s="29" t="s">
        <v>42</v>
      </c>
      <c r="M134" s="30">
        <f t="shared" ref="M134" si="344">MIN($P126:$XX126)</f>
        <v>9.84</v>
      </c>
      <c r="N134" s="71"/>
      <c r="O134" s="27" t="str">
        <f t="shared" ref="O134" si="345">"4 RODADA"</f>
        <v>4 RODADA</v>
      </c>
      <c r="P134" s="107">
        <f t="shared" ref="P134:AI134" si="346">IF(P132="","",IF((_xlfn.STDEV.P($P131:$XX132)/AVERAGE($P131:$XX132))&lt;=25%,P132,IF(OR(P132&gt;(AVERAGE($P131:$XX132)+_xlfn.STDEV.P($P131:$XX132)),P132&lt;(AVERAGE($P131:$XX132)-_xlfn.STDEV.P($P131:$XX132))),"DESCARTADO",P132)))</f>
        <v>17.09</v>
      </c>
      <c r="Q134" s="107">
        <f t="shared" si="346"/>
        <v>9.84</v>
      </c>
      <c r="R134" s="107">
        <f t="shared" si="346"/>
        <v>16.989999999999998</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201"/>
      <c r="F135" s="93"/>
      <c r="G135" s="203"/>
      <c r="H135"/>
      <c r="I135"/>
      <c r="J135"/>
      <c r="K135" s="66"/>
      <c r="L135" s="29" t="s">
        <v>40</v>
      </c>
      <c r="M135" s="30">
        <f t="shared" ref="M135" si="347">MAX($P126:$XX126)</f>
        <v>17.09</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201"/>
      <c r="F136" s="93"/>
      <c r="G136" s="203"/>
      <c r="H136" s="134">
        <f t="shared" ref="H136" si="349">COUNT($P136:$XX136)</f>
        <v>3</v>
      </c>
      <c r="I136" s="132">
        <f t="shared" ref="I136" si="350">_xlfn.STDEV.P($P135:$XX136)/AVERAGE($P135:$XX136)</f>
        <v>0.23185505901664277</v>
      </c>
      <c r="J136" s="7">
        <f t="shared" ref="J136" si="351">IF(AND(H136&gt;2,
OR(L120="MÉDIA SANEADA",L120="MEDIANA SANEADA",
AND(L120="PREÇO ESTIMADO",NOT(AND(P122="Orçamento",COUNTA(P120:XX120)=COUNTIF(P122:XX122,"Orçamento")))))),
ROW(),0)</f>
        <v>136</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17.09</v>
      </c>
      <c r="Q136" s="107">
        <f t="shared" si="353"/>
        <v>9.84</v>
      </c>
      <c r="R136" s="107">
        <f t="shared" si="353"/>
        <v>16.989999999999998</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201"/>
      <c r="F137" s="93"/>
      <c r="G137" s="203"/>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201"/>
      <c r="F138" s="93"/>
      <c r="G138" s="203"/>
      <c r="H138" s="134">
        <f t="shared" ref="H138" si="355">COUNT($P138:$XX138)</f>
        <v>3</v>
      </c>
      <c r="I138" s="132">
        <f t="shared" ref="I138" si="356">_xlfn.STDEV.P($P137:$XX138)/AVERAGE($P137:$XX138)</f>
        <v>0.23185505901664277</v>
      </c>
      <c r="J138" s="7">
        <f t="shared" ref="J138" si="357">IF(AND(H138&gt;2,
OR(L120="MÉDIA SANEADA",L120="MEDIANA SANEADA",
AND(L120="PREÇO ESTIMADO",NOT(AND(P122="Orçamento",COUNTA(P120:XX120)=COUNTIF(P122:XX122,"Orçamento")))))),
ROW(),0)</f>
        <v>138</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17.09</v>
      </c>
      <c r="Q138" s="107">
        <f t="shared" si="359"/>
        <v>9.84</v>
      </c>
      <c r="R138" s="107">
        <f t="shared" si="359"/>
        <v>16.989999999999998</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201"/>
      <c r="F139" s="136"/>
      <c r="G139" s="203"/>
      <c r="H139" s="206"/>
      <c r="I139" s="206"/>
      <c r="J139" s="207"/>
      <c r="K139" s="67"/>
      <c r="L139" s="1" t="s">
        <v>43</v>
      </c>
      <c r="M139" s="143">
        <f t="shared" ref="M139" si="360">IFERROR(ROUND(M120*M122,2),"")</f>
        <v>58.56</v>
      </c>
      <c r="O139" s="27" t="s">
        <v>363</v>
      </c>
      <c r="P139" s="107">
        <f t="shared" ref="P139:AI160" si="361">INDEX(P126:P138,MATCH(MAX($J126:$J138),$J126:$J138,0))</f>
        <v>17.09</v>
      </c>
      <c r="Q139" s="107">
        <f t="shared" si="361"/>
        <v>9.84</v>
      </c>
      <c r="R139" s="107">
        <f t="shared" si="361"/>
        <v>16.989999999999998</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81" t="s">
        <v>16</v>
      </c>
      <c r="J141" s="6">
        <f>INDEX('BASE FORMAÇÃO'!K:K,B141+1)</f>
        <v>0</v>
      </c>
      <c r="K141" s="65"/>
      <c r="L141" s="184" t="s">
        <v>10</v>
      </c>
      <c r="M141" s="186">
        <f t="shared" ref="M141" si="364">IF(OR(ISBLANK($O$8),ISBLANK($O$7),ISBLANK($H$8),ISBLANK($O$6),ISBLANK($O$5),ISBLANK($H$5)),"",IFERROR(IF(VLOOKUP(L141,L147:M156,2,FALSE)&lt;1,ROUND(VLOOKUP(L141,L147:M156,2,FALSE),4),ROUND(VLOOKUP(L141,L147:M156,2,FALSE),2)),""))</f>
        <v>12.26</v>
      </c>
      <c r="N141" s="69"/>
      <c r="O141" s="27" t="s">
        <v>17</v>
      </c>
      <c r="P141" s="113">
        <v>13.49</v>
      </c>
      <c r="Q141" s="113">
        <v>9.43</v>
      </c>
      <c r="R141" s="113">
        <v>13.85</v>
      </c>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8">
        <f t="shared" ref="E142" si="366">D141</f>
        <v>7</v>
      </c>
      <c r="F142" s="92"/>
      <c r="G142" s="190" t="s">
        <v>1</v>
      </c>
      <c r="H142" s="193" t="s">
        <v>463</v>
      </c>
      <c r="I142" s="194"/>
      <c r="J142" s="195"/>
      <c r="K142" s="66"/>
      <c r="L142" s="185"/>
      <c r="M142" s="187"/>
      <c r="N142" s="70"/>
      <c r="O142" s="27" t="s">
        <v>13</v>
      </c>
      <c r="P142" s="122">
        <v>46195</v>
      </c>
      <c r="Q142" s="122">
        <v>46195</v>
      </c>
      <c r="R142" s="122">
        <v>46195</v>
      </c>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9"/>
      <c r="F143" s="93"/>
      <c r="G143" s="191"/>
      <c r="H143" s="196"/>
      <c r="I143" s="196"/>
      <c r="J143" s="197"/>
      <c r="K143" s="64"/>
      <c r="L143" s="130" t="s">
        <v>44</v>
      </c>
      <c r="M143" s="131">
        <v>4</v>
      </c>
      <c r="N143" s="71"/>
      <c r="O143" s="27" t="s">
        <v>380</v>
      </c>
      <c r="P143" s="114" t="s">
        <v>302</v>
      </c>
      <c r="Q143" s="114" t="s">
        <v>302</v>
      </c>
      <c r="R143" s="114" t="s">
        <v>302</v>
      </c>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2"/>
      <c r="H144" s="198"/>
      <c r="I144" s="198"/>
      <c r="J144" s="199"/>
      <c r="K144" s="64"/>
      <c r="L144" s="1" t="s">
        <v>2</v>
      </c>
      <c r="M144" s="6" t="s">
        <v>288</v>
      </c>
      <c r="N144" s="71"/>
      <c r="O144" s="27" t="s">
        <v>381</v>
      </c>
      <c r="P144" s="183" t="s">
        <v>464</v>
      </c>
      <c r="Q144" s="182" t="s">
        <v>465</v>
      </c>
      <c r="R144" s="182" t="s">
        <v>466</v>
      </c>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200">
        <f t="shared" ref="E145" si="370">C141</f>
        <v>1</v>
      </c>
      <c r="F145" s="93"/>
      <c r="G145" s="202" t="s">
        <v>304</v>
      </c>
      <c r="H145" s="204"/>
      <c r="I145" s="205"/>
      <c r="J145" s="205"/>
      <c r="K145" s="67"/>
      <c r="L145" s="28" t="s">
        <v>303</v>
      </c>
      <c r="M145" s="133">
        <f t="shared" ref="M145" si="371">IFERROR(INDEX(I147:I159,MATCH(MAX(J147:J159),J147:J159,0)),"")</f>
        <v>0.16351519559493535</v>
      </c>
      <c r="N145" s="71"/>
      <c r="O145" s="27" t="s">
        <v>18</v>
      </c>
      <c r="P145" s="106">
        <f>IF(P141="","",
IF(OR(P143="Orçamento",P142="",MAX('Tabela de Apoio'!$A:$A)&lt;=P142),
P141,
(INDEX('Tabela de Apoio'!$B:$B,MATCH('MAPA DE PREÇOS'!$O$8,'Tabela de Apoio'!$A:$A,1))/INDEX('Tabela de Apoio'!$B:$B,MATCH('MAPA DE PREÇOS'!P142,'Tabela de Apoio'!$A:$A,1)-1))*P141))</f>
        <v>13.49</v>
      </c>
      <c r="Q145" s="106">
        <f>IF(Q141="","",
IF(OR(Q143="Orçamento",Q142="",MAX('Tabela de Apoio'!$A:$A)&lt;=Q142),
Q141,
(INDEX('Tabela de Apoio'!$B:$B,MATCH('MAPA DE PREÇOS'!$O$8,'Tabela de Apoio'!$A:$A,1))/INDEX('Tabela de Apoio'!$B:$B,MATCH('MAPA DE PREÇOS'!Q142,'Tabela de Apoio'!$A:$A,1)-1))*Q141))</f>
        <v>9.43</v>
      </c>
      <c r="R145" s="106">
        <f>IF(R141="","",
IF(OR(R143="Orçamento",R142="",MAX('Tabela de Apoio'!$A:$A)&lt;=R142),
R141,
(INDEX('Tabela de Apoio'!$B:$B,MATCH('MAPA DE PREÇOS'!$O$8,'Tabela de Apoio'!$A:$A,1))/INDEX('Tabela de Apoio'!$B:$B,MATCH('MAPA DE PREÇOS'!R142,'Tabela de Apoio'!$A:$A,1)-1))*R141))</f>
        <v>13.85</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201"/>
      <c r="F146" s="93"/>
      <c r="G146" s="203"/>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201"/>
      <c r="F147" s="93"/>
      <c r="G147" s="203"/>
      <c r="H147" s="134">
        <f t="shared" ref="H147" si="375">COUNT($P147:$XX147)</f>
        <v>3</v>
      </c>
      <c r="I147" s="132">
        <f t="shared" ref="I147" si="376">_xlfn.STDEV.P($P146:$XX147)/AVERAGE($P146:$XX147)</f>
        <v>0.16351519559493535</v>
      </c>
      <c r="J147" s="7">
        <f>ROW()</f>
        <v>147</v>
      </c>
      <c r="K147" s="67"/>
      <c r="L147" s="29" t="s">
        <v>10</v>
      </c>
      <c r="M147" s="30">
        <f t="shared" ref="M147" si="377">IFERROR(
IF(COUNTA(P141:AI141)=COUNTIF(P143:XX143,"Orçamento"),MIN(M152,M149),
IF(M150&lt;&gt;"",M150,
IF(M151&lt;&gt;"",M151,
M149
))),"")</f>
        <v>12.256666666666668</v>
      </c>
      <c r="N147" s="71"/>
      <c r="O147" s="27" t="s">
        <v>376</v>
      </c>
      <c r="P147" s="106">
        <f t="shared" ref="P147:AI147" si="378">IFERROR(IF(P145="",
            "",
            IF(COUNT($P145:$XX145)&lt;=4,
               P145,
               IF(OR(P145&gt;(QUARTILE($P145:$XX145,3)+(QUARTILE($P145:$XX145,3)-QUARTILE($P145:$XX145,1))),
                     P145&lt;(QUARTILE($P145:$XX145,1)-(QUARTILE($P145:$XX145,3)-QUARTILE($P145:$XX145,1)))
                  ),
               "DESCARTADO",P145)
             )
  ),P145)</f>
        <v>13.49</v>
      </c>
      <c r="Q147" s="106">
        <f t="shared" si="378"/>
        <v>9.43</v>
      </c>
      <c r="R147" s="106">
        <f t="shared" si="378"/>
        <v>13.85</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201"/>
      <c r="F148" s="93"/>
      <c r="G148" s="203"/>
      <c r="H148"/>
      <c r="I148"/>
      <c r="J148"/>
      <c r="K148" s="66"/>
      <c r="L148" s="29" t="s">
        <v>360</v>
      </c>
      <c r="M148" s="30">
        <f t="shared" ref="M148" si="381">AVERAGE($P147:$XX147)</f>
        <v>12.256666666666668</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201"/>
      <c r="F149" s="93"/>
      <c r="G149" s="203"/>
      <c r="H149" s="134">
        <f t="shared" ref="H149" si="383">COUNT($P149:$XX149)</f>
        <v>3</v>
      </c>
      <c r="I149" s="132">
        <f t="shared" ref="I149" si="384">_xlfn.STDEV.P($P148:$XX149)/AVERAGE($P148:$XX149)</f>
        <v>0.16351519559493535</v>
      </c>
      <c r="J149" s="7">
        <f t="shared" ref="J149" si="385">IF(AND(H149&gt;2,
OR(L141="MÉDIA SANEADA",L141="MEDIANA SANEADA",
AND(L141="PREÇO ESTIMADO",NOT(AND(P143="Orçamento",COUNTA(P141:XX141)=COUNTIF(P143:XX143,"Orçamento")))))),
ROW(),0)</f>
        <v>149</v>
      </c>
      <c r="K149" s="66"/>
      <c r="L149" s="29" t="s">
        <v>361</v>
      </c>
      <c r="M149" s="30">
        <f t="shared" ref="M149" si="386">MEDIAN($P147:$XX147)</f>
        <v>13.49</v>
      </c>
      <c r="N149" s="71"/>
      <c r="O149" s="27" t="str">
        <f t="shared" ref="O149" si="387">"1 RODADA"</f>
        <v>1 RODADA</v>
      </c>
      <c r="P149" s="107">
        <f t="shared" ref="P149:AI149" si="388">IF(P147="","",IF((_xlfn.STDEV.P($P146:$XX147)/AVERAGE($P146:$XX147))&lt;=25%,P147,IF(OR(P147&gt;(AVERAGE($P146:$XX147)+_xlfn.STDEV.P($P146:$XX147)),P147&lt;(AVERAGE($P146:$XX147)-_xlfn.STDEV.P($P146:$XX147))),"DESCARTADO",P147)))</f>
        <v>13.49</v>
      </c>
      <c r="Q149" s="107">
        <f t="shared" si="388"/>
        <v>9.43</v>
      </c>
      <c r="R149" s="107">
        <f t="shared" si="388"/>
        <v>13.85</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201"/>
      <c r="F150" s="93"/>
      <c r="G150" s="203"/>
      <c r="H150"/>
      <c r="I150"/>
      <c r="J150"/>
      <c r="L150" s="29" t="s">
        <v>38</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12.256666666666668</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201"/>
      <c r="F151" s="93"/>
      <c r="G151" s="203"/>
      <c r="H151" s="134">
        <f t="shared" ref="H151" si="391">COUNT($P151:$XX151)</f>
        <v>3</v>
      </c>
      <c r="I151" s="132">
        <f t="shared" ref="I151" si="392">_xlfn.STDEV.P($P150:$XX151)/AVERAGE($P150:$XX151)</f>
        <v>0.16351519559493535</v>
      </c>
      <c r="J151" s="7">
        <f t="shared" ref="J151" si="393">IF(AND(H151&gt;2,
OR(L141="MÉDIA SANEADA",L141="MEDIANA SANEADA",
AND(L141="PREÇO ESTIMADO",NOT(AND(P143="Orçamento",COUNTA(P141:XX141)=COUNTIF(P143:XX143,"Orçamento")))))),
ROW(),0)</f>
        <v>151</v>
      </c>
      <c r="K151" s="66"/>
      <c r="L151" s="29" t="s">
        <v>362</v>
      </c>
      <c r="M151" s="30">
        <f t="shared" ref="M151" si="394" xml:space="preserve">
IF(H149&gt;2,MEDIAN(P148:XX149),
IF(H151&gt;2,MEDIAN(P150:XX151),
IF(H153&gt;2,MEDIAN(P152:XX153),
IF(H155&gt;2,MEDIAN(P154:XX155),
IF(H157&gt;2,MEDIAN(P156:XX157),
IF(H159&gt;2,MEDIAN(P158:XX159),
MEDIAN(P146:XX147)))))))</f>
        <v>13.49</v>
      </c>
      <c r="N151" s="71"/>
      <c r="O151" s="27" t="str">
        <f t="shared" ref="O151" si="395">"2 RODADA"</f>
        <v>2 RODADA</v>
      </c>
      <c r="P151" s="107">
        <f t="shared" ref="P151:AI151" si="396">IF(P149="","",IF((_xlfn.STDEV.P($P148:$XX149)/AVERAGE($P148:$XX149))&lt;=25%,P149,IF(OR(P149&gt;(AVERAGE($P148:$XX149)+_xlfn.STDEV.P($P148:$XX149)),P149&lt;(AVERAGE($P148:$XX149)-_xlfn.STDEV.P($P148:$XX149))),"DESCARTADO",P149)))</f>
        <v>13.49</v>
      </c>
      <c r="Q151" s="107">
        <f t="shared" si="396"/>
        <v>9.43</v>
      </c>
      <c r="R151" s="107">
        <f t="shared" si="396"/>
        <v>13.85</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201"/>
      <c r="F152" s="93"/>
      <c r="G152" s="203"/>
      <c r="H152"/>
      <c r="I152"/>
      <c r="J152"/>
      <c r="K152" s="66"/>
      <c r="L152" s="29" t="s">
        <v>359</v>
      </c>
      <c r="M152" s="30">
        <f t="shared" ref="M152" si="397">HARMEAN($P146:$XX147)</f>
        <v>11.887040346319722</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201"/>
      <c r="F153" s="93"/>
      <c r="G153" s="203"/>
      <c r="H153" s="134">
        <f t="shared" ref="H153" si="399">COUNT($P153:$XX153)</f>
        <v>3</v>
      </c>
      <c r="I153" s="132">
        <f t="shared" ref="I153" si="400">_xlfn.STDEV.P($P152:$XX153)/AVERAGE($P152:$XX153)</f>
        <v>0.16351519559493535</v>
      </c>
      <c r="J153" s="7">
        <f t="shared" ref="J153" si="401">IF(AND(H153&gt;2,
OR(L141="MÉDIA SANEADA",L141="MEDIANA SANEADA",
AND(L141="PREÇO ESTIMADO",NOT(AND(P143="Orçamento",COUNTA(P141:XX141)=COUNTIF(P143:XX143,"Orçamento")))))),
ROW(),0)</f>
        <v>153</v>
      </c>
      <c r="K153" s="66"/>
      <c r="L153" s="29" t="s">
        <v>41</v>
      </c>
      <c r="M153" s="30">
        <f t="shared" ref="M153" si="402">IFERROR(_xlfn.QUARTILE.EXC($P147:$XX147,1),"")</f>
        <v>9.43</v>
      </c>
      <c r="N153" s="71"/>
      <c r="O153" s="27" t="str">
        <f t="shared" ref="O153" si="403">"3 RODADA"</f>
        <v>3 RODADA</v>
      </c>
      <c r="P153" s="107">
        <f t="shared" ref="P153:AI153" si="404">IF(P151="","",IF((_xlfn.STDEV.P($P150:$XX151)/AVERAGE($P150:$XX151))&lt;=25%,P151,IF(OR(P151&gt;(AVERAGE($P150:$XX151)+_xlfn.STDEV.P($P150:$XX151)),P151&lt;(AVERAGE($P150:$XX151)-_xlfn.STDEV.P($P150:$XX151))),"DESCARTADO",P151)))</f>
        <v>13.49</v>
      </c>
      <c r="Q153" s="107">
        <f t="shared" si="404"/>
        <v>9.43</v>
      </c>
      <c r="R153" s="107">
        <f t="shared" si="404"/>
        <v>13.85</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201"/>
      <c r="F154" s="93"/>
      <c r="G154" s="203"/>
      <c r="H154"/>
      <c r="I154"/>
      <c r="J154"/>
      <c r="K154" s="66"/>
      <c r="L154" s="29" t="s">
        <v>39</v>
      </c>
      <c r="M154" s="30">
        <f t="shared" ref="M154" si="405">IFERROR(_xlfn.QUARTILE.EXC($P147:$XX147,3),"")</f>
        <v>13.85</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201"/>
      <c r="F155" s="93"/>
      <c r="G155" s="203"/>
      <c r="H155" s="134">
        <f t="shared" ref="H155" si="407">COUNT($P155:$XX155)</f>
        <v>3</v>
      </c>
      <c r="I155" s="132">
        <f t="shared" ref="I155" si="408">_xlfn.STDEV.P($P154:$XX155)/AVERAGE($P154:$XX155)</f>
        <v>0.16351519559493535</v>
      </c>
      <c r="J155" s="7">
        <f t="shared" ref="J155" si="409">IF(AND(H155&gt;2,
OR(L141="MÉDIA SANEADA",L141="MEDIANA SANEADA",
AND(L141="PREÇO ESTIMADO",NOT(AND(P143="Orçamento",COUNTA(P141:XX141)=COUNTIF(P143:XX143,"Orçamento")))))),
ROW(),0)</f>
        <v>155</v>
      </c>
      <c r="K155" s="66"/>
      <c r="L155" s="29" t="s">
        <v>42</v>
      </c>
      <c r="M155" s="30">
        <f t="shared" ref="M155" si="410">MIN($P147:$XX147)</f>
        <v>9.43</v>
      </c>
      <c r="N155" s="71"/>
      <c r="O155" s="27" t="str">
        <f t="shared" ref="O155" si="411">"4 RODADA"</f>
        <v>4 RODADA</v>
      </c>
      <c r="P155" s="107">
        <f t="shared" ref="P155:AI155" si="412">IF(P153="","",IF((_xlfn.STDEV.P($P152:$XX153)/AVERAGE($P152:$XX153))&lt;=25%,P153,IF(OR(P153&gt;(AVERAGE($P152:$XX153)+_xlfn.STDEV.P($P152:$XX153)),P153&lt;(AVERAGE($P152:$XX153)-_xlfn.STDEV.P($P152:$XX153))),"DESCARTADO",P153)))</f>
        <v>13.49</v>
      </c>
      <c r="Q155" s="107">
        <f t="shared" si="412"/>
        <v>9.43</v>
      </c>
      <c r="R155" s="107">
        <f t="shared" si="412"/>
        <v>13.85</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201"/>
      <c r="F156" s="93"/>
      <c r="G156" s="203"/>
      <c r="H156"/>
      <c r="I156"/>
      <c r="J156"/>
      <c r="K156" s="66"/>
      <c r="L156" s="29" t="s">
        <v>40</v>
      </c>
      <c r="M156" s="30">
        <f t="shared" ref="M156" si="413">MAX($P147:$XX147)</f>
        <v>13.85</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201"/>
      <c r="F157" s="93"/>
      <c r="G157" s="203"/>
      <c r="H157" s="134">
        <f t="shared" ref="H157" si="415">COUNT($P157:$XX157)</f>
        <v>3</v>
      </c>
      <c r="I157" s="132">
        <f t="shared" ref="I157" si="416">_xlfn.STDEV.P($P156:$XX157)/AVERAGE($P156:$XX157)</f>
        <v>0.16351519559493535</v>
      </c>
      <c r="J157" s="7">
        <f t="shared" ref="J157" si="417">IF(AND(H157&gt;2,
OR(L141="MÉDIA SANEADA",L141="MEDIANA SANEADA",
AND(L141="PREÇO ESTIMADO",NOT(AND(P143="Orçamento",COUNTA(P141:XX141)=COUNTIF(P143:XX143,"Orçamento")))))),
ROW(),0)</f>
        <v>157</v>
      </c>
      <c r="K157" s="66"/>
      <c r="N157" s="71"/>
      <c r="O157" s="27" t="str">
        <f t="shared" ref="O157" si="418">"5 RODADA"</f>
        <v>5 RODADA</v>
      </c>
      <c r="P157" s="107">
        <f t="shared" ref="P157:AI157" si="419">IF(P155="","",IF((_xlfn.STDEV.P($P154:$XX155)/AVERAGE($P154:$XX155))&lt;=25%,P155,IF(OR(P155&gt;(AVERAGE($P154:$XX155)+_xlfn.STDEV.P($P154:$XX155)),P155&lt;(AVERAGE($P154:$XX155)-_xlfn.STDEV.P($P154:$XX155))),"DESCARTADO",P155)))</f>
        <v>13.49</v>
      </c>
      <c r="Q157" s="107">
        <f t="shared" si="419"/>
        <v>9.43</v>
      </c>
      <c r="R157" s="107">
        <f t="shared" si="419"/>
        <v>13.85</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201"/>
      <c r="F158" s="93"/>
      <c r="G158" s="203"/>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201"/>
      <c r="F159" s="93"/>
      <c r="G159" s="203"/>
      <c r="H159" s="134">
        <f t="shared" ref="H159" si="421">COUNT($P159:$XX159)</f>
        <v>3</v>
      </c>
      <c r="I159" s="132">
        <f t="shared" ref="I159" si="422">_xlfn.STDEV.P($P158:$XX159)/AVERAGE($P158:$XX159)</f>
        <v>0.16351519559493535</v>
      </c>
      <c r="J159" s="7">
        <f t="shared" ref="J159" si="423">IF(AND(H159&gt;2,
OR(L141="MÉDIA SANEADA",L141="MEDIANA SANEADA",
AND(L141="PREÇO ESTIMADO",NOT(AND(P143="Orçamento",COUNTA(P141:XX141)=COUNTIF(P143:XX143,"Orçamento")))))),
ROW(),0)</f>
        <v>159</v>
      </c>
      <c r="N159" s="71"/>
      <c r="O159" s="27" t="str">
        <f t="shared" ref="O159" si="424">"6 RODADA"</f>
        <v>6 RODADA</v>
      </c>
      <c r="P159" s="107">
        <f t="shared" ref="P159:AI159" si="425">IFERROR(IF(P157="","",IF((_xlfn.STDEV.P($P156:$XX157)/AVERAGE($P156:$XX157))&lt;=25%,P157,IF(OR(P157&gt;(AVERAGE($P156:$XX157)+_xlfn.STDEV.P($P156:$XX157)),P157&lt;(AVERAGE($P156:$XX157)-_xlfn.STDEV.P($P156:$XX157))),"DESCARTADO",P157))),)</f>
        <v>13.49</v>
      </c>
      <c r="Q159" s="107">
        <f t="shared" si="425"/>
        <v>9.43</v>
      </c>
      <c r="R159" s="107">
        <f t="shared" si="425"/>
        <v>13.85</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201"/>
      <c r="F160" s="136"/>
      <c r="G160" s="203"/>
      <c r="H160" s="206"/>
      <c r="I160" s="206"/>
      <c r="J160" s="207"/>
      <c r="K160" s="67"/>
      <c r="L160" s="1" t="s">
        <v>43</v>
      </c>
      <c r="M160" s="143">
        <f t="shared" ref="M160" si="426">IFERROR(ROUND(M141*M143,2),"")</f>
        <v>49.04</v>
      </c>
      <c r="O160" s="27" t="s">
        <v>363</v>
      </c>
      <c r="P160" s="107">
        <f t="shared" ref="P160:R160" si="427">INDEX(P147:P159,MATCH(MAX($J147:$J159),$J147:$J159,0))</f>
        <v>13.49</v>
      </c>
      <c r="Q160" s="107">
        <f t="shared" si="427"/>
        <v>9.43</v>
      </c>
      <c r="R160" s="107">
        <f t="shared" si="427"/>
        <v>13.85</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15</v>
      </c>
      <c r="H162" s="135">
        <f>INDEX('BASE FORMAÇÃO'!B:B,B162+1)</f>
        <v>0</v>
      </c>
      <c r="I162" s="181" t="s">
        <v>16</v>
      </c>
      <c r="J162" s="6">
        <f>INDEX('BASE FORMAÇÃO'!K:K,B162+1)</f>
        <v>0</v>
      </c>
      <c r="K162" s="65"/>
      <c r="L162" s="184" t="s">
        <v>10</v>
      </c>
      <c r="M162" s="186">
        <f t="shared" ref="M162" si="430">IF(OR(ISBLANK($O$8),ISBLANK($O$7),ISBLANK($H$8),ISBLANK($O$6),ISBLANK($O$5),ISBLANK($H$5)),"",IFERROR(IF(VLOOKUP(L162,L168:M177,2,FALSE)&lt;1,ROUND(VLOOKUP(L162,L168:M177,2,FALSE),4),ROUND(VLOOKUP(L162,L168:M177,2,FALSE),2)),""))</f>
        <v>20.100000000000001</v>
      </c>
      <c r="N162" s="69"/>
      <c r="O162" s="27" t="s">
        <v>17</v>
      </c>
      <c r="P162" s="113">
        <v>20.58</v>
      </c>
      <c r="Q162" s="113">
        <v>22.73</v>
      </c>
      <c r="R162" s="113">
        <v>17</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188">
        <f t="shared" ref="E163" si="432">D162</f>
        <v>8</v>
      </c>
      <c r="F163" s="92"/>
      <c r="G163" s="190" t="s">
        <v>1</v>
      </c>
      <c r="H163" s="193" t="s">
        <v>459</v>
      </c>
      <c r="I163" s="194"/>
      <c r="J163" s="195"/>
      <c r="K163" s="66"/>
      <c r="L163" s="185"/>
      <c r="M163" s="187"/>
      <c r="N163" s="70"/>
      <c r="O163" s="27" t="s">
        <v>13</v>
      </c>
      <c r="P163" s="122">
        <v>46195</v>
      </c>
      <c r="Q163" s="122">
        <v>46195</v>
      </c>
      <c r="R163" s="122">
        <v>46195</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189"/>
      <c r="F164" s="93"/>
      <c r="G164" s="191"/>
      <c r="H164" s="196"/>
      <c r="I164" s="196"/>
      <c r="J164" s="197"/>
      <c r="K164" s="64"/>
      <c r="L164" s="130" t="s">
        <v>44</v>
      </c>
      <c r="M164" s="131">
        <v>4</v>
      </c>
      <c r="N164" s="71"/>
      <c r="O164" s="27" t="s">
        <v>380</v>
      </c>
      <c r="P164" s="114" t="s">
        <v>302</v>
      </c>
      <c r="Q164" s="114" t="s">
        <v>302</v>
      </c>
      <c r="R164" s="114" t="s">
        <v>302</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192"/>
      <c r="H165" s="198"/>
      <c r="I165" s="198"/>
      <c r="J165" s="199"/>
      <c r="K165" s="64"/>
      <c r="L165" s="1" t="s">
        <v>2</v>
      </c>
      <c r="M165" s="6" t="s">
        <v>288</v>
      </c>
      <c r="N165" s="71"/>
      <c r="O165" s="27" t="s">
        <v>381</v>
      </c>
      <c r="P165" s="182" t="s">
        <v>460</v>
      </c>
      <c r="Q165" s="182" t="s">
        <v>461</v>
      </c>
      <c r="R165" s="182" t="s">
        <v>462</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200">
        <f t="shared" ref="E166" si="436">C162</f>
        <v>1</v>
      </c>
      <c r="F166" s="93"/>
      <c r="G166" s="202" t="s">
        <v>304</v>
      </c>
      <c r="H166" s="204"/>
      <c r="I166" s="205"/>
      <c r="J166" s="205"/>
      <c r="K166" s="67"/>
      <c r="L166" s="28" t="s">
        <v>303</v>
      </c>
      <c r="M166" s="133">
        <f t="shared" ref="M166" si="437">IFERROR(INDEX(I168:I180,MATCH(MAX(J168:J180),J168:J180,0)),"")</f>
        <v>0.11756360348345618</v>
      </c>
      <c r="N166" s="71"/>
      <c r="O166" s="27" t="s">
        <v>18</v>
      </c>
      <c r="P166" s="106">
        <f>IF(P162="","",
IF(OR(P164="Orçamento",P163="",MAX('Tabela de Apoio'!$A:$A)&lt;=P163),
P162,
(INDEX('Tabela de Apoio'!$B:$B,MATCH('MAPA DE PREÇOS'!$O$8,'Tabela de Apoio'!$A:$A,1))/INDEX('Tabela de Apoio'!$B:$B,MATCH('MAPA DE PREÇOS'!P163,'Tabela de Apoio'!$A:$A,1)-1))*P162))</f>
        <v>20.58</v>
      </c>
      <c r="Q166" s="106">
        <f>IF(Q162="","",
IF(OR(Q164="Orçamento",Q163="",MAX('Tabela de Apoio'!$A:$A)&lt;=Q163),
Q162,
(INDEX('Tabela de Apoio'!$B:$B,MATCH('MAPA DE PREÇOS'!$O$8,'Tabela de Apoio'!$A:$A,1))/INDEX('Tabela de Apoio'!$B:$B,MATCH('MAPA DE PREÇOS'!Q163,'Tabela de Apoio'!$A:$A,1)-1))*Q162))</f>
        <v>22.73</v>
      </c>
      <c r="R166" s="106">
        <f>IF(R162="","",
IF(OR(R164="Orçamento",R163="",MAX('Tabela de Apoio'!$A:$A)&lt;=R163),
R162,
(INDEX('Tabela de Apoio'!$B:$B,MATCH('MAPA DE PREÇOS'!$O$8,'Tabela de Apoio'!$A:$A,1))/INDEX('Tabela de Apoio'!$B:$B,MATCH('MAPA DE PREÇOS'!R163,'Tabela de Apoio'!$A:$A,1)-1))*R162))</f>
        <v>17</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201"/>
      <c r="F167" s="93"/>
      <c r="G167" s="203"/>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201"/>
      <c r="F168" s="93"/>
      <c r="G168" s="203"/>
      <c r="H168" s="134">
        <f t="shared" ref="H168" si="441">COUNT($P168:$XX168)</f>
        <v>3</v>
      </c>
      <c r="I168" s="132">
        <f t="shared" ref="I168" si="442">_xlfn.STDEV.P($P167:$XX168)/AVERAGE($P167:$XX168)</f>
        <v>0.11756360348345618</v>
      </c>
      <c r="J168" s="7">
        <f>ROW()</f>
        <v>168</v>
      </c>
      <c r="K168" s="67"/>
      <c r="L168" s="29" t="s">
        <v>10</v>
      </c>
      <c r="M168" s="30">
        <f t="shared" ref="M168" si="443">IFERROR(
IF(COUNTA(P162:AI162)=COUNTIF(P164:XX164,"Orçamento"),MIN(M173,M170),
IF(M171&lt;&gt;"",M171,
IF(M172&lt;&gt;"",M172,
M170
))),"")</f>
        <v>20.103333333333335</v>
      </c>
      <c r="N168" s="71"/>
      <c r="O168" s="27" t="s">
        <v>376</v>
      </c>
      <c r="P168" s="106">
        <f t="shared" ref="P168:AI168" si="444">IFERROR(IF(P166="",
            "",
            IF(COUNT($P166:$XX166)&lt;=4,
               P166,
               IF(OR(P166&gt;(QUARTILE($P166:$XX166,3)+(QUARTILE($P166:$XX166,3)-QUARTILE($P166:$XX166,1))),
                     P166&lt;(QUARTILE($P166:$XX166,1)-(QUARTILE($P166:$XX166,3)-QUARTILE($P166:$XX166,1)))
                  ),
               "DESCARTADO",P166)
             )
  ),P166)</f>
        <v>20.58</v>
      </c>
      <c r="Q168" s="106">
        <f t="shared" si="444"/>
        <v>22.73</v>
      </c>
      <c r="R168" s="106">
        <f t="shared" si="444"/>
        <v>17</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201"/>
      <c r="F169" s="93"/>
      <c r="G169" s="203"/>
      <c r="H169"/>
      <c r="I169"/>
      <c r="J169"/>
      <c r="K169" s="66"/>
      <c r="L169" s="29" t="s">
        <v>360</v>
      </c>
      <c r="M169" s="30">
        <f t="shared" ref="M169" si="447">AVERAGE($P168:$XX168)</f>
        <v>20.103333333333335</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201"/>
      <c r="F170" s="93"/>
      <c r="G170" s="203"/>
      <c r="H170" s="134">
        <f t="shared" ref="H170" si="449">COUNT($P170:$XX170)</f>
        <v>3</v>
      </c>
      <c r="I170" s="132">
        <f t="shared" ref="I170" si="450">_xlfn.STDEV.P($P169:$XX170)/AVERAGE($P169:$XX170)</f>
        <v>0.11756360348345618</v>
      </c>
      <c r="J170" s="7">
        <f t="shared" ref="J170" si="451">IF(AND(H170&gt;2,
OR(L162="MÉDIA SANEADA",L162="MEDIANA SANEADA",
AND(L162="PREÇO ESTIMADO",NOT(AND(P164="Orçamento",COUNTA(P162:XX162)=COUNTIF(P164:XX164,"Orçamento")))))),
ROW(),0)</f>
        <v>170</v>
      </c>
      <c r="K170" s="66"/>
      <c r="L170" s="29" t="s">
        <v>361</v>
      </c>
      <c r="M170" s="30">
        <f t="shared" ref="M170" si="452">MEDIAN($P168:$XX168)</f>
        <v>20.58</v>
      </c>
      <c r="N170" s="71"/>
      <c r="O170" s="27" t="str">
        <f t="shared" ref="O170" si="453">"1 RODADA"</f>
        <v>1 RODADA</v>
      </c>
      <c r="P170" s="107">
        <f t="shared" ref="P170:AI170" si="454">IF(P168="","",IF((_xlfn.STDEV.P($P167:$XX168)/AVERAGE($P167:$XX168))&lt;=25%,P168,IF(OR(P168&gt;(AVERAGE($P167:$XX168)+_xlfn.STDEV.P($P167:$XX168)),P168&lt;(AVERAGE($P167:$XX168)-_xlfn.STDEV.P($P167:$XX168))),"DESCARTADO",P168)))</f>
        <v>20.58</v>
      </c>
      <c r="Q170" s="107">
        <f t="shared" si="454"/>
        <v>22.73</v>
      </c>
      <c r="R170" s="107">
        <f t="shared" si="454"/>
        <v>17</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201"/>
      <c r="F171" s="93"/>
      <c r="G171" s="203"/>
      <c r="H171"/>
      <c r="I171"/>
      <c r="J171"/>
      <c r="L171" s="29" t="s">
        <v>38</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20.103333333333335</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201"/>
      <c r="F172" s="93"/>
      <c r="G172" s="203"/>
      <c r="H172" s="134">
        <f t="shared" ref="H172" si="457">COUNT($P172:$XX172)</f>
        <v>3</v>
      </c>
      <c r="I172" s="132">
        <f t="shared" ref="I172" si="458">_xlfn.STDEV.P($P171:$XX172)/AVERAGE($P171:$XX172)</f>
        <v>0.11756360348345618</v>
      </c>
      <c r="J172" s="7">
        <f t="shared" ref="J172" si="459">IF(AND(H172&gt;2,
OR(L162="MÉDIA SANEADA",L162="MEDIANA SANEADA",
AND(L162="PREÇO ESTIMADO",NOT(AND(P164="Orçamento",COUNTA(P162:XX162)=COUNTIF(P164:XX164,"Orçamento")))))),
ROW(),0)</f>
        <v>172</v>
      </c>
      <c r="K172" s="66"/>
      <c r="L172" s="29" t="s">
        <v>362</v>
      </c>
      <c r="M172" s="30">
        <f t="shared" ref="M172" si="460" xml:space="preserve">
IF(H170&gt;2,MEDIAN(P169:XX170),
IF(H172&gt;2,MEDIAN(P171:XX172),
IF(H174&gt;2,MEDIAN(P173:XX174),
IF(H176&gt;2,MEDIAN(P175:XX176),
IF(H178&gt;2,MEDIAN(P177:XX178),
IF(H180&gt;2,MEDIAN(P179:XX180),
MEDIAN(P167:XX168)))))))</f>
        <v>20.58</v>
      </c>
      <c r="N172" s="71"/>
      <c r="O172" s="27" t="str">
        <f t="shared" ref="O172" si="461">"2 RODADA"</f>
        <v>2 RODADA</v>
      </c>
      <c r="P172" s="107">
        <f t="shared" ref="P172:AI172" si="462">IF(P170="","",IF((_xlfn.STDEV.P($P169:$XX170)/AVERAGE($P169:$XX170))&lt;=25%,P170,IF(OR(P170&gt;(AVERAGE($P169:$XX170)+_xlfn.STDEV.P($P169:$XX170)),P170&lt;(AVERAGE($P169:$XX170)-_xlfn.STDEV.P($P169:$XX170))),"DESCARTADO",P170)))</f>
        <v>20.58</v>
      </c>
      <c r="Q172" s="107">
        <f t="shared" si="462"/>
        <v>22.73</v>
      </c>
      <c r="R172" s="107">
        <f t="shared" si="462"/>
        <v>17</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201"/>
      <c r="F173" s="93"/>
      <c r="G173" s="203"/>
      <c r="H173"/>
      <c r="I173"/>
      <c r="J173"/>
      <c r="K173" s="66"/>
      <c r="L173" s="29" t="s">
        <v>359</v>
      </c>
      <c r="M173" s="30">
        <f t="shared" ref="M173" si="463">HARMEAN($P167:$XX168)</f>
        <v>19.813866561067805</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201"/>
      <c r="F174" s="93"/>
      <c r="G174" s="203"/>
      <c r="H174" s="134">
        <f t="shared" ref="H174" si="465">COUNT($P174:$XX174)</f>
        <v>3</v>
      </c>
      <c r="I174" s="132">
        <f t="shared" ref="I174" si="466">_xlfn.STDEV.P($P173:$XX174)/AVERAGE($P173:$XX174)</f>
        <v>0.11756360348345618</v>
      </c>
      <c r="J174" s="7">
        <f t="shared" ref="J174" si="467">IF(AND(H174&gt;2,
OR(L162="MÉDIA SANEADA",L162="MEDIANA SANEADA",
AND(L162="PREÇO ESTIMADO",NOT(AND(P164="Orçamento",COUNTA(P162:XX162)=COUNTIF(P164:XX164,"Orçamento")))))),
ROW(),0)</f>
        <v>174</v>
      </c>
      <c r="K174" s="66"/>
      <c r="L174" s="29" t="s">
        <v>41</v>
      </c>
      <c r="M174" s="30">
        <f t="shared" ref="M174" si="468">IFERROR(_xlfn.QUARTILE.EXC($P168:$XX168,1),"")</f>
        <v>17</v>
      </c>
      <c r="N174" s="71"/>
      <c r="O174" s="27" t="str">
        <f t="shared" ref="O174" si="469">"3 RODADA"</f>
        <v>3 RODADA</v>
      </c>
      <c r="P174" s="107">
        <f t="shared" ref="P174:AI174" si="470">IF(P172="","",IF((_xlfn.STDEV.P($P171:$XX172)/AVERAGE($P171:$XX172))&lt;=25%,P172,IF(OR(P172&gt;(AVERAGE($P171:$XX172)+_xlfn.STDEV.P($P171:$XX172)),P172&lt;(AVERAGE($P171:$XX172)-_xlfn.STDEV.P($P171:$XX172))),"DESCARTADO",P172)))</f>
        <v>20.58</v>
      </c>
      <c r="Q174" s="107">
        <f t="shared" si="470"/>
        <v>22.73</v>
      </c>
      <c r="R174" s="107">
        <f t="shared" si="470"/>
        <v>17</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201"/>
      <c r="F175" s="93"/>
      <c r="G175" s="203"/>
      <c r="H175"/>
      <c r="I175"/>
      <c r="J175"/>
      <c r="K175" s="66"/>
      <c r="L175" s="29" t="s">
        <v>39</v>
      </c>
      <c r="M175" s="30">
        <f t="shared" ref="M175" si="471">IFERROR(_xlfn.QUARTILE.EXC($P168:$XX168,3),"")</f>
        <v>22.73</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201"/>
      <c r="F176" s="93"/>
      <c r="G176" s="203"/>
      <c r="H176" s="134">
        <f t="shared" ref="H176" si="473">COUNT($P176:$XX176)</f>
        <v>3</v>
      </c>
      <c r="I176" s="132">
        <f t="shared" ref="I176" si="474">_xlfn.STDEV.P($P175:$XX176)/AVERAGE($P175:$XX176)</f>
        <v>0.11756360348345618</v>
      </c>
      <c r="J176" s="7">
        <f t="shared" ref="J176" si="475">IF(AND(H176&gt;2,
OR(L162="MÉDIA SANEADA",L162="MEDIANA SANEADA",
AND(L162="PREÇO ESTIMADO",NOT(AND(P164="Orçamento",COUNTA(P162:XX162)=COUNTIF(P164:XX164,"Orçamento")))))),
ROW(),0)</f>
        <v>176</v>
      </c>
      <c r="K176" s="66"/>
      <c r="L176" s="29" t="s">
        <v>42</v>
      </c>
      <c r="M176" s="30">
        <f t="shared" ref="M176" si="476">MIN($P168:$XX168)</f>
        <v>17</v>
      </c>
      <c r="N176" s="71"/>
      <c r="O176" s="27" t="str">
        <f t="shared" ref="O176" si="477">"4 RODADA"</f>
        <v>4 RODADA</v>
      </c>
      <c r="P176" s="107">
        <f t="shared" ref="P176:AI176" si="478">IF(P174="","",IF((_xlfn.STDEV.P($P173:$XX174)/AVERAGE($P173:$XX174))&lt;=25%,P174,IF(OR(P174&gt;(AVERAGE($P173:$XX174)+_xlfn.STDEV.P($P173:$XX174)),P174&lt;(AVERAGE($P173:$XX174)-_xlfn.STDEV.P($P173:$XX174))),"DESCARTADO",P174)))</f>
        <v>20.58</v>
      </c>
      <c r="Q176" s="107">
        <f t="shared" si="478"/>
        <v>22.73</v>
      </c>
      <c r="R176" s="107">
        <f t="shared" si="478"/>
        <v>17</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201"/>
      <c r="F177" s="93"/>
      <c r="G177" s="203"/>
      <c r="H177"/>
      <c r="I177"/>
      <c r="J177"/>
      <c r="K177" s="66"/>
      <c r="L177" s="29" t="s">
        <v>40</v>
      </c>
      <c r="M177" s="30">
        <f t="shared" ref="M177" si="479">MAX($P168:$XX168)</f>
        <v>22.73</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201"/>
      <c r="F178" s="93"/>
      <c r="G178" s="203"/>
      <c r="H178" s="134">
        <f t="shared" ref="H178" si="481">COUNT($P178:$XX178)</f>
        <v>3</v>
      </c>
      <c r="I178" s="132">
        <f t="shared" ref="I178" si="482">_xlfn.STDEV.P($P177:$XX178)/AVERAGE($P177:$XX178)</f>
        <v>0.11756360348345618</v>
      </c>
      <c r="J178" s="7">
        <f t="shared" ref="J178" si="483">IF(AND(H178&gt;2,
OR(L162="MÉDIA SANEADA",L162="MEDIANA SANEADA",
AND(L162="PREÇO ESTIMADO",NOT(AND(P164="Orçamento",COUNTA(P162:XX162)=COUNTIF(P164:XX164,"Orçamento")))))),
ROW(),0)</f>
        <v>178</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20.58</v>
      </c>
      <c r="Q178" s="107">
        <f t="shared" si="485"/>
        <v>22.73</v>
      </c>
      <c r="R178" s="107">
        <f t="shared" si="485"/>
        <v>17</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201"/>
      <c r="F179" s="93"/>
      <c r="G179" s="203"/>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201"/>
      <c r="F180" s="93"/>
      <c r="G180" s="203"/>
      <c r="H180" s="134">
        <f t="shared" ref="H180" si="487">COUNT($P180:$XX180)</f>
        <v>3</v>
      </c>
      <c r="I180" s="132">
        <f t="shared" ref="I180" si="488">_xlfn.STDEV.P($P179:$XX180)/AVERAGE($P179:$XX180)</f>
        <v>0.11756360348345618</v>
      </c>
      <c r="J180" s="7">
        <f t="shared" ref="J180" si="489">IF(AND(H180&gt;2,
OR(L162="MÉDIA SANEADA",L162="MEDIANA SANEADA",
AND(L162="PREÇO ESTIMADO",NOT(AND(P164="Orçamento",COUNTA(P162:XX162)=COUNTIF(P164:XX164,"Orçamento")))))),
ROW(),0)</f>
        <v>180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20.58</v>
      </c>
      <c r="Q180" s="107">
        <f t="shared" si="491"/>
        <v>22.73</v>
      </c>
      <c r="R180" s="107">
        <f t="shared" si="491"/>
        <v>17</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201"/>
      <c r="F181" s="136"/>
      <c r="G181" s="203"/>
      <c r="H181" s="206"/>
      <c r="I181" s="206"/>
      <c r="J181" s="207"/>
      <c r="K181" s="67"/>
      <c r="L181" s="1" t="s">
        <v>43</v>
      </c>
      <c r="M181" s="143">
        <f t="shared" ref="M181" si="492">IFERROR(ROUND(M162*M164,2),"")</f>
        <v>80.400000000000006</v>
      </c>
      <c r="O181" s="27" t="s">
        <v>363</v>
      </c>
      <c r="P181" s="107">
        <f t="shared" ref="P181:AI202" si="493">INDEX(P168:P180,MATCH(MAX($J168:$J180),$J168:$J180,0))</f>
        <v>20.58</v>
      </c>
      <c r="Q181" s="107">
        <f t="shared" si="493"/>
        <v>22.73</v>
      </c>
      <c r="R181" s="107">
        <f t="shared" si="493"/>
        <v>17</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15</v>
      </c>
      <c r="H183" s="135">
        <f>INDEX('BASE FORMAÇÃO'!B:B,B183+1)</f>
        <v>0</v>
      </c>
      <c r="I183" s="181" t="s">
        <v>16</v>
      </c>
      <c r="J183" s="6">
        <f>INDEX('BASE FORMAÇÃO'!K:K,B183+1)</f>
        <v>0</v>
      </c>
      <c r="K183" s="65"/>
      <c r="L183" s="184" t="s">
        <v>10</v>
      </c>
      <c r="M183" s="186">
        <f t="shared" ref="M183" si="496">IF(OR(ISBLANK($O$8),ISBLANK($O$7),ISBLANK($H$8),ISBLANK($O$6),ISBLANK($O$5),ISBLANK($H$5)),"",IFERROR(IF(VLOOKUP(L183,L189:M198,2,FALSE)&lt;1,ROUND(VLOOKUP(L183,L189:M198,2,FALSE),4),ROUND(VLOOKUP(L183,L189:M198,2,FALSE),2)),""))</f>
        <v>20.57</v>
      </c>
      <c r="N183" s="69"/>
      <c r="O183" s="27" t="s">
        <v>17</v>
      </c>
      <c r="P183" s="113">
        <v>20.9</v>
      </c>
      <c r="Q183" s="113">
        <v>18.989999999999998</v>
      </c>
      <c r="R183" s="113">
        <v>21.82</v>
      </c>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188">
        <f t="shared" ref="E184" si="498">D183</f>
        <v>9</v>
      </c>
      <c r="F184" s="92"/>
      <c r="G184" s="190" t="s">
        <v>1</v>
      </c>
      <c r="H184" s="193" t="s">
        <v>467</v>
      </c>
      <c r="I184" s="194"/>
      <c r="J184" s="195"/>
      <c r="K184" s="66"/>
      <c r="L184" s="185"/>
      <c r="M184" s="187"/>
      <c r="N184" s="70"/>
      <c r="O184" s="27" t="s">
        <v>13</v>
      </c>
      <c r="P184" s="122">
        <v>46195</v>
      </c>
      <c r="Q184" s="122">
        <v>46195</v>
      </c>
      <c r="R184" s="122">
        <v>46195</v>
      </c>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189"/>
      <c r="F185" s="93"/>
      <c r="G185" s="191"/>
      <c r="H185" s="196"/>
      <c r="I185" s="196"/>
      <c r="J185" s="197"/>
      <c r="K185" s="64"/>
      <c r="L185" s="130" t="s">
        <v>44</v>
      </c>
      <c r="M185" s="131">
        <v>4</v>
      </c>
      <c r="N185" s="71"/>
      <c r="O185" s="27" t="s">
        <v>380</v>
      </c>
      <c r="P185" s="114" t="s">
        <v>302</v>
      </c>
      <c r="Q185" s="114" t="s">
        <v>302</v>
      </c>
      <c r="R185" s="114" t="s">
        <v>302</v>
      </c>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192"/>
      <c r="H186" s="198"/>
      <c r="I186" s="198"/>
      <c r="J186" s="199"/>
      <c r="K186" s="64"/>
      <c r="L186" s="1" t="s">
        <v>2</v>
      </c>
      <c r="M186" s="6" t="s">
        <v>288</v>
      </c>
      <c r="N186" s="71"/>
      <c r="O186" s="27" t="s">
        <v>381</v>
      </c>
      <c r="P186" s="182" t="s">
        <v>468</v>
      </c>
      <c r="Q186" s="182" t="s">
        <v>469</v>
      </c>
      <c r="R186" s="182" t="s">
        <v>470</v>
      </c>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200">
        <f t="shared" ref="E187" si="502">C183</f>
        <v>1</v>
      </c>
      <c r="F187" s="93"/>
      <c r="G187" s="202" t="s">
        <v>304</v>
      </c>
      <c r="H187" s="204"/>
      <c r="I187" s="205"/>
      <c r="J187" s="205"/>
      <c r="K187" s="67"/>
      <c r="L187" s="28" t="s">
        <v>303</v>
      </c>
      <c r="M187" s="133">
        <f t="shared" ref="M187" si="503">IFERROR(INDEX(I189:I201,MATCH(MAX(J189:J201),J189:J201,0)),"")</f>
        <v>5.7300513787907556E-2</v>
      </c>
      <c r="N187" s="71"/>
      <c r="O187" s="27" t="s">
        <v>18</v>
      </c>
      <c r="P187" s="106">
        <f>IF(P183="","",
IF(OR(P185="Orçamento",P184="",MAX('Tabela de Apoio'!$A:$A)&lt;=P184),
P183,
(INDEX('Tabela de Apoio'!$B:$B,MATCH('MAPA DE PREÇOS'!$O$8,'Tabela de Apoio'!$A:$A,1))/INDEX('Tabela de Apoio'!$B:$B,MATCH('MAPA DE PREÇOS'!P184,'Tabela de Apoio'!$A:$A,1)-1))*P183))</f>
        <v>20.9</v>
      </c>
      <c r="Q187" s="106">
        <f>IF(Q183="","",
IF(OR(Q185="Orçamento",Q184="",MAX('Tabela de Apoio'!$A:$A)&lt;=Q184),
Q183,
(INDEX('Tabela de Apoio'!$B:$B,MATCH('MAPA DE PREÇOS'!$O$8,'Tabela de Apoio'!$A:$A,1))/INDEX('Tabela de Apoio'!$B:$B,MATCH('MAPA DE PREÇOS'!Q184,'Tabela de Apoio'!$A:$A,1)-1))*Q183))</f>
        <v>18.989999999999998</v>
      </c>
      <c r="R187" s="106">
        <f>IF(R183="","",
IF(OR(R185="Orçamento",R184="",MAX('Tabela de Apoio'!$A:$A)&lt;=R184),
R183,
(INDEX('Tabela de Apoio'!$B:$B,MATCH('MAPA DE PREÇOS'!$O$8,'Tabela de Apoio'!$A:$A,1))/INDEX('Tabela de Apoio'!$B:$B,MATCH('MAPA DE PREÇOS'!R184,'Tabela de Apoio'!$A:$A,1)-1))*R183))</f>
        <v>21.82</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201"/>
      <c r="F188" s="93"/>
      <c r="G188" s="203"/>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201"/>
      <c r="F189" s="93"/>
      <c r="G189" s="203"/>
      <c r="H189" s="134">
        <f t="shared" ref="H189" si="507">COUNT($P189:$XX189)</f>
        <v>3</v>
      </c>
      <c r="I189" s="132">
        <f t="shared" ref="I189" si="508">_xlfn.STDEV.P($P188:$XX189)/AVERAGE($P188:$XX189)</f>
        <v>5.7300513787907556E-2</v>
      </c>
      <c r="J189" s="7">
        <f>ROW()</f>
        <v>189</v>
      </c>
      <c r="K189" s="67"/>
      <c r="L189" s="29" t="s">
        <v>10</v>
      </c>
      <c r="M189" s="30">
        <f t="shared" ref="M189" si="509">IFERROR(
IF(COUNTA(P183:AI183)=COUNTIF(P185:XX185,"Orçamento"),MIN(M194,M191),
IF(M192&lt;&gt;"",M192,
IF(M193&lt;&gt;"",M193,
M191
))),"")</f>
        <v>20.57</v>
      </c>
      <c r="N189" s="71"/>
      <c r="O189" s="27" t="s">
        <v>376</v>
      </c>
      <c r="P189" s="106">
        <f t="shared" ref="P189:AI189" si="510">IFERROR(IF(P187="",
            "",
            IF(COUNT($P187:$XX187)&lt;=4,
               P187,
               IF(OR(P187&gt;(QUARTILE($P187:$XX187,3)+(QUARTILE($P187:$XX187,3)-QUARTILE($P187:$XX187,1))),
                     P187&lt;(QUARTILE($P187:$XX187,1)-(QUARTILE($P187:$XX187,3)-QUARTILE($P187:$XX187,1)))
                  ),
               "DESCARTADO",P187)
             )
  ),P187)</f>
        <v>20.9</v>
      </c>
      <c r="Q189" s="106">
        <f t="shared" si="510"/>
        <v>18.989999999999998</v>
      </c>
      <c r="R189" s="106">
        <f t="shared" si="510"/>
        <v>21.82</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201"/>
      <c r="F190" s="93"/>
      <c r="G190" s="203"/>
      <c r="H190"/>
      <c r="I190"/>
      <c r="J190"/>
      <c r="K190" s="66"/>
      <c r="L190" s="29" t="s">
        <v>360</v>
      </c>
      <c r="M190" s="30">
        <f t="shared" ref="M190" si="513">AVERAGE($P189:$XX189)</f>
        <v>20.57</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201"/>
      <c r="F191" s="93"/>
      <c r="G191" s="203"/>
      <c r="H191" s="134">
        <f t="shared" ref="H191" si="515">COUNT($P191:$XX191)</f>
        <v>3</v>
      </c>
      <c r="I191" s="132">
        <f t="shared" ref="I191" si="516">_xlfn.STDEV.P($P190:$XX191)/AVERAGE($P190:$XX191)</f>
        <v>5.7300513787907556E-2</v>
      </c>
      <c r="J191" s="7">
        <f t="shared" ref="J191" si="517">IF(AND(H191&gt;2,
OR(L183="MÉDIA SANEADA",L183="MEDIANA SANEADA",
AND(L183="PREÇO ESTIMADO",NOT(AND(P185="Orçamento",COUNTA(P183:XX183)=COUNTIF(P185:XX185,"Orçamento")))))),
ROW(),0)</f>
        <v>191</v>
      </c>
      <c r="K191" s="66"/>
      <c r="L191" s="29" t="s">
        <v>361</v>
      </c>
      <c r="M191" s="30">
        <f t="shared" ref="M191" si="518">MEDIAN($P189:$XX189)</f>
        <v>20.9</v>
      </c>
      <c r="N191" s="71"/>
      <c r="O191" s="27" t="str">
        <f t="shared" ref="O191" si="519">"1 RODADA"</f>
        <v>1 RODADA</v>
      </c>
      <c r="P191" s="107">
        <f t="shared" ref="P191:AI191" si="520">IF(P189="","",IF((_xlfn.STDEV.P($P188:$XX189)/AVERAGE($P188:$XX189))&lt;=25%,P189,IF(OR(P189&gt;(AVERAGE($P188:$XX189)+_xlfn.STDEV.P($P188:$XX189)),P189&lt;(AVERAGE($P188:$XX189)-_xlfn.STDEV.P($P188:$XX189))),"DESCARTADO",P189)))</f>
        <v>20.9</v>
      </c>
      <c r="Q191" s="107">
        <f t="shared" si="520"/>
        <v>18.989999999999998</v>
      </c>
      <c r="R191" s="107">
        <f t="shared" si="520"/>
        <v>21.82</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201"/>
      <c r="F192" s="93"/>
      <c r="G192" s="203"/>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20.57</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201"/>
      <c r="F193" s="93"/>
      <c r="G193" s="203"/>
      <c r="H193" s="134">
        <f t="shared" ref="H193" si="523">COUNT($P193:$XX193)</f>
        <v>3</v>
      </c>
      <c r="I193" s="132">
        <f t="shared" ref="I193" si="524">_xlfn.STDEV.P($P192:$XX193)/AVERAGE($P192:$XX193)</f>
        <v>5.7300513787907556E-2</v>
      </c>
      <c r="J193" s="7">
        <f t="shared" ref="J193" si="525">IF(AND(H193&gt;2,
OR(L183="MÉDIA SANEADA",L183="MEDIANA SANEADA",
AND(L183="PREÇO ESTIMADO",NOT(AND(P185="Orçamento",COUNTA(P183:XX183)=COUNTIF(P185:XX185,"Orçamento")))))),
ROW(),0)</f>
        <v>193</v>
      </c>
      <c r="K193" s="66"/>
      <c r="L193" s="29" t="s">
        <v>362</v>
      </c>
      <c r="M193" s="30">
        <f t="shared" ref="M193" si="526" xml:space="preserve">
IF(H191&gt;2,MEDIAN(P190:XX191),
IF(H193&gt;2,MEDIAN(P192:XX193),
IF(H195&gt;2,MEDIAN(P194:XX195),
IF(H197&gt;2,MEDIAN(P196:XX197),
IF(H199&gt;2,MEDIAN(P198:XX199),
IF(H201&gt;2,MEDIAN(P200:XX201),
MEDIAN(P188:XX189)))))))</f>
        <v>20.9</v>
      </c>
      <c r="N193" s="71"/>
      <c r="O193" s="27" t="str">
        <f t="shared" ref="O193" si="527">"2 RODADA"</f>
        <v>2 RODADA</v>
      </c>
      <c r="P193" s="107">
        <f t="shared" ref="P193:AI193" si="528">IF(P191="","",IF((_xlfn.STDEV.P($P190:$XX191)/AVERAGE($P190:$XX191))&lt;=25%,P191,IF(OR(P191&gt;(AVERAGE($P190:$XX191)+_xlfn.STDEV.P($P190:$XX191)),P191&lt;(AVERAGE($P190:$XX191)-_xlfn.STDEV.P($P190:$XX191))),"DESCARTADO",P191)))</f>
        <v>20.9</v>
      </c>
      <c r="Q193" s="107">
        <f t="shared" si="528"/>
        <v>18.989999999999998</v>
      </c>
      <c r="R193" s="107">
        <f t="shared" si="528"/>
        <v>21.82</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201"/>
      <c r="F194" s="93"/>
      <c r="G194" s="203"/>
      <c r="H194"/>
      <c r="I194"/>
      <c r="J194"/>
      <c r="K194" s="66"/>
      <c r="L194" s="29" t="s">
        <v>359</v>
      </c>
      <c r="M194" s="30">
        <f t="shared" ref="M194" si="529">HARMEAN($P188:$XX189)</f>
        <v>20.50080759680414</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201"/>
      <c r="F195" s="93"/>
      <c r="G195" s="203"/>
      <c r="H195" s="134">
        <f t="shared" ref="H195" si="531">COUNT($P195:$XX195)</f>
        <v>3</v>
      </c>
      <c r="I195" s="132">
        <f t="shared" ref="I195" si="532">_xlfn.STDEV.P($P194:$XX195)/AVERAGE($P194:$XX195)</f>
        <v>5.7300513787907556E-2</v>
      </c>
      <c r="J195" s="7">
        <f t="shared" ref="J195" si="533">IF(AND(H195&gt;2,
OR(L183="MÉDIA SANEADA",L183="MEDIANA SANEADA",
AND(L183="PREÇO ESTIMADO",NOT(AND(P185="Orçamento",COUNTA(P183:XX183)=COUNTIF(P185:XX185,"Orçamento")))))),
ROW(),0)</f>
        <v>195</v>
      </c>
      <c r="K195" s="66"/>
      <c r="L195" s="29" t="s">
        <v>41</v>
      </c>
      <c r="M195" s="30">
        <f t="shared" ref="M195" si="534">IFERROR(_xlfn.QUARTILE.EXC($P189:$XX189,1),"")</f>
        <v>18.989999999999998</v>
      </c>
      <c r="N195" s="71"/>
      <c r="O195" s="27" t="str">
        <f t="shared" ref="O195" si="535">"3 RODADA"</f>
        <v>3 RODADA</v>
      </c>
      <c r="P195" s="107">
        <f t="shared" ref="P195:AI195" si="536">IF(P193="","",IF((_xlfn.STDEV.P($P192:$XX193)/AVERAGE($P192:$XX193))&lt;=25%,P193,IF(OR(P193&gt;(AVERAGE($P192:$XX193)+_xlfn.STDEV.P($P192:$XX193)),P193&lt;(AVERAGE($P192:$XX193)-_xlfn.STDEV.P($P192:$XX193))),"DESCARTADO",P193)))</f>
        <v>20.9</v>
      </c>
      <c r="Q195" s="107">
        <f t="shared" si="536"/>
        <v>18.989999999999998</v>
      </c>
      <c r="R195" s="107">
        <f t="shared" si="536"/>
        <v>21.82</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201"/>
      <c r="F196" s="93"/>
      <c r="G196" s="203"/>
      <c r="H196"/>
      <c r="I196"/>
      <c r="J196"/>
      <c r="K196" s="66"/>
      <c r="L196" s="29" t="s">
        <v>39</v>
      </c>
      <c r="M196" s="30">
        <f t="shared" ref="M196" si="537">IFERROR(_xlfn.QUARTILE.EXC($P189:$XX189,3),"")</f>
        <v>21.82</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201"/>
      <c r="F197" s="93"/>
      <c r="G197" s="203"/>
      <c r="H197" s="134">
        <f t="shared" ref="H197" si="539">COUNT($P197:$XX197)</f>
        <v>3</v>
      </c>
      <c r="I197" s="132">
        <f t="shared" ref="I197" si="540">_xlfn.STDEV.P($P196:$XX197)/AVERAGE($P196:$XX197)</f>
        <v>5.7300513787907556E-2</v>
      </c>
      <c r="J197" s="7">
        <f t="shared" ref="J197" si="541">IF(AND(H197&gt;2,
OR(L183="MÉDIA SANEADA",L183="MEDIANA SANEADA",
AND(L183="PREÇO ESTIMADO",NOT(AND(P185="Orçamento",COUNTA(P183:XX183)=COUNTIF(P185:XX185,"Orçamento")))))),
ROW(),0)</f>
        <v>197</v>
      </c>
      <c r="K197" s="66"/>
      <c r="L197" s="29" t="s">
        <v>42</v>
      </c>
      <c r="M197" s="30">
        <f t="shared" ref="M197" si="542">MIN($P189:$XX189)</f>
        <v>18.989999999999998</v>
      </c>
      <c r="N197" s="71"/>
      <c r="O197" s="27" t="str">
        <f t="shared" ref="O197" si="543">"4 RODADA"</f>
        <v>4 RODADA</v>
      </c>
      <c r="P197" s="107">
        <f t="shared" ref="P197:AI197" si="544">IF(P195="","",IF((_xlfn.STDEV.P($P194:$XX195)/AVERAGE($P194:$XX195))&lt;=25%,P195,IF(OR(P195&gt;(AVERAGE($P194:$XX195)+_xlfn.STDEV.P($P194:$XX195)),P195&lt;(AVERAGE($P194:$XX195)-_xlfn.STDEV.P($P194:$XX195))),"DESCARTADO",P195)))</f>
        <v>20.9</v>
      </c>
      <c r="Q197" s="107">
        <f t="shared" si="544"/>
        <v>18.989999999999998</v>
      </c>
      <c r="R197" s="107">
        <f t="shared" si="544"/>
        <v>21.82</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201"/>
      <c r="F198" s="93"/>
      <c r="G198" s="203"/>
      <c r="H198"/>
      <c r="I198"/>
      <c r="J198"/>
      <c r="K198" s="66"/>
      <c r="L198" s="29" t="s">
        <v>40</v>
      </c>
      <c r="M198" s="30">
        <f t="shared" ref="M198" si="545">MAX($P189:$XX189)</f>
        <v>21.82</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201"/>
      <c r="F199" s="93"/>
      <c r="G199" s="203"/>
      <c r="H199" s="134">
        <f t="shared" ref="H199" si="547">COUNT($P199:$XX199)</f>
        <v>3</v>
      </c>
      <c r="I199" s="132">
        <f t="shared" ref="I199" si="548">_xlfn.STDEV.P($P198:$XX199)/AVERAGE($P198:$XX199)</f>
        <v>5.7300513787907556E-2</v>
      </c>
      <c r="J199" s="7">
        <f t="shared" ref="J199" si="549">IF(AND(H199&gt;2,
OR(L183="MÉDIA SANEADA",L183="MEDIANA SANEADA",
AND(L183="PREÇO ESTIMADO",NOT(AND(P185="Orçamento",COUNTA(P183:XX183)=COUNTIF(P185:XX185,"Orçamento")))))),
ROW(),0)</f>
        <v>199</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20.9</v>
      </c>
      <c r="Q199" s="107">
        <f t="shared" si="551"/>
        <v>18.989999999999998</v>
      </c>
      <c r="R199" s="107">
        <f t="shared" si="551"/>
        <v>21.82</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201"/>
      <c r="F200" s="93"/>
      <c r="G200" s="203"/>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201"/>
      <c r="F201" s="93"/>
      <c r="G201" s="203"/>
      <c r="H201" s="134">
        <f t="shared" ref="H201" si="553">COUNT($P201:$XX201)</f>
        <v>3</v>
      </c>
      <c r="I201" s="132">
        <f t="shared" ref="I201" si="554">_xlfn.STDEV.P($P200:$XX201)/AVERAGE($P200:$XX201)</f>
        <v>5.7300513787907556E-2</v>
      </c>
      <c r="J201" s="7">
        <f t="shared" ref="J201" si="555">IF(AND(H201&gt;2,
OR(L183="MÉDIA SANEADA",L183="MEDIANA SANEADA",
AND(L183="PREÇO ESTIMADO",NOT(AND(P185="Orçamento",COUNTA(P183:XX183)=COUNTIF(P185:XX185,"Orçamento")))))),
ROW(),0)</f>
        <v>201</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20.9</v>
      </c>
      <c r="Q201" s="107">
        <f t="shared" si="557"/>
        <v>18.989999999999998</v>
      </c>
      <c r="R201" s="107">
        <f t="shared" si="557"/>
        <v>21.82</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201"/>
      <c r="F202" s="136"/>
      <c r="G202" s="203"/>
      <c r="H202" s="206"/>
      <c r="I202" s="206"/>
      <c r="J202" s="207"/>
      <c r="K202" s="67"/>
      <c r="L202" s="1" t="s">
        <v>43</v>
      </c>
      <c r="M202" s="143">
        <f t="shared" ref="M202" si="558">IFERROR(ROUND(M183*M185,2),"")</f>
        <v>82.28</v>
      </c>
      <c r="O202" s="27" t="s">
        <v>363</v>
      </c>
      <c r="P202" s="107">
        <f t="shared" ref="P202:R202" si="559">INDEX(P189:P201,MATCH(MAX($J189:$J201),$J189:$J201,0))</f>
        <v>20.9</v>
      </c>
      <c r="Q202" s="107">
        <f t="shared" si="559"/>
        <v>18.989999999999998</v>
      </c>
      <c r="R202" s="107">
        <f t="shared" si="559"/>
        <v>21.82</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f>IF(_xlfn.ISFORMULA(E208),MAX(INDEX('BASE FORMAÇÃO'!A:A,B204+1),1),E208)</f>
        <v>1</v>
      </c>
      <c r="D204" s="127">
        <f t="shared" ref="D204" si="561">IFERROR(IF(C204=C194,D194+1,1),1)</f>
        <v>10</v>
      </c>
      <c r="E204" s="38" t="s">
        <v>9</v>
      </c>
      <c r="F204" s="73"/>
      <c r="G204" s="38" t="s">
        <v>15</v>
      </c>
      <c r="H204" s="135">
        <f>INDEX('BASE FORMAÇÃO'!B:B,B204+1)</f>
        <v>0</v>
      </c>
      <c r="I204" s="181" t="s">
        <v>16</v>
      </c>
      <c r="J204" s="6">
        <f>INDEX('BASE FORMAÇÃO'!K:K,B204+1)</f>
        <v>0</v>
      </c>
      <c r="K204" s="65"/>
      <c r="L204" s="184" t="s">
        <v>10</v>
      </c>
      <c r="M204" s="186">
        <f t="shared" ref="M204" si="562">IF(OR(ISBLANK($O$8),ISBLANK($O$7),ISBLANK($H$8),ISBLANK($O$6),ISBLANK($O$5),ISBLANK($H$5)),"",IFERROR(IF(VLOOKUP(L204,L210:M219,2,FALSE)&lt;1,ROUND(VLOOKUP(L204,L210:M219,2,FALSE),4),ROUND(VLOOKUP(L204,L210:M219,2,FALSE),2)),""))</f>
        <v>11.4</v>
      </c>
      <c r="N204" s="69"/>
      <c r="O204" s="27" t="s">
        <v>17</v>
      </c>
      <c r="P204" s="113">
        <v>11.9</v>
      </c>
      <c r="Q204" s="113">
        <v>12.98</v>
      </c>
      <c r="R204" s="113">
        <v>9.31</v>
      </c>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f t="shared" si="563"/>
        <v>1</v>
      </c>
      <c r="D205" s="127">
        <f t="shared" si="563"/>
        <v>10</v>
      </c>
      <c r="E205" s="188">
        <f t="shared" ref="E205" si="564">D204</f>
        <v>10</v>
      </c>
      <c r="F205" s="92"/>
      <c r="G205" s="190" t="s">
        <v>1</v>
      </c>
      <c r="H205" s="193" t="s">
        <v>471</v>
      </c>
      <c r="I205" s="194"/>
      <c r="J205" s="195"/>
      <c r="K205" s="66"/>
      <c r="L205" s="185"/>
      <c r="M205" s="187"/>
      <c r="N205" s="70"/>
      <c r="O205" s="27" t="s">
        <v>13</v>
      </c>
      <c r="P205" s="122">
        <v>46195</v>
      </c>
      <c r="Q205" s="122">
        <v>46195</v>
      </c>
      <c r="R205" s="122">
        <v>46195</v>
      </c>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f t="shared" si="565"/>
        <v>1</v>
      </c>
      <c r="D206" s="127">
        <f t="shared" si="565"/>
        <v>10</v>
      </c>
      <c r="E206" s="189"/>
      <c r="F206" s="93"/>
      <c r="G206" s="191"/>
      <c r="H206" s="196"/>
      <c r="I206" s="196"/>
      <c r="J206" s="197"/>
      <c r="K206" s="64"/>
      <c r="L206" s="130" t="s">
        <v>44</v>
      </c>
      <c r="M206" s="131">
        <v>4</v>
      </c>
      <c r="N206" s="71"/>
      <c r="O206" s="27" t="s">
        <v>380</v>
      </c>
      <c r="P206" s="114" t="s">
        <v>302</v>
      </c>
      <c r="Q206" s="114" t="s">
        <v>302</v>
      </c>
      <c r="R206" s="114" t="s">
        <v>302</v>
      </c>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f t="shared" si="566"/>
        <v>1</v>
      </c>
      <c r="D207" s="127">
        <f t="shared" si="446"/>
        <v>10</v>
      </c>
      <c r="E207" s="38" t="s">
        <v>313</v>
      </c>
      <c r="F207" s="93"/>
      <c r="G207" s="192"/>
      <c r="H207" s="198"/>
      <c r="I207" s="198"/>
      <c r="J207" s="199"/>
      <c r="K207" s="64"/>
      <c r="L207" s="1" t="s">
        <v>2</v>
      </c>
      <c r="M207" s="6" t="s">
        <v>288</v>
      </c>
      <c r="N207" s="71"/>
      <c r="O207" s="27" t="s">
        <v>381</v>
      </c>
      <c r="P207" s="182" t="s">
        <v>472</v>
      </c>
      <c r="Q207" s="182" t="s">
        <v>473</v>
      </c>
      <c r="R207" s="182" t="s">
        <v>474</v>
      </c>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f t="shared" si="567"/>
        <v>1</v>
      </c>
      <c r="D208" s="127">
        <f t="shared" si="446"/>
        <v>10</v>
      </c>
      <c r="E208" s="200">
        <f t="shared" ref="E208" si="568">C204</f>
        <v>1</v>
      </c>
      <c r="F208" s="93"/>
      <c r="G208" s="202" t="s">
        <v>304</v>
      </c>
      <c r="H208" s="204"/>
      <c r="I208" s="205"/>
      <c r="J208" s="205"/>
      <c r="K208" s="67"/>
      <c r="L208" s="28" t="s">
        <v>303</v>
      </c>
      <c r="M208" s="133">
        <f t="shared" ref="M208" si="569">IFERROR(INDEX(I210:I222,MATCH(MAX(J210:J222),J210:J222,0)),"")</f>
        <v>0.13512406474478245</v>
      </c>
      <c r="N208" s="71"/>
      <c r="O208" s="27" t="s">
        <v>18</v>
      </c>
      <c r="P208" s="106">
        <f>IF(P204="","",
IF(OR(P206="Orçamento",P205="",MAX('Tabela de Apoio'!$A:$A)&lt;=P205),
P204,
(INDEX('Tabela de Apoio'!$B:$B,MATCH('MAPA DE PREÇOS'!$O$8,'Tabela de Apoio'!$A:$A,1))/INDEX('Tabela de Apoio'!$B:$B,MATCH('MAPA DE PREÇOS'!P205,'Tabela de Apoio'!$A:$A,1)-1))*P204))</f>
        <v>11.9</v>
      </c>
      <c r="Q208" s="106">
        <f>IF(Q204="","",
IF(OR(Q206="Orçamento",Q205="",MAX('Tabela de Apoio'!$A:$A)&lt;=Q205),
Q204,
(INDEX('Tabela de Apoio'!$B:$B,MATCH('MAPA DE PREÇOS'!$O$8,'Tabela de Apoio'!$A:$A,1))/INDEX('Tabela de Apoio'!$B:$B,MATCH('MAPA DE PREÇOS'!Q205,'Tabela de Apoio'!$A:$A,1)-1))*Q204))</f>
        <v>12.98</v>
      </c>
      <c r="R208" s="106">
        <f>IF(R204="","",
IF(OR(R206="Orçamento",R205="",MAX('Tabela de Apoio'!$A:$A)&lt;=R205),
R204,
(INDEX('Tabela de Apoio'!$B:$B,MATCH('MAPA DE PREÇOS'!$O$8,'Tabela de Apoio'!$A:$A,1))/INDEX('Tabela de Apoio'!$B:$B,MATCH('MAPA DE PREÇOS'!R205,'Tabela de Apoio'!$A:$A,1)-1))*R204))</f>
        <v>9.31</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f t="shared" ref="C209" si="571">C208</f>
        <v>1</v>
      </c>
      <c r="D209" s="127">
        <f t="shared" si="446"/>
        <v>10</v>
      </c>
      <c r="E209" s="201"/>
      <c r="F209" s="93"/>
      <c r="G209" s="203"/>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f t="shared" si="572"/>
        <v>1</v>
      </c>
      <c r="D210" s="127">
        <f t="shared" si="446"/>
        <v>10</v>
      </c>
      <c r="E210" s="201"/>
      <c r="F210" s="93"/>
      <c r="G210" s="203"/>
      <c r="H210" s="134">
        <f t="shared" ref="H210" si="573">COUNT($P210:$XX210)</f>
        <v>3</v>
      </c>
      <c r="I210" s="132">
        <f t="shared" ref="I210" si="574">_xlfn.STDEV.P($P209:$XX210)/AVERAGE($P209:$XX210)</f>
        <v>0.13512406474478245</v>
      </c>
      <c r="J210" s="7">
        <f>ROW()</f>
        <v>210</v>
      </c>
      <c r="K210" s="67"/>
      <c r="L210" s="29" t="s">
        <v>10</v>
      </c>
      <c r="M210" s="30">
        <f t="shared" ref="M210" si="575">IFERROR(
IF(COUNTA(P204:AI204)=COUNTIF(P206:XX206,"Orçamento"),MIN(M215,M212),
IF(M213&lt;&gt;"",M213,
IF(M214&lt;&gt;"",M214,
M212
))),"")</f>
        <v>11.396666666666668</v>
      </c>
      <c r="N210" s="71"/>
      <c r="O210" s="27" t="s">
        <v>376</v>
      </c>
      <c r="P210" s="106">
        <f t="shared" ref="P210:AI210" si="576">IFERROR(IF(P208="",
            "",
            IF(COUNT($P208:$XX208)&lt;=4,
               P208,
               IF(OR(P208&gt;(QUARTILE($P208:$XX208,3)+(QUARTILE($P208:$XX208,3)-QUARTILE($P208:$XX208,1))),
                     P208&lt;(QUARTILE($P208:$XX208,1)-(QUARTILE($P208:$XX208,3)-QUARTILE($P208:$XX208,1)))
                  ),
               "DESCARTADO",P208)
             )
  ),P208)</f>
        <v>11.9</v>
      </c>
      <c r="Q210" s="106">
        <f t="shared" si="576"/>
        <v>12.98</v>
      </c>
      <c r="R210" s="106">
        <f t="shared" si="576"/>
        <v>9.31</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f t="shared" ref="C211" si="578">C210</f>
        <v>1</v>
      </c>
      <c r="D211" s="127">
        <f t="shared" si="446"/>
        <v>10</v>
      </c>
      <c r="E211" s="201"/>
      <c r="F211" s="93"/>
      <c r="G211" s="203"/>
      <c r="H211"/>
      <c r="I211"/>
      <c r="J211"/>
      <c r="K211" s="66"/>
      <c r="L211" s="29" t="s">
        <v>360</v>
      </c>
      <c r="M211" s="30">
        <f t="shared" ref="M211" si="579">AVERAGE($P210:$XX210)</f>
        <v>11.396666666666668</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f t="shared" si="446"/>
        <v>1</v>
      </c>
      <c r="D212" s="127">
        <f t="shared" si="446"/>
        <v>10</v>
      </c>
      <c r="E212" s="201"/>
      <c r="F212" s="93"/>
      <c r="G212" s="203"/>
      <c r="H212" s="134">
        <f t="shared" ref="H212" si="581">COUNT($P212:$XX212)</f>
        <v>3</v>
      </c>
      <c r="I212" s="132">
        <f t="shared" ref="I212" si="582">_xlfn.STDEV.P($P211:$XX212)/AVERAGE($P211:$XX212)</f>
        <v>0.13512406474478245</v>
      </c>
      <c r="J212" s="7">
        <f t="shared" ref="J212" si="583">IF(AND(H212&gt;2,
OR(L204="MÉDIA SANEADA",L204="MEDIANA SANEADA",
AND(L204="PREÇO ESTIMADO",NOT(AND(P206="Orçamento",COUNTA(P204:XX204)=COUNTIF(P206:XX206,"Orçamento")))))),
ROW(),0)</f>
        <v>212</v>
      </c>
      <c r="K212" s="66"/>
      <c r="L212" s="29" t="s">
        <v>361</v>
      </c>
      <c r="M212" s="30">
        <f t="shared" ref="M212" si="584">MEDIAN($P210:$XX210)</f>
        <v>11.9</v>
      </c>
      <c r="N212" s="71"/>
      <c r="O212" s="27" t="str">
        <f t="shared" ref="O212" si="585">"1 RODADA"</f>
        <v>1 RODADA</v>
      </c>
      <c r="P212" s="107">
        <f t="shared" ref="P212:AI212" si="586">IF(P210="","",IF((_xlfn.STDEV.P($P209:$XX210)/AVERAGE($P209:$XX210))&lt;=25%,P210,IF(OR(P210&gt;(AVERAGE($P209:$XX210)+_xlfn.STDEV.P($P209:$XX210)),P210&lt;(AVERAGE($P209:$XX210)-_xlfn.STDEV.P($P209:$XX210))),"DESCARTADO",P210)))</f>
        <v>11.9</v>
      </c>
      <c r="Q212" s="107">
        <f t="shared" si="586"/>
        <v>12.98</v>
      </c>
      <c r="R212" s="107">
        <f t="shared" si="586"/>
        <v>9.31</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f t="shared" si="446"/>
        <v>1</v>
      </c>
      <c r="D213" s="127">
        <f t="shared" si="446"/>
        <v>10</v>
      </c>
      <c r="E213" s="201"/>
      <c r="F213" s="93"/>
      <c r="G213" s="203"/>
      <c r="H213"/>
      <c r="I213"/>
      <c r="J213"/>
      <c r="L213" s="29" t="s">
        <v>38</v>
      </c>
      <c r="M213" s="30">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11.396666666666668</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f t="shared" si="446"/>
        <v>1</v>
      </c>
      <c r="D214" s="127">
        <f t="shared" si="446"/>
        <v>10</v>
      </c>
      <c r="E214" s="201"/>
      <c r="F214" s="93"/>
      <c r="G214" s="203"/>
      <c r="H214" s="134">
        <f t="shared" ref="H214" si="589">COUNT($P214:$XX214)</f>
        <v>3</v>
      </c>
      <c r="I214" s="132">
        <f t="shared" ref="I214" si="590">_xlfn.STDEV.P($P213:$XX214)/AVERAGE($P213:$XX214)</f>
        <v>0.13512406474478245</v>
      </c>
      <c r="J214" s="7">
        <f t="shared" ref="J214" si="591">IF(AND(H214&gt;2,
OR(L204="MÉDIA SANEADA",L204="MEDIANA SANEADA",
AND(L204="PREÇO ESTIMADO",NOT(AND(P206="Orçamento",COUNTA(P204:XX204)=COUNTIF(P206:XX206,"Orçamento")))))),
ROW(),0)</f>
        <v>214</v>
      </c>
      <c r="K214" s="66"/>
      <c r="L214" s="29" t="s">
        <v>362</v>
      </c>
      <c r="M214" s="30">
        <f t="shared" ref="M214" si="592" xml:space="preserve">
IF(H212&gt;2,MEDIAN(P211:XX212),
IF(H214&gt;2,MEDIAN(P213:XX214),
IF(H216&gt;2,MEDIAN(P215:XX216),
IF(H218&gt;2,MEDIAN(P217:XX218),
IF(H220&gt;2,MEDIAN(P219:XX220),
IF(H222&gt;2,MEDIAN(P221:XX222),
MEDIAN(P209:XX210)))))))</f>
        <v>11.9</v>
      </c>
      <c r="N214" s="71"/>
      <c r="O214" s="27" t="str">
        <f t="shared" ref="O214" si="593">"2 RODADA"</f>
        <v>2 RODADA</v>
      </c>
      <c r="P214" s="107">
        <f t="shared" ref="P214:AI214" si="594">IF(P212="","",IF((_xlfn.STDEV.P($P211:$XX212)/AVERAGE($P211:$XX212))&lt;=25%,P212,IF(OR(P212&gt;(AVERAGE($P211:$XX212)+_xlfn.STDEV.P($P211:$XX212)),P212&lt;(AVERAGE($P211:$XX212)-_xlfn.STDEV.P($P211:$XX212))),"DESCARTADO",P212)))</f>
        <v>11.9</v>
      </c>
      <c r="Q214" s="107">
        <f t="shared" si="594"/>
        <v>12.98</v>
      </c>
      <c r="R214" s="107">
        <f t="shared" si="594"/>
        <v>9.31</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f t="shared" si="446"/>
        <v>1</v>
      </c>
      <c r="D215" s="127">
        <f t="shared" si="446"/>
        <v>10</v>
      </c>
      <c r="E215" s="201"/>
      <c r="F215" s="93"/>
      <c r="G215" s="203"/>
      <c r="H215"/>
      <c r="I215"/>
      <c r="J215"/>
      <c r="K215" s="66"/>
      <c r="L215" s="29" t="s">
        <v>359</v>
      </c>
      <c r="M215" s="30">
        <f t="shared" ref="M215" si="595">HARMEAN($P209:$XX210)</f>
        <v>11.173741941098404</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f t="shared" si="446"/>
        <v>1</v>
      </c>
      <c r="D216" s="127">
        <f t="shared" si="446"/>
        <v>10</v>
      </c>
      <c r="E216" s="201"/>
      <c r="F216" s="93"/>
      <c r="G216" s="203"/>
      <c r="H216" s="134">
        <f t="shared" ref="H216" si="597">COUNT($P216:$XX216)</f>
        <v>3</v>
      </c>
      <c r="I216" s="132">
        <f t="shared" ref="I216" si="598">_xlfn.STDEV.P($P215:$XX216)/AVERAGE($P215:$XX216)</f>
        <v>0.13512406474478245</v>
      </c>
      <c r="J216" s="7">
        <f t="shared" ref="J216" si="599">IF(AND(H216&gt;2,
OR(L204="MÉDIA SANEADA",L204="MEDIANA SANEADA",
AND(L204="PREÇO ESTIMADO",NOT(AND(P206="Orçamento",COUNTA(P204:XX204)=COUNTIF(P206:XX206,"Orçamento")))))),
ROW(),0)</f>
        <v>216</v>
      </c>
      <c r="K216" s="66"/>
      <c r="L216" s="29" t="s">
        <v>41</v>
      </c>
      <c r="M216" s="30">
        <f t="shared" ref="M216" si="600">IFERROR(_xlfn.QUARTILE.EXC($P210:$XX210,1),"")</f>
        <v>9.31</v>
      </c>
      <c r="N216" s="71"/>
      <c r="O216" s="27" t="str">
        <f t="shared" ref="O216" si="601">"3 RODADA"</f>
        <v>3 RODADA</v>
      </c>
      <c r="P216" s="107">
        <f t="shared" ref="P216:AI216" si="602">IF(P214="","",IF((_xlfn.STDEV.P($P213:$XX214)/AVERAGE($P213:$XX214))&lt;=25%,P214,IF(OR(P214&gt;(AVERAGE($P213:$XX214)+_xlfn.STDEV.P($P213:$XX214)),P214&lt;(AVERAGE($P213:$XX214)-_xlfn.STDEV.P($P213:$XX214))),"DESCARTADO",P214)))</f>
        <v>11.9</v>
      </c>
      <c r="Q216" s="107">
        <f t="shared" si="602"/>
        <v>12.98</v>
      </c>
      <c r="R216" s="107">
        <f t="shared" si="602"/>
        <v>9.31</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f t="shared" si="446"/>
        <v>1</v>
      </c>
      <c r="D217" s="127">
        <f t="shared" si="446"/>
        <v>10</v>
      </c>
      <c r="E217" s="201"/>
      <c r="F217" s="93"/>
      <c r="G217" s="203"/>
      <c r="H217"/>
      <c r="I217"/>
      <c r="J217"/>
      <c r="K217" s="66"/>
      <c r="L217" s="29" t="s">
        <v>39</v>
      </c>
      <c r="M217" s="30">
        <f t="shared" ref="M217" si="603">IFERROR(_xlfn.QUARTILE.EXC($P210:$XX210,3),"")</f>
        <v>12.98</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f t="shared" si="446"/>
        <v>1</v>
      </c>
      <c r="D218" s="127">
        <f t="shared" si="446"/>
        <v>10</v>
      </c>
      <c r="E218" s="201"/>
      <c r="F218" s="93"/>
      <c r="G218" s="203"/>
      <c r="H218" s="134">
        <f t="shared" ref="H218" si="605">COUNT($P218:$XX218)</f>
        <v>3</v>
      </c>
      <c r="I218" s="132">
        <f t="shared" ref="I218" si="606">_xlfn.STDEV.P($P217:$XX218)/AVERAGE($P217:$XX218)</f>
        <v>0.13512406474478245</v>
      </c>
      <c r="J218" s="7">
        <f t="shared" ref="J218" si="607">IF(AND(H218&gt;2,
OR(L204="MÉDIA SANEADA",L204="MEDIANA SANEADA",
AND(L204="PREÇO ESTIMADO",NOT(AND(P206="Orçamento",COUNTA(P204:XX204)=COUNTIF(P206:XX206,"Orçamento")))))),
ROW(),0)</f>
        <v>218</v>
      </c>
      <c r="K218" s="66"/>
      <c r="L218" s="29" t="s">
        <v>42</v>
      </c>
      <c r="M218" s="30">
        <f t="shared" ref="M218" si="608">MIN($P210:$XX210)</f>
        <v>9.31</v>
      </c>
      <c r="N218" s="71"/>
      <c r="O218" s="27" t="str">
        <f t="shared" ref="O218" si="609">"4 RODADA"</f>
        <v>4 RODADA</v>
      </c>
      <c r="P218" s="107">
        <f t="shared" ref="P218:AI218" si="610">IF(P216="","",IF((_xlfn.STDEV.P($P215:$XX216)/AVERAGE($P215:$XX216))&lt;=25%,P216,IF(OR(P216&gt;(AVERAGE($P215:$XX216)+_xlfn.STDEV.P($P215:$XX216)),P216&lt;(AVERAGE($P215:$XX216)-_xlfn.STDEV.P($P215:$XX216))),"DESCARTADO",P216)))</f>
        <v>11.9</v>
      </c>
      <c r="Q218" s="107">
        <f t="shared" si="610"/>
        <v>12.98</v>
      </c>
      <c r="R218" s="107">
        <f t="shared" si="610"/>
        <v>9.31</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f t="shared" si="446"/>
        <v>1</v>
      </c>
      <c r="D219" s="127">
        <f t="shared" si="446"/>
        <v>10</v>
      </c>
      <c r="E219" s="201"/>
      <c r="F219" s="93"/>
      <c r="G219" s="203"/>
      <c r="H219"/>
      <c r="I219"/>
      <c r="J219"/>
      <c r="K219" s="66"/>
      <c r="L219" s="29" t="s">
        <v>40</v>
      </c>
      <c r="M219" s="30">
        <f t="shared" ref="M219" si="611">MAX($P210:$XX210)</f>
        <v>12.98</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f t="shared" si="446"/>
        <v>1</v>
      </c>
      <c r="D220" s="127">
        <f t="shared" si="446"/>
        <v>10</v>
      </c>
      <c r="E220" s="201"/>
      <c r="F220" s="93"/>
      <c r="G220" s="203"/>
      <c r="H220" s="134">
        <f t="shared" ref="H220" si="613">COUNT($P220:$XX220)</f>
        <v>3</v>
      </c>
      <c r="I220" s="132">
        <f t="shared" ref="I220" si="614">_xlfn.STDEV.P($P219:$XX220)/AVERAGE($P219:$XX220)</f>
        <v>0.13512406474478245</v>
      </c>
      <c r="J220" s="7">
        <f t="shared" ref="J220" si="615">IF(AND(H220&gt;2,
OR(L204="MÉDIA SANEADA",L204="MEDIANA SANEADA",
AND(L204="PREÇO ESTIMADO",NOT(AND(P206="Orçamento",COUNTA(P204:XX204)=COUNTIF(P206:XX206,"Orçamento")))))),
ROW(),0)</f>
        <v>220</v>
      </c>
      <c r="K220" s="66"/>
      <c r="N220" s="71"/>
      <c r="O220" s="27" t="str">
        <f t="shared" ref="O220" si="616">"5 RODADA"</f>
        <v>5 RODADA</v>
      </c>
      <c r="P220" s="107">
        <f t="shared" ref="P220:AI220" si="617">IF(P218="","",IF((_xlfn.STDEV.P($P217:$XX218)/AVERAGE($P217:$XX218))&lt;=25%,P218,IF(OR(P218&gt;(AVERAGE($P217:$XX218)+_xlfn.STDEV.P($P217:$XX218)),P218&lt;(AVERAGE($P217:$XX218)-_xlfn.STDEV.P($P217:$XX218))),"DESCARTADO",P218)))</f>
        <v>11.9</v>
      </c>
      <c r="Q220" s="107">
        <f t="shared" si="617"/>
        <v>12.98</v>
      </c>
      <c r="R220" s="107">
        <f t="shared" si="617"/>
        <v>9.31</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f t="shared" si="446"/>
        <v>1</v>
      </c>
      <c r="D221" s="127">
        <f t="shared" si="446"/>
        <v>10</v>
      </c>
      <c r="E221" s="201"/>
      <c r="F221" s="93"/>
      <c r="G221" s="203"/>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f t="shared" si="446"/>
        <v>1</v>
      </c>
      <c r="D222" s="127">
        <f t="shared" si="446"/>
        <v>10</v>
      </c>
      <c r="E222" s="201"/>
      <c r="F222" s="93"/>
      <c r="G222" s="203"/>
      <c r="H222" s="134">
        <f t="shared" ref="H222" si="619">COUNT($P222:$XX222)</f>
        <v>3</v>
      </c>
      <c r="I222" s="132">
        <f t="shared" ref="I222" si="620">_xlfn.STDEV.P($P221:$XX222)/AVERAGE($P221:$XX222)</f>
        <v>0.13512406474478245</v>
      </c>
      <c r="J222" s="7">
        <f t="shared" ref="J222" si="621">IF(AND(H222&gt;2,
OR(L204="MÉDIA SANEADA",L204="MEDIANA SANEADA",
AND(L204="PREÇO ESTIMADO",NOT(AND(P206="Orçamento",COUNTA(P204:XX204)=COUNTIF(P206:XX206,"Orçamento")))))),
ROW(),0)</f>
        <v>222</v>
      </c>
      <c r="N222" s="71"/>
      <c r="O222" s="27" t="str">
        <f t="shared" ref="O222" si="622">"6 RODADA"</f>
        <v>6 RODADA</v>
      </c>
      <c r="P222" s="107">
        <f t="shared" ref="P222:AI222" si="623">IFERROR(IF(P220="","",IF((_xlfn.STDEV.P($P219:$XX220)/AVERAGE($P219:$XX220))&lt;=25%,P220,IF(OR(P220&gt;(AVERAGE($P219:$XX220)+_xlfn.STDEV.P($P219:$XX220)),P220&lt;(AVERAGE($P219:$XX220)-_xlfn.STDEV.P($P219:$XX220))),"DESCARTADO",P220))),)</f>
        <v>11.9</v>
      </c>
      <c r="Q222" s="107">
        <f t="shared" si="623"/>
        <v>12.98</v>
      </c>
      <c r="R222" s="107">
        <f t="shared" si="623"/>
        <v>9.31</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f t="shared" si="446"/>
        <v>1</v>
      </c>
      <c r="D223" s="127">
        <f t="shared" si="446"/>
        <v>10</v>
      </c>
      <c r="E223" s="201"/>
      <c r="F223" s="136"/>
      <c r="G223" s="203"/>
      <c r="H223" s="206"/>
      <c r="I223" s="206"/>
      <c r="J223" s="207"/>
      <c r="K223" s="67"/>
      <c r="L223" s="1" t="s">
        <v>43</v>
      </c>
      <c r="M223" s="143">
        <f t="shared" ref="M223" si="624">IFERROR(ROUND(M204*M206,2),"")</f>
        <v>45.6</v>
      </c>
      <c r="O223" s="27" t="s">
        <v>363</v>
      </c>
      <c r="P223" s="107">
        <f t="shared" ref="P223:AI244" si="625">INDEX(P210:P222,MATCH(MAX($J210:$J222),$J210:$J222,0))</f>
        <v>11.9</v>
      </c>
      <c r="Q223" s="107">
        <f t="shared" si="625"/>
        <v>12.98</v>
      </c>
      <c r="R223" s="107">
        <f t="shared" si="625"/>
        <v>9.31</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f>IF(_xlfn.ISFORMULA(E229),MAX(INDEX('BASE FORMAÇÃO'!A:A,B225+1),1),E229)</f>
        <v>1</v>
      </c>
      <c r="D225" s="127">
        <f t="shared" ref="D225" si="627">IFERROR(IF(C225=C215,D215+1,1),1)</f>
        <v>11</v>
      </c>
      <c r="E225" s="38" t="s">
        <v>9</v>
      </c>
      <c r="F225" s="73"/>
      <c r="G225" s="38" t="s">
        <v>15</v>
      </c>
      <c r="H225" s="135">
        <f>INDEX('BASE FORMAÇÃO'!B:B,B225+1)</f>
        <v>0</v>
      </c>
      <c r="I225" s="181" t="s">
        <v>16</v>
      </c>
      <c r="J225" s="6">
        <f>INDEX('BASE FORMAÇÃO'!K:K,B225+1)</f>
        <v>0</v>
      </c>
      <c r="K225" s="65"/>
      <c r="L225" s="184" t="s">
        <v>10</v>
      </c>
      <c r="M225" s="186">
        <f t="shared" ref="M225" si="628">IF(OR(ISBLANK($O$8),ISBLANK($O$7),ISBLANK($H$8),ISBLANK($O$6),ISBLANK($O$5),ISBLANK($H$5)),"",IFERROR(IF(VLOOKUP(L225,L231:M240,2,FALSE)&lt;1,ROUND(VLOOKUP(L225,L231:M240,2,FALSE),4),ROUND(VLOOKUP(L225,L231:M240,2,FALSE),2)),""))</f>
        <v>10.88</v>
      </c>
      <c r="N225" s="69"/>
      <c r="O225" s="27" t="s">
        <v>17</v>
      </c>
      <c r="P225" s="113">
        <v>10.9</v>
      </c>
      <c r="Q225" s="113">
        <v>11.3</v>
      </c>
      <c r="R225" s="113">
        <v>10.45</v>
      </c>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f t="shared" si="629"/>
        <v>1</v>
      </c>
      <c r="D226" s="127">
        <f t="shared" si="629"/>
        <v>11</v>
      </c>
      <c r="E226" s="188">
        <f t="shared" ref="E226" si="630">D225</f>
        <v>11</v>
      </c>
      <c r="F226" s="92"/>
      <c r="G226" s="190" t="s">
        <v>1</v>
      </c>
      <c r="H226" s="193" t="s">
        <v>475</v>
      </c>
      <c r="I226" s="194"/>
      <c r="J226" s="195"/>
      <c r="K226" s="66"/>
      <c r="L226" s="185"/>
      <c r="M226" s="187"/>
      <c r="N226" s="70"/>
      <c r="O226" s="27" t="s">
        <v>13</v>
      </c>
      <c r="P226" s="122">
        <v>46195</v>
      </c>
      <c r="Q226" s="122">
        <v>46195</v>
      </c>
      <c r="R226" s="122">
        <v>46195</v>
      </c>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f t="shared" si="631"/>
        <v>1</v>
      </c>
      <c r="D227" s="127">
        <f t="shared" si="631"/>
        <v>11</v>
      </c>
      <c r="E227" s="189"/>
      <c r="F227" s="93"/>
      <c r="G227" s="191"/>
      <c r="H227" s="196"/>
      <c r="I227" s="196"/>
      <c r="J227" s="197"/>
      <c r="K227" s="64"/>
      <c r="L227" s="130" t="s">
        <v>44</v>
      </c>
      <c r="M227" s="131">
        <v>4</v>
      </c>
      <c r="N227" s="71"/>
      <c r="O227" s="27" t="s">
        <v>380</v>
      </c>
      <c r="P227" s="114" t="s">
        <v>302</v>
      </c>
      <c r="Q227" s="114" t="s">
        <v>302</v>
      </c>
      <c r="R227" s="114" t="s">
        <v>302</v>
      </c>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f t="shared" si="632"/>
        <v>1</v>
      </c>
      <c r="D228" s="127">
        <f t="shared" si="446"/>
        <v>11</v>
      </c>
      <c r="E228" s="38" t="s">
        <v>313</v>
      </c>
      <c r="F228" s="93"/>
      <c r="G228" s="192"/>
      <c r="H228" s="198"/>
      <c r="I228" s="198"/>
      <c r="J228" s="199"/>
      <c r="K228" s="64"/>
      <c r="L228" s="1" t="s">
        <v>2</v>
      </c>
      <c r="M228" s="6" t="s">
        <v>288</v>
      </c>
      <c r="N228" s="71"/>
      <c r="O228" s="27" t="s">
        <v>381</v>
      </c>
      <c r="P228" s="182" t="s">
        <v>476</v>
      </c>
      <c r="Q228" s="182" t="s">
        <v>477</v>
      </c>
      <c r="R228" s="182" t="s">
        <v>478</v>
      </c>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f t="shared" si="633"/>
        <v>1</v>
      </c>
      <c r="D229" s="127">
        <f t="shared" si="446"/>
        <v>11</v>
      </c>
      <c r="E229" s="200">
        <f t="shared" ref="E229" si="634">C225</f>
        <v>1</v>
      </c>
      <c r="F229" s="93"/>
      <c r="G229" s="202" t="s">
        <v>304</v>
      </c>
      <c r="H229" s="204"/>
      <c r="I229" s="205"/>
      <c r="J229" s="205"/>
      <c r="K229" s="67"/>
      <c r="L229" s="28" t="s">
        <v>303</v>
      </c>
      <c r="M229" s="133">
        <f t="shared" ref="M229" si="635">IFERROR(INDEX(I231:I243,MATCH(MAX(J231:J243),J231:J243,0)),"")</f>
        <v>3.1903011724348687E-2</v>
      </c>
      <c r="N229" s="71"/>
      <c r="O229" s="27" t="s">
        <v>18</v>
      </c>
      <c r="P229" s="106">
        <f>IF(P225="","",
IF(OR(P227="Orçamento",P226="",MAX('Tabela de Apoio'!$A:$A)&lt;=P226),
P225,
(INDEX('Tabela de Apoio'!$B:$B,MATCH('MAPA DE PREÇOS'!$O$8,'Tabela de Apoio'!$A:$A,1))/INDEX('Tabela de Apoio'!$B:$B,MATCH('MAPA DE PREÇOS'!P226,'Tabela de Apoio'!$A:$A,1)-1))*P225))</f>
        <v>10.9</v>
      </c>
      <c r="Q229" s="106">
        <f>IF(Q225="","",
IF(OR(Q227="Orçamento",Q226="",MAX('Tabela de Apoio'!$A:$A)&lt;=Q226),
Q225,
(INDEX('Tabela de Apoio'!$B:$B,MATCH('MAPA DE PREÇOS'!$O$8,'Tabela de Apoio'!$A:$A,1))/INDEX('Tabela de Apoio'!$B:$B,MATCH('MAPA DE PREÇOS'!Q226,'Tabela de Apoio'!$A:$A,1)-1))*Q225))</f>
        <v>11.3</v>
      </c>
      <c r="R229" s="106">
        <f>IF(R225="","",
IF(OR(R227="Orçamento",R226="",MAX('Tabela de Apoio'!$A:$A)&lt;=R226),
R225,
(INDEX('Tabela de Apoio'!$B:$B,MATCH('MAPA DE PREÇOS'!$O$8,'Tabela de Apoio'!$A:$A,1))/INDEX('Tabela de Apoio'!$B:$B,MATCH('MAPA DE PREÇOS'!R226,'Tabela de Apoio'!$A:$A,1)-1))*R225))</f>
        <v>10.45</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f t="shared" ref="C230" si="637">C229</f>
        <v>1</v>
      </c>
      <c r="D230" s="127">
        <f t="shared" si="446"/>
        <v>11</v>
      </c>
      <c r="E230" s="201"/>
      <c r="F230" s="93"/>
      <c r="G230" s="203"/>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f t="shared" si="638"/>
        <v>1</v>
      </c>
      <c r="D231" s="127">
        <f t="shared" si="446"/>
        <v>11</v>
      </c>
      <c r="E231" s="201"/>
      <c r="F231" s="93"/>
      <c r="G231" s="203"/>
      <c r="H231" s="134">
        <f t="shared" ref="H231" si="639">COUNT($P231:$XX231)</f>
        <v>3</v>
      </c>
      <c r="I231" s="132">
        <f t="shared" ref="I231" si="640">_xlfn.STDEV.P($P230:$XX231)/AVERAGE($P230:$XX231)</f>
        <v>3.1903011724348687E-2</v>
      </c>
      <c r="J231" s="7">
        <f>ROW()</f>
        <v>231</v>
      </c>
      <c r="K231" s="67"/>
      <c r="L231" s="29" t="s">
        <v>10</v>
      </c>
      <c r="M231" s="30">
        <f t="shared" ref="M231" si="641">IFERROR(
IF(COUNTA(P225:AI225)=COUNTIF(P227:XX227,"Orçamento"),MIN(M236,M233),
IF(M234&lt;&gt;"",M234,
IF(M235&lt;&gt;"",M235,
M233
))),"")</f>
        <v>10.883333333333335</v>
      </c>
      <c r="N231" s="71"/>
      <c r="O231" s="27" t="s">
        <v>376</v>
      </c>
      <c r="P231" s="106">
        <f t="shared" ref="P231:AI231" si="642">IFERROR(IF(P229="",
            "",
            IF(COUNT($P229:$XX229)&lt;=4,
               P229,
               IF(OR(P229&gt;(QUARTILE($P229:$XX229,3)+(QUARTILE($P229:$XX229,3)-QUARTILE($P229:$XX229,1))),
                     P229&lt;(QUARTILE($P229:$XX229,1)-(QUARTILE($P229:$XX229,3)-QUARTILE($P229:$XX229,1)))
                  ),
               "DESCARTADO",P229)
             )
  ),P229)</f>
        <v>10.9</v>
      </c>
      <c r="Q231" s="106">
        <f t="shared" si="642"/>
        <v>11.3</v>
      </c>
      <c r="R231" s="106">
        <f t="shared" si="642"/>
        <v>10.45</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f t="shared" ref="C232:D295" si="644">C231</f>
        <v>1</v>
      </c>
      <c r="D232" s="127">
        <f t="shared" si="446"/>
        <v>11</v>
      </c>
      <c r="E232" s="201"/>
      <c r="F232" s="93"/>
      <c r="G232" s="203"/>
      <c r="H232"/>
      <c r="I232"/>
      <c r="J232"/>
      <c r="K232" s="66"/>
      <c r="L232" s="29" t="s">
        <v>360</v>
      </c>
      <c r="M232" s="30">
        <f t="shared" ref="M232" si="645">AVERAGE($P231:$XX231)</f>
        <v>10.883333333333335</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f t="shared" si="644"/>
        <v>1</v>
      </c>
      <c r="D233" s="127">
        <f t="shared" si="644"/>
        <v>11</v>
      </c>
      <c r="E233" s="201"/>
      <c r="F233" s="93"/>
      <c r="G233" s="203"/>
      <c r="H233" s="134">
        <f t="shared" ref="H233" si="647">COUNT($P233:$XX233)</f>
        <v>3</v>
      </c>
      <c r="I233" s="132">
        <f t="shared" ref="I233" si="648">_xlfn.STDEV.P($P232:$XX233)/AVERAGE($P232:$XX233)</f>
        <v>3.1903011724348687E-2</v>
      </c>
      <c r="J233" s="7">
        <f t="shared" ref="J233" si="649">IF(AND(H233&gt;2,
OR(L225="MÉDIA SANEADA",L225="MEDIANA SANEADA",
AND(L225="PREÇO ESTIMADO",NOT(AND(P227="Orçamento",COUNTA(P225:XX225)=COUNTIF(P227:XX227,"Orçamento")))))),
ROW(),0)</f>
        <v>233</v>
      </c>
      <c r="K233" s="66"/>
      <c r="L233" s="29" t="s">
        <v>361</v>
      </c>
      <c r="M233" s="30">
        <f t="shared" ref="M233" si="650">MEDIAN($P231:$XX231)</f>
        <v>10.9</v>
      </c>
      <c r="N233" s="71"/>
      <c r="O233" s="27" t="str">
        <f t="shared" ref="O233" si="651">"1 RODADA"</f>
        <v>1 RODADA</v>
      </c>
      <c r="P233" s="107">
        <f t="shared" ref="P233:AI233" si="652">IF(P231="","",IF((_xlfn.STDEV.P($P230:$XX231)/AVERAGE($P230:$XX231))&lt;=25%,P231,IF(OR(P231&gt;(AVERAGE($P230:$XX231)+_xlfn.STDEV.P($P230:$XX231)),P231&lt;(AVERAGE($P230:$XX231)-_xlfn.STDEV.P($P230:$XX231))),"DESCARTADO",P231)))</f>
        <v>10.9</v>
      </c>
      <c r="Q233" s="107">
        <f t="shared" si="652"/>
        <v>11.3</v>
      </c>
      <c r="R233" s="107">
        <f t="shared" si="652"/>
        <v>10.45</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f t="shared" si="644"/>
        <v>1</v>
      </c>
      <c r="D234" s="127">
        <f t="shared" si="644"/>
        <v>11</v>
      </c>
      <c r="E234" s="201"/>
      <c r="F234" s="93"/>
      <c r="G234" s="203"/>
      <c r="H234"/>
      <c r="I234"/>
      <c r="J234"/>
      <c r="L234" s="29" t="s">
        <v>38</v>
      </c>
      <c r="M234" s="30">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10.883333333333335</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f t="shared" si="644"/>
        <v>1</v>
      </c>
      <c r="D235" s="127">
        <f t="shared" si="644"/>
        <v>11</v>
      </c>
      <c r="E235" s="201"/>
      <c r="F235" s="93"/>
      <c r="G235" s="203"/>
      <c r="H235" s="134">
        <f t="shared" ref="H235" si="655">COUNT($P235:$XX235)</f>
        <v>3</v>
      </c>
      <c r="I235" s="132">
        <f t="shared" ref="I235" si="656">_xlfn.STDEV.P($P234:$XX235)/AVERAGE($P234:$XX235)</f>
        <v>3.1903011724348687E-2</v>
      </c>
      <c r="J235" s="7">
        <f t="shared" ref="J235" si="657">IF(AND(H235&gt;2,
OR(L225="MÉDIA SANEADA",L225="MEDIANA SANEADA",
AND(L225="PREÇO ESTIMADO",NOT(AND(P227="Orçamento",COUNTA(P225:XX225)=COUNTIF(P227:XX227,"Orçamento")))))),
ROW(),0)</f>
        <v>235</v>
      </c>
      <c r="K235" s="66"/>
      <c r="L235" s="29" t="s">
        <v>362</v>
      </c>
      <c r="M235" s="30">
        <f t="shared" ref="M235" si="658" xml:space="preserve">
IF(H233&gt;2,MEDIAN(P232:XX233),
IF(H235&gt;2,MEDIAN(P234:XX235),
IF(H237&gt;2,MEDIAN(P236:XX237),
IF(H239&gt;2,MEDIAN(P238:XX239),
IF(H241&gt;2,MEDIAN(P240:XX241),
IF(H243&gt;2,MEDIAN(P242:XX243),
MEDIAN(P230:XX231)))))))</f>
        <v>10.9</v>
      </c>
      <c r="N235" s="71"/>
      <c r="O235" s="27" t="str">
        <f t="shared" ref="O235" si="659">"2 RODADA"</f>
        <v>2 RODADA</v>
      </c>
      <c r="P235" s="107">
        <f t="shared" ref="P235:AI235" si="660">IF(P233="","",IF((_xlfn.STDEV.P($P232:$XX233)/AVERAGE($P232:$XX233))&lt;=25%,P233,IF(OR(P233&gt;(AVERAGE($P232:$XX233)+_xlfn.STDEV.P($P232:$XX233)),P233&lt;(AVERAGE($P232:$XX233)-_xlfn.STDEV.P($P232:$XX233))),"DESCARTADO",P233)))</f>
        <v>10.9</v>
      </c>
      <c r="Q235" s="107">
        <f t="shared" si="660"/>
        <v>11.3</v>
      </c>
      <c r="R235" s="107">
        <f t="shared" si="660"/>
        <v>10.45</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f t="shared" si="644"/>
        <v>1</v>
      </c>
      <c r="D236" s="127">
        <f t="shared" si="644"/>
        <v>11</v>
      </c>
      <c r="E236" s="201"/>
      <c r="F236" s="93"/>
      <c r="G236" s="203"/>
      <c r="H236"/>
      <c r="I236"/>
      <c r="J236"/>
      <c r="K236" s="66"/>
      <c r="L236" s="29" t="s">
        <v>359</v>
      </c>
      <c r="M236" s="30">
        <f t="shared" ref="M236" si="661">HARMEAN($P230:$XX231)</f>
        <v>10.872225194278636</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f t="shared" si="644"/>
        <v>1</v>
      </c>
      <c r="D237" s="127">
        <f t="shared" si="644"/>
        <v>11</v>
      </c>
      <c r="E237" s="201"/>
      <c r="F237" s="93"/>
      <c r="G237" s="203"/>
      <c r="H237" s="134">
        <f t="shared" ref="H237" si="663">COUNT($P237:$XX237)</f>
        <v>3</v>
      </c>
      <c r="I237" s="132">
        <f t="shared" ref="I237" si="664">_xlfn.STDEV.P($P236:$XX237)/AVERAGE($P236:$XX237)</f>
        <v>3.1903011724348687E-2</v>
      </c>
      <c r="J237" s="7">
        <f t="shared" ref="J237" si="665">IF(AND(H237&gt;2,
OR(L225="MÉDIA SANEADA",L225="MEDIANA SANEADA",
AND(L225="PREÇO ESTIMADO",NOT(AND(P227="Orçamento",COUNTA(P225:XX225)=COUNTIF(P227:XX227,"Orçamento")))))),
ROW(),0)</f>
        <v>237</v>
      </c>
      <c r="K237" s="66"/>
      <c r="L237" s="29" t="s">
        <v>41</v>
      </c>
      <c r="M237" s="30">
        <f t="shared" ref="M237" si="666">IFERROR(_xlfn.QUARTILE.EXC($P231:$XX231,1),"")</f>
        <v>10.45</v>
      </c>
      <c r="N237" s="71"/>
      <c r="O237" s="27" t="str">
        <f t="shared" ref="O237" si="667">"3 RODADA"</f>
        <v>3 RODADA</v>
      </c>
      <c r="P237" s="107">
        <f t="shared" ref="P237:AI237" si="668">IF(P235="","",IF((_xlfn.STDEV.P($P234:$XX235)/AVERAGE($P234:$XX235))&lt;=25%,P235,IF(OR(P235&gt;(AVERAGE($P234:$XX235)+_xlfn.STDEV.P($P234:$XX235)),P235&lt;(AVERAGE($P234:$XX235)-_xlfn.STDEV.P($P234:$XX235))),"DESCARTADO",P235)))</f>
        <v>10.9</v>
      </c>
      <c r="Q237" s="107">
        <f t="shared" si="668"/>
        <v>11.3</v>
      </c>
      <c r="R237" s="107">
        <f t="shared" si="668"/>
        <v>10.45</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f t="shared" si="644"/>
        <v>1</v>
      </c>
      <c r="D238" s="127">
        <f t="shared" si="644"/>
        <v>11</v>
      </c>
      <c r="E238" s="201"/>
      <c r="F238" s="93"/>
      <c r="G238" s="203"/>
      <c r="H238"/>
      <c r="I238"/>
      <c r="J238"/>
      <c r="K238" s="66"/>
      <c r="L238" s="29" t="s">
        <v>39</v>
      </c>
      <c r="M238" s="30">
        <f t="shared" ref="M238" si="669">IFERROR(_xlfn.QUARTILE.EXC($P231:$XX231,3),"")</f>
        <v>11.3</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f t="shared" si="644"/>
        <v>1</v>
      </c>
      <c r="D239" s="127">
        <f t="shared" si="644"/>
        <v>11</v>
      </c>
      <c r="E239" s="201"/>
      <c r="F239" s="93"/>
      <c r="G239" s="203"/>
      <c r="H239" s="134">
        <f t="shared" ref="H239" si="671">COUNT($P239:$XX239)</f>
        <v>3</v>
      </c>
      <c r="I239" s="132">
        <f t="shared" ref="I239" si="672">_xlfn.STDEV.P($P238:$XX239)/AVERAGE($P238:$XX239)</f>
        <v>3.1903011724348687E-2</v>
      </c>
      <c r="J239" s="7">
        <f t="shared" ref="J239" si="673">IF(AND(H239&gt;2,
OR(L225="MÉDIA SANEADA",L225="MEDIANA SANEADA",
AND(L225="PREÇO ESTIMADO",NOT(AND(P227="Orçamento",COUNTA(P225:XX225)=COUNTIF(P227:XX227,"Orçamento")))))),
ROW(),0)</f>
        <v>239</v>
      </c>
      <c r="K239" s="66"/>
      <c r="L239" s="29" t="s">
        <v>42</v>
      </c>
      <c r="M239" s="30">
        <f t="shared" ref="M239" si="674">MIN($P231:$XX231)</f>
        <v>10.45</v>
      </c>
      <c r="N239" s="71"/>
      <c r="O239" s="27" t="str">
        <f t="shared" ref="O239" si="675">"4 RODADA"</f>
        <v>4 RODADA</v>
      </c>
      <c r="P239" s="107">
        <f t="shared" ref="P239:AI239" si="676">IF(P237="","",IF((_xlfn.STDEV.P($P236:$XX237)/AVERAGE($P236:$XX237))&lt;=25%,P237,IF(OR(P237&gt;(AVERAGE($P236:$XX237)+_xlfn.STDEV.P($P236:$XX237)),P237&lt;(AVERAGE($P236:$XX237)-_xlfn.STDEV.P($P236:$XX237))),"DESCARTADO",P237)))</f>
        <v>10.9</v>
      </c>
      <c r="Q239" s="107">
        <f t="shared" si="676"/>
        <v>11.3</v>
      </c>
      <c r="R239" s="107">
        <f t="shared" si="676"/>
        <v>10.45</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f t="shared" si="644"/>
        <v>1</v>
      </c>
      <c r="D240" s="127">
        <f t="shared" si="644"/>
        <v>11</v>
      </c>
      <c r="E240" s="201"/>
      <c r="F240" s="93"/>
      <c r="G240" s="203"/>
      <c r="H240"/>
      <c r="I240"/>
      <c r="J240"/>
      <c r="K240" s="66"/>
      <c r="L240" s="29" t="s">
        <v>40</v>
      </c>
      <c r="M240" s="30">
        <f t="shared" ref="M240" si="677">MAX($P231:$XX231)</f>
        <v>11.3</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f t="shared" si="644"/>
        <v>1</v>
      </c>
      <c r="D241" s="127">
        <f t="shared" si="644"/>
        <v>11</v>
      </c>
      <c r="E241" s="201"/>
      <c r="F241" s="93"/>
      <c r="G241" s="203"/>
      <c r="H241" s="134">
        <f t="shared" ref="H241" si="679">COUNT($P241:$XX241)</f>
        <v>3</v>
      </c>
      <c r="I241" s="132">
        <f t="shared" ref="I241" si="680">_xlfn.STDEV.P($P240:$XX241)/AVERAGE($P240:$XX241)</f>
        <v>3.1903011724348687E-2</v>
      </c>
      <c r="J241" s="7">
        <f t="shared" ref="J241" si="681">IF(AND(H241&gt;2,
OR(L225="MÉDIA SANEADA",L225="MEDIANA SANEADA",
AND(L225="PREÇO ESTIMADO",NOT(AND(P227="Orçamento",COUNTA(P225:XX225)=COUNTIF(P227:XX227,"Orçamento")))))),
ROW(),0)</f>
        <v>241</v>
      </c>
      <c r="K241" s="66"/>
      <c r="N241" s="71"/>
      <c r="O241" s="27" t="str">
        <f t="shared" ref="O241" si="682">"5 RODADA"</f>
        <v>5 RODADA</v>
      </c>
      <c r="P241" s="107">
        <f t="shared" ref="P241:AI241" si="683">IF(P239="","",IF((_xlfn.STDEV.P($P238:$XX239)/AVERAGE($P238:$XX239))&lt;=25%,P239,IF(OR(P239&gt;(AVERAGE($P238:$XX239)+_xlfn.STDEV.P($P238:$XX239)),P239&lt;(AVERAGE($P238:$XX239)-_xlfn.STDEV.P($P238:$XX239))),"DESCARTADO",P239)))</f>
        <v>10.9</v>
      </c>
      <c r="Q241" s="107">
        <f t="shared" si="683"/>
        <v>11.3</v>
      </c>
      <c r="R241" s="107">
        <f t="shared" si="683"/>
        <v>10.45</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f t="shared" si="644"/>
        <v>1</v>
      </c>
      <c r="D242" s="127">
        <f t="shared" si="644"/>
        <v>11</v>
      </c>
      <c r="E242" s="201"/>
      <c r="F242" s="93"/>
      <c r="G242" s="203"/>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f t="shared" si="644"/>
        <v>1</v>
      </c>
      <c r="D243" s="127">
        <f t="shared" si="644"/>
        <v>11</v>
      </c>
      <c r="E243" s="201"/>
      <c r="F243" s="93"/>
      <c r="G243" s="203"/>
      <c r="H243" s="134">
        <f t="shared" ref="H243" si="685">COUNT($P243:$XX243)</f>
        <v>3</v>
      </c>
      <c r="I243" s="132">
        <f t="shared" ref="I243" si="686">_xlfn.STDEV.P($P242:$XX243)/AVERAGE($P242:$XX243)</f>
        <v>3.1903011724348687E-2</v>
      </c>
      <c r="J243" s="7">
        <f t="shared" ref="J243" si="687">IF(AND(H243&gt;2,
OR(L225="MÉDIA SANEADA",L225="MEDIANA SANEADA",
AND(L225="PREÇO ESTIMADO",NOT(AND(P227="Orçamento",COUNTA(P225:XX225)=COUNTIF(P227:XX227,"Orçamento")))))),
ROW(),0)</f>
        <v>243</v>
      </c>
      <c r="N243" s="71"/>
      <c r="O243" s="27" t="str">
        <f t="shared" ref="O243" si="688">"6 RODADA"</f>
        <v>6 RODADA</v>
      </c>
      <c r="P243" s="107">
        <f t="shared" ref="P243:AI243" si="689">IFERROR(IF(P241="","",IF((_xlfn.STDEV.P($P240:$XX241)/AVERAGE($P240:$XX241))&lt;=25%,P241,IF(OR(P241&gt;(AVERAGE($P240:$XX241)+_xlfn.STDEV.P($P240:$XX241)),P241&lt;(AVERAGE($P240:$XX241)-_xlfn.STDEV.P($P240:$XX241))),"DESCARTADO",P241))),)</f>
        <v>10.9</v>
      </c>
      <c r="Q243" s="107">
        <f t="shared" si="689"/>
        <v>11.3</v>
      </c>
      <c r="R243" s="107">
        <f t="shared" si="689"/>
        <v>10.45</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f t="shared" si="644"/>
        <v>1</v>
      </c>
      <c r="D244" s="127">
        <f t="shared" si="644"/>
        <v>11</v>
      </c>
      <c r="E244" s="201"/>
      <c r="F244" s="136"/>
      <c r="G244" s="203"/>
      <c r="H244" s="206"/>
      <c r="I244" s="206"/>
      <c r="J244" s="207"/>
      <c r="K244" s="67"/>
      <c r="L244" s="1" t="s">
        <v>43</v>
      </c>
      <c r="M244" s="143">
        <f t="shared" ref="M244" si="690">IFERROR(ROUND(M225*M227,2),"")</f>
        <v>43.52</v>
      </c>
      <c r="O244" s="27" t="s">
        <v>363</v>
      </c>
      <c r="P244" s="107">
        <f t="shared" ref="P244:R244" si="691">INDEX(P231:P243,MATCH(MAX($J231:$J243),$J231:$J243,0))</f>
        <v>10.9</v>
      </c>
      <c r="Q244" s="107">
        <f t="shared" si="691"/>
        <v>11.3</v>
      </c>
      <c r="R244" s="107">
        <f t="shared" si="691"/>
        <v>10.45</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f>IF(_xlfn.ISFORMULA(E250),MAX(INDEX('BASE FORMAÇÃO'!A:A,B246+1),1),E250)</f>
        <v>1</v>
      </c>
      <c r="D246" s="127">
        <f t="shared" ref="D246" si="693">IFERROR(IF(C246=C236,D236+1,1),1)</f>
        <v>12</v>
      </c>
      <c r="E246" s="38" t="s">
        <v>9</v>
      </c>
      <c r="F246" s="73"/>
      <c r="G246" s="38" t="s">
        <v>15</v>
      </c>
      <c r="H246" s="135">
        <f>INDEX('BASE FORMAÇÃO'!B:B,B246+1)</f>
        <v>0</v>
      </c>
      <c r="I246" s="181" t="s">
        <v>16</v>
      </c>
      <c r="J246" s="6">
        <f>INDEX('BASE FORMAÇÃO'!K:K,B246+1)</f>
        <v>0</v>
      </c>
      <c r="K246" s="65"/>
      <c r="L246" s="184" t="s">
        <v>10</v>
      </c>
      <c r="M246" s="186">
        <f t="shared" ref="M246" si="694">IF(OR(ISBLANK($O$8),ISBLANK($O$7),ISBLANK($H$8),ISBLANK($O$6),ISBLANK($O$5),ISBLANK($H$5)),"",IFERROR(IF(VLOOKUP(L246,L252:M261,2,FALSE)&lt;1,ROUND(VLOOKUP(L246,L252:M261,2,FALSE),4),ROUND(VLOOKUP(L246,L252:M261,2,FALSE),2)),""))</f>
        <v>26.01</v>
      </c>
      <c r="N246" s="69"/>
      <c r="O246" s="27" t="s">
        <v>17</v>
      </c>
      <c r="P246" s="113">
        <v>27.3</v>
      </c>
      <c r="Q246" s="113">
        <v>22.99</v>
      </c>
      <c r="R246" s="113">
        <v>27.74</v>
      </c>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f t="shared" si="695"/>
        <v>1</v>
      </c>
      <c r="D247" s="127">
        <f t="shared" si="695"/>
        <v>12</v>
      </c>
      <c r="E247" s="188">
        <f t="shared" ref="E247" si="696">D246</f>
        <v>12</v>
      </c>
      <c r="F247" s="92"/>
      <c r="G247" s="190" t="s">
        <v>1</v>
      </c>
      <c r="H247" s="193" t="s">
        <v>479</v>
      </c>
      <c r="I247" s="194"/>
      <c r="J247" s="195"/>
      <c r="K247" s="66"/>
      <c r="L247" s="185"/>
      <c r="M247" s="187"/>
      <c r="N247" s="70"/>
      <c r="O247" s="27" t="s">
        <v>13</v>
      </c>
      <c r="P247" s="122">
        <v>46195</v>
      </c>
      <c r="Q247" s="122">
        <v>46195</v>
      </c>
      <c r="R247" s="122">
        <v>46195</v>
      </c>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f t="shared" si="697"/>
        <v>1</v>
      </c>
      <c r="D248" s="127">
        <f t="shared" si="697"/>
        <v>12</v>
      </c>
      <c r="E248" s="189"/>
      <c r="F248" s="93"/>
      <c r="G248" s="191"/>
      <c r="H248" s="196"/>
      <c r="I248" s="196"/>
      <c r="J248" s="197"/>
      <c r="K248" s="64"/>
      <c r="L248" s="130" t="s">
        <v>44</v>
      </c>
      <c r="M248" s="131">
        <v>4</v>
      </c>
      <c r="N248" s="71"/>
      <c r="O248" s="27" t="s">
        <v>380</v>
      </c>
      <c r="P248" s="114" t="s">
        <v>302</v>
      </c>
      <c r="Q248" s="114" t="s">
        <v>302</v>
      </c>
      <c r="R248" s="114" t="s">
        <v>302</v>
      </c>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f t="shared" si="698"/>
        <v>1</v>
      </c>
      <c r="D249" s="127">
        <f t="shared" si="644"/>
        <v>12</v>
      </c>
      <c r="E249" s="38" t="s">
        <v>313</v>
      </c>
      <c r="F249" s="93"/>
      <c r="G249" s="192"/>
      <c r="H249" s="198"/>
      <c r="I249" s="198"/>
      <c r="J249" s="199"/>
      <c r="K249" s="64"/>
      <c r="L249" s="1" t="s">
        <v>2</v>
      </c>
      <c r="M249" s="6" t="s">
        <v>288</v>
      </c>
      <c r="N249" s="71"/>
      <c r="O249" s="27" t="s">
        <v>381</v>
      </c>
      <c r="P249" s="182" t="s">
        <v>480</v>
      </c>
      <c r="Q249" s="182" t="s">
        <v>481</v>
      </c>
      <c r="R249" s="182" t="s">
        <v>482</v>
      </c>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f t="shared" si="699"/>
        <v>1</v>
      </c>
      <c r="D250" s="127">
        <f t="shared" si="644"/>
        <v>12</v>
      </c>
      <c r="E250" s="200">
        <f t="shared" ref="E250" si="700">C246</f>
        <v>1</v>
      </c>
      <c r="F250" s="93"/>
      <c r="G250" s="202" t="s">
        <v>304</v>
      </c>
      <c r="H250" s="204"/>
      <c r="I250" s="205"/>
      <c r="J250" s="205"/>
      <c r="K250" s="67"/>
      <c r="L250" s="28" t="s">
        <v>303</v>
      </c>
      <c r="M250" s="133">
        <f t="shared" ref="M250" si="701">IFERROR(INDEX(I252:I264,MATCH(MAX(J252:J264),J252:J264,0)),"")</f>
        <v>8.2391546403055058E-2</v>
      </c>
      <c r="N250" s="71"/>
      <c r="O250" s="27" t="s">
        <v>18</v>
      </c>
      <c r="P250" s="106">
        <f>IF(P246="","",
IF(OR(P248="Orçamento",P247="",MAX('Tabela de Apoio'!$A:$A)&lt;=P247),
P246,
(INDEX('Tabela de Apoio'!$B:$B,MATCH('MAPA DE PREÇOS'!$O$8,'Tabela de Apoio'!$A:$A,1))/INDEX('Tabela de Apoio'!$B:$B,MATCH('MAPA DE PREÇOS'!P247,'Tabela de Apoio'!$A:$A,1)-1))*P246))</f>
        <v>27.3</v>
      </c>
      <c r="Q250" s="106">
        <f>IF(Q246="","",
IF(OR(Q248="Orçamento",Q247="",MAX('Tabela de Apoio'!$A:$A)&lt;=Q247),
Q246,
(INDEX('Tabela de Apoio'!$B:$B,MATCH('MAPA DE PREÇOS'!$O$8,'Tabela de Apoio'!$A:$A,1))/INDEX('Tabela de Apoio'!$B:$B,MATCH('MAPA DE PREÇOS'!Q247,'Tabela de Apoio'!$A:$A,1)-1))*Q246))</f>
        <v>22.99</v>
      </c>
      <c r="R250" s="106">
        <f>IF(R246="","",
IF(OR(R248="Orçamento",R247="",MAX('Tabela de Apoio'!$A:$A)&lt;=R247),
R246,
(INDEX('Tabela de Apoio'!$B:$B,MATCH('MAPA DE PREÇOS'!$O$8,'Tabela de Apoio'!$A:$A,1))/INDEX('Tabela de Apoio'!$B:$B,MATCH('MAPA DE PREÇOS'!R247,'Tabela de Apoio'!$A:$A,1)-1))*R246))</f>
        <v>27.74</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f t="shared" ref="C251" si="703">C250</f>
        <v>1</v>
      </c>
      <c r="D251" s="127">
        <f t="shared" si="644"/>
        <v>12</v>
      </c>
      <c r="E251" s="201"/>
      <c r="F251" s="93"/>
      <c r="G251" s="203"/>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f t="shared" si="704"/>
        <v>1</v>
      </c>
      <c r="D252" s="127">
        <f t="shared" si="644"/>
        <v>12</v>
      </c>
      <c r="E252" s="201"/>
      <c r="F252" s="93"/>
      <c r="G252" s="203"/>
      <c r="H252" s="134">
        <f t="shared" ref="H252" si="705">COUNT($P252:$XX252)</f>
        <v>3</v>
      </c>
      <c r="I252" s="132">
        <f t="shared" ref="I252" si="706">_xlfn.STDEV.P($P251:$XX252)/AVERAGE($P251:$XX252)</f>
        <v>8.2391546403055058E-2</v>
      </c>
      <c r="J252" s="7">
        <f>ROW()</f>
        <v>252</v>
      </c>
      <c r="K252" s="67"/>
      <c r="L252" s="29" t="s">
        <v>10</v>
      </c>
      <c r="M252" s="30">
        <f t="shared" ref="M252" si="707">IFERROR(
IF(COUNTA(P246:AI246)=COUNTIF(P248:XX248,"Orçamento"),MIN(M257,M254),
IF(M255&lt;&gt;"",M255,
IF(M256&lt;&gt;"",M256,
M254
))),"")</f>
        <v>26.01</v>
      </c>
      <c r="N252" s="71"/>
      <c r="O252" s="27" t="s">
        <v>376</v>
      </c>
      <c r="P252" s="106">
        <f t="shared" ref="P252:AI252" si="708">IFERROR(IF(P250="",
            "",
            IF(COUNT($P250:$XX250)&lt;=4,
               P250,
               IF(OR(P250&gt;(QUARTILE($P250:$XX250,3)+(QUARTILE($P250:$XX250,3)-QUARTILE($P250:$XX250,1))),
                     P250&lt;(QUARTILE($P250:$XX250,1)-(QUARTILE($P250:$XX250,3)-QUARTILE($P250:$XX250,1)))
                  ),
               "DESCARTADO",P250)
             )
  ),P250)</f>
        <v>27.3</v>
      </c>
      <c r="Q252" s="106">
        <f t="shared" si="708"/>
        <v>22.99</v>
      </c>
      <c r="R252" s="106">
        <f t="shared" si="708"/>
        <v>27.74</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f t="shared" ref="C253" si="710">C252</f>
        <v>1</v>
      </c>
      <c r="D253" s="127">
        <f t="shared" si="644"/>
        <v>12</v>
      </c>
      <c r="E253" s="201"/>
      <c r="F253" s="93"/>
      <c r="G253" s="203"/>
      <c r="H253"/>
      <c r="I253"/>
      <c r="J253"/>
      <c r="K253" s="66"/>
      <c r="L253" s="29" t="s">
        <v>360</v>
      </c>
      <c r="M253" s="30">
        <f t="shared" ref="M253" si="711">AVERAGE($P252:$XX252)</f>
        <v>26.01</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f t="shared" si="644"/>
        <v>1</v>
      </c>
      <c r="D254" s="127">
        <f t="shared" si="644"/>
        <v>12</v>
      </c>
      <c r="E254" s="201"/>
      <c r="F254" s="93"/>
      <c r="G254" s="203"/>
      <c r="H254" s="134">
        <f t="shared" ref="H254" si="713">COUNT($P254:$XX254)</f>
        <v>3</v>
      </c>
      <c r="I254" s="132">
        <f t="shared" ref="I254" si="714">_xlfn.STDEV.P($P253:$XX254)/AVERAGE($P253:$XX254)</f>
        <v>8.2391546403055058E-2</v>
      </c>
      <c r="J254" s="7">
        <f t="shared" ref="J254" si="715">IF(AND(H254&gt;2,
OR(L246="MÉDIA SANEADA",L246="MEDIANA SANEADA",
AND(L246="PREÇO ESTIMADO",NOT(AND(P248="Orçamento",COUNTA(P246:XX246)=COUNTIF(P248:XX248,"Orçamento")))))),
ROW(),0)</f>
        <v>254</v>
      </c>
      <c r="K254" s="66"/>
      <c r="L254" s="29" t="s">
        <v>361</v>
      </c>
      <c r="M254" s="30">
        <f t="shared" ref="M254" si="716">MEDIAN($P252:$XX252)</f>
        <v>27.3</v>
      </c>
      <c r="N254" s="71"/>
      <c r="O254" s="27" t="str">
        <f t="shared" ref="O254" si="717">"1 RODADA"</f>
        <v>1 RODADA</v>
      </c>
      <c r="P254" s="107">
        <f t="shared" ref="P254:AI254" si="718">IF(P252="","",IF((_xlfn.STDEV.P($P251:$XX252)/AVERAGE($P251:$XX252))&lt;=25%,P252,IF(OR(P252&gt;(AVERAGE($P251:$XX252)+_xlfn.STDEV.P($P251:$XX252)),P252&lt;(AVERAGE($P251:$XX252)-_xlfn.STDEV.P($P251:$XX252))),"DESCARTADO",P252)))</f>
        <v>27.3</v>
      </c>
      <c r="Q254" s="107">
        <f t="shared" si="718"/>
        <v>22.99</v>
      </c>
      <c r="R254" s="107">
        <f t="shared" si="718"/>
        <v>27.74</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f t="shared" si="644"/>
        <v>1</v>
      </c>
      <c r="D255" s="127">
        <f t="shared" si="644"/>
        <v>12</v>
      </c>
      <c r="E255" s="201"/>
      <c r="F255" s="93"/>
      <c r="G255" s="203"/>
      <c r="H255"/>
      <c r="I255"/>
      <c r="J255"/>
      <c r="L255" s="29" t="s">
        <v>38</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26.01</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f t="shared" si="644"/>
        <v>1</v>
      </c>
      <c r="D256" s="127">
        <f t="shared" si="644"/>
        <v>12</v>
      </c>
      <c r="E256" s="201"/>
      <c r="F256" s="93"/>
      <c r="G256" s="203"/>
      <c r="H256" s="134">
        <f t="shared" ref="H256" si="721">COUNT($P256:$XX256)</f>
        <v>3</v>
      </c>
      <c r="I256" s="132">
        <f t="shared" ref="I256" si="722">_xlfn.STDEV.P($P255:$XX256)/AVERAGE($P255:$XX256)</f>
        <v>8.2391546403055058E-2</v>
      </c>
      <c r="J256" s="7">
        <f t="shared" ref="J256" si="723">IF(AND(H256&gt;2,
OR(L246="MÉDIA SANEADA",L246="MEDIANA SANEADA",
AND(L246="PREÇO ESTIMADO",NOT(AND(P248="Orçamento",COUNTA(P246:XX246)=COUNTIF(P248:XX248,"Orçamento")))))),
ROW(),0)</f>
        <v>256</v>
      </c>
      <c r="K256" s="66"/>
      <c r="L256" s="29" t="s">
        <v>362</v>
      </c>
      <c r="M256" s="30">
        <f t="shared" ref="M256" si="724" xml:space="preserve">
IF(H254&gt;2,MEDIAN(P253:XX254),
IF(H256&gt;2,MEDIAN(P255:XX256),
IF(H258&gt;2,MEDIAN(P257:XX258),
IF(H260&gt;2,MEDIAN(P259:XX260),
IF(H262&gt;2,MEDIAN(P261:XX262),
IF(H264&gt;2,MEDIAN(P263:XX264),
MEDIAN(P251:XX252)))))))</f>
        <v>27.3</v>
      </c>
      <c r="N256" s="71"/>
      <c r="O256" s="27" t="str">
        <f t="shared" ref="O256" si="725">"2 RODADA"</f>
        <v>2 RODADA</v>
      </c>
      <c r="P256" s="107">
        <f t="shared" ref="P256:AI256" si="726">IF(P254="","",IF((_xlfn.STDEV.P($P253:$XX254)/AVERAGE($P253:$XX254))&lt;=25%,P254,IF(OR(P254&gt;(AVERAGE($P253:$XX254)+_xlfn.STDEV.P($P253:$XX254)),P254&lt;(AVERAGE($P253:$XX254)-_xlfn.STDEV.P($P253:$XX254))),"DESCARTADO",P254)))</f>
        <v>27.3</v>
      </c>
      <c r="Q256" s="107">
        <f t="shared" si="726"/>
        <v>22.99</v>
      </c>
      <c r="R256" s="107">
        <f t="shared" si="726"/>
        <v>27.74</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f t="shared" si="644"/>
        <v>1</v>
      </c>
      <c r="D257" s="127">
        <f t="shared" si="644"/>
        <v>12</v>
      </c>
      <c r="E257" s="201"/>
      <c r="F257" s="93"/>
      <c r="G257" s="203"/>
      <c r="H257"/>
      <c r="I257"/>
      <c r="J257"/>
      <c r="K257" s="66"/>
      <c r="L257" s="29" t="s">
        <v>359</v>
      </c>
      <c r="M257" s="30">
        <f t="shared" ref="M257" si="727">HARMEAN($P251:$XX252)</f>
        <v>25.822836954847237</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f t="shared" si="644"/>
        <v>1</v>
      </c>
      <c r="D258" s="127">
        <f t="shared" si="644"/>
        <v>12</v>
      </c>
      <c r="E258" s="201"/>
      <c r="F258" s="93"/>
      <c r="G258" s="203"/>
      <c r="H258" s="134">
        <f t="shared" ref="H258" si="729">COUNT($P258:$XX258)</f>
        <v>3</v>
      </c>
      <c r="I258" s="132">
        <f t="shared" ref="I258" si="730">_xlfn.STDEV.P($P257:$XX258)/AVERAGE($P257:$XX258)</f>
        <v>8.2391546403055058E-2</v>
      </c>
      <c r="J258" s="7">
        <f t="shared" ref="J258" si="731">IF(AND(H258&gt;2,
OR(L246="MÉDIA SANEADA",L246="MEDIANA SANEADA",
AND(L246="PREÇO ESTIMADO",NOT(AND(P248="Orçamento",COUNTA(P246:XX246)=COUNTIF(P248:XX248,"Orçamento")))))),
ROW(),0)</f>
        <v>258</v>
      </c>
      <c r="K258" s="66"/>
      <c r="L258" s="29" t="s">
        <v>41</v>
      </c>
      <c r="M258" s="30">
        <f t="shared" ref="M258" si="732">IFERROR(_xlfn.QUARTILE.EXC($P252:$XX252,1),"")</f>
        <v>22.99</v>
      </c>
      <c r="N258" s="71"/>
      <c r="O258" s="27" t="str">
        <f t="shared" ref="O258" si="733">"3 RODADA"</f>
        <v>3 RODADA</v>
      </c>
      <c r="P258" s="107">
        <f t="shared" ref="P258:AI258" si="734">IF(P256="","",IF((_xlfn.STDEV.P($P255:$XX256)/AVERAGE($P255:$XX256))&lt;=25%,P256,IF(OR(P256&gt;(AVERAGE($P255:$XX256)+_xlfn.STDEV.P($P255:$XX256)),P256&lt;(AVERAGE($P255:$XX256)-_xlfn.STDEV.P($P255:$XX256))),"DESCARTADO",P256)))</f>
        <v>27.3</v>
      </c>
      <c r="Q258" s="107">
        <f t="shared" si="734"/>
        <v>22.99</v>
      </c>
      <c r="R258" s="107">
        <f t="shared" si="734"/>
        <v>27.74</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f t="shared" si="644"/>
        <v>1</v>
      </c>
      <c r="D259" s="127">
        <f t="shared" si="644"/>
        <v>12</v>
      </c>
      <c r="E259" s="201"/>
      <c r="F259" s="93"/>
      <c r="G259" s="203"/>
      <c r="H259"/>
      <c r="I259"/>
      <c r="J259"/>
      <c r="K259" s="66"/>
      <c r="L259" s="29" t="s">
        <v>39</v>
      </c>
      <c r="M259" s="30">
        <f t="shared" ref="M259" si="735">IFERROR(_xlfn.QUARTILE.EXC($P252:$XX252,3),"")</f>
        <v>27.74</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f t="shared" si="644"/>
        <v>1</v>
      </c>
      <c r="D260" s="127">
        <f t="shared" si="644"/>
        <v>12</v>
      </c>
      <c r="E260" s="201"/>
      <c r="F260" s="93"/>
      <c r="G260" s="203"/>
      <c r="H260" s="134">
        <f t="shared" ref="H260" si="737">COUNT($P260:$XX260)</f>
        <v>3</v>
      </c>
      <c r="I260" s="132">
        <f t="shared" ref="I260" si="738">_xlfn.STDEV.P($P259:$XX260)/AVERAGE($P259:$XX260)</f>
        <v>8.2391546403055058E-2</v>
      </c>
      <c r="J260" s="7">
        <f t="shared" ref="J260" si="739">IF(AND(H260&gt;2,
OR(L246="MÉDIA SANEADA",L246="MEDIANA SANEADA",
AND(L246="PREÇO ESTIMADO",NOT(AND(P248="Orçamento",COUNTA(P246:XX246)=COUNTIF(P248:XX248,"Orçamento")))))),
ROW(),0)</f>
        <v>260</v>
      </c>
      <c r="K260" s="66"/>
      <c r="L260" s="29" t="s">
        <v>42</v>
      </c>
      <c r="M260" s="30">
        <f t="shared" ref="M260" si="740">MIN($P252:$XX252)</f>
        <v>22.99</v>
      </c>
      <c r="N260" s="71"/>
      <c r="O260" s="27" t="str">
        <f t="shared" ref="O260" si="741">"4 RODADA"</f>
        <v>4 RODADA</v>
      </c>
      <c r="P260" s="107">
        <f t="shared" ref="P260:AI260" si="742">IF(P258="","",IF((_xlfn.STDEV.P($P257:$XX258)/AVERAGE($P257:$XX258))&lt;=25%,P258,IF(OR(P258&gt;(AVERAGE($P257:$XX258)+_xlfn.STDEV.P($P257:$XX258)),P258&lt;(AVERAGE($P257:$XX258)-_xlfn.STDEV.P($P257:$XX258))),"DESCARTADO",P258)))</f>
        <v>27.3</v>
      </c>
      <c r="Q260" s="107">
        <f t="shared" si="742"/>
        <v>22.99</v>
      </c>
      <c r="R260" s="107">
        <f t="shared" si="742"/>
        <v>27.74</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f t="shared" si="644"/>
        <v>1</v>
      </c>
      <c r="D261" s="127">
        <f t="shared" si="644"/>
        <v>12</v>
      </c>
      <c r="E261" s="201"/>
      <c r="F261" s="93"/>
      <c r="G261" s="203"/>
      <c r="H261"/>
      <c r="I261"/>
      <c r="J261"/>
      <c r="K261" s="66"/>
      <c r="L261" s="29" t="s">
        <v>40</v>
      </c>
      <c r="M261" s="30">
        <f t="shared" ref="M261" si="743">MAX($P252:$XX252)</f>
        <v>27.74</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f t="shared" si="644"/>
        <v>1</v>
      </c>
      <c r="D262" s="127">
        <f t="shared" si="644"/>
        <v>12</v>
      </c>
      <c r="E262" s="201"/>
      <c r="F262" s="93"/>
      <c r="G262" s="203"/>
      <c r="H262" s="134">
        <f t="shared" ref="H262" si="745">COUNT($P262:$XX262)</f>
        <v>3</v>
      </c>
      <c r="I262" s="132">
        <f t="shared" ref="I262" si="746">_xlfn.STDEV.P($P261:$XX262)/AVERAGE($P261:$XX262)</f>
        <v>8.2391546403055058E-2</v>
      </c>
      <c r="J262" s="7">
        <f t="shared" ref="J262" si="747">IF(AND(H262&gt;2,
OR(L246="MÉDIA SANEADA",L246="MEDIANA SANEADA",
AND(L246="PREÇO ESTIMADO",NOT(AND(P248="Orçamento",COUNTA(P246:XX246)=COUNTIF(P248:XX248,"Orçamento")))))),
ROW(),0)</f>
        <v>262</v>
      </c>
      <c r="K262" s="66"/>
      <c r="N262" s="71"/>
      <c r="O262" s="27" t="str">
        <f t="shared" ref="O262" si="748">"5 RODADA"</f>
        <v>5 RODADA</v>
      </c>
      <c r="P262" s="107">
        <f t="shared" ref="P262:AI262" si="749">IF(P260="","",IF((_xlfn.STDEV.P($P259:$XX260)/AVERAGE($P259:$XX260))&lt;=25%,P260,IF(OR(P260&gt;(AVERAGE($P259:$XX260)+_xlfn.STDEV.P($P259:$XX260)),P260&lt;(AVERAGE($P259:$XX260)-_xlfn.STDEV.P($P259:$XX260))),"DESCARTADO",P260)))</f>
        <v>27.3</v>
      </c>
      <c r="Q262" s="107">
        <f t="shared" si="749"/>
        <v>22.99</v>
      </c>
      <c r="R262" s="107">
        <f t="shared" si="749"/>
        <v>27.74</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f t="shared" si="644"/>
        <v>1</v>
      </c>
      <c r="D263" s="127">
        <f t="shared" si="644"/>
        <v>12</v>
      </c>
      <c r="E263" s="201"/>
      <c r="F263" s="93"/>
      <c r="G263" s="203"/>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f t="shared" si="644"/>
        <v>1</v>
      </c>
      <c r="D264" s="127">
        <f t="shared" si="644"/>
        <v>12</v>
      </c>
      <c r="E264" s="201"/>
      <c r="F264" s="93"/>
      <c r="G264" s="203"/>
      <c r="H264" s="134">
        <f t="shared" ref="H264" si="751">COUNT($P264:$XX264)</f>
        <v>3</v>
      </c>
      <c r="I264" s="132">
        <f t="shared" ref="I264" si="752">_xlfn.STDEV.P($P263:$XX264)/AVERAGE($P263:$XX264)</f>
        <v>8.2391546403055058E-2</v>
      </c>
      <c r="J264" s="7">
        <f t="shared" ref="J264" si="753">IF(AND(H264&gt;2,
OR(L246="MÉDIA SANEADA",L246="MEDIANA SANEADA",
AND(L246="PREÇO ESTIMADO",NOT(AND(P248="Orçamento",COUNTA(P246:XX246)=COUNTIF(P248:XX248,"Orçamento")))))),
ROW(),0)</f>
        <v>264</v>
      </c>
      <c r="N264" s="71"/>
      <c r="O264" s="27" t="str">
        <f t="shared" ref="O264" si="754">"6 RODADA"</f>
        <v>6 RODADA</v>
      </c>
      <c r="P264" s="107">
        <f t="shared" ref="P264:AI264" si="755">IFERROR(IF(P262="","",IF((_xlfn.STDEV.P($P261:$XX262)/AVERAGE($P261:$XX262))&lt;=25%,P262,IF(OR(P262&gt;(AVERAGE($P261:$XX262)+_xlfn.STDEV.P($P261:$XX262)),P262&lt;(AVERAGE($P261:$XX262)-_xlfn.STDEV.P($P261:$XX262))),"DESCARTADO",P262))),)</f>
        <v>27.3</v>
      </c>
      <c r="Q264" s="107">
        <f t="shared" si="755"/>
        <v>22.99</v>
      </c>
      <c r="R264" s="107">
        <f t="shared" si="755"/>
        <v>27.74</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f t="shared" si="644"/>
        <v>1</v>
      </c>
      <c r="D265" s="127">
        <f t="shared" si="644"/>
        <v>12</v>
      </c>
      <c r="E265" s="201"/>
      <c r="F265" s="136"/>
      <c r="G265" s="203"/>
      <c r="H265" s="206"/>
      <c r="I265" s="206"/>
      <c r="J265" s="207"/>
      <c r="K265" s="67"/>
      <c r="L265" s="1" t="s">
        <v>43</v>
      </c>
      <c r="M265" s="143">
        <f t="shared" ref="M265" si="756">IFERROR(ROUND(M246*M248,2),"")</f>
        <v>104.04</v>
      </c>
      <c r="O265" s="27" t="s">
        <v>363</v>
      </c>
      <c r="P265" s="107">
        <f t="shared" ref="P265:AI286" si="757">INDEX(P252:P264,MATCH(MAX($J252:$J264),$J252:$J264,0))</f>
        <v>27.3</v>
      </c>
      <c r="Q265" s="107">
        <f t="shared" si="757"/>
        <v>22.99</v>
      </c>
      <c r="R265" s="107">
        <f t="shared" si="757"/>
        <v>27.74</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f t="shared" ref="B267" si="758">LARGE(IFERROR(IF(B265+1&gt;$H$8,"",B265+1),""),1)</f>
        <v>13</v>
      </c>
      <c r="C267" s="127">
        <f>IF(_xlfn.ISFORMULA(E271),MAX(INDEX('BASE FORMAÇÃO'!A:A,B267+1),1),E271)</f>
        <v>1</v>
      </c>
      <c r="D267" s="127">
        <f t="shared" ref="D267" si="759">IFERROR(IF(C267=C257,D257+1,1),1)</f>
        <v>13</v>
      </c>
      <c r="E267" s="38" t="s">
        <v>9</v>
      </c>
      <c r="F267" s="73"/>
      <c r="G267" s="38" t="s">
        <v>15</v>
      </c>
      <c r="H267" s="135">
        <f>INDEX('BASE FORMAÇÃO'!B:B,B267+1)</f>
        <v>0</v>
      </c>
      <c r="I267" s="181" t="s">
        <v>16</v>
      </c>
      <c r="J267" s="6">
        <f>INDEX('BASE FORMAÇÃO'!K:K,B267+1)</f>
        <v>0</v>
      </c>
      <c r="K267" s="65"/>
      <c r="L267" s="184" t="s">
        <v>10</v>
      </c>
      <c r="M267" s="186">
        <f t="shared" ref="M267" si="760">IF(OR(ISBLANK($O$8),ISBLANK($O$7),ISBLANK($H$8),ISBLANK($O$6),ISBLANK($O$5),ISBLANK($H$5)),"",IFERROR(IF(VLOOKUP(L267,L273:M282,2,FALSE)&lt;1,ROUND(VLOOKUP(L267,L273:M282,2,FALSE),4),ROUND(VLOOKUP(L267,L273:M282,2,FALSE),2)),""))</f>
        <v>6.62</v>
      </c>
      <c r="N267" s="69"/>
      <c r="O267" s="27" t="s">
        <v>17</v>
      </c>
      <c r="P267" s="113">
        <v>8.34</v>
      </c>
      <c r="Q267" s="113">
        <v>4.4000000000000004</v>
      </c>
      <c r="R267" s="113">
        <v>7.11</v>
      </c>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61">B267</f>
        <v>13</v>
      </c>
      <c r="C268" s="128">
        <f t="shared" si="761"/>
        <v>1</v>
      </c>
      <c r="D268" s="127">
        <f t="shared" si="761"/>
        <v>13</v>
      </c>
      <c r="E268" s="188">
        <f t="shared" ref="E268" si="762">D267</f>
        <v>13</v>
      </c>
      <c r="F268" s="92"/>
      <c r="G268" s="190" t="s">
        <v>1</v>
      </c>
      <c r="H268" s="193" t="s">
        <v>483</v>
      </c>
      <c r="I268" s="194"/>
      <c r="J268" s="195"/>
      <c r="K268" s="66"/>
      <c r="L268" s="185"/>
      <c r="M268" s="187"/>
      <c r="N268" s="70"/>
      <c r="O268" s="27" t="s">
        <v>13</v>
      </c>
      <c r="P268" s="122">
        <v>46195</v>
      </c>
      <c r="Q268" s="122">
        <v>46195</v>
      </c>
      <c r="R268" s="122">
        <v>46195</v>
      </c>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63">B268</f>
        <v>13</v>
      </c>
      <c r="C269" s="128">
        <f t="shared" si="763"/>
        <v>1</v>
      </c>
      <c r="D269" s="127">
        <f t="shared" si="763"/>
        <v>13</v>
      </c>
      <c r="E269" s="189"/>
      <c r="F269" s="93"/>
      <c r="G269" s="191"/>
      <c r="H269" s="196"/>
      <c r="I269" s="196"/>
      <c r="J269" s="197"/>
      <c r="K269" s="64"/>
      <c r="L269" s="130" t="s">
        <v>44</v>
      </c>
      <c r="M269" s="131">
        <v>4</v>
      </c>
      <c r="N269" s="71"/>
      <c r="O269" s="27" t="s">
        <v>380</v>
      </c>
      <c r="P269" s="114" t="s">
        <v>302</v>
      </c>
      <c r="Q269" s="114" t="s">
        <v>302</v>
      </c>
      <c r="R269" s="114" t="s">
        <v>302</v>
      </c>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 t="shared" ref="B270:C270" si="764">B269</f>
        <v>13</v>
      </c>
      <c r="C270" s="128">
        <f t="shared" si="764"/>
        <v>1</v>
      </c>
      <c r="D270" s="127">
        <f t="shared" si="644"/>
        <v>13</v>
      </c>
      <c r="E270" s="38" t="s">
        <v>313</v>
      </c>
      <c r="F270" s="93"/>
      <c r="G270" s="192"/>
      <c r="H270" s="198"/>
      <c r="I270" s="198"/>
      <c r="J270" s="199"/>
      <c r="K270" s="64"/>
      <c r="L270" s="1" t="s">
        <v>2</v>
      </c>
      <c r="M270" s="6" t="s">
        <v>288</v>
      </c>
      <c r="N270" s="71"/>
      <c r="O270" s="27" t="s">
        <v>381</v>
      </c>
      <c r="P270" s="182" t="s">
        <v>484</v>
      </c>
      <c r="Q270" s="182" t="s">
        <v>485</v>
      </c>
      <c r="R270" s="182" t="s">
        <v>486</v>
      </c>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f t="shared" ref="B271:C271" si="765">B269</f>
        <v>13</v>
      </c>
      <c r="C271" s="128">
        <f t="shared" si="765"/>
        <v>1</v>
      </c>
      <c r="D271" s="127">
        <f t="shared" si="644"/>
        <v>13</v>
      </c>
      <c r="E271" s="200">
        <f t="shared" ref="E271" si="766">C267</f>
        <v>1</v>
      </c>
      <c r="F271" s="93"/>
      <c r="G271" s="202" t="s">
        <v>304</v>
      </c>
      <c r="H271" s="204"/>
      <c r="I271" s="205"/>
      <c r="J271" s="205"/>
      <c r="K271" s="67"/>
      <c r="L271" s="28" t="s">
        <v>303</v>
      </c>
      <c r="M271" s="133">
        <f t="shared" ref="M271" si="767">IFERROR(INDEX(I273:I285,MATCH(MAX(J273:J285),J273:J285,0)),"")</f>
        <v>0.2487491947611247</v>
      </c>
      <c r="N271" s="71"/>
      <c r="O271" s="27" t="s">
        <v>18</v>
      </c>
      <c r="P271" s="106">
        <f>IF(P267="","",
IF(OR(P269="Orçamento",P268="",MAX('Tabela de Apoio'!$A:$A)&lt;=P268),
P267,
(INDEX('Tabela de Apoio'!$B:$B,MATCH('MAPA DE PREÇOS'!$O$8,'Tabela de Apoio'!$A:$A,1))/INDEX('Tabela de Apoio'!$B:$B,MATCH('MAPA DE PREÇOS'!P268,'Tabela de Apoio'!$A:$A,1)-1))*P267))</f>
        <v>8.34</v>
      </c>
      <c r="Q271" s="106">
        <f>IF(Q267="","",
IF(OR(Q269="Orçamento",Q268="",MAX('Tabela de Apoio'!$A:$A)&lt;=Q268),
Q267,
(INDEX('Tabela de Apoio'!$B:$B,MATCH('MAPA DE PREÇOS'!$O$8,'Tabela de Apoio'!$A:$A,1))/INDEX('Tabela de Apoio'!$B:$B,MATCH('MAPA DE PREÇOS'!Q268,'Tabela de Apoio'!$A:$A,1)-1))*Q267))</f>
        <v>4.4000000000000004</v>
      </c>
      <c r="R271" s="106">
        <f>IF(R267="","",
IF(OR(R269="Orçamento",R268="",MAX('Tabela de Apoio'!$A:$A)&lt;=R268),
R267,
(INDEX('Tabela de Apoio'!$B:$B,MATCH('MAPA DE PREÇOS'!$O$8,'Tabela de Apoio'!$A:$A,1))/INDEX('Tabela de Apoio'!$B:$B,MATCH('MAPA DE PREÇOS'!R268,'Tabela de Apoio'!$A:$A,1)-1))*R267))</f>
        <v>7.11</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8">B271</f>
        <v>13</v>
      </c>
      <c r="C272" s="128">
        <f t="shared" ref="C272" si="769">C271</f>
        <v>1</v>
      </c>
      <c r="D272" s="127">
        <f t="shared" si="644"/>
        <v>13</v>
      </c>
      <c r="E272" s="201"/>
      <c r="F272" s="93"/>
      <c r="G272" s="203"/>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70">B272</f>
        <v>13</v>
      </c>
      <c r="C273" s="128">
        <f t="shared" si="770"/>
        <v>1</v>
      </c>
      <c r="D273" s="127">
        <f t="shared" si="644"/>
        <v>13</v>
      </c>
      <c r="E273" s="201"/>
      <c r="F273" s="93"/>
      <c r="G273" s="203"/>
      <c r="H273" s="134">
        <f t="shared" ref="H273" si="771">COUNT($P273:$XX273)</f>
        <v>3</v>
      </c>
      <c r="I273" s="132">
        <f t="shared" ref="I273" si="772">_xlfn.STDEV.P($P272:$XX273)/AVERAGE($P272:$XX273)</f>
        <v>0.2487491947611247</v>
      </c>
      <c r="J273" s="7">
        <f>ROW()</f>
        <v>273</v>
      </c>
      <c r="K273" s="67"/>
      <c r="L273" s="29" t="s">
        <v>10</v>
      </c>
      <c r="M273" s="30">
        <f t="shared" ref="M273" si="773">IFERROR(
IF(COUNTA(P267:AI267)=COUNTIF(P269:XX269,"Orçamento"),MIN(M278,M275),
IF(M276&lt;&gt;"",M276,
IF(M277&lt;&gt;"",M277,
M275
))),"")</f>
        <v>6.6166666666666671</v>
      </c>
      <c r="N273" s="71"/>
      <c r="O273" s="27" t="s">
        <v>376</v>
      </c>
      <c r="P273" s="106">
        <f t="shared" ref="P273:AI273" si="774">IFERROR(IF(P271="",
            "",
            IF(COUNT($P271:$XX271)&lt;=4,
               P271,
               IF(OR(P271&gt;(QUARTILE($P271:$XX271,3)+(QUARTILE($P271:$XX271,3)-QUARTILE($P271:$XX271,1))),
                     P271&lt;(QUARTILE($P271:$XX271,1)-(QUARTILE($P271:$XX271,3)-QUARTILE($P271:$XX271,1)))
                  ),
               "DESCARTADO",P271)
             )
  ),P271)</f>
        <v>8.34</v>
      </c>
      <c r="Q273" s="106">
        <f t="shared" si="774"/>
        <v>4.4000000000000004</v>
      </c>
      <c r="R273" s="106">
        <f t="shared" si="774"/>
        <v>7.11</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f t="shared" ref="B274" si="775">B273</f>
        <v>13</v>
      </c>
      <c r="C274" s="128">
        <f t="shared" ref="C274" si="776">C273</f>
        <v>1</v>
      </c>
      <c r="D274" s="127">
        <f t="shared" si="644"/>
        <v>13</v>
      </c>
      <c r="E274" s="201"/>
      <c r="F274" s="93"/>
      <c r="G274" s="203"/>
      <c r="H274"/>
      <c r="I274"/>
      <c r="J274"/>
      <c r="K274" s="66"/>
      <c r="L274" s="29" t="s">
        <v>360</v>
      </c>
      <c r="M274" s="30">
        <f t="shared" ref="M274" si="777">AVERAGE($P273:$XX273)</f>
        <v>6.6166666666666671</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43"/>
        <v>13</v>
      </c>
      <c r="C275" s="128">
        <f t="shared" si="644"/>
        <v>1</v>
      </c>
      <c r="D275" s="127">
        <f t="shared" si="644"/>
        <v>13</v>
      </c>
      <c r="E275" s="201"/>
      <c r="F275" s="93"/>
      <c r="G275" s="203"/>
      <c r="H275" s="134">
        <f t="shared" ref="H275" si="779">COUNT($P275:$XX275)</f>
        <v>3</v>
      </c>
      <c r="I275" s="132">
        <f t="shared" ref="I275" si="780">_xlfn.STDEV.P($P274:$XX275)/AVERAGE($P274:$XX275)</f>
        <v>0.2487491947611247</v>
      </c>
      <c r="J275" s="7">
        <f t="shared" ref="J275" si="781">IF(AND(H275&gt;2,
OR(L267="MÉDIA SANEADA",L267="MEDIANA SANEADA",
AND(L267="PREÇO ESTIMADO",NOT(AND(P269="Orçamento",COUNTA(P267:XX267)=COUNTIF(P269:XX269,"Orçamento")))))),
ROW(),0)</f>
        <v>275</v>
      </c>
      <c r="K275" s="66"/>
      <c r="L275" s="29" t="s">
        <v>361</v>
      </c>
      <c r="M275" s="30">
        <f t="shared" ref="M275" si="782">MEDIAN($P273:$XX273)</f>
        <v>7.11</v>
      </c>
      <c r="N275" s="71"/>
      <c r="O275" s="27" t="str">
        <f t="shared" ref="O275" si="783">"1 RODADA"</f>
        <v>1 RODADA</v>
      </c>
      <c r="P275" s="107">
        <f t="shared" ref="P275:AI275" si="784">IF(P273="","",IF((_xlfn.STDEV.P($P272:$XX273)/AVERAGE($P272:$XX273))&lt;=25%,P273,IF(OR(P273&gt;(AVERAGE($P272:$XX273)+_xlfn.STDEV.P($P272:$XX273)),P273&lt;(AVERAGE($P272:$XX273)-_xlfn.STDEV.P($P272:$XX273))),"DESCARTADO",P273)))</f>
        <v>8.34</v>
      </c>
      <c r="Q275" s="107">
        <f t="shared" si="784"/>
        <v>4.4000000000000004</v>
      </c>
      <c r="R275" s="107">
        <f t="shared" si="784"/>
        <v>7.11</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f t="shared" si="643"/>
        <v>13</v>
      </c>
      <c r="C276" s="128">
        <f t="shared" si="644"/>
        <v>1</v>
      </c>
      <c r="D276" s="127">
        <f t="shared" si="644"/>
        <v>13</v>
      </c>
      <c r="E276" s="201"/>
      <c r="F276" s="93"/>
      <c r="G276" s="203"/>
      <c r="H276"/>
      <c r="I276"/>
      <c r="J276"/>
      <c r="L276" s="29" t="s">
        <v>38</v>
      </c>
      <c r="M276" s="30">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6.6166666666666671</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43"/>
        <v>13</v>
      </c>
      <c r="C277" s="128">
        <f t="shared" si="644"/>
        <v>1</v>
      </c>
      <c r="D277" s="127">
        <f t="shared" si="644"/>
        <v>13</v>
      </c>
      <c r="E277" s="201"/>
      <c r="F277" s="93"/>
      <c r="G277" s="203"/>
      <c r="H277" s="134">
        <f t="shared" ref="H277" si="787">COUNT($P277:$XX277)</f>
        <v>3</v>
      </c>
      <c r="I277" s="132">
        <f t="shared" ref="I277" si="788">_xlfn.STDEV.P($P276:$XX277)/AVERAGE($P276:$XX277)</f>
        <v>0.2487491947611247</v>
      </c>
      <c r="J277" s="7">
        <f t="shared" ref="J277" si="789">IF(AND(H277&gt;2,
OR(L267="MÉDIA SANEADA",L267="MEDIANA SANEADA",
AND(L267="PREÇO ESTIMADO",NOT(AND(P269="Orçamento",COUNTA(P267:XX267)=COUNTIF(P269:XX269,"Orçamento")))))),
ROW(),0)</f>
        <v>277</v>
      </c>
      <c r="K277" s="66"/>
      <c r="L277" s="29" t="s">
        <v>362</v>
      </c>
      <c r="M277" s="30">
        <f t="shared" ref="M277" si="790" xml:space="preserve">
IF(H275&gt;2,MEDIAN(P274:XX275),
IF(H277&gt;2,MEDIAN(P276:XX277),
IF(H279&gt;2,MEDIAN(P278:XX279),
IF(H281&gt;2,MEDIAN(P280:XX281),
IF(H283&gt;2,MEDIAN(P282:XX283),
IF(H285&gt;2,MEDIAN(P284:XX285),
MEDIAN(P272:XX273)))))))</f>
        <v>7.11</v>
      </c>
      <c r="N277" s="71"/>
      <c r="O277" s="27" t="str">
        <f t="shared" ref="O277" si="791">"2 RODADA"</f>
        <v>2 RODADA</v>
      </c>
      <c r="P277" s="107">
        <f t="shared" ref="P277:AI277" si="792">IF(P275="","",IF((_xlfn.STDEV.P($P274:$XX275)/AVERAGE($P274:$XX275))&lt;=25%,P275,IF(OR(P275&gt;(AVERAGE($P274:$XX275)+_xlfn.STDEV.P($P274:$XX275)),P275&lt;(AVERAGE($P274:$XX275)-_xlfn.STDEV.P($P274:$XX275))),"DESCARTADO",P275)))</f>
        <v>8.34</v>
      </c>
      <c r="Q277" s="107">
        <f t="shared" si="792"/>
        <v>4.4000000000000004</v>
      </c>
      <c r="R277" s="107">
        <f t="shared" si="792"/>
        <v>7.11</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f t="shared" si="643"/>
        <v>13</v>
      </c>
      <c r="C278" s="128">
        <f t="shared" si="644"/>
        <v>1</v>
      </c>
      <c r="D278" s="127">
        <f t="shared" si="644"/>
        <v>13</v>
      </c>
      <c r="E278" s="201"/>
      <c r="F278" s="93"/>
      <c r="G278" s="203"/>
      <c r="H278"/>
      <c r="I278"/>
      <c r="J278"/>
      <c r="K278" s="66"/>
      <c r="L278" s="29" t="s">
        <v>359</v>
      </c>
      <c r="M278" s="30">
        <f t="shared" ref="M278" si="793">HARMEAN($P272:$XX273)</f>
        <v>6.1497617016060993</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43"/>
        <v>13</v>
      </c>
      <c r="C279" s="128">
        <f t="shared" si="644"/>
        <v>1</v>
      </c>
      <c r="D279" s="127">
        <f t="shared" si="644"/>
        <v>13</v>
      </c>
      <c r="E279" s="201"/>
      <c r="F279" s="93"/>
      <c r="G279" s="203"/>
      <c r="H279" s="134">
        <f t="shared" ref="H279" si="795">COUNT($P279:$XX279)</f>
        <v>3</v>
      </c>
      <c r="I279" s="132">
        <f t="shared" ref="I279" si="796">_xlfn.STDEV.P($P278:$XX279)/AVERAGE($P278:$XX279)</f>
        <v>0.2487491947611247</v>
      </c>
      <c r="J279" s="7">
        <f t="shared" ref="J279" si="797">IF(AND(H279&gt;2,
OR(L267="MÉDIA SANEADA",L267="MEDIANA SANEADA",
AND(L267="PREÇO ESTIMADO",NOT(AND(P269="Orçamento",COUNTA(P267:XX267)=COUNTIF(P269:XX269,"Orçamento")))))),
ROW(),0)</f>
        <v>279</v>
      </c>
      <c r="K279" s="66"/>
      <c r="L279" s="29" t="s">
        <v>41</v>
      </c>
      <c r="M279" s="30">
        <f t="shared" ref="M279" si="798">IFERROR(_xlfn.QUARTILE.EXC($P273:$XX273,1),"")</f>
        <v>4.4000000000000004</v>
      </c>
      <c r="N279" s="71"/>
      <c r="O279" s="27" t="str">
        <f t="shared" ref="O279" si="799">"3 RODADA"</f>
        <v>3 RODADA</v>
      </c>
      <c r="P279" s="107">
        <f t="shared" ref="P279:AI279" si="800">IF(P277="","",IF((_xlfn.STDEV.P($P276:$XX277)/AVERAGE($P276:$XX277))&lt;=25%,P277,IF(OR(P277&gt;(AVERAGE($P276:$XX277)+_xlfn.STDEV.P($P276:$XX277)),P277&lt;(AVERAGE($P276:$XX277)-_xlfn.STDEV.P($P276:$XX277))),"DESCARTADO",P277)))</f>
        <v>8.34</v>
      </c>
      <c r="Q279" s="107">
        <f t="shared" si="800"/>
        <v>4.4000000000000004</v>
      </c>
      <c r="R279" s="107">
        <f t="shared" si="800"/>
        <v>7.11</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f t="shared" si="643"/>
        <v>13</v>
      </c>
      <c r="C280" s="128">
        <f t="shared" si="644"/>
        <v>1</v>
      </c>
      <c r="D280" s="127">
        <f t="shared" si="644"/>
        <v>13</v>
      </c>
      <c r="E280" s="201"/>
      <c r="F280" s="93"/>
      <c r="G280" s="203"/>
      <c r="H280"/>
      <c r="I280"/>
      <c r="J280"/>
      <c r="K280" s="66"/>
      <c r="L280" s="29" t="s">
        <v>39</v>
      </c>
      <c r="M280" s="30">
        <f t="shared" ref="M280" si="801">IFERROR(_xlfn.QUARTILE.EXC($P273:$XX273,3),"")</f>
        <v>8.34</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43"/>
        <v>13</v>
      </c>
      <c r="C281" s="128">
        <f t="shared" si="644"/>
        <v>1</v>
      </c>
      <c r="D281" s="127">
        <f t="shared" si="644"/>
        <v>13</v>
      </c>
      <c r="E281" s="201"/>
      <c r="F281" s="93"/>
      <c r="G281" s="203"/>
      <c r="H281" s="134">
        <f t="shared" ref="H281" si="803">COUNT($P281:$XX281)</f>
        <v>3</v>
      </c>
      <c r="I281" s="132">
        <f t="shared" ref="I281" si="804">_xlfn.STDEV.P($P280:$XX281)/AVERAGE($P280:$XX281)</f>
        <v>0.2487491947611247</v>
      </c>
      <c r="J281" s="7">
        <f t="shared" ref="J281" si="805">IF(AND(H281&gt;2,
OR(L267="MÉDIA SANEADA",L267="MEDIANA SANEADA",
AND(L267="PREÇO ESTIMADO",NOT(AND(P269="Orçamento",COUNTA(P267:XX267)=COUNTIF(P269:XX269,"Orçamento")))))),
ROW(),0)</f>
        <v>281</v>
      </c>
      <c r="K281" s="66"/>
      <c r="L281" s="29" t="s">
        <v>42</v>
      </c>
      <c r="M281" s="30">
        <f t="shared" ref="M281" si="806">MIN($P273:$XX273)</f>
        <v>4.4000000000000004</v>
      </c>
      <c r="N281" s="71"/>
      <c r="O281" s="27" t="str">
        <f t="shared" ref="O281" si="807">"4 RODADA"</f>
        <v>4 RODADA</v>
      </c>
      <c r="P281" s="107">
        <f t="shared" ref="P281:AI281" si="808">IF(P279="","",IF((_xlfn.STDEV.P($P278:$XX279)/AVERAGE($P278:$XX279))&lt;=25%,P279,IF(OR(P279&gt;(AVERAGE($P278:$XX279)+_xlfn.STDEV.P($P278:$XX279)),P279&lt;(AVERAGE($P278:$XX279)-_xlfn.STDEV.P($P278:$XX279))),"DESCARTADO",P279)))</f>
        <v>8.34</v>
      </c>
      <c r="Q281" s="107">
        <f t="shared" si="808"/>
        <v>4.4000000000000004</v>
      </c>
      <c r="R281" s="107">
        <f t="shared" si="808"/>
        <v>7.11</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f t="shared" si="643"/>
        <v>13</v>
      </c>
      <c r="C282" s="128">
        <f t="shared" si="644"/>
        <v>1</v>
      </c>
      <c r="D282" s="127">
        <f t="shared" si="644"/>
        <v>13</v>
      </c>
      <c r="E282" s="201"/>
      <c r="F282" s="93"/>
      <c r="G282" s="203"/>
      <c r="H282"/>
      <c r="I282"/>
      <c r="J282"/>
      <c r="K282" s="66"/>
      <c r="L282" s="29" t="s">
        <v>40</v>
      </c>
      <c r="M282" s="30">
        <f t="shared" ref="M282" si="809">MAX($P273:$XX273)</f>
        <v>8.34</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43"/>
        <v>13</v>
      </c>
      <c r="C283" s="128">
        <f t="shared" si="644"/>
        <v>1</v>
      </c>
      <c r="D283" s="127">
        <f t="shared" si="644"/>
        <v>13</v>
      </c>
      <c r="E283" s="201"/>
      <c r="F283" s="93"/>
      <c r="G283" s="203"/>
      <c r="H283" s="134">
        <f t="shared" ref="H283" si="811">COUNT($P283:$XX283)</f>
        <v>3</v>
      </c>
      <c r="I283" s="132">
        <f t="shared" ref="I283" si="812">_xlfn.STDEV.P($P282:$XX283)/AVERAGE($P282:$XX283)</f>
        <v>0.2487491947611247</v>
      </c>
      <c r="J283" s="7">
        <f t="shared" ref="J283" si="813">IF(AND(H283&gt;2,
OR(L267="MÉDIA SANEADA",L267="MEDIANA SANEADA",
AND(L267="PREÇO ESTIMADO",NOT(AND(P269="Orçamento",COUNTA(P267:XX267)=COUNTIF(P269:XX269,"Orçamento")))))),
ROW(),0)</f>
        <v>283</v>
      </c>
      <c r="K283" s="66"/>
      <c r="N283" s="71"/>
      <c r="O283" s="27" t="str">
        <f t="shared" ref="O283" si="814">"5 RODADA"</f>
        <v>5 RODADA</v>
      </c>
      <c r="P283" s="107">
        <f t="shared" ref="P283:AI283" si="815">IF(P281="","",IF((_xlfn.STDEV.P($P280:$XX281)/AVERAGE($P280:$XX281))&lt;=25%,P281,IF(OR(P281&gt;(AVERAGE($P280:$XX281)+_xlfn.STDEV.P($P280:$XX281)),P281&lt;(AVERAGE($P280:$XX281)-_xlfn.STDEV.P($P280:$XX281))),"DESCARTADO",P281)))</f>
        <v>8.34</v>
      </c>
      <c r="Q283" s="107">
        <f t="shared" si="815"/>
        <v>4.4000000000000004</v>
      </c>
      <c r="R283" s="107">
        <f t="shared" si="815"/>
        <v>7.11</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f t="shared" si="643"/>
        <v>13</v>
      </c>
      <c r="C284" s="128">
        <f t="shared" si="644"/>
        <v>1</v>
      </c>
      <c r="D284" s="127">
        <f t="shared" si="644"/>
        <v>13</v>
      </c>
      <c r="E284" s="201"/>
      <c r="F284" s="93"/>
      <c r="G284" s="203"/>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43"/>
        <v>13</v>
      </c>
      <c r="C285" s="128">
        <f t="shared" si="644"/>
        <v>1</v>
      </c>
      <c r="D285" s="127">
        <f t="shared" si="644"/>
        <v>13</v>
      </c>
      <c r="E285" s="201"/>
      <c r="F285" s="93"/>
      <c r="G285" s="203"/>
      <c r="H285" s="134">
        <f t="shared" ref="H285" si="817">COUNT($P285:$XX285)</f>
        <v>3</v>
      </c>
      <c r="I285" s="132">
        <f t="shared" ref="I285" si="818">_xlfn.STDEV.P($P284:$XX285)/AVERAGE($P284:$XX285)</f>
        <v>0.2487491947611247</v>
      </c>
      <c r="J285" s="7">
        <f t="shared" ref="J285" si="819">IF(AND(H285&gt;2,
OR(L267="MÉDIA SANEADA",L267="MEDIANA SANEADA",
AND(L267="PREÇO ESTIMADO",NOT(AND(P269="Orçamento",COUNTA(P267:XX267)=COUNTIF(P269:XX269,"Orçamento")))))),
ROW(),0)</f>
        <v>285</v>
      </c>
      <c r="N285" s="71"/>
      <c r="O285" s="27" t="str">
        <f t="shared" ref="O285" si="820">"6 RODADA"</f>
        <v>6 RODADA</v>
      </c>
      <c r="P285" s="107">
        <f t="shared" ref="P285:AI285" si="821">IFERROR(IF(P283="","",IF((_xlfn.STDEV.P($P282:$XX283)/AVERAGE($P282:$XX283))&lt;=25%,P283,IF(OR(P283&gt;(AVERAGE($P282:$XX283)+_xlfn.STDEV.P($P282:$XX283)),P283&lt;(AVERAGE($P282:$XX283)-_xlfn.STDEV.P($P282:$XX283))),"DESCARTADO",P283))),)</f>
        <v>8.34</v>
      </c>
      <c r="Q285" s="107">
        <f t="shared" si="821"/>
        <v>4.4000000000000004</v>
      </c>
      <c r="R285" s="107">
        <f t="shared" si="821"/>
        <v>7.11</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f t="shared" si="643"/>
        <v>13</v>
      </c>
      <c r="C286" s="128">
        <f t="shared" si="644"/>
        <v>1</v>
      </c>
      <c r="D286" s="127">
        <f t="shared" si="644"/>
        <v>13</v>
      </c>
      <c r="E286" s="201"/>
      <c r="F286" s="136"/>
      <c r="G286" s="203"/>
      <c r="H286" s="206"/>
      <c r="I286" s="206"/>
      <c r="J286" s="207"/>
      <c r="K286" s="67"/>
      <c r="L286" s="1" t="s">
        <v>43</v>
      </c>
      <c r="M286" s="143">
        <f t="shared" ref="M286" si="822">IFERROR(ROUND(M267*M269,2),"")</f>
        <v>26.48</v>
      </c>
      <c r="O286" s="27" t="s">
        <v>363</v>
      </c>
      <c r="P286" s="107">
        <f t="shared" ref="P286:R286" si="823">INDEX(P273:P285,MATCH(MAX($J273:$J285),$J273:$J285,0))</f>
        <v>8.34</v>
      </c>
      <c r="Q286" s="107">
        <f t="shared" si="823"/>
        <v>4.4000000000000004</v>
      </c>
      <c r="R286" s="107">
        <f t="shared" si="823"/>
        <v>7.11</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f t="shared" ref="B288" si="824">LARGE(IFERROR(IF(B286+1&gt;$H$8,"",B286+1),""),1)</f>
        <v>14</v>
      </c>
      <c r="C288" s="127">
        <f>IF(_xlfn.ISFORMULA(E292),MAX(INDEX('BASE FORMAÇÃO'!A:A,B288+1),1),E292)</f>
        <v>1</v>
      </c>
      <c r="D288" s="127">
        <f t="shared" ref="D288" si="825">IFERROR(IF(C288=C278,D278+1,1),1)</f>
        <v>14</v>
      </c>
      <c r="E288" s="38" t="s">
        <v>9</v>
      </c>
      <c r="F288" s="73"/>
      <c r="G288" s="38" t="s">
        <v>15</v>
      </c>
      <c r="H288" s="135">
        <f>INDEX('BASE FORMAÇÃO'!B:B,B288+1)</f>
        <v>0</v>
      </c>
      <c r="I288" s="181" t="s">
        <v>16</v>
      </c>
      <c r="J288" s="6">
        <f>INDEX('BASE FORMAÇÃO'!K:K,B288+1)</f>
        <v>0</v>
      </c>
      <c r="K288" s="65"/>
      <c r="L288" s="184" t="s">
        <v>10</v>
      </c>
      <c r="M288" s="186">
        <f t="shared" ref="M288" si="826">IF(OR(ISBLANK($O$8),ISBLANK($O$7),ISBLANK($H$8),ISBLANK($O$6),ISBLANK($O$5),ISBLANK($H$5)),"",IFERROR(IF(VLOOKUP(L288,L294:M303,2,FALSE)&lt;1,ROUND(VLOOKUP(L288,L294:M303,2,FALSE),4),ROUND(VLOOKUP(L288,L294:M303,2,FALSE),2)),""))</f>
        <v>62.96</v>
      </c>
      <c r="N288" s="69"/>
      <c r="O288" s="27" t="s">
        <v>17</v>
      </c>
      <c r="P288" s="113">
        <v>56.99</v>
      </c>
      <c r="Q288" s="113">
        <v>66.900000000000006</v>
      </c>
      <c r="R288" s="113">
        <v>64.989999999999995</v>
      </c>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7">B288</f>
        <v>14</v>
      </c>
      <c r="C289" s="128">
        <f t="shared" si="827"/>
        <v>1</v>
      </c>
      <c r="D289" s="127">
        <f t="shared" si="827"/>
        <v>14</v>
      </c>
      <c r="E289" s="188">
        <f t="shared" ref="E289" si="828">D288</f>
        <v>14</v>
      </c>
      <c r="F289" s="92"/>
      <c r="G289" s="190" t="s">
        <v>1</v>
      </c>
      <c r="H289" s="193" t="s">
        <v>487</v>
      </c>
      <c r="I289" s="194"/>
      <c r="J289" s="195"/>
      <c r="K289" s="66"/>
      <c r="L289" s="185"/>
      <c r="M289" s="187"/>
      <c r="N289" s="70"/>
      <c r="O289" s="27" t="s">
        <v>13</v>
      </c>
      <c r="P289" s="122">
        <v>46195</v>
      </c>
      <c r="Q289" s="122">
        <v>46195</v>
      </c>
      <c r="R289" s="122">
        <v>46195</v>
      </c>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9">B289</f>
        <v>14</v>
      </c>
      <c r="C290" s="128">
        <f t="shared" si="829"/>
        <v>1</v>
      </c>
      <c r="D290" s="127">
        <f t="shared" si="829"/>
        <v>14</v>
      </c>
      <c r="E290" s="189"/>
      <c r="F290" s="93"/>
      <c r="G290" s="191"/>
      <c r="H290" s="196"/>
      <c r="I290" s="196"/>
      <c r="J290" s="197"/>
      <c r="K290" s="64"/>
      <c r="L290" s="130" t="s">
        <v>44</v>
      </c>
      <c r="M290" s="131">
        <v>8</v>
      </c>
      <c r="N290" s="71"/>
      <c r="O290" s="27" t="s">
        <v>380</v>
      </c>
      <c r="P290" s="114" t="s">
        <v>302</v>
      </c>
      <c r="Q290" s="114" t="s">
        <v>302</v>
      </c>
      <c r="R290" s="114" t="s">
        <v>302</v>
      </c>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30">B290</f>
        <v>14</v>
      </c>
      <c r="C291" s="128">
        <f t="shared" si="830"/>
        <v>1</v>
      </c>
      <c r="D291" s="127">
        <f t="shared" si="644"/>
        <v>14</v>
      </c>
      <c r="E291" s="38" t="s">
        <v>313</v>
      </c>
      <c r="F291" s="93"/>
      <c r="G291" s="192"/>
      <c r="H291" s="198"/>
      <c r="I291" s="198"/>
      <c r="J291" s="199"/>
      <c r="K291" s="64"/>
      <c r="L291" s="1" t="s">
        <v>2</v>
      </c>
      <c r="M291" s="6" t="s">
        <v>288</v>
      </c>
      <c r="N291" s="71"/>
      <c r="O291" s="27" t="s">
        <v>381</v>
      </c>
      <c r="P291" s="182" t="s">
        <v>488</v>
      </c>
      <c r="Q291" s="182" t="s">
        <v>489</v>
      </c>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31">B290</f>
        <v>14</v>
      </c>
      <c r="C292" s="128">
        <f t="shared" si="831"/>
        <v>1</v>
      </c>
      <c r="D292" s="127">
        <f t="shared" si="644"/>
        <v>14</v>
      </c>
      <c r="E292" s="200">
        <f t="shared" ref="E292" si="832">C288</f>
        <v>1</v>
      </c>
      <c r="F292" s="93"/>
      <c r="G292" s="202" t="s">
        <v>304</v>
      </c>
      <c r="H292" s="204"/>
      <c r="I292" s="205"/>
      <c r="J292" s="205"/>
      <c r="K292" s="67"/>
      <c r="L292" s="28" t="s">
        <v>303</v>
      </c>
      <c r="M292" s="133">
        <f t="shared" ref="M292" si="833">IFERROR(INDEX(I294:I306,MATCH(MAX(J294:J306),J294:J306,0)),"")</f>
        <v>6.8183592732786333E-2</v>
      </c>
      <c r="N292" s="71"/>
      <c r="O292" s="27" t="s">
        <v>18</v>
      </c>
      <c r="P292" s="106">
        <f>IF(P288="","",
IF(OR(P290="Orçamento",P289="",MAX('Tabela de Apoio'!$A:$A)&lt;=P289),
P288,
(INDEX('Tabela de Apoio'!$B:$B,MATCH('MAPA DE PREÇOS'!$O$8,'Tabela de Apoio'!$A:$A,1))/INDEX('Tabela de Apoio'!$B:$B,MATCH('MAPA DE PREÇOS'!P289,'Tabela de Apoio'!$A:$A,1)-1))*P288))</f>
        <v>56.99</v>
      </c>
      <c r="Q292" s="106">
        <f>IF(Q288="","",
IF(OR(Q290="Orçamento",Q289="",MAX('Tabela de Apoio'!$A:$A)&lt;=Q289),
Q288,
(INDEX('Tabela de Apoio'!$B:$B,MATCH('MAPA DE PREÇOS'!$O$8,'Tabela de Apoio'!$A:$A,1))/INDEX('Tabela de Apoio'!$B:$B,MATCH('MAPA DE PREÇOS'!Q289,'Tabela de Apoio'!$A:$A,1)-1))*Q288))</f>
        <v>66.900000000000006</v>
      </c>
      <c r="R292" s="106">
        <f>IF(R288="","",
IF(OR(R290="Orçamento",R289="",MAX('Tabela de Apoio'!$A:$A)&lt;=R289),
R288,
(INDEX('Tabela de Apoio'!$B:$B,MATCH('MAPA DE PREÇOS'!$O$8,'Tabela de Apoio'!$A:$A,1))/INDEX('Tabela de Apoio'!$B:$B,MATCH('MAPA DE PREÇOS'!R289,'Tabela de Apoio'!$A:$A,1)-1))*R288))</f>
        <v>64.989999999999995</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34">B292</f>
        <v>14</v>
      </c>
      <c r="C293" s="128">
        <f t="shared" ref="C293" si="835">C292</f>
        <v>1</v>
      </c>
      <c r="D293" s="127">
        <f t="shared" si="644"/>
        <v>14</v>
      </c>
      <c r="E293" s="201"/>
      <c r="F293" s="93"/>
      <c r="G293" s="203"/>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36">B293</f>
        <v>14</v>
      </c>
      <c r="C294" s="128">
        <f t="shared" si="836"/>
        <v>1</v>
      </c>
      <c r="D294" s="127">
        <f t="shared" si="644"/>
        <v>14</v>
      </c>
      <c r="E294" s="201"/>
      <c r="F294" s="93"/>
      <c r="G294" s="203"/>
      <c r="H294" s="134">
        <f t="shared" ref="H294" si="837">COUNT($P294:$XX294)</f>
        <v>3</v>
      </c>
      <c r="I294" s="132">
        <f t="shared" ref="I294" si="838">_xlfn.STDEV.P($P293:$XX294)/AVERAGE($P293:$XX294)</f>
        <v>6.8183592732786333E-2</v>
      </c>
      <c r="J294" s="7">
        <f>ROW()</f>
        <v>294</v>
      </c>
      <c r="K294" s="67"/>
      <c r="L294" s="29" t="s">
        <v>10</v>
      </c>
      <c r="M294" s="30">
        <f t="shared" ref="M294" si="839">IFERROR(
IF(COUNTA(P288:AI288)=COUNTIF(P290:XX290,"Orçamento"),MIN(M299,M296),
IF(M297&lt;&gt;"",M297,
IF(M298&lt;&gt;"",M298,
M296
))),"")</f>
        <v>62.96</v>
      </c>
      <c r="N294" s="71"/>
      <c r="O294" s="27" t="s">
        <v>376</v>
      </c>
      <c r="P294" s="106">
        <f t="shared" ref="P294:AI294" si="840">IFERROR(IF(P292="",
            "",
            IF(COUNT($P292:$XX292)&lt;=4,
               P292,
               IF(OR(P292&gt;(QUARTILE($P292:$XX292,3)+(QUARTILE($P292:$XX292,3)-QUARTILE($P292:$XX292,1))),
                     P292&lt;(QUARTILE($P292:$XX292,1)-(QUARTILE($P292:$XX292,3)-QUARTILE($P292:$XX292,1)))
                  ),
               "DESCARTADO",P292)
             )
  ),P292)</f>
        <v>56.99</v>
      </c>
      <c r="Q294" s="106">
        <f t="shared" si="840"/>
        <v>66.900000000000006</v>
      </c>
      <c r="R294" s="106">
        <f t="shared" si="840"/>
        <v>64.989999999999995</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f t="shared" ref="B295:B349" si="841">B294</f>
        <v>14</v>
      </c>
      <c r="C295" s="128">
        <f t="shared" ref="C295:D358" si="842">C294</f>
        <v>1</v>
      </c>
      <c r="D295" s="127">
        <f t="shared" si="644"/>
        <v>14</v>
      </c>
      <c r="E295" s="201"/>
      <c r="F295" s="93"/>
      <c r="G295" s="203"/>
      <c r="H295"/>
      <c r="I295"/>
      <c r="J295"/>
      <c r="K295" s="66"/>
      <c r="L295" s="29" t="s">
        <v>360</v>
      </c>
      <c r="M295" s="30">
        <f t="shared" ref="M295" si="843">AVERAGE($P294:$XX294)</f>
        <v>62.96</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41"/>
        <v>14</v>
      </c>
      <c r="C296" s="128">
        <f t="shared" si="842"/>
        <v>1</v>
      </c>
      <c r="D296" s="127">
        <f t="shared" si="842"/>
        <v>14</v>
      </c>
      <c r="E296" s="201"/>
      <c r="F296" s="93"/>
      <c r="G296" s="203"/>
      <c r="H296" s="134">
        <f t="shared" ref="H296" si="845">COUNT($P296:$XX296)</f>
        <v>3</v>
      </c>
      <c r="I296" s="132">
        <f t="shared" ref="I296" si="846">_xlfn.STDEV.P($P295:$XX296)/AVERAGE($P295:$XX296)</f>
        <v>6.8183592732786333E-2</v>
      </c>
      <c r="J296" s="7">
        <f t="shared" ref="J296" si="847">IF(AND(H296&gt;2,
OR(L288="MÉDIA SANEADA",L288="MEDIANA SANEADA",
AND(L288="PREÇO ESTIMADO",NOT(AND(P290="Orçamento",COUNTA(P288:XX288)=COUNTIF(P290:XX290,"Orçamento")))))),
ROW(),0)</f>
        <v>296</v>
      </c>
      <c r="K296" s="66"/>
      <c r="L296" s="29" t="s">
        <v>361</v>
      </c>
      <c r="M296" s="30">
        <f t="shared" ref="M296" si="848">MEDIAN($P294:$XX294)</f>
        <v>64.989999999999995</v>
      </c>
      <c r="N296" s="71"/>
      <c r="O296" s="27" t="str">
        <f t="shared" ref="O296" si="849">"1 RODADA"</f>
        <v>1 RODADA</v>
      </c>
      <c r="P296" s="107">
        <f t="shared" ref="P296:AI296" si="850">IF(P294="","",IF((_xlfn.STDEV.P($P293:$XX294)/AVERAGE($P293:$XX294))&lt;=25%,P294,IF(OR(P294&gt;(AVERAGE($P293:$XX294)+_xlfn.STDEV.P($P293:$XX294)),P294&lt;(AVERAGE($P293:$XX294)-_xlfn.STDEV.P($P293:$XX294))),"DESCARTADO",P294)))</f>
        <v>56.99</v>
      </c>
      <c r="Q296" s="107">
        <f t="shared" si="850"/>
        <v>66.900000000000006</v>
      </c>
      <c r="R296" s="107">
        <f t="shared" si="850"/>
        <v>64.989999999999995</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f t="shared" si="841"/>
        <v>14</v>
      </c>
      <c r="C297" s="128">
        <f t="shared" si="842"/>
        <v>1</v>
      </c>
      <c r="D297" s="127">
        <f t="shared" si="842"/>
        <v>14</v>
      </c>
      <c r="E297" s="201"/>
      <c r="F297" s="93"/>
      <c r="G297" s="203"/>
      <c r="H297"/>
      <c r="I297"/>
      <c r="J297"/>
      <c r="L297" s="29" t="s">
        <v>38</v>
      </c>
      <c r="M297" s="30">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62.96</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41"/>
        <v>14</v>
      </c>
      <c r="C298" s="128">
        <f t="shared" si="842"/>
        <v>1</v>
      </c>
      <c r="D298" s="127">
        <f t="shared" si="842"/>
        <v>14</v>
      </c>
      <c r="E298" s="201"/>
      <c r="F298" s="93"/>
      <c r="G298" s="203"/>
      <c r="H298" s="134">
        <f t="shared" ref="H298" si="853">COUNT($P298:$XX298)</f>
        <v>3</v>
      </c>
      <c r="I298" s="132">
        <f t="shared" ref="I298" si="854">_xlfn.STDEV.P($P297:$XX298)/AVERAGE($P297:$XX298)</f>
        <v>6.8183592732786333E-2</v>
      </c>
      <c r="J298" s="7">
        <f t="shared" ref="J298" si="855">IF(AND(H298&gt;2,
OR(L288="MÉDIA SANEADA",L288="MEDIANA SANEADA",
AND(L288="PREÇO ESTIMADO",NOT(AND(P290="Orçamento",COUNTA(P288:XX288)=COUNTIF(P290:XX290,"Orçamento")))))),
ROW(),0)</f>
        <v>298</v>
      </c>
      <c r="K298" s="66"/>
      <c r="L298" s="29" t="s">
        <v>362</v>
      </c>
      <c r="M298" s="30">
        <f t="shared" ref="M298" si="856" xml:space="preserve">
IF(H296&gt;2,MEDIAN(P295:XX296),
IF(H298&gt;2,MEDIAN(P297:XX298),
IF(H300&gt;2,MEDIAN(P299:XX300),
IF(H302&gt;2,MEDIAN(P301:XX302),
IF(H304&gt;2,MEDIAN(P303:XX304),
IF(H306&gt;2,MEDIAN(P305:XX306),
MEDIAN(P293:XX294)))))))</f>
        <v>64.989999999999995</v>
      </c>
      <c r="N298" s="71"/>
      <c r="O298" s="27" t="str">
        <f t="shared" ref="O298" si="857">"2 RODADA"</f>
        <v>2 RODADA</v>
      </c>
      <c r="P298" s="107">
        <f t="shared" ref="P298:AI298" si="858">IF(P296="","",IF((_xlfn.STDEV.P($P295:$XX296)/AVERAGE($P295:$XX296))&lt;=25%,P296,IF(OR(P296&gt;(AVERAGE($P295:$XX296)+_xlfn.STDEV.P($P295:$XX296)),P296&lt;(AVERAGE($P295:$XX296)-_xlfn.STDEV.P($P295:$XX296))),"DESCARTADO",P296)))</f>
        <v>56.99</v>
      </c>
      <c r="Q298" s="107">
        <f t="shared" si="858"/>
        <v>66.900000000000006</v>
      </c>
      <c r="R298" s="107">
        <f t="shared" si="858"/>
        <v>64.989999999999995</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f t="shared" si="841"/>
        <v>14</v>
      </c>
      <c r="C299" s="128">
        <f t="shared" si="842"/>
        <v>1</v>
      </c>
      <c r="D299" s="127">
        <f t="shared" si="842"/>
        <v>14</v>
      </c>
      <c r="E299" s="201"/>
      <c r="F299" s="93"/>
      <c r="G299" s="203"/>
      <c r="H299"/>
      <c r="I299"/>
      <c r="J299"/>
      <c r="K299" s="66"/>
      <c r="L299" s="29" t="s">
        <v>359</v>
      </c>
      <c r="M299" s="30">
        <f t="shared" ref="M299" si="859">HARMEAN($P293:$XX294)</f>
        <v>62.654542937049477</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41"/>
        <v>14</v>
      </c>
      <c r="C300" s="128">
        <f t="shared" si="842"/>
        <v>1</v>
      </c>
      <c r="D300" s="127">
        <f t="shared" si="842"/>
        <v>14</v>
      </c>
      <c r="E300" s="201"/>
      <c r="F300" s="93"/>
      <c r="G300" s="203"/>
      <c r="H300" s="134">
        <f t="shared" ref="H300" si="861">COUNT($P300:$XX300)</f>
        <v>3</v>
      </c>
      <c r="I300" s="132">
        <f t="shared" ref="I300" si="862">_xlfn.STDEV.P($P299:$XX300)/AVERAGE($P299:$XX300)</f>
        <v>6.8183592732786333E-2</v>
      </c>
      <c r="J300" s="7">
        <f t="shared" ref="J300" si="863">IF(AND(H300&gt;2,
OR(L288="MÉDIA SANEADA",L288="MEDIANA SANEADA",
AND(L288="PREÇO ESTIMADO",NOT(AND(P290="Orçamento",COUNTA(P288:XX288)=COUNTIF(P290:XX290,"Orçamento")))))),
ROW(),0)</f>
        <v>300</v>
      </c>
      <c r="K300" s="66"/>
      <c r="L300" s="29" t="s">
        <v>41</v>
      </c>
      <c r="M300" s="30">
        <f t="shared" ref="M300" si="864">IFERROR(_xlfn.QUARTILE.EXC($P294:$XX294,1),"")</f>
        <v>56.99</v>
      </c>
      <c r="N300" s="71"/>
      <c r="O300" s="27" t="str">
        <f t="shared" ref="O300" si="865">"3 RODADA"</f>
        <v>3 RODADA</v>
      </c>
      <c r="P300" s="107">
        <f t="shared" ref="P300:AI300" si="866">IF(P298="","",IF((_xlfn.STDEV.P($P297:$XX298)/AVERAGE($P297:$XX298))&lt;=25%,P298,IF(OR(P298&gt;(AVERAGE($P297:$XX298)+_xlfn.STDEV.P($P297:$XX298)),P298&lt;(AVERAGE($P297:$XX298)-_xlfn.STDEV.P($P297:$XX298))),"DESCARTADO",P298)))</f>
        <v>56.99</v>
      </c>
      <c r="Q300" s="107">
        <f t="shared" si="866"/>
        <v>66.900000000000006</v>
      </c>
      <c r="R300" s="107">
        <f t="shared" si="866"/>
        <v>64.989999999999995</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f t="shared" si="841"/>
        <v>14</v>
      </c>
      <c r="C301" s="128">
        <f t="shared" si="842"/>
        <v>1</v>
      </c>
      <c r="D301" s="127">
        <f t="shared" si="842"/>
        <v>14</v>
      </c>
      <c r="E301" s="201"/>
      <c r="F301" s="93"/>
      <c r="G301" s="203"/>
      <c r="H301"/>
      <c r="I301"/>
      <c r="J301"/>
      <c r="K301" s="66"/>
      <c r="L301" s="29" t="s">
        <v>39</v>
      </c>
      <c r="M301" s="30">
        <f t="shared" ref="M301" si="867">IFERROR(_xlfn.QUARTILE.EXC($P294:$XX294,3),"")</f>
        <v>66.900000000000006</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41"/>
        <v>14</v>
      </c>
      <c r="C302" s="128">
        <f t="shared" si="842"/>
        <v>1</v>
      </c>
      <c r="D302" s="127">
        <f t="shared" si="842"/>
        <v>14</v>
      </c>
      <c r="E302" s="201"/>
      <c r="F302" s="93"/>
      <c r="G302" s="203"/>
      <c r="H302" s="134">
        <f t="shared" ref="H302" si="869">COUNT($P302:$XX302)</f>
        <v>3</v>
      </c>
      <c r="I302" s="132">
        <f t="shared" ref="I302" si="870">_xlfn.STDEV.P($P301:$XX302)/AVERAGE($P301:$XX302)</f>
        <v>6.8183592732786333E-2</v>
      </c>
      <c r="J302" s="7">
        <f t="shared" ref="J302" si="871">IF(AND(H302&gt;2,
OR(L288="MÉDIA SANEADA",L288="MEDIANA SANEADA",
AND(L288="PREÇO ESTIMADO",NOT(AND(P290="Orçamento",COUNTA(P288:XX288)=COUNTIF(P290:XX290,"Orçamento")))))),
ROW(),0)</f>
        <v>302</v>
      </c>
      <c r="K302" s="66"/>
      <c r="L302" s="29" t="s">
        <v>42</v>
      </c>
      <c r="M302" s="30">
        <f t="shared" ref="M302" si="872">MIN($P294:$XX294)</f>
        <v>56.99</v>
      </c>
      <c r="N302" s="71"/>
      <c r="O302" s="27" t="str">
        <f t="shared" ref="O302" si="873">"4 RODADA"</f>
        <v>4 RODADA</v>
      </c>
      <c r="P302" s="107">
        <f t="shared" ref="P302:AI302" si="874">IF(P300="","",IF((_xlfn.STDEV.P($P299:$XX300)/AVERAGE($P299:$XX300))&lt;=25%,P300,IF(OR(P300&gt;(AVERAGE($P299:$XX300)+_xlfn.STDEV.P($P299:$XX300)),P300&lt;(AVERAGE($P299:$XX300)-_xlfn.STDEV.P($P299:$XX300))),"DESCARTADO",P300)))</f>
        <v>56.99</v>
      </c>
      <c r="Q302" s="107">
        <f t="shared" si="874"/>
        <v>66.900000000000006</v>
      </c>
      <c r="R302" s="107">
        <f t="shared" si="874"/>
        <v>64.989999999999995</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f t="shared" si="841"/>
        <v>14</v>
      </c>
      <c r="C303" s="128">
        <f t="shared" si="842"/>
        <v>1</v>
      </c>
      <c r="D303" s="127">
        <f t="shared" si="842"/>
        <v>14</v>
      </c>
      <c r="E303" s="201"/>
      <c r="F303" s="93"/>
      <c r="G303" s="203"/>
      <c r="H303"/>
      <c r="I303"/>
      <c r="J303"/>
      <c r="K303" s="66"/>
      <c r="L303" s="29" t="s">
        <v>40</v>
      </c>
      <c r="M303" s="30">
        <f t="shared" ref="M303" si="875">MAX($P294:$XX294)</f>
        <v>66.900000000000006</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41"/>
        <v>14</v>
      </c>
      <c r="C304" s="128">
        <f t="shared" si="842"/>
        <v>1</v>
      </c>
      <c r="D304" s="127">
        <f t="shared" si="842"/>
        <v>14</v>
      </c>
      <c r="E304" s="201"/>
      <c r="F304" s="93"/>
      <c r="G304" s="203"/>
      <c r="H304" s="134">
        <f t="shared" ref="H304" si="877">COUNT($P304:$XX304)</f>
        <v>3</v>
      </c>
      <c r="I304" s="132">
        <f t="shared" ref="I304" si="878">_xlfn.STDEV.P($P303:$XX304)/AVERAGE($P303:$XX304)</f>
        <v>6.8183592732786333E-2</v>
      </c>
      <c r="J304" s="7">
        <f t="shared" ref="J304" si="879">IF(AND(H304&gt;2,
OR(L288="MÉDIA SANEADA",L288="MEDIANA SANEADA",
AND(L288="PREÇO ESTIMADO",NOT(AND(P290="Orçamento",COUNTA(P288:XX288)=COUNTIF(P290:XX290,"Orçamento")))))),
ROW(),0)</f>
        <v>304</v>
      </c>
      <c r="K304" s="66"/>
      <c r="N304" s="71"/>
      <c r="O304" s="27" t="str">
        <f t="shared" ref="O304" si="880">"5 RODADA"</f>
        <v>5 RODADA</v>
      </c>
      <c r="P304" s="107">
        <f t="shared" ref="P304:AI304" si="881">IF(P302="","",IF((_xlfn.STDEV.P($P301:$XX302)/AVERAGE($P301:$XX302))&lt;=25%,P302,IF(OR(P302&gt;(AVERAGE($P301:$XX302)+_xlfn.STDEV.P($P301:$XX302)),P302&lt;(AVERAGE($P301:$XX302)-_xlfn.STDEV.P($P301:$XX302))),"DESCARTADO",P302)))</f>
        <v>56.99</v>
      </c>
      <c r="Q304" s="107">
        <f t="shared" si="881"/>
        <v>66.900000000000006</v>
      </c>
      <c r="R304" s="107">
        <f t="shared" si="881"/>
        <v>64.989999999999995</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f t="shared" si="841"/>
        <v>14</v>
      </c>
      <c r="C305" s="128">
        <f t="shared" si="842"/>
        <v>1</v>
      </c>
      <c r="D305" s="127">
        <f t="shared" si="842"/>
        <v>14</v>
      </c>
      <c r="E305" s="201"/>
      <c r="F305" s="93"/>
      <c r="G305" s="203"/>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41"/>
        <v>14</v>
      </c>
      <c r="C306" s="128">
        <f t="shared" si="842"/>
        <v>1</v>
      </c>
      <c r="D306" s="127">
        <f t="shared" si="842"/>
        <v>14</v>
      </c>
      <c r="E306" s="201"/>
      <c r="F306" s="93"/>
      <c r="G306" s="203"/>
      <c r="H306" s="134">
        <f t="shared" ref="H306" si="883">COUNT($P306:$XX306)</f>
        <v>3</v>
      </c>
      <c r="I306" s="132">
        <f t="shared" ref="I306" si="884">_xlfn.STDEV.P($P305:$XX306)/AVERAGE($P305:$XX306)</f>
        <v>6.8183592732786333E-2</v>
      </c>
      <c r="J306" s="7">
        <f t="shared" ref="J306" si="885">IF(AND(H306&gt;2,
OR(L288="MÉDIA SANEADA",L288="MEDIANA SANEADA",
AND(L288="PREÇO ESTIMADO",NOT(AND(P290="Orçamento",COUNTA(P288:XX288)=COUNTIF(P290:XX290,"Orçamento")))))),
ROW(),0)</f>
        <v>306</v>
      </c>
      <c r="N306" s="71"/>
      <c r="O306" s="27" t="str">
        <f t="shared" ref="O306" si="886">"6 RODADA"</f>
        <v>6 RODADA</v>
      </c>
      <c r="P306" s="107">
        <f t="shared" ref="P306:AI306" si="887">IFERROR(IF(P304="","",IF((_xlfn.STDEV.P($P303:$XX304)/AVERAGE($P303:$XX304))&lt;=25%,P304,IF(OR(P304&gt;(AVERAGE($P303:$XX304)+_xlfn.STDEV.P($P303:$XX304)),P304&lt;(AVERAGE($P303:$XX304)-_xlfn.STDEV.P($P303:$XX304))),"DESCARTADO",P304))),)</f>
        <v>56.99</v>
      </c>
      <c r="Q306" s="107">
        <f t="shared" si="887"/>
        <v>66.900000000000006</v>
      </c>
      <c r="R306" s="107">
        <f t="shared" si="887"/>
        <v>64.989999999999995</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f t="shared" si="841"/>
        <v>14</v>
      </c>
      <c r="C307" s="128">
        <f t="shared" si="842"/>
        <v>1</v>
      </c>
      <c r="D307" s="127">
        <f t="shared" si="842"/>
        <v>14</v>
      </c>
      <c r="E307" s="201"/>
      <c r="F307" s="136"/>
      <c r="G307" s="203"/>
      <c r="H307" s="206"/>
      <c r="I307" s="206"/>
      <c r="J307" s="207"/>
      <c r="K307" s="67"/>
      <c r="L307" s="1" t="s">
        <v>43</v>
      </c>
      <c r="M307" s="143">
        <f t="shared" ref="M307" si="888">IFERROR(ROUND(M288*M290,2),"")</f>
        <v>503.68</v>
      </c>
      <c r="O307" s="27" t="s">
        <v>363</v>
      </c>
      <c r="P307" s="107">
        <f t="shared" ref="P307:AI328" si="889">INDEX(P294:P306,MATCH(MAX($J294:$J306),$J294:$J306,0))</f>
        <v>56.99</v>
      </c>
      <c r="Q307" s="107">
        <f t="shared" si="889"/>
        <v>66.900000000000006</v>
      </c>
      <c r="R307" s="107">
        <f t="shared" si="889"/>
        <v>64.989999999999995</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f t="shared" ref="B309" si="890">LARGE(IFERROR(IF(B307+1&gt;$H$8,"",B307+1),""),1)</f>
        <v>15</v>
      </c>
      <c r="C309" s="127">
        <f>IF(_xlfn.ISFORMULA(E313),MAX(INDEX('BASE FORMAÇÃO'!A:A,B309+1),1),E313)</f>
        <v>1</v>
      </c>
      <c r="D309" s="127">
        <f t="shared" ref="D309" si="891">IFERROR(IF(C309=C299,D299+1,1),1)</f>
        <v>15</v>
      </c>
      <c r="E309" s="38" t="s">
        <v>9</v>
      </c>
      <c r="F309" s="73"/>
      <c r="G309" s="38" t="s">
        <v>15</v>
      </c>
      <c r="H309" s="135">
        <f>INDEX('BASE FORMAÇÃO'!B:B,B309+1)</f>
        <v>0</v>
      </c>
      <c r="I309" s="181" t="s">
        <v>16</v>
      </c>
      <c r="J309" s="6">
        <f>INDEX('BASE FORMAÇÃO'!K:K,B309+1)</f>
        <v>0</v>
      </c>
      <c r="K309" s="65"/>
      <c r="L309" s="184" t="s">
        <v>10</v>
      </c>
      <c r="M309" s="186">
        <f t="shared" ref="M309" si="892">IF(OR(ISBLANK($O$8),ISBLANK($O$7),ISBLANK($H$8),ISBLANK($O$6),ISBLANK($O$5),ISBLANK($H$5)),"",IFERROR(IF(VLOOKUP(L309,L315:M324,2,FALSE)&lt;1,ROUND(VLOOKUP(L309,L315:M324,2,FALSE),4),ROUND(VLOOKUP(L309,L315:M324,2,FALSE),2)),""))</f>
        <v>15.96</v>
      </c>
      <c r="N309" s="69"/>
      <c r="O309" s="27" t="s">
        <v>17</v>
      </c>
      <c r="P309" s="113">
        <v>14.28</v>
      </c>
      <c r="Q309" s="113">
        <v>16.899999999999999</v>
      </c>
      <c r="R309" s="113">
        <v>16.7</v>
      </c>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93">B309</f>
        <v>15</v>
      </c>
      <c r="C310" s="128">
        <f t="shared" si="893"/>
        <v>1</v>
      </c>
      <c r="D310" s="127">
        <f t="shared" si="893"/>
        <v>15</v>
      </c>
      <c r="E310" s="188">
        <f t="shared" ref="E310" si="894">D309</f>
        <v>15</v>
      </c>
      <c r="F310" s="92"/>
      <c r="G310" s="190" t="s">
        <v>1</v>
      </c>
      <c r="H310" s="193" t="s">
        <v>490</v>
      </c>
      <c r="I310" s="194"/>
      <c r="J310" s="195"/>
      <c r="K310" s="66"/>
      <c r="L310" s="185"/>
      <c r="M310" s="187"/>
      <c r="N310" s="70"/>
      <c r="O310" s="27" t="s">
        <v>13</v>
      </c>
      <c r="P310" s="122">
        <v>46195</v>
      </c>
      <c r="Q310" s="122">
        <v>46195</v>
      </c>
      <c r="R310" s="122">
        <v>46195</v>
      </c>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95">B310</f>
        <v>15</v>
      </c>
      <c r="C311" s="128">
        <f t="shared" si="895"/>
        <v>1</v>
      </c>
      <c r="D311" s="127">
        <f t="shared" si="895"/>
        <v>15</v>
      </c>
      <c r="E311" s="189"/>
      <c r="F311" s="93"/>
      <c r="G311" s="191"/>
      <c r="H311" s="196"/>
      <c r="I311" s="196"/>
      <c r="J311" s="197"/>
      <c r="K311" s="64"/>
      <c r="L311" s="130" t="s">
        <v>44</v>
      </c>
      <c r="M311" s="131">
        <v>8</v>
      </c>
      <c r="N311" s="71"/>
      <c r="O311" s="27" t="s">
        <v>380</v>
      </c>
      <c r="P311" s="114" t="s">
        <v>302</v>
      </c>
      <c r="Q311" s="114" t="s">
        <v>302</v>
      </c>
      <c r="R311" s="114" t="s">
        <v>302</v>
      </c>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96">B311</f>
        <v>15</v>
      </c>
      <c r="C312" s="128">
        <f t="shared" si="896"/>
        <v>1</v>
      </c>
      <c r="D312" s="127">
        <f t="shared" si="842"/>
        <v>15</v>
      </c>
      <c r="E312" s="38" t="s">
        <v>313</v>
      </c>
      <c r="F312" s="93"/>
      <c r="G312" s="192"/>
      <c r="H312" s="198"/>
      <c r="I312" s="198"/>
      <c r="J312" s="199"/>
      <c r="K312" s="64"/>
      <c r="L312" s="1" t="s">
        <v>2</v>
      </c>
      <c r="M312" s="6" t="s">
        <v>288</v>
      </c>
      <c r="N312" s="71"/>
      <c r="O312" s="27" t="s">
        <v>381</v>
      </c>
      <c r="P312" s="182" t="s">
        <v>491</v>
      </c>
      <c r="Q312" s="182" t="s">
        <v>492</v>
      </c>
      <c r="R312" s="182" t="s">
        <v>493</v>
      </c>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97">B311</f>
        <v>15</v>
      </c>
      <c r="C313" s="128">
        <f t="shared" si="897"/>
        <v>1</v>
      </c>
      <c r="D313" s="127">
        <f t="shared" si="842"/>
        <v>15</v>
      </c>
      <c r="E313" s="200">
        <f t="shared" ref="E313" si="898">C309</f>
        <v>1</v>
      </c>
      <c r="F313" s="93"/>
      <c r="G313" s="202" t="s">
        <v>304</v>
      </c>
      <c r="H313" s="204"/>
      <c r="I313" s="205"/>
      <c r="J313" s="205"/>
      <c r="K313" s="67"/>
      <c r="L313" s="28" t="s">
        <v>303</v>
      </c>
      <c r="M313" s="133">
        <f t="shared" ref="M313" si="899">IFERROR(INDEX(I315:I327,MATCH(MAX(J315:J327),J315:J327,0)),"")</f>
        <v>7.460789884388988E-2</v>
      </c>
      <c r="N313" s="71"/>
      <c r="O313" s="27" t="s">
        <v>18</v>
      </c>
      <c r="P313" s="106">
        <f>IF(P309="","",
IF(OR(P311="Orçamento",P310="",MAX('Tabela de Apoio'!$A:$A)&lt;=P310),
P309,
(INDEX('Tabela de Apoio'!$B:$B,MATCH('MAPA DE PREÇOS'!$O$8,'Tabela de Apoio'!$A:$A,1))/INDEX('Tabela de Apoio'!$B:$B,MATCH('MAPA DE PREÇOS'!P310,'Tabela de Apoio'!$A:$A,1)-1))*P309))</f>
        <v>14.28</v>
      </c>
      <c r="Q313" s="106">
        <f>IF(Q309="","",
IF(OR(Q311="Orçamento",Q310="",MAX('Tabela de Apoio'!$A:$A)&lt;=Q310),
Q309,
(INDEX('Tabela de Apoio'!$B:$B,MATCH('MAPA DE PREÇOS'!$O$8,'Tabela de Apoio'!$A:$A,1))/INDEX('Tabela de Apoio'!$B:$B,MATCH('MAPA DE PREÇOS'!Q310,'Tabela de Apoio'!$A:$A,1)-1))*Q309))</f>
        <v>16.899999999999999</v>
      </c>
      <c r="R313" s="106">
        <f>IF(R309="","",
IF(OR(R311="Orçamento",R310="",MAX('Tabela de Apoio'!$A:$A)&lt;=R310),
R309,
(INDEX('Tabela de Apoio'!$B:$B,MATCH('MAPA DE PREÇOS'!$O$8,'Tabela de Apoio'!$A:$A,1))/INDEX('Tabela de Apoio'!$B:$B,MATCH('MAPA DE PREÇOS'!R310,'Tabela de Apoio'!$A:$A,1)-1))*R309))</f>
        <v>16.7</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900">B313</f>
        <v>15</v>
      </c>
      <c r="C314" s="128">
        <f t="shared" ref="C314" si="901">C313</f>
        <v>1</v>
      </c>
      <c r="D314" s="127">
        <f t="shared" si="842"/>
        <v>15</v>
      </c>
      <c r="E314" s="201"/>
      <c r="F314" s="93"/>
      <c r="G314" s="203"/>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902">B314</f>
        <v>15</v>
      </c>
      <c r="C315" s="128">
        <f t="shared" si="902"/>
        <v>1</v>
      </c>
      <c r="D315" s="127">
        <f t="shared" si="842"/>
        <v>15</v>
      </c>
      <c r="E315" s="201"/>
      <c r="F315" s="93"/>
      <c r="G315" s="203"/>
      <c r="H315" s="134">
        <f t="shared" ref="H315" si="903">COUNT($P315:$XX315)</f>
        <v>3</v>
      </c>
      <c r="I315" s="132">
        <f t="shared" ref="I315" si="904">_xlfn.STDEV.P($P314:$XX315)/AVERAGE($P314:$XX315)</f>
        <v>7.460789884388988E-2</v>
      </c>
      <c r="J315" s="7">
        <f>ROW()</f>
        <v>315</v>
      </c>
      <c r="K315" s="67"/>
      <c r="L315" s="29" t="s">
        <v>10</v>
      </c>
      <c r="M315" s="30">
        <f t="shared" ref="M315" si="905">IFERROR(
IF(COUNTA(P309:AI309)=COUNTIF(P311:XX311,"Orçamento"),MIN(M320,M317),
IF(M318&lt;&gt;"",M318,
IF(M319&lt;&gt;"",M319,
M317
))),"")</f>
        <v>15.959999999999999</v>
      </c>
      <c r="N315" s="71"/>
      <c r="O315" s="27" t="s">
        <v>376</v>
      </c>
      <c r="P315" s="106">
        <f t="shared" ref="P315:AI315" si="906">IFERROR(IF(P313="",
            "",
            IF(COUNT($P313:$XX313)&lt;=4,
               P313,
               IF(OR(P313&gt;(QUARTILE($P313:$XX313,3)+(QUARTILE($P313:$XX313,3)-QUARTILE($P313:$XX313,1))),
                     P313&lt;(QUARTILE($P313:$XX313,1)-(QUARTILE($P313:$XX313,3)-QUARTILE($P313:$XX313,1)))
                  ),
               "DESCARTADO",P313)
             )
  ),P313)</f>
        <v>14.28</v>
      </c>
      <c r="Q315" s="106">
        <f t="shared" si="906"/>
        <v>16.899999999999999</v>
      </c>
      <c r="R315" s="106">
        <f t="shared" si="906"/>
        <v>16.7</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f t="shared" ref="B316" si="907">B315</f>
        <v>15</v>
      </c>
      <c r="C316" s="128">
        <f t="shared" ref="C316" si="908">C315</f>
        <v>1</v>
      </c>
      <c r="D316" s="127">
        <f t="shared" si="842"/>
        <v>15</v>
      </c>
      <c r="E316" s="201"/>
      <c r="F316" s="93"/>
      <c r="G316" s="203"/>
      <c r="H316"/>
      <c r="I316"/>
      <c r="J316"/>
      <c r="K316" s="66"/>
      <c r="L316" s="29" t="s">
        <v>360</v>
      </c>
      <c r="M316" s="30">
        <f t="shared" ref="M316" si="909">AVERAGE($P315:$XX315)</f>
        <v>15.959999999999999</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41"/>
        <v>15</v>
      </c>
      <c r="C317" s="128">
        <f t="shared" si="842"/>
        <v>1</v>
      </c>
      <c r="D317" s="127">
        <f t="shared" si="842"/>
        <v>15</v>
      </c>
      <c r="E317" s="201"/>
      <c r="F317" s="93"/>
      <c r="G317" s="203"/>
      <c r="H317" s="134">
        <f t="shared" ref="H317" si="911">COUNT($P317:$XX317)</f>
        <v>3</v>
      </c>
      <c r="I317" s="132">
        <f t="shared" ref="I317" si="912">_xlfn.STDEV.P($P316:$XX317)/AVERAGE($P316:$XX317)</f>
        <v>7.460789884388988E-2</v>
      </c>
      <c r="J317" s="7">
        <f t="shared" ref="J317" si="913">IF(AND(H317&gt;2,
OR(L309="MÉDIA SANEADA",L309="MEDIANA SANEADA",
AND(L309="PREÇO ESTIMADO",NOT(AND(P311="Orçamento",COUNTA(P309:XX309)=COUNTIF(P311:XX311,"Orçamento")))))),
ROW(),0)</f>
        <v>317</v>
      </c>
      <c r="K317" s="66"/>
      <c r="L317" s="29" t="s">
        <v>361</v>
      </c>
      <c r="M317" s="30">
        <f t="shared" ref="M317" si="914">MEDIAN($P315:$XX315)</f>
        <v>16.7</v>
      </c>
      <c r="N317" s="71"/>
      <c r="O317" s="27" t="str">
        <f t="shared" ref="O317" si="915">"1 RODADA"</f>
        <v>1 RODADA</v>
      </c>
      <c r="P317" s="107">
        <f t="shared" ref="P317:AI317" si="916">IF(P315="","",IF((_xlfn.STDEV.P($P314:$XX315)/AVERAGE($P314:$XX315))&lt;=25%,P315,IF(OR(P315&gt;(AVERAGE($P314:$XX315)+_xlfn.STDEV.P($P314:$XX315)),P315&lt;(AVERAGE($P314:$XX315)-_xlfn.STDEV.P($P314:$XX315))),"DESCARTADO",P315)))</f>
        <v>14.28</v>
      </c>
      <c r="Q317" s="107">
        <f t="shared" si="916"/>
        <v>16.899999999999999</v>
      </c>
      <c r="R317" s="107">
        <f t="shared" si="916"/>
        <v>16.7</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f t="shared" si="841"/>
        <v>15</v>
      </c>
      <c r="C318" s="128">
        <f t="shared" si="842"/>
        <v>1</v>
      </c>
      <c r="D318" s="127">
        <f t="shared" si="842"/>
        <v>15</v>
      </c>
      <c r="E318" s="201"/>
      <c r="F318" s="93"/>
      <c r="G318" s="203"/>
      <c r="H318"/>
      <c r="I318"/>
      <c r="J318"/>
      <c r="L318" s="29" t="s">
        <v>38</v>
      </c>
      <c r="M318" s="30">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15.959999999999999</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41"/>
        <v>15</v>
      </c>
      <c r="C319" s="128">
        <f t="shared" si="842"/>
        <v>1</v>
      </c>
      <c r="D319" s="127">
        <f t="shared" si="842"/>
        <v>15</v>
      </c>
      <c r="E319" s="201"/>
      <c r="F319" s="93"/>
      <c r="G319" s="203"/>
      <c r="H319" s="134">
        <f t="shared" ref="H319" si="919">COUNT($P319:$XX319)</f>
        <v>3</v>
      </c>
      <c r="I319" s="132">
        <f t="shared" ref="I319" si="920">_xlfn.STDEV.P($P318:$XX319)/AVERAGE($P318:$XX319)</f>
        <v>7.460789884388988E-2</v>
      </c>
      <c r="J319" s="7">
        <f t="shared" ref="J319" si="921">IF(AND(H319&gt;2,
OR(L309="MÉDIA SANEADA",L309="MEDIANA SANEADA",
AND(L309="PREÇO ESTIMADO",NOT(AND(P311="Orçamento",COUNTA(P309:XX309)=COUNTIF(P311:XX311,"Orçamento")))))),
ROW(),0)</f>
        <v>319</v>
      </c>
      <c r="K319" s="66"/>
      <c r="L319" s="29" t="s">
        <v>362</v>
      </c>
      <c r="M319" s="30">
        <f t="shared" ref="M319" si="922" xml:space="preserve">
IF(H317&gt;2,MEDIAN(P316:XX317),
IF(H319&gt;2,MEDIAN(P318:XX319),
IF(H321&gt;2,MEDIAN(P320:XX321),
IF(H323&gt;2,MEDIAN(P322:XX323),
IF(H325&gt;2,MEDIAN(P324:XX325),
IF(H327&gt;2,MEDIAN(P326:XX327),
MEDIAN(P314:XX315)))))))</f>
        <v>16.7</v>
      </c>
      <c r="N319" s="71"/>
      <c r="O319" s="27" t="str">
        <f t="shared" ref="O319" si="923">"2 RODADA"</f>
        <v>2 RODADA</v>
      </c>
      <c r="P319" s="107">
        <f t="shared" ref="P319:AI319" si="924">IF(P317="","",IF((_xlfn.STDEV.P($P316:$XX317)/AVERAGE($P316:$XX317))&lt;=25%,P317,IF(OR(P317&gt;(AVERAGE($P316:$XX317)+_xlfn.STDEV.P($P316:$XX317)),P317&lt;(AVERAGE($P316:$XX317)-_xlfn.STDEV.P($P316:$XX317))),"DESCARTADO",P317)))</f>
        <v>14.28</v>
      </c>
      <c r="Q319" s="107">
        <f t="shared" si="924"/>
        <v>16.899999999999999</v>
      </c>
      <c r="R319" s="107">
        <f t="shared" si="924"/>
        <v>16.7</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f t="shared" si="841"/>
        <v>15</v>
      </c>
      <c r="C320" s="128">
        <f t="shared" si="842"/>
        <v>1</v>
      </c>
      <c r="D320" s="127">
        <f t="shared" si="842"/>
        <v>15</v>
      </c>
      <c r="E320" s="201"/>
      <c r="F320" s="93"/>
      <c r="G320" s="203"/>
      <c r="H320"/>
      <c r="I320"/>
      <c r="J320"/>
      <c r="K320" s="66"/>
      <c r="L320" s="29" t="s">
        <v>359</v>
      </c>
      <c r="M320" s="30">
        <f t="shared" ref="M320" si="925">HARMEAN($P314:$XX315)</f>
        <v>15.866312703565963</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41"/>
        <v>15</v>
      </c>
      <c r="C321" s="128">
        <f t="shared" si="842"/>
        <v>1</v>
      </c>
      <c r="D321" s="127">
        <f t="shared" si="842"/>
        <v>15</v>
      </c>
      <c r="E321" s="201"/>
      <c r="F321" s="93"/>
      <c r="G321" s="203"/>
      <c r="H321" s="134">
        <f t="shared" ref="H321" si="927">COUNT($P321:$XX321)</f>
        <v>3</v>
      </c>
      <c r="I321" s="132">
        <f t="shared" ref="I321" si="928">_xlfn.STDEV.P($P320:$XX321)/AVERAGE($P320:$XX321)</f>
        <v>7.460789884388988E-2</v>
      </c>
      <c r="J321" s="7">
        <f t="shared" ref="J321" si="929">IF(AND(H321&gt;2,
OR(L309="MÉDIA SANEADA",L309="MEDIANA SANEADA",
AND(L309="PREÇO ESTIMADO",NOT(AND(P311="Orçamento",COUNTA(P309:XX309)=COUNTIF(P311:XX311,"Orçamento")))))),
ROW(),0)</f>
        <v>321</v>
      </c>
      <c r="K321" s="66"/>
      <c r="L321" s="29" t="s">
        <v>41</v>
      </c>
      <c r="M321" s="30">
        <f t="shared" ref="M321" si="930">IFERROR(_xlfn.QUARTILE.EXC($P315:$XX315,1),"")</f>
        <v>14.28</v>
      </c>
      <c r="N321" s="71"/>
      <c r="O321" s="27" t="str">
        <f t="shared" ref="O321" si="931">"3 RODADA"</f>
        <v>3 RODADA</v>
      </c>
      <c r="P321" s="107">
        <f t="shared" ref="P321:AI321" si="932">IF(P319="","",IF((_xlfn.STDEV.P($P318:$XX319)/AVERAGE($P318:$XX319))&lt;=25%,P319,IF(OR(P319&gt;(AVERAGE($P318:$XX319)+_xlfn.STDEV.P($P318:$XX319)),P319&lt;(AVERAGE($P318:$XX319)-_xlfn.STDEV.P($P318:$XX319))),"DESCARTADO",P319)))</f>
        <v>14.28</v>
      </c>
      <c r="Q321" s="107">
        <f t="shared" si="932"/>
        <v>16.899999999999999</v>
      </c>
      <c r="R321" s="107">
        <f t="shared" si="932"/>
        <v>16.7</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f t="shared" si="841"/>
        <v>15</v>
      </c>
      <c r="C322" s="128">
        <f t="shared" si="842"/>
        <v>1</v>
      </c>
      <c r="D322" s="127">
        <f t="shared" si="842"/>
        <v>15</v>
      </c>
      <c r="E322" s="201"/>
      <c r="F322" s="93"/>
      <c r="G322" s="203"/>
      <c r="H322"/>
      <c r="I322"/>
      <c r="J322"/>
      <c r="K322" s="66"/>
      <c r="L322" s="29" t="s">
        <v>39</v>
      </c>
      <c r="M322" s="30">
        <f t="shared" ref="M322" si="933">IFERROR(_xlfn.QUARTILE.EXC($P315:$XX315,3),"")</f>
        <v>16.899999999999999</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41"/>
        <v>15</v>
      </c>
      <c r="C323" s="128">
        <f t="shared" si="842"/>
        <v>1</v>
      </c>
      <c r="D323" s="127">
        <f t="shared" si="842"/>
        <v>15</v>
      </c>
      <c r="E323" s="201"/>
      <c r="F323" s="93"/>
      <c r="G323" s="203"/>
      <c r="H323" s="134">
        <f t="shared" ref="H323" si="935">COUNT($P323:$XX323)</f>
        <v>3</v>
      </c>
      <c r="I323" s="132">
        <f t="shared" ref="I323" si="936">_xlfn.STDEV.P($P322:$XX323)/AVERAGE($P322:$XX323)</f>
        <v>7.460789884388988E-2</v>
      </c>
      <c r="J323" s="7">
        <f t="shared" ref="J323" si="937">IF(AND(H323&gt;2,
OR(L309="MÉDIA SANEADA",L309="MEDIANA SANEADA",
AND(L309="PREÇO ESTIMADO",NOT(AND(P311="Orçamento",COUNTA(P309:XX309)=COUNTIF(P311:XX311,"Orçamento")))))),
ROW(),0)</f>
        <v>323</v>
      </c>
      <c r="K323" s="66"/>
      <c r="L323" s="29" t="s">
        <v>42</v>
      </c>
      <c r="M323" s="30">
        <f t="shared" ref="M323" si="938">MIN($P315:$XX315)</f>
        <v>14.28</v>
      </c>
      <c r="N323" s="71"/>
      <c r="O323" s="27" t="str">
        <f t="shared" ref="O323" si="939">"4 RODADA"</f>
        <v>4 RODADA</v>
      </c>
      <c r="P323" s="107">
        <f t="shared" ref="P323:AI323" si="940">IF(P321="","",IF((_xlfn.STDEV.P($P320:$XX321)/AVERAGE($P320:$XX321))&lt;=25%,P321,IF(OR(P321&gt;(AVERAGE($P320:$XX321)+_xlfn.STDEV.P($P320:$XX321)),P321&lt;(AVERAGE($P320:$XX321)-_xlfn.STDEV.P($P320:$XX321))),"DESCARTADO",P321)))</f>
        <v>14.28</v>
      </c>
      <c r="Q323" s="107">
        <f t="shared" si="940"/>
        <v>16.899999999999999</v>
      </c>
      <c r="R323" s="107">
        <f t="shared" si="940"/>
        <v>16.7</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f t="shared" si="841"/>
        <v>15</v>
      </c>
      <c r="C324" s="128">
        <f t="shared" si="842"/>
        <v>1</v>
      </c>
      <c r="D324" s="127">
        <f t="shared" si="842"/>
        <v>15</v>
      </c>
      <c r="E324" s="201"/>
      <c r="F324" s="93"/>
      <c r="G324" s="203"/>
      <c r="H324"/>
      <c r="I324"/>
      <c r="J324"/>
      <c r="K324" s="66"/>
      <c r="L324" s="29" t="s">
        <v>40</v>
      </c>
      <c r="M324" s="30">
        <f t="shared" ref="M324" si="941">MAX($P315:$XX315)</f>
        <v>16.899999999999999</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41"/>
        <v>15</v>
      </c>
      <c r="C325" s="128">
        <f t="shared" si="842"/>
        <v>1</v>
      </c>
      <c r="D325" s="127">
        <f t="shared" si="842"/>
        <v>15</v>
      </c>
      <c r="E325" s="201"/>
      <c r="F325" s="93"/>
      <c r="G325" s="203"/>
      <c r="H325" s="134">
        <f t="shared" ref="H325" si="943">COUNT($P325:$XX325)</f>
        <v>3</v>
      </c>
      <c r="I325" s="132">
        <f t="shared" ref="I325" si="944">_xlfn.STDEV.P($P324:$XX325)/AVERAGE($P324:$XX325)</f>
        <v>7.460789884388988E-2</v>
      </c>
      <c r="J325" s="7">
        <f t="shared" ref="J325" si="945">IF(AND(H325&gt;2,
OR(L309="MÉDIA SANEADA",L309="MEDIANA SANEADA",
AND(L309="PREÇO ESTIMADO",NOT(AND(P311="Orçamento",COUNTA(P309:XX309)=COUNTIF(P311:XX311,"Orçamento")))))),
ROW(),0)</f>
        <v>325</v>
      </c>
      <c r="K325" s="66"/>
      <c r="N325" s="71"/>
      <c r="O325" s="27" t="str">
        <f t="shared" ref="O325" si="946">"5 RODADA"</f>
        <v>5 RODADA</v>
      </c>
      <c r="P325" s="107">
        <f t="shared" ref="P325:AI325" si="947">IF(P323="","",IF((_xlfn.STDEV.P($P322:$XX323)/AVERAGE($P322:$XX323))&lt;=25%,P323,IF(OR(P323&gt;(AVERAGE($P322:$XX323)+_xlfn.STDEV.P($P322:$XX323)),P323&lt;(AVERAGE($P322:$XX323)-_xlfn.STDEV.P($P322:$XX323))),"DESCARTADO",P323)))</f>
        <v>14.28</v>
      </c>
      <c r="Q325" s="107">
        <f t="shared" si="947"/>
        <v>16.899999999999999</v>
      </c>
      <c r="R325" s="107">
        <f t="shared" si="947"/>
        <v>16.7</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f t="shared" si="841"/>
        <v>15</v>
      </c>
      <c r="C326" s="128">
        <f t="shared" si="842"/>
        <v>1</v>
      </c>
      <c r="D326" s="127">
        <f t="shared" si="842"/>
        <v>15</v>
      </c>
      <c r="E326" s="201"/>
      <c r="F326" s="93"/>
      <c r="G326" s="203"/>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41"/>
        <v>15</v>
      </c>
      <c r="C327" s="128">
        <f t="shared" si="842"/>
        <v>1</v>
      </c>
      <c r="D327" s="127">
        <f t="shared" si="842"/>
        <v>15</v>
      </c>
      <c r="E327" s="201"/>
      <c r="F327" s="93"/>
      <c r="G327" s="203"/>
      <c r="H327" s="134">
        <f t="shared" ref="H327" si="949">COUNT($P327:$XX327)</f>
        <v>3</v>
      </c>
      <c r="I327" s="132">
        <f t="shared" ref="I327" si="950">_xlfn.STDEV.P($P326:$XX327)/AVERAGE($P326:$XX327)</f>
        <v>7.460789884388988E-2</v>
      </c>
      <c r="J327" s="7">
        <f t="shared" ref="J327" si="951">IF(AND(H327&gt;2,
OR(L309="MÉDIA SANEADA",L309="MEDIANA SANEADA",
AND(L309="PREÇO ESTIMADO",NOT(AND(P311="Orçamento",COUNTA(P309:XX309)=COUNTIF(P311:XX311,"Orçamento")))))),
ROW(),0)</f>
        <v>327</v>
      </c>
      <c r="N327" s="71"/>
      <c r="O327" s="27" t="str">
        <f t="shared" ref="O327" si="952">"6 RODADA"</f>
        <v>6 RODADA</v>
      </c>
      <c r="P327" s="107">
        <f t="shared" ref="P327:AI327" si="953">IFERROR(IF(P325="","",IF((_xlfn.STDEV.P($P324:$XX325)/AVERAGE($P324:$XX325))&lt;=25%,P325,IF(OR(P325&gt;(AVERAGE($P324:$XX325)+_xlfn.STDEV.P($P324:$XX325)),P325&lt;(AVERAGE($P324:$XX325)-_xlfn.STDEV.P($P324:$XX325))),"DESCARTADO",P325))),)</f>
        <v>14.28</v>
      </c>
      <c r="Q327" s="107">
        <f t="shared" si="953"/>
        <v>16.899999999999999</v>
      </c>
      <c r="R327" s="107">
        <f t="shared" si="953"/>
        <v>16.7</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f t="shared" si="841"/>
        <v>15</v>
      </c>
      <c r="C328" s="128">
        <f t="shared" si="842"/>
        <v>1</v>
      </c>
      <c r="D328" s="127">
        <f t="shared" si="842"/>
        <v>15</v>
      </c>
      <c r="E328" s="201"/>
      <c r="F328" s="136"/>
      <c r="G328" s="203"/>
      <c r="H328" s="206"/>
      <c r="I328" s="206"/>
      <c r="J328" s="207"/>
      <c r="K328" s="67"/>
      <c r="L328" s="1" t="s">
        <v>43</v>
      </c>
      <c r="M328" s="143">
        <f t="shared" ref="M328" si="954">IFERROR(ROUND(M309*M311,2),"")</f>
        <v>127.68</v>
      </c>
      <c r="O328" s="27" t="s">
        <v>363</v>
      </c>
      <c r="P328" s="107">
        <f t="shared" ref="P328:R328" si="955">INDEX(P315:P327,MATCH(MAX($J315:$J327),$J315:$J327,0))</f>
        <v>14.28</v>
      </c>
      <c r="Q328" s="107">
        <f t="shared" si="955"/>
        <v>16.899999999999999</v>
      </c>
      <c r="R328" s="107">
        <f t="shared" si="955"/>
        <v>16.7</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f t="shared" ref="B330" si="956">LARGE(IFERROR(IF(B328+1&gt;$H$8,"",B328+1),""),1)</f>
        <v>16</v>
      </c>
      <c r="C330" s="127">
        <f>IF(_xlfn.ISFORMULA(E334),MAX(INDEX('BASE FORMAÇÃO'!A:A,B330+1),1),E334)</f>
        <v>1</v>
      </c>
      <c r="D330" s="127">
        <f t="shared" ref="D330" si="957">IFERROR(IF(C330=C320,D320+1,1),1)</f>
        <v>16</v>
      </c>
      <c r="E330" s="38" t="s">
        <v>9</v>
      </c>
      <c r="F330" s="73"/>
      <c r="G330" s="38" t="s">
        <v>15</v>
      </c>
      <c r="H330" s="135">
        <f>INDEX('BASE FORMAÇÃO'!B:B,B330+1)</f>
        <v>0</v>
      </c>
      <c r="I330" s="181" t="s">
        <v>16</v>
      </c>
      <c r="J330" s="6">
        <f>INDEX('BASE FORMAÇÃO'!K:K,B330+1)</f>
        <v>0</v>
      </c>
      <c r="K330" s="65"/>
      <c r="L330" s="184" t="s">
        <v>10</v>
      </c>
      <c r="M330" s="186">
        <f t="shared" ref="M330" si="958">IF(OR(ISBLANK($O$8),ISBLANK($O$7),ISBLANK($H$8),ISBLANK($O$6),ISBLANK($O$5),ISBLANK($H$5)),"",IFERROR(IF(VLOOKUP(L330,L336:M345,2,FALSE)&lt;1,ROUND(VLOOKUP(L330,L336:M345,2,FALSE),4),ROUND(VLOOKUP(L330,L336:M345,2,FALSE),2)),""))</f>
        <v>12.64</v>
      </c>
      <c r="N330" s="69"/>
      <c r="O330" s="27" t="s">
        <v>17</v>
      </c>
      <c r="P330" s="113">
        <v>9.8699999999999992</v>
      </c>
      <c r="Q330" s="113">
        <v>11.14</v>
      </c>
      <c r="R330" s="113">
        <v>16.899999999999999</v>
      </c>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59">B330</f>
        <v>16</v>
      </c>
      <c r="C331" s="128">
        <f t="shared" si="959"/>
        <v>1</v>
      </c>
      <c r="D331" s="127">
        <f t="shared" si="959"/>
        <v>16</v>
      </c>
      <c r="E331" s="188">
        <f t="shared" ref="E331" si="960">D330</f>
        <v>16</v>
      </c>
      <c r="F331" s="92"/>
      <c r="G331" s="190" t="s">
        <v>1</v>
      </c>
      <c r="H331" s="193" t="s">
        <v>494</v>
      </c>
      <c r="I331" s="194"/>
      <c r="J331" s="195"/>
      <c r="K331" s="66"/>
      <c r="L331" s="185"/>
      <c r="M331" s="187"/>
      <c r="N331" s="70"/>
      <c r="O331" s="27" t="s">
        <v>13</v>
      </c>
      <c r="P331" s="122">
        <v>46195</v>
      </c>
      <c r="Q331" s="122">
        <v>46195</v>
      </c>
      <c r="R331" s="122">
        <v>46195</v>
      </c>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61">B331</f>
        <v>16</v>
      </c>
      <c r="C332" s="128">
        <f t="shared" si="961"/>
        <v>1</v>
      </c>
      <c r="D332" s="127">
        <f t="shared" si="961"/>
        <v>16</v>
      </c>
      <c r="E332" s="189"/>
      <c r="F332" s="93"/>
      <c r="G332" s="191"/>
      <c r="H332" s="196"/>
      <c r="I332" s="196"/>
      <c r="J332" s="197"/>
      <c r="K332" s="64"/>
      <c r="L332" s="130" t="s">
        <v>44</v>
      </c>
      <c r="M332" s="131">
        <v>9</v>
      </c>
      <c r="N332" s="71"/>
      <c r="O332" s="27" t="s">
        <v>380</v>
      </c>
      <c r="P332" s="114" t="s">
        <v>302</v>
      </c>
      <c r="Q332" s="114" t="s">
        <v>302</v>
      </c>
      <c r="R332" s="114" t="s">
        <v>302</v>
      </c>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62">B332</f>
        <v>16</v>
      </c>
      <c r="C333" s="128">
        <f t="shared" si="962"/>
        <v>1</v>
      </c>
      <c r="D333" s="127">
        <f t="shared" si="842"/>
        <v>16</v>
      </c>
      <c r="E333" s="38" t="s">
        <v>313</v>
      </c>
      <c r="F333" s="93"/>
      <c r="G333" s="192"/>
      <c r="H333" s="198"/>
      <c r="I333" s="198"/>
      <c r="J333" s="199"/>
      <c r="K333" s="64"/>
      <c r="L333" s="1" t="s">
        <v>2</v>
      </c>
      <c r="M333" s="6" t="s">
        <v>288</v>
      </c>
      <c r="N333" s="71"/>
      <c r="O333" s="27" t="s">
        <v>381</v>
      </c>
      <c r="P333" s="182" t="s">
        <v>495</v>
      </c>
      <c r="Q333" s="182" t="s">
        <v>496</v>
      </c>
      <c r="R333" s="182" t="s">
        <v>497</v>
      </c>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63">B332</f>
        <v>16</v>
      </c>
      <c r="C334" s="128">
        <f t="shared" si="963"/>
        <v>1</v>
      </c>
      <c r="D334" s="127">
        <f t="shared" si="842"/>
        <v>16</v>
      </c>
      <c r="E334" s="200">
        <f t="shared" ref="E334" si="964">C330</f>
        <v>1</v>
      </c>
      <c r="F334" s="93"/>
      <c r="G334" s="202" t="s">
        <v>304</v>
      </c>
      <c r="H334" s="204"/>
      <c r="I334" s="205"/>
      <c r="J334" s="205"/>
      <c r="K334" s="67"/>
      <c r="L334" s="28" t="s">
        <v>303</v>
      </c>
      <c r="M334" s="133">
        <f t="shared" ref="M334" si="965">IFERROR(INDEX(I336:I348,MATCH(MAX(J336:J348),J336:J348,0)),"")</f>
        <v>0.24206481029975727</v>
      </c>
      <c r="N334" s="71"/>
      <c r="O334" s="27" t="s">
        <v>18</v>
      </c>
      <c r="P334" s="106">
        <f>IF(P330="","",
IF(OR(P332="Orçamento",P331="",MAX('Tabela de Apoio'!$A:$A)&lt;=P331),
P330,
(INDEX('Tabela de Apoio'!$B:$B,MATCH('MAPA DE PREÇOS'!$O$8,'Tabela de Apoio'!$A:$A,1))/INDEX('Tabela de Apoio'!$B:$B,MATCH('MAPA DE PREÇOS'!P331,'Tabela de Apoio'!$A:$A,1)-1))*P330))</f>
        <v>9.8699999999999992</v>
      </c>
      <c r="Q334" s="106">
        <f>IF(Q330="","",
IF(OR(Q332="Orçamento",Q331="",MAX('Tabela de Apoio'!$A:$A)&lt;=Q331),
Q330,
(INDEX('Tabela de Apoio'!$B:$B,MATCH('MAPA DE PREÇOS'!$O$8,'Tabela de Apoio'!$A:$A,1))/INDEX('Tabela de Apoio'!$B:$B,MATCH('MAPA DE PREÇOS'!Q331,'Tabela de Apoio'!$A:$A,1)-1))*Q330))</f>
        <v>11.14</v>
      </c>
      <c r="R334" s="106">
        <f>IF(R330="","",
IF(OR(R332="Orçamento",R331="",MAX('Tabela de Apoio'!$A:$A)&lt;=R331),
R330,
(INDEX('Tabela de Apoio'!$B:$B,MATCH('MAPA DE PREÇOS'!$O$8,'Tabela de Apoio'!$A:$A,1))/INDEX('Tabela de Apoio'!$B:$B,MATCH('MAPA DE PREÇOS'!R331,'Tabela de Apoio'!$A:$A,1)-1))*R330))</f>
        <v>16.899999999999999</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66">B334</f>
        <v>16</v>
      </c>
      <c r="C335" s="128">
        <f t="shared" ref="C335" si="967">C334</f>
        <v>1</v>
      </c>
      <c r="D335" s="127">
        <f t="shared" si="842"/>
        <v>16</v>
      </c>
      <c r="E335" s="201"/>
      <c r="F335" s="93"/>
      <c r="G335" s="203"/>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68">B335</f>
        <v>16</v>
      </c>
      <c r="C336" s="128">
        <f t="shared" si="968"/>
        <v>1</v>
      </c>
      <c r="D336" s="127">
        <f t="shared" si="842"/>
        <v>16</v>
      </c>
      <c r="E336" s="201"/>
      <c r="F336" s="93"/>
      <c r="G336" s="203"/>
      <c r="H336" s="134">
        <f t="shared" ref="H336" si="969">COUNT($P336:$XX336)</f>
        <v>3</v>
      </c>
      <c r="I336" s="132">
        <f t="shared" ref="I336" si="970">_xlfn.STDEV.P($P335:$XX336)/AVERAGE($P335:$XX336)</f>
        <v>0.24206481029975727</v>
      </c>
      <c r="J336" s="7">
        <f>ROW()</f>
        <v>336</v>
      </c>
      <c r="K336" s="67"/>
      <c r="L336" s="29" t="s">
        <v>10</v>
      </c>
      <c r="M336" s="30">
        <f t="shared" ref="M336" si="971">IFERROR(
IF(COUNTA(P330:AI330)=COUNTIF(P332:XX332,"Orçamento"),MIN(M341,M338),
IF(M339&lt;&gt;"",M339,
IF(M340&lt;&gt;"",M340,
M338
))),"")</f>
        <v>12.636666666666665</v>
      </c>
      <c r="N336" s="71"/>
      <c r="O336" s="27" t="s">
        <v>376</v>
      </c>
      <c r="P336" s="106">
        <f t="shared" ref="P336:AI336" si="972">IFERROR(IF(P334="",
            "",
            IF(COUNT($P334:$XX334)&lt;=4,
               P334,
               IF(OR(P334&gt;(QUARTILE($P334:$XX334,3)+(QUARTILE($P334:$XX334,3)-QUARTILE($P334:$XX334,1))),
                     P334&lt;(QUARTILE($P334:$XX334,1)-(QUARTILE($P334:$XX334,3)-QUARTILE($P334:$XX334,1)))
                  ),
               "DESCARTADO",P334)
             )
  ),P334)</f>
        <v>9.8699999999999992</v>
      </c>
      <c r="Q336" s="106">
        <f t="shared" si="972"/>
        <v>11.14</v>
      </c>
      <c r="R336" s="106">
        <f t="shared" si="972"/>
        <v>16.899999999999999</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f t="shared" ref="B337" si="973">B336</f>
        <v>16</v>
      </c>
      <c r="C337" s="128">
        <f t="shared" ref="C337" si="974">C336</f>
        <v>1</v>
      </c>
      <c r="D337" s="127">
        <f t="shared" si="842"/>
        <v>16</v>
      </c>
      <c r="E337" s="201"/>
      <c r="F337" s="93"/>
      <c r="G337" s="203"/>
      <c r="H337"/>
      <c r="I337"/>
      <c r="J337"/>
      <c r="K337" s="66"/>
      <c r="L337" s="29" t="s">
        <v>360</v>
      </c>
      <c r="M337" s="30">
        <f t="shared" ref="M337" si="975">AVERAGE($P336:$XX336)</f>
        <v>12.636666666666665</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41"/>
        <v>16</v>
      </c>
      <c r="C338" s="128">
        <f t="shared" si="842"/>
        <v>1</v>
      </c>
      <c r="D338" s="127">
        <f t="shared" si="842"/>
        <v>16</v>
      </c>
      <c r="E338" s="201"/>
      <c r="F338" s="93"/>
      <c r="G338" s="203"/>
      <c r="H338" s="134">
        <f t="shared" ref="H338" si="977">COUNT($P338:$XX338)</f>
        <v>3</v>
      </c>
      <c r="I338" s="132">
        <f t="shared" ref="I338" si="978">_xlfn.STDEV.P($P337:$XX338)/AVERAGE($P337:$XX338)</f>
        <v>0.24206481029975727</v>
      </c>
      <c r="J338" s="7">
        <f t="shared" ref="J338" si="979">IF(AND(H338&gt;2,
OR(L330="MÉDIA SANEADA",L330="MEDIANA SANEADA",
AND(L330="PREÇO ESTIMADO",NOT(AND(P332="Orçamento",COUNTA(P330:XX330)=COUNTIF(P332:XX332,"Orçamento")))))),
ROW(),0)</f>
        <v>338</v>
      </c>
      <c r="K338" s="66"/>
      <c r="L338" s="29" t="s">
        <v>361</v>
      </c>
      <c r="M338" s="30">
        <f t="shared" ref="M338" si="980">MEDIAN($P336:$XX336)</f>
        <v>11.14</v>
      </c>
      <c r="N338" s="71"/>
      <c r="O338" s="27" t="str">
        <f t="shared" ref="O338" si="981">"1 RODADA"</f>
        <v>1 RODADA</v>
      </c>
      <c r="P338" s="107">
        <f t="shared" ref="P338:AI338" si="982">IF(P336="","",IF((_xlfn.STDEV.P($P335:$XX336)/AVERAGE($P335:$XX336))&lt;=25%,P336,IF(OR(P336&gt;(AVERAGE($P335:$XX336)+_xlfn.STDEV.P($P335:$XX336)),P336&lt;(AVERAGE($P335:$XX336)-_xlfn.STDEV.P($P335:$XX336))),"DESCARTADO",P336)))</f>
        <v>9.8699999999999992</v>
      </c>
      <c r="Q338" s="107">
        <f t="shared" si="982"/>
        <v>11.14</v>
      </c>
      <c r="R338" s="107">
        <f t="shared" si="982"/>
        <v>16.899999999999999</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f t="shared" si="841"/>
        <v>16</v>
      </c>
      <c r="C339" s="128">
        <f t="shared" si="842"/>
        <v>1</v>
      </c>
      <c r="D339" s="127">
        <f t="shared" si="842"/>
        <v>16</v>
      </c>
      <c r="E339" s="201"/>
      <c r="F339" s="93"/>
      <c r="G339" s="203"/>
      <c r="H339"/>
      <c r="I339"/>
      <c r="J339"/>
      <c r="L339" s="29" t="s">
        <v>38</v>
      </c>
      <c r="M339" s="30">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12.636666666666665</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41"/>
        <v>16</v>
      </c>
      <c r="C340" s="128">
        <f t="shared" si="842"/>
        <v>1</v>
      </c>
      <c r="D340" s="127">
        <f t="shared" si="842"/>
        <v>16</v>
      </c>
      <c r="E340" s="201"/>
      <c r="F340" s="93"/>
      <c r="G340" s="203"/>
      <c r="H340" s="134">
        <f t="shared" ref="H340" si="985">COUNT($P340:$XX340)</f>
        <v>3</v>
      </c>
      <c r="I340" s="132">
        <f t="shared" ref="I340" si="986">_xlfn.STDEV.P($P339:$XX340)/AVERAGE($P339:$XX340)</f>
        <v>0.24206481029975727</v>
      </c>
      <c r="J340" s="7">
        <f t="shared" ref="J340" si="987">IF(AND(H340&gt;2,
OR(L330="MÉDIA SANEADA",L330="MEDIANA SANEADA",
AND(L330="PREÇO ESTIMADO",NOT(AND(P332="Orçamento",COUNTA(P330:XX330)=COUNTIF(P332:XX332,"Orçamento")))))),
ROW(),0)</f>
        <v>340</v>
      </c>
      <c r="K340" s="66"/>
      <c r="L340" s="29" t="s">
        <v>362</v>
      </c>
      <c r="M340" s="30">
        <f t="shared" ref="M340" si="988" xml:space="preserve">
IF(H338&gt;2,MEDIAN(P337:XX338),
IF(H340&gt;2,MEDIAN(P339:XX340),
IF(H342&gt;2,MEDIAN(P341:XX342),
IF(H344&gt;2,MEDIAN(P343:XX344),
IF(H346&gt;2,MEDIAN(P345:XX346),
IF(H348&gt;2,MEDIAN(P347:XX348),
MEDIAN(P335:XX336)))))))</f>
        <v>11.14</v>
      </c>
      <c r="N340" s="71"/>
      <c r="O340" s="27" t="str">
        <f t="shared" ref="O340" si="989">"2 RODADA"</f>
        <v>2 RODADA</v>
      </c>
      <c r="P340" s="107">
        <f t="shared" ref="P340:AI340" si="990">IF(P338="","",IF((_xlfn.STDEV.P($P337:$XX338)/AVERAGE($P337:$XX338))&lt;=25%,P338,IF(OR(P338&gt;(AVERAGE($P337:$XX338)+_xlfn.STDEV.P($P337:$XX338)),P338&lt;(AVERAGE($P337:$XX338)-_xlfn.STDEV.P($P337:$XX338))),"DESCARTADO",P338)))</f>
        <v>9.8699999999999992</v>
      </c>
      <c r="Q340" s="107">
        <f t="shared" si="990"/>
        <v>11.14</v>
      </c>
      <c r="R340" s="107">
        <f t="shared" si="990"/>
        <v>16.899999999999999</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f t="shared" si="841"/>
        <v>16</v>
      </c>
      <c r="C341" s="128">
        <f t="shared" si="842"/>
        <v>1</v>
      </c>
      <c r="D341" s="127">
        <f t="shared" si="842"/>
        <v>16</v>
      </c>
      <c r="E341" s="201"/>
      <c r="F341" s="93"/>
      <c r="G341" s="203"/>
      <c r="H341"/>
      <c r="I341"/>
      <c r="J341"/>
      <c r="K341" s="66"/>
      <c r="L341" s="29" t="s">
        <v>359</v>
      </c>
      <c r="M341" s="30">
        <f t="shared" ref="M341" si="991">HARMEAN($P335:$XX336)</f>
        <v>11.987756805717076</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41"/>
        <v>16</v>
      </c>
      <c r="C342" s="128">
        <f t="shared" si="842"/>
        <v>1</v>
      </c>
      <c r="D342" s="127">
        <f t="shared" si="842"/>
        <v>16</v>
      </c>
      <c r="E342" s="201"/>
      <c r="F342" s="93"/>
      <c r="G342" s="203"/>
      <c r="H342" s="134">
        <f t="shared" ref="H342" si="993">COUNT($P342:$XX342)</f>
        <v>3</v>
      </c>
      <c r="I342" s="132">
        <f t="shared" ref="I342" si="994">_xlfn.STDEV.P($P341:$XX342)/AVERAGE($P341:$XX342)</f>
        <v>0.24206481029975727</v>
      </c>
      <c r="J342" s="7">
        <f t="shared" ref="J342" si="995">IF(AND(H342&gt;2,
OR(L330="MÉDIA SANEADA",L330="MEDIANA SANEADA",
AND(L330="PREÇO ESTIMADO",NOT(AND(P332="Orçamento",COUNTA(P330:XX330)=COUNTIF(P332:XX332,"Orçamento")))))),
ROW(),0)</f>
        <v>342</v>
      </c>
      <c r="K342" s="66"/>
      <c r="L342" s="29" t="s">
        <v>41</v>
      </c>
      <c r="M342" s="30">
        <f t="shared" ref="M342" si="996">IFERROR(_xlfn.QUARTILE.EXC($P336:$XX336,1),"")</f>
        <v>9.8699999999999992</v>
      </c>
      <c r="N342" s="71"/>
      <c r="O342" s="27" t="str">
        <f t="shared" ref="O342" si="997">"3 RODADA"</f>
        <v>3 RODADA</v>
      </c>
      <c r="P342" s="107">
        <f t="shared" ref="P342:AI342" si="998">IF(P340="","",IF((_xlfn.STDEV.P($P339:$XX340)/AVERAGE($P339:$XX340))&lt;=25%,P340,IF(OR(P340&gt;(AVERAGE($P339:$XX340)+_xlfn.STDEV.P($P339:$XX340)),P340&lt;(AVERAGE($P339:$XX340)-_xlfn.STDEV.P($P339:$XX340))),"DESCARTADO",P340)))</f>
        <v>9.8699999999999992</v>
      </c>
      <c r="Q342" s="107">
        <f t="shared" si="998"/>
        <v>11.14</v>
      </c>
      <c r="R342" s="107">
        <f t="shared" si="998"/>
        <v>16.899999999999999</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f t="shared" si="841"/>
        <v>16</v>
      </c>
      <c r="C343" s="128">
        <f t="shared" si="842"/>
        <v>1</v>
      </c>
      <c r="D343" s="127">
        <f t="shared" si="842"/>
        <v>16</v>
      </c>
      <c r="E343" s="201"/>
      <c r="F343" s="93"/>
      <c r="G343" s="203"/>
      <c r="H343"/>
      <c r="I343"/>
      <c r="J343"/>
      <c r="K343" s="66"/>
      <c r="L343" s="29" t="s">
        <v>39</v>
      </c>
      <c r="M343" s="30">
        <f t="shared" ref="M343" si="999">IFERROR(_xlfn.QUARTILE.EXC($P336:$XX336,3),"")</f>
        <v>16.899999999999999</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41"/>
        <v>16</v>
      </c>
      <c r="C344" s="128">
        <f t="shared" si="842"/>
        <v>1</v>
      </c>
      <c r="D344" s="127">
        <f t="shared" si="842"/>
        <v>16</v>
      </c>
      <c r="E344" s="201"/>
      <c r="F344" s="93"/>
      <c r="G344" s="203"/>
      <c r="H344" s="134">
        <f t="shared" ref="H344" si="1001">COUNT($P344:$XX344)</f>
        <v>3</v>
      </c>
      <c r="I344" s="132">
        <f t="shared" ref="I344" si="1002">_xlfn.STDEV.P($P343:$XX344)/AVERAGE($P343:$XX344)</f>
        <v>0.24206481029975727</v>
      </c>
      <c r="J344" s="7">
        <f t="shared" ref="J344" si="1003">IF(AND(H344&gt;2,
OR(L330="MÉDIA SANEADA",L330="MEDIANA SANEADA",
AND(L330="PREÇO ESTIMADO",NOT(AND(P332="Orçamento",COUNTA(P330:XX330)=COUNTIF(P332:XX332,"Orçamento")))))),
ROW(),0)</f>
        <v>344</v>
      </c>
      <c r="K344" s="66"/>
      <c r="L344" s="29" t="s">
        <v>42</v>
      </c>
      <c r="M344" s="30">
        <f t="shared" ref="M344" si="1004">MIN($P336:$XX336)</f>
        <v>9.8699999999999992</v>
      </c>
      <c r="N344" s="71"/>
      <c r="O344" s="27" t="str">
        <f t="shared" ref="O344" si="1005">"4 RODADA"</f>
        <v>4 RODADA</v>
      </c>
      <c r="P344" s="107">
        <f t="shared" ref="P344:AI344" si="1006">IF(P342="","",IF((_xlfn.STDEV.P($P341:$XX342)/AVERAGE($P341:$XX342))&lt;=25%,P342,IF(OR(P342&gt;(AVERAGE($P341:$XX342)+_xlfn.STDEV.P($P341:$XX342)),P342&lt;(AVERAGE($P341:$XX342)-_xlfn.STDEV.P($P341:$XX342))),"DESCARTADO",P342)))</f>
        <v>9.8699999999999992</v>
      </c>
      <c r="Q344" s="107">
        <f t="shared" si="1006"/>
        <v>11.14</v>
      </c>
      <c r="R344" s="107">
        <f t="shared" si="1006"/>
        <v>16.899999999999999</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f t="shared" si="841"/>
        <v>16</v>
      </c>
      <c r="C345" s="128">
        <f t="shared" si="842"/>
        <v>1</v>
      </c>
      <c r="D345" s="127">
        <f t="shared" si="842"/>
        <v>16</v>
      </c>
      <c r="E345" s="201"/>
      <c r="F345" s="93"/>
      <c r="G345" s="203"/>
      <c r="H345"/>
      <c r="I345"/>
      <c r="J345"/>
      <c r="K345" s="66"/>
      <c r="L345" s="29" t="s">
        <v>40</v>
      </c>
      <c r="M345" s="30">
        <f t="shared" ref="M345" si="1007">MAX($P336:$XX336)</f>
        <v>16.899999999999999</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41"/>
        <v>16</v>
      </c>
      <c r="C346" s="128">
        <f t="shared" si="842"/>
        <v>1</v>
      </c>
      <c r="D346" s="127">
        <f t="shared" si="842"/>
        <v>16</v>
      </c>
      <c r="E346" s="201"/>
      <c r="F346" s="93"/>
      <c r="G346" s="203"/>
      <c r="H346" s="134">
        <f t="shared" ref="H346" si="1009">COUNT($P346:$XX346)</f>
        <v>3</v>
      </c>
      <c r="I346" s="132">
        <f t="shared" ref="I346" si="1010">_xlfn.STDEV.P($P345:$XX346)/AVERAGE($P345:$XX346)</f>
        <v>0.24206481029975727</v>
      </c>
      <c r="J346" s="7">
        <f t="shared" ref="J346" si="1011">IF(AND(H346&gt;2,
OR(L330="MÉDIA SANEADA",L330="MEDIANA SANEADA",
AND(L330="PREÇO ESTIMADO",NOT(AND(P332="Orçamento",COUNTA(P330:XX330)=COUNTIF(P332:XX332,"Orçamento")))))),
ROW(),0)</f>
        <v>346</v>
      </c>
      <c r="K346" s="66"/>
      <c r="N346" s="71"/>
      <c r="O346" s="27" t="str">
        <f t="shared" ref="O346" si="1012">"5 RODADA"</f>
        <v>5 RODADA</v>
      </c>
      <c r="P346" s="107">
        <f t="shared" ref="P346:AI346" si="1013">IF(P344="","",IF((_xlfn.STDEV.P($P343:$XX344)/AVERAGE($P343:$XX344))&lt;=25%,P344,IF(OR(P344&gt;(AVERAGE($P343:$XX344)+_xlfn.STDEV.P($P343:$XX344)),P344&lt;(AVERAGE($P343:$XX344)-_xlfn.STDEV.P($P343:$XX344))),"DESCARTADO",P344)))</f>
        <v>9.8699999999999992</v>
      </c>
      <c r="Q346" s="107">
        <f t="shared" si="1013"/>
        <v>11.14</v>
      </c>
      <c r="R346" s="107">
        <f t="shared" si="1013"/>
        <v>16.899999999999999</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f t="shared" si="841"/>
        <v>16</v>
      </c>
      <c r="C347" s="128">
        <f t="shared" si="842"/>
        <v>1</v>
      </c>
      <c r="D347" s="127">
        <f t="shared" si="842"/>
        <v>16</v>
      </c>
      <c r="E347" s="201"/>
      <c r="F347" s="93"/>
      <c r="G347" s="203"/>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41"/>
        <v>16</v>
      </c>
      <c r="C348" s="128">
        <f t="shared" si="842"/>
        <v>1</v>
      </c>
      <c r="D348" s="127">
        <f t="shared" si="842"/>
        <v>16</v>
      </c>
      <c r="E348" s="201"/>
      <c r="F348" s="93"/>
      <c r="G348" s="203"/>
      <c r="H348" s="134">
        <f t="shared" ref="H348" si="1015">COUNT($P348:$XX348)</f>
        <v>3</v>
      </c>
      <c r="I348" s="132">
        <f t="shared" ref="I348" si="1016">_xlfn.STDEV.P($P347:$XX348)/AVERAGE($P347:$XX348)</f>
        <v>0.24206481029975727</v>
      </c>
      <c r="J348" s="7">
        <f t="shared" ref="J348" si="1017">IF(AND(H348&gt;2,
OR(L330="MÉDIA SANEADA",L330="MEDIANA SANEADA",
AND(L330="PREÇO ESTIMADO",NOT(AND(P332="Orçamento",COUNTA(P330:XX330)=COUNTIF(P332:XX332,"Orçamento")))))),
ROW(),0)</f>
        <v>348</v>
      </c>
      <c r="N348" s="71"/>
      <c r="O348" s="27" t="str">
        <f t="shared" ref="O348" si="1018">"6 RODADA"</f>
        <v>6 RODADA</v>
      </c>
      <c r="P348" s="107">
        <f t="shared" ref="P348:AI348" si="1019">IFERROR(IF(P346="","",IF((_xlfn.STDEV.P($P345:$XX346)/AVERAGE($P345:$XX346))&lt;=25%,P346,IF(OR(P346&gt;(AVERAGE($P345:$XX346)+_xlfn.STDEV.P($P345:$XX346)),P346&lt;(AVERAGE($P345:$XX346)-_xlfn.STDEV.P($P345:$XX346))),"DESCARTADO",P346))),)</f>
        <v>9.8699999999999992</v>
      </c>
      <c r="Q348" s="107">
        <f t="shared" si="1019"/>
        <v>11.14</v>
      </c>
      <c r="R348" s="107">
        <f t="shared" si="1019"/>
        <v>16.899999999999999</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f t="shared" si="841"/>
        <v>16</v>
      </c>
      <c r="C349" s="128">
        <f t="shared" si="842"/>
        <v>1</v>
      </c>
      <c r="D349" s="127">
        <f t="shared" si="842"/>
        <v>16</v>
      </c>
      <c r="E349" s="201"/>
      <c r="F349" s="136"/>
      <c r="G349" s="203"/>
      <c r="H349" s="206"/>
      <c r="I349" s="206"/>
      <c r="J349" s="207"/>
      <c r="K349" s="67"/>
      <c r="L349" s="1" t="s">
        <v>43</v>
      </c>
      <c r="M349" s="143">
        <f t="shared" ref="M349" si="1020">IFERROR(ROUND(M330*M332,2),"")</f>
        <v>113.76</v>
      </c>
      <c r="O349" s="27" t="s">
        <v>363</v>
      </c>
      <c r="P349" s="107">
        <f t="shared" ref="P349:AI370" si="1021">INDEX(P336:P348,MATCH(MAX($J336:$J348),$J336:$J348,0))</f>
        <v>9.8699999999999992</v>
      </c>
      <c r="Q349" s="107">
        <f t="shared" si="1021"/>
        <v>11.14</v>
      </c>
      <c r="R349" s="107">
        <f t="shared" si="1021"/>
        <v>16.899999999999999</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f t="shared" ref="B351" si="1022">LARGE(IFERROR(IF(B349+1&gt;$H$8,"",B349+1),""),1)</f>
        <v>17</v>
      </c>
      <c r="C351" s="127">
        <f>IF(_xlfn.ISFORMULA(E355),MAX(INDEX('BASE FORMAÇÃO'!A:A,B351+1),1),E355)</f>
        <v>1</v>
      </c>
      <c r="D351" s="127">
        <f t="shared" ref="D351" si="1023">IFERROR(IF(C351=C341,D341+1,1),1)</f>
        <v>17</v>
      </c>
      <c r="E351" s="38" t="s">
        <v>9</v>
      </c>
      <c r="F351" s="73"/>
      <c r="G351" s="38" t="s">
        <v>15</v>
      </c>
      <c r="H351" s="135">
        <f>INDEX('BASE FORMAÇÃO'!B:B,B351+1)</f>
        <v>0</v>
      </c>
      <c r="I351" s="181" t="s">
        <v>16</v>
      </c>
      <c r="J351" s="6">
        <f>INDEX('BASE FORMAÇÃO'!K:K,B351+1)</f>
        <v>0</v>
      </c>
      <c r="K351" s="65"/>
      <c r="L351" s="184" t="s">
        <v>10</v>
      </c>
      <c r="M351" s="186">
        <f t="shared" ref="M351" si="1024">IF(OR(ISBLANK($O$8),ISBLANK($O$7),ISBLANK($H$8),ISBLANK($O$6),ISBLANK($O$5),ISBLANK($H$5)),"",IFERROR(IF(VLOOKUP(L351,L357:M366,2,FALSE)&lt;1,ROUND(VLOOKUP(L351,L357:M366,2,FALSE),4),ROUND(VLOOKUP(L351,L357:M366,2,FALSE),2)),""))</f>
        <v>47.99</v>
      </c>
      <c r="N351" s="69"/>
      <c r="O351" s="27" t="s">
        <v>17</v>
      </c>
      <c r="P351" s="113">
        <v>43.1</v>
      </c>
      <c r="Q351" s="113">
        <v>49.67</v>
      </c>
      <c r="R351" s="113">
        <v>51.2</v>
      </c>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f t="shared" ref="B352:D352" si="1025">B351</f>
        <v>17</v>
      </c>
      <c r="C352" s="128">
        <f t="shared" si="1025"/>
        <v>1</v>
      </c>
      <c r="D352" s="127">
        <f t="shared" si="1025"/>
        <v>17</v>
      </c>
      <c r="E352" s="188">
        <f t="shared" ref="E352" si="1026">D351</f>
        <v>17</v>
      </c>
      <c r="F352" s="92"/>
      <c r="G352" s="190" t="s">
        <v>1</v>
      </c>
      <c r="H352" s="193" t="s">
        <v>498</v>
      </c>
      <c r="I352" s="194"/>
      <c r="J352" s="195"/>
      <c r="K352" s="66"/>
      <c r="L352" s="185"/>
      <c r="M352" s="187"/>
      <c r="N352" s="70"/>
      <c r="O352" s="27" t="s">
        <v>13</v>
      </c>
      <c r="P352" s="122">
        <v>46195</v>
      </c>
      <c r="Q352" s="122">
        <v>46195</v>
      </c>
      <c r="R352" s="122">
        <v>46195</v>
      </c>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f t="shared" ref="B353:D353" si="1027">B352</f>
        <v>17</v>
      </c>
      <c r="C353" s="128">
        <f t="shared" si="1027"/>
        <v>1</v>
      </c>
      <c r="D353" s="127">
        <f t="shared" si="1027"/>
        <v>17</v>
      </c>
      <c r="E353" s="189"/>
      <c r="F353" s="93"/>
      <c r="G353" s="191"/>
      <c r="H353" s="196"/>
      <c r="I353" s="196"/>
      <c r="J353" s="197"/>
      <c r="K353" s="64"/>
      <c r="L353" s="130" t="s">
        <v>44</v>
      </c>
      <c r="M353" s="131">
        <v>17</v>
      </c>
      <c r="N353" s="71"/>
      <c r="O353" s="27" t="s">
        <v>380</v>
      </c>
      <c r="P353" s="114" t="s">
        <v>302</v>
      </c>
      <c r="Q353" s="114" t="s">
        <v>302</v>
      </c>
      <c r="R353" s="114" t="s">
        <v>302</v>
      </c>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f t="shared" ref="B354:C354" si="1028">B353</f>
        <v>17</v>
      </c>
      <c r="C354" s="128">
        <f t="shared" si="1028"/>
        <v>1</v>
      </c>
      <c r="D354" s="127">
        <f t="shared" si="842"/>
        <v>17</v>
      </c>
      <c r="E354" s="38" t="s">
        <v>313</v>
      </c>
      <c r="F354" s="93"/>
      <c r="G354" s="192"/>
      <c r="H354" s="198"/>
      <c r="I354" s="198"/>
      <c r="J354" s="199"/>
      <c r="K354" s="64"/>
      <c r="L354" s="1" t="s">
        <v>2</v>
      </c>
      <c r="M354" s="6" t="s">
        <v>288</v>
      </c>
      <c r="N354" s="71"/>
      <c r="O354" s="27" t="s">
        <v>381</v>
      </c>
      <c r="P354" s="182" t="s">
        <v>499</v>
      </c>
      <c r="Q354" s="182" t="s">
        <v>500</v>
      </c>
      <c r="R354" s="182" t="s">
        <v>501</v>
      </c>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f t="shared" ref="B355:C355" si="1029">B353</f>
        <v>17</v>
      </c>
      <c r="C355" s="128">
        <f t="shared" si="1029"/>
        <v>1</v>
      </c>
      <c r="D355" s="127">
        <f t="shared" si="842"/>
        <v>17</v>
      </c>
      <c r="E355" s="200">
        <f t="shared" ref="E355" si="1030">C351</f>
        <v>1</v>
      </c>
      <c r="F355" s="93"/>
      <c r="G355" s="202" t="s">
        <v>304</v>
      </c>
      <c r="H355" s="204"/>
      <c r="I355" s="205"/>
      <c r="J355" s="205"/>
      <c r="K355" s="67"/>
      <c r="L355" s="28" t="s">
        <v>303</v>
      </c>
      <c r="M355" s="133">
        <f t="shared" ref="M355" si="1031">IFERROR(INDEX(I357:I369,MATCH(MAX(J357:J369),J357:J369,0)),"")</f>
        <v>7.3217669966499602E-2</v>
      </c>
      <c r="N355" s="71"/>
      <c r="O355" s="27" t="s">
        <v>18</v>
      </c>
      <c r="P355" s="106">
        <f>IF(P351="","",
IF(OR(P353="Orçamento",P352="",MAX('Tabela de Apoio'!$A:$A)&lt;=P352),
P351,
(INDEX('Tabela de Apoio'!$B:$B,MATCH('MAPA DE PREÇOS'!$O$8,'Tabela de Apoio'!$A:$A,1))/INDEX('Tabela de Apoio'!$B:$B,MATCH('MAPA DE PREÇOS'!P352,'Tabela de Apoio'!$A:$A,1)-1))*P351))</f>
        <v>43.1</v>
      </c>
      <c r="Q355" s="106">
        <f>IF(Q351="","",
IF(OR(Q353="Orçamento",Q352="",MAX('Tabela de Apoio'!$A:$A)&lt;=Q352),
Q351,
(INDEX('Tabela de Apoio'!$B:$B,MATCH('MAPA DE PREÇOS'!$O$8,'Tabela de Apoio'!$A:$A,1))/INDEX('Tabela de Apoio'!$B:$B,MATCH('MAPA DE PREÇOS'!Q352,'Tabela de Apoio'!$A:$A,1)-1))*Q351))</f>
        <v>49.67</v>
      </c>
      <c r="R355" s="106">
        <f>IF(R351="","",
IF(OR(R353="Orçamento",R352="",MAX('Tabela de Apoio'!$A:$A)&lt;=R352),
R351,
(INDEX('Tabela de Apoio'!$B:$B,MATCH('MAPA DE PREÇOS'!$O$8,'Tabela de Apoio'!$A:$A,1))/INDEX('Tabela de Apoio'!$B:$B,MATCH('MAPA DE PREÇOS'!R352,'Tabela de Apoio'!$A:$A,1)-1))*R351))</f>
        <v>51.2</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f t="shared" ref="B356" si="1032">B355</f>
        <v>17</v>
      </c>
      <c r="C356" s="128">
        <f t="shared" ref="C356" si="1033">C355</f>
        <v>1</v>
      </c>
      <c r="D356" s="127">
        <f t="shared" si="842"/>
        <v>17</v>
      </c>
      <c r="E356" s="201"/>
      <c r="F356" s="93"/>
      <c r="G356" s="203"/>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f t="shared" ref="B357:C357" si="1034">B356</f>
        <v>17</v>
      </c>
      <c r="C357" s="128">
        <f t="shared" si="1034"/>
        <v>1</v>
      </c>
      <c r="D357" s="127">
        <f t="shared" si="842"/>
        <v>17</v>
      </c>
      <c r="E357" s="201"/>
      <c r="F357" s="93"/>
      <c r="G357" s="203"/>
      <c r="H357" s="134">
        <f t="shared" ref="H357" si="1035">COUNT($P357:$XX357)</f>
        <v>3</v>
      </c>
      <c r="I357" s="132">
        <f t="shared" ref="I357" si="1036">_xlfn.STDEV.P($P356:$XX357)/AVERAGE($P356:$XX357)</f>
        <v>7.3217669966499602E-2</v>
      </c>
      <c r="J357" s="7">
        <f>ROW()</f>
        <v>357</v>
      </c>
      <c r="K357" s="67"/>
      <c r="L357" s="29" t="s">
        <v>10</v>
      </c>
      <c r="M357" s="30">
        <f t="shared" ref="M357" si="1037">IFERROR(
IF(COUNTA(P351:AI351)=COUNTIF(P353:XX353,"Orçamento"),MIN(M362,M359),
IF(M360&lt;&gt;"",M360,
IF(M361&lt;&gt;"",M361,
M359
))),"")</f>
        <v>47.990000000000009</v>
      </c>
      <c r="N357" s="71"/>
      <c r="O357" s="27" t="s">
        <v>376</v>
      </c>
      <c r="P357" s="106">
        <f t="shared" ref="P357:AI357" si="1038">IFERROR(IF(P355="",
            "",
            IF(COUNT($P355:$XX355)&lt;=4,
               P355,
               IF(OR(P355&gt;(QUARTILE($P355:$XX355,3)+(QUARTILE($P355:$XX355,3)-QUARTILE($P355:$XX355,1))),
                     P355&lt;(QUARTILE($P355:$XX355,1)-(QUARTILE($P355:$XX355,3)-QUARTILE($P355:$XX355,1)))
                  ),
               "DESCARTADO",P355)
             )
  ),P355)</f>
        <v>43.1</v>
      </c>
      <c r="Q357" s="106">
        <f t="shared" si="1038"/>
        <v>49.67</v>
      </c>
      <c r="R357" s="106">
        <f t="shared" si="1038"/>
        <v>51.2</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f t="shared" ref="B358:B412" si="1039">B357</f>
        <v>17</v>
      </c>
      <c r="C358" s="128">
        <f t="shared" ref="C358:D421" si="1040">C357</f>
        <v>1</v>
      </c>
      <c r="D358" s="127">
        <f t="shared" si="842"/>
        <v>17</v>
      </c>
      <c r="E358" s="201"/>
      <c r="F358" s="93"/>
      <c r="G358" s="203"/>
      <c r="H358"/>
      <c r="I358"/>
      <c r="J358"/>
      <c r="K358" s="66"/>
      <c r="L358" s="29" t="s">
        <v>360</v>
      </c>
      <c r="M358" s="30">
        <f t="shared" ref="M358" si="1041">AVERAGE($P357:$XX357)</f>
        <v>47.990000000000009</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f t="shared" si="1039"/>
        <v>17</v>
      </c>
      <c r="C359" s="128">
        <f t="shared" si="1040"/>
        <v>1</v>
      </c>
      <c r="D359" s="127">
        <f t="shared" si="1040"/>
        <v>17</v>
      </c>
      <c r="E359" s="201"/>
      <c r="F359" s="93"/>
      <c r="G359" s="203"/>
      <c r="H359" s="134">
        <f t="shared" ref="H359" si="1043">COUNT($P359:$XX359)</f>
        <v>3</v>
      </c>
      <c r="I359" s="132">
        <f t="shared" ref="I359" si="1044">_xlfn.STDEV.P($P358:$XX359)/AVERAGE($P358:$XX359)</f>
        <v>7.3217669966499602E-2</v>
      </c>
      <c r="J359" s="7">
        <f t="shared" ref="J359" si="1045">IF(AND(H359&gt;2,
OR(L351="MÉDIA SANEADA",L351="MEDIANA SANEADA",
AND(L351="PREÇO ESTIMADO",NOT(AND(P353="Orçamento",COUNTA(P351:XX351)=COUNTIF(P353:XX353,"Orçamento")))))),
ROW(),0)</f>
        <v>359</v>
      </c>
      <c r="K359" s="66"/>
      <c r="L359" s="29" t="s">
        <v>361</v>
      </c>
      <c r="M359" s="30">
        <f t="shared" ref="M359" si="1046">MEDIAN($P357:$XX357)</f>
        <v>49.67</v>
      </c>
      <c r="N359" s="71"/>
      <c r="O359" s="27" t="str">
        <f t="shared" ref="O359" si="1047">"1 RODADA"</f>
        <v>1 RODADA</v>
      </c>
      <c r="P359" s="107">
        <f t="shared" ref="P359:AI359" si="1048">IF(P357="","",IF((_xlfn.STDEV.P($P356:$XX357)/AVERAGE($P356:$XX357))&lt;=25%,P357,IF(OR(P357&gt;(AVERAGE($P356:$XX357)+_xlfn.STDEV.P($P356:$XX357)),P357&lt;(AVERAGE($P356:$XX357)-_xlfn.STDEV.P($P356:$XX357))),"DESCARTADO",P357)))</f>
        <v>43.1</v>
      </c>
      <c r="Q359" s="107">
        <f t="shared" si="1048"/>
        <v>49.67</v>
      </c>
      <c r="R359" s="107">
        <f t="shared" si="1048"/>
        <v>51.2</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f t="shared" si="1039"/>
        <v>17</v>
      </c>
      <c r="C360" s="128">
        <f t="shared" si="1040"/>
        <v>1</v>
      </c>
      <c r="D360" s="127">
        <f t="shared" si="1040"/>
        <v>17</v>
      </c>
      <c r="E360" s="201"/>
      <c r="F360" s="93"/>
      <c r="G360" s="203"/>
      <c r="H360"/>
      <c r="I360"/>
      <c r="J360"/>
      <c r="L360" s="29" t="s">
        <v>38</v>
      </c>
      <c r="M360" s="30">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47.990000000000009</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f t="shared" si="1039"/>
        <v>17</v>
      </c>
      <c r="C361" s="128">
        <f t="shared" si="1040"/>
        <v>1</v>
      </c>
      <c r="D361" s="127">
        <f t="shared" si="1040"/>
        <v>17</v>
      </c>
      <c r="E361" s="201"/>
      <c r="F361" s="93"/>
      <c r="G361" s="203"/>
      <c r="H361" s="134">
        <f t="shared" ref="H361" si="1051">COUNT($P361:$XX361)</f>
        <v>3</v>
      </c>
      <c r="I361" s="132">
        <f t="shared" ref="I361" si="1052">_xlfn.STDEV.P($P360:$XX361)/AVERAGE($P360:$XX361)</f>
        <v>7.3217669966499602E-2</v>
      </c>
      <c r="J361" s="7">
        <f t="shared" ref="J361" si="1053">IF(AND(H361&gt;2,
OR(L351="MÉDIA SANEADA",L351="MEDIANA SANEADA",
AND(L351="PREÇO ESTIMADO",NOT(AND(P353="Orçamento",COUNTA(P351:XX351)=COUNTIF(P353:XX353,"Orçamento")))))),
ROW(),0)</f>
        <v>361</v>
      </c>
      <c r="K361" s="66"/>
      <c r="L361" s="29" t="s">
        <v>362</v>
      </c>
      <c r="M361" s="30">
        <f t="shared" ref="M361" si="1054" xml:space="preserve">
IF(H359&gt;2,MEDIAN(P358:XX359),
IF(H361&gt;2,MEDIAN(P360:XX361),
IF(H363&gt;2,MEDIAN(P362:XX363),
IF(H365&gt;2,MEDIAN(P364:XX365),
IF(H367&gt;2,MEDIAN(P366:XX367),
IF(H369&gt;2,MEDIAN(P368:XX369),
MEDIAN(P356:XX357)))))))</f>
        <v>49.67</v>
      </c>
      <c r="N361" s="71"/>
      <c r="O361" s="27" t="str">
        <f t="shared" ref="O361" si="1055">"2 RODADA"</f>
        <v>2 RODADA</v>
      </c>
      <c r="P361" s="107">
        <f t="shared" ref="P361:AI361" si="1056">IF(P359="","",IF((_xlfn.STDEV.P($P358:$XX359)/AVERAGE($P358:$XX359))&lt;=25%,P359,IF(OR(P359&gt;(AVERAGE($P358:$XX359)+_xlfn.STDEV.P($P358:$XX359)),P359&lt;(AVERAGE($P358:$XX359)-_xlfn.STDEV.P($P358:$XX359))),"DESCARTADO",P359)))</f>
        <v>43.1</v>
      </c>
      <c r="Q361" s="107">
        <f t="shared" si="1056"/>
        <v>49.67</v>
      </c>
      <c r="R361" s="107">
        <f t="shared" si="1056"/>
        <v>51.2</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f t="shared" si="1039"/>
        <v>17</v>
      </c>
      <c r="C362" s="128">
        <f t="shared" si="1040"/>
        <v>1</v>
      </c>
      <c r="D362" s="127">
        <f t="shared" si="1040"/>
        <v>17</v>
      </c>
      <c r="E362" s="201"/>
      <c r="F362" s="93"/>
      <c r="G362" s="203"/>
      <c r="H362"/>
      <c r="I362"/>
      <c r="J362"/>
      <c r="K362" s="66"/>
      <c r="L362" s="29" t="s">
        <v>359</v>
      </c>
      <c r="M362" s="30">
        <f t="shared" ref="M362" si="1057">HARMEAN($P356:$XX357)</f>
        <v>47.720561268893668</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f t="shared" si="1039"/>
        <v>17</v>
      </c>
      <c r="C363" s="128">
        <f t="shared" si="1040"/>
        <v>1</v>
      </c>
      <c r="D363" s="127">
        <f t="shared" si="1040"/>
        <v>17</v>
      </c>
      <c r="E363" s="201"/>
      <c r="F363" s="93"/>
      <c r="G363" s="203"/>
      <c r="H363" s="134">
        <f t="shared" ref="H363" si="1059">COUNT($P363:$XX363)</f>
        <v>3</v>
      </c>
      <c r="I363" s="132">
        <f t="shared" ref="I363" si="1060">_xlfn.STDEV.P($P362:$XX363)/AVERAGE($P362:$XX363)</f>
        <v>7.3217669966499602E-2</v>
      </c>
      <c r="J363" s="7">
        <f t="shared" ref="J363" si="1061">IF(AND(H363&gt;2,
OR(L351="MÉDIA SANEADA",L351="MEDIANA SANEADA",
AND(L351="PREÇO ESTIMADO",NOT(AND(P353="Orçamento",COUNTA(P351:XX351)=COUNTIF(P353:XX353,"Orçamento")))))),
ROW(),0)</f>
        <v>363</v>
      </c>
      <c r="K363" s="66"/>
      <c r="L363" s="29" t="s">
        <v>41</v>
      </c>
      <c r="M363" s="30">
        <f t="shared" ref="M363" si="1062">IFERROR(_xlfn.QUARTILE.EXC($P357:$XX357,1),"")</f>
        <v>43.1</v>
      </c>
      <c r="N363" s="71"/>
      <c r="O363" s="27" t="str">
        <f t="shared" ref="O363" si="1063">"3 RODADA"</f>
        <v>3 RODADA</v>
      </c>
      <c r="P363" s="107">
        <f t="shared" ref="P363:AI363" si="1064">IF(P361="","",IF((_xlfn.STDEV.P($P360:$XX361)/AVERAGE($P360:$XX361))&lt;=25%,P361,IF(OR(P361&gt;(AVERAGE($P360:$XX361)+_xlfn.STDEV.P($P360:$XX361)),P361&lt;(AVERAGE($P360:$XX361)-_xlfn.STDEV.P($P360:$XX361))),"DESCARTADO",P361)))</f>
        <v>43.1</v>
      </c>
      <c r="Q363" s="107">
        <f t="shared" si="1064"/>
        <v>49.67</v>
      </c>
      <c r="R363" s="107">
        <f t="shared" si="1064"/>
        <v>51.2</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f t="shared" si="1039"/>
        <v>17</v>
      </c>
      <c r="C364" s="128">
        <f t="shared" si="1040"/>
        <v>1</v>
      </c>
      <c r="D364" s="127">
        <f t="shared" si="1040"/>
        <v>17</v>
      </c>
      <c r="E364" s="201"/>
      <c r="F364" s="93"/>
      <c r="G364" s="203"/>
      <c r="H364"/>
      <c r="I364"/>
      <c r="J364"/>
      <c r="K364" s="66"/>
      <c r="L364" s="29" t="s">
        <v>39</v>
      </c>
      <c r="M364" s="30">
        <f t="shared" ref="M364" si="1065">IFERROR(_xlfn.QUARTILE.EXC($P357:$XX357,3),"")</f>
        <v>51.2</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f t="shared" si="1039"/>
        <v>17</v>
      </c>
      <c r="C365" s="128">
        <f t="shared" si="1040"/>
        <v>1</v>
      </c>
      <c r="D365" s="127">
        <f t="shared" si="1040"/>
        <v>17</v>
      </c>
      <c r="E365" s="201"/>
      <c r="F365" s="93"/>
      <c r="G365" s="203"/>
      <c r="H365" s="134">
        <f t="shared" ref="H365" si="1067">COUNT($P365:$XX365)</f>
        <v>3</v>
      </c>
      <c r="I365" s="132">
        <f t="shared" ref="I365" si="1068">_xlfn.STDEV.P($P364:$XX365)/AVERAGE($P364:$XX365)</f>
        <v>7.3217669966499602E-2</v>
      </c>
      <c r="J365" s="7">
        <f t="shared" ref="J365" si="1069">IF(AND(H365&gt;2,
OR(L351="MÉDIA SANEADA",L351="MEDIANA SANEADA",
AND(L351="PREÇO ESTIMADO",NOT(AND(P353="Orçamento",COUNTA(P351:XX351)=COUNTIF(P353:XX353,"Orçamento")))))),
ROW(),0)</f>
        <v>365</v>
      </c>
      <c r="K365" s="66"/>
      <c r="L365" s="29" t="s">
        <v>42</v>
      </c>
      <c r="M365" s="30">
        <f t="shared" ref="M365" si="1070">MIN($P357:$XX357)</f>
        <v>43.1</v>
      </c>
      <c r="N365" s="71"/>
      <c r="O365" s="27" t="str">
        <f t="shared" ref="O365" si="1071">"4 RODADA"</f>
        <v>4 RODADA</v>
      </c>
      <c r="P365" s="107">
        <f t="shared" ref="P365:AI365" si="1072">IF(P363="","",IF((_xlfn.STDEV.P($P362:$XX363)/AVERAGE($P362:$XX363))&lt;=25%,P363,IF(OR(P363&gt;(AVERAGE($P362:$XX363)+_xlfn.STDEV.P($P362:$XX363)),P363&lt;(AVERAGE($P362:$XX363)-_xlfn.STDEV.P($P362:$XX363))),"DESCARTADO",P363)))</f>
        <v>43.1</v>
      </c>
      <c r="Q365" s="107">
        <f t="shared" si="1072"/>
        <v>49.67</v>
      </c>
      <c r="R365" s="107">
        <f t="shared" si="1072"/>
        <v>51.2</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f t="shared" si="1039"/>
        <v>17</v>
      </c>
      <c r="C366" s="128">
        <f t="shared" si="1040"/>
        <v>1</v>
      </c>
      <c r="D366" s="127">
        <f t="shared" si="1040"/>
        <v>17</v>
      </c>
      <c r="E366" s="201"/>
      <c r="F366" s="93"/>
      <c r="G366" s="203"/>
      <c r="H366"/>
      <c r="I366"/>
      <c r="J366"/>
      <c r="K366" s="66"/>
      <c r="L366" s="29" t="s">
        <v>40</v>
      </c>
      <c r="M366" s="30">
        <f t="shared" ref="M366" si="1073">MAX($P357:$XX357)</f>
        <v>51.2</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f t="shared" si="1039"/>
        <v>17</v>
      </c>
      <c r="C367" s="128">
        <f t="shared" si="1040"/>
        <v>1</v>
      </c>
      <c r="D367" s="127">
        <f t="shared" si="1040"/>
        <v>17</v>
      </c>
      <c r="E367" s="201"/>
      <c r="F367" s="93"/>
      <c r="G367" s="203"/>
      <c r="H367" s="134">
        <f t="shared" ref="H367" si="1075">COUNT($P367:$XX367)</f>
        <v>3</v>
      </c>
      <c r="I367" s="132">
        <f t="shared" ref="I367" si="1076">_xlfn.STDEV.P($P366:$XX367)/AVERAGE($P366:$XX367)</f>
        <v>7.3217669966499602E-2</v>
      </c>
      <c r="J367" s="7">
        <f t="shared" ref="J367" si="1077">IF(AND(H367&gt;2,
OR(L351="MÉDIA SANEADA",L351="MEDIANA SANEADA",
AND(L351="PREÇO ESTIMADO",NOT(AND(P353="Orçamento",COUNTA(P351:XX351)=COUNTIF(P353:XX353,"Orçamento")))))),
ROW(),0)</f>
        <v>367</v>
      </c>
      <c r="K367" s="66"/>
      <c r="N367" s="71"/>
      <c r="O367" s="27" t="str">
        <f t="shared" ref="O367" si="1078">"5 RODADA"</f>
        <v>5 RODADA</v>
      </c>
      <c r="P367" s="107">
        <f t="shared" ref="P367:AI367" si="1079">IF(P365="","",IF((_xlfn.STDEV.P($P364:$XX365)/AVERAGE($P364:$XX365))&lt;=25%,P365,IF(OR(P365&gt;(AVERAGE($P364:$XX365)+_xlfn.STDEV.P($P364:$XX365)),P365&lt;(AVERAGE($P364:$XX365)-_xlfn.STDEV.P($P364:$XX365))),"DESCARTADO",P365)))</f>
        <v>43.1</v>
      </c>
      <c r="Q367" s="107">
        <f t="shared" si="1079"/>
        <v>49.67</v>
      </c>
      <c r="R367" s="107">
        <f t="shared" si="1079"/>
        <v>51.2</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f t="shared" si="1039"/>
        <v>17</v>
      </c>
      <c r="C368" s="128">
        <f t="shared" si="1040"/>
        <v>1</v>
      </c>
      <c r="D368" s="127">
        <f t="shared" si="1040"/>
        <v>17</v>
      </c>
      <c r="E368" s="201"/>
      <c r="F368" s="93"/>
      <c r="G368" s="203"/>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f t="shared" si="1039"/>
        <v>17</v>
      </c>
      <c r="C369" s="128">
        <f t="shared" si="1040"/>
        <v>1</v>
      </c>
      <c r="D369" s="127">
        <f t="shared" si="1040"/>
        <v>17</v>
      </c>
      <c r="E369" s="201"/>
      <c r="F369" s="93"/>
      <c r="G369" s="203"/>
      <c r="H369" s="134">
        <f t="shared" ref="H369" si="1081">COUNT($P369:$XX369)</f>
        <v>3</v>
      </c>
      <c r="I369" s="132">
        <f t="shared" ref="I369" si="1082">_xlfn.STDEV.P($P368:$XX369)/AVERAGE($P368:$XX369)</f>
        <v>7.3217669966499602E-2</v>
      </c>
      <c r="J369" s="7">
        <f t="shared" ref="J369" si="1083">IF(AND(H369&gt;2,
OR(L351="MÉDIA SANEADA",L351="MEDIANA SANEADA",
AND(L351="PREÇO ESTIMADO",NOT(AND(P353="Orçamento",COUNTA(P351:XX351)=COUNTIF(P353:XX353,"Orçamento")))))),
ROW(),0)</f>
        <v>369</v>
      </c>
      <c r="N369" s="71"/>
      <c r="O369" s="27" t="str">
        <f t="shared" ref="O369" si="1084">"6 RODADA"</f>
        <v>6 RODADA</v>
      </c>
      <c r="P369" s="107">
        <f t="shared" ref="P369:AI369" si="1085">IFERROR(IF(P367="","",IF((_xlfn.STDEV.P($P366:$XX367)/AVERAGE($P366:$XX367))&lt;=25%,P367,IF(OR(P367&gt;(AVERAGE($P366:$XX367)+_xlfn.STDEV.P($P366:$XX367)),P367&lt;(AVERAGE($P366:$XX367)-_xlfn.STDEV.P($P366:$XX367))),"DESCARTADO",P367))),)</f>
        <v>43.1</v>
      </c>
      <c r="Q369" s="107">
        <f t="shared" si="1085"/>
        <v>49.67</v>
      </c>
      <c r="R369" s="107">
        <f t="shared" si="1085"/>
        <v>51.2</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f t="shared" si="1039"/>
        <v>17</v>
      </c>
      <c r="C370" s="128">
        <f t="shared" si="1040"/>
        <v>1</v>
      </c>
      <c r="D370" s="127">
        <f t="shared" si="1040"/>
        <v>17</v>
      </c>
      <c r="E370" s="201"/>
      <c r="F370" s="136"/>
      <c r="G370" s="203"/>
      <c r="H370" s="206"/>
      <c r="I370" s="206"/>
      <c r="J370" s="207"/>
      <c r="K370" s="67"/>
      <c r="L370" s="1" t="s">
        <v>43</v>
      </c>
      <c r="M370" s="143">
        <f t="shared" ref="M370" si="1086">IFERROR(ROUND(M351*M353,2),"")</f>
        <v>815.83</v>
      </c>
      <c r="O370" s="27" t="s">
        <v>363</v>
      </c>
      <c r="P370" s="107">
        <f t="shared" ref="P370:R370" si="1087">INDEX(P357:P369,MATCH(MAX($J357:$J369),$J357:$J369,0))</f>
        <v>43.1</v>
      </c>
      <c r="Q370" s="107">
        <f t="shared" si="1087"/>
        <v>49.67</v>
      </c>
      <c r="R370" s="107">
        <f t="shared" si="1087"/>
        <v>51.2</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f t="shared" ref="B372" si="1088">LARGE(IFERROR(IF(B370+1&gt;$H$8,"",B370+1),""),1)</f>
        <v>18</v>
      </c>
      <c r="C372" s="127">
        <f>IF(_xlfn.ISFORMULA(E376),MAX(INDEX('BASE FORMAÇÃO'!A:A,B372+1),1),E376)</f>
        <v>1</v>
      </c>
      <c r="D372" s="127">
        <f t="shared" ref="D372" si="1089">IFERROR(IF(C372=C362,D362+1,1),1)</f>
        <v>18</v>
      </c>
      <c r="E372" s="38" t="s">
        <v>9</v>
      </c>
      <c r="F372" s="73"/>
      <c r="G372" s="38" t="s">
        <v>15</v>
      </c>
      <c r="H372" s="135">
        <f>INDEX('BASE FORMAÇÃO'!B:B,B372+1)</f>
        <v>0</v>
      </c>
      <c r="I372" s="181" t="s">
        <v>16</v>
      </c>
      <c r="J372" s="6">
        <f>INDEX('BASE FORMAÇÃO'!K:K,B372+1)</f>
        <v>0</v>
      </c>
      <c r="K372" s="65"/>
      <c r="L372" s="184" t="s">
        <v>10</v>
      </c>
      <c r="M372" s="186">
        <f t="shared" ref="M372" si="1090">IF(OR(ISBLANK($O$8),ISBLANK($O$7),ISBLANK($H$8),ISBLANK($O$6),ISBLANK($O$5),ISBLANK($H$5)),"",IFERROR(IF(VLOOKUP(L372,L378:M387,2,FALSE)&lt;1,ROUND(VLOOKUP(L372,L378:M387,2,FALSE),4),ROUND(VLOOKUP(L372,L378:M387,2,FALSE),2)),""))</f>
        <v>38.299999999999997</v>
      </c>
      <c r="N372" s="69"/>
      <c r="O372" s="27" t="s">
        <v>17</v>
      </c>
      <c r="P372" s="113">
        <v>34.18</v>
      </c>
      <c r="Q372" s="113">
        <v>37.729999999999997</v>
      </c>
      <c r="R372" s="113">
        <v>43</v>
      </c>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f t="shared" ref="B373:D373" si="1091">B372</f>
        <v>18</v>
      </c>
      <c r="C373" s="128">
        <f t="shared" si="1091"/>
        <v>1</v>
      </c>
      <c r="D373" s="127">
        <f t="shared" si="1091"/>
        <v>18</v>
      </c>
      <c r="E373" s="188">
        <f t="shared" ref="E373" si="1092">D372</f>
        <v>18</v>
      </c>
      <c r="F373" s="92"/>
      <c r="G373" s="190" t="s">
        <v>1</v>
      </c>
      <c r="H373" s="193" t="s">
        <v>502</v>
      </c>
      <c r="I373" s="194"/>
      <c r="J373" s="195"/>
      <c r="K373" s="66"/>
      <c r="L373" s="185"/>
      <c r="M373" s="187"/>
      <c r="N373" s="70"/>
      <c r="O373" s="27" t="s">
        <v>13</v>
      </c>
      <c r="P373" s="122">
        <v>46195</v>
      </c>
      <c r="Q373" s="122">
        <v>46195</v>
      </c>
      <c r="R373" s="122">
        <v>46195</v>
      </c>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f t="shared" ref="B374:D374" si="1093">B373</f>
        <v>18</v>
      </c>
      <c r="C374" s="128">
        <f t="shared" si="1093"/>
        <v>1</v>
      </c>
      <c r="D374" s="127">
        <f t="shared" si="1093"/>
        <v>18</v>
      </c>
      <c r="E374" s="189"/>
      <c r="F374" s="93"/>
      <c r="G374" s="191"/>
      <c r="H374" s="196"/>
      <c r="I374" s="196"/>
      <c r="J374" s="197"/>
      <c r="K374" s="64"/>
      <c r="L374" s="130" t="s">
        <v>44</v>
      </c>
      <c r="M374" s="131">
        <v>4</v>
      </c>
      <c r="N374" s="71"/>
      <c r="O374" s="27" t="s">
        <v>380</v>
      </c>
      <c r="P374" s="114" t="s">
        <v>302</v>
      </c>
      <c r="Q374" s="114" t="s">
        <v>302</v>
      </c>
      <c r="R374" s="114" t="s">
        <v>302</v>
      </c>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f t="shared" ref="B375:C375" si="1094">B374</f>
        <v>18</v>
      </c>
      <c r="C375" s="128">
        <f t="shared" si="1094"/>
        <v>1</v>
      </c>
      <c r="D375" s="127">
        <f t="shared" si="1040"/>
        <v>18</v>
      </c>
      <c r="E375" s="38" t="s">
        <v>313</v>
      </c>
      <c r="F375" s="93"/>
      <c r="G375" s="192"/>
      <c r="H375" s="198"/>
      <c r="I375" s="198"/>
      <c r="J375" s="199"/>
      <c r="K375" s="64"/>
      <c r="L375" s="1" t="s">
        <v>2</v>
      </c>
      <c r="M375" s="6" t="s">
        <v>288</v>
      </c>
      <c r="N375" s="71"/>
      <c r="O375" s="27" t="s">
        <v>381</v>
      </c>
      <c r="P375" s="182" t="s">
        <v>503</v>
      </c>
      <c r="Q375" s="182" t="s">
        <v>504</v>
      </c>
      <c r="R375" s="182" t="s">
        <v>505</v>
      </c>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f t="shared" ref="B376:C376" si="1095">B374</f>
        <v>18</v>
      </c>
      <c r="C376" s="128">
        <f t="shared" si="1095"/>
        <v>1</v>
      </c>
      <c r="D376" s="127">
        <f t="shared" si="1040"/>
        <v>18</v>
      </c>
      <c r="E376" s="200">
        <f t="shared" ref="E376" si="1096">C372</f>
        <v>1</v>
      </c>
      <c r="F376" s="93"/>
      <c r="G376" s="202" t="s">
        <v>304</v>
      </c>
      <c r="H376" s="204"/>
      <c r="I376" s="205"/>
      <c r="J376" s="205"/>
      <c r="K376" s="67"/>
      <c r="L376" s="28" t="s">
        <v>303</v>
      </c>
      <c r="M376" s="133">
        <f t="shared" ref="M376" si="1097">IFERROR(INDEX(I378:I390,MATCH(MAX(J378:J390),J378:J390,0)),"")</f>
        <v>9.4600133742774636E-2</v>
      </c>
      <c r="N376" s="71"/>
      <c r="O376" s="27" t="s">
        <v>18</v>
      </c>
      <c r="P376" s="106">
        <f>IF(P372="","",
IF(OR(P374="Orçamento",P373="",MAX('Tabela de Apoio'!$A:$A)&lt;=P373),
P372,
(INDEX('Tabela de Apoio'!$B:$B,MATCH('MAPA DE PREÇOS'!$O$8,'Tabela de Apoio'!$A:$A,1))/INDEX('Tabela de Apoio'!$B:$B,MATCH('MAPA DE PREÇOS'!P373,'Tabela de Apoio'!$A:$A,1)-1))*P372))</f>
        <v>34.18</v>
      </c>
      <c r="Q376" s="106">
        <f>IF(Q372="","",
IF(OR(Q374="Orçamento",Q373="",MAX('Tabela de Apoio'!$A:$A)&lt;=Q373),
Q372,
(INDEX('Tabela de Apoio'!$B:$B,MATCH('MAPA DE PREÇOS'!$O$8,'Tabela de Apoio'!$A:$A,1))/INDEX('Tabela de Apoio'!$B:$B,MATCH('MAPA DE PREÇOS'!Q373,'Tabela de Apoio'!$A:$A,1)-1))*Q372))</f>
        <v>37.729999999999997</v>
      </c>
      <c r="R376" s="106">
        <f>IF(R372="","",
IF(OR(R374="Orçamento",R373="",MAX('Tabela de Apoio'!$A:$A)&lt;=R373),
R372,
(INDEX('Tabela de Apoio'!$B:$B,MATCH('MAPA DE PREÇOS'!$O$8,'Tabela de Apoio'!$A:$A,1))/INDEX('Tabela de Apoio'!$B:$B,MATCH('MAPA DE PREÇOS'!R373,'Tabela de Apoio'!$A:$A,1)-1))*R372))</f>
        <v>43</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f t="shared" ref="B377" si="1098">B376</f>
        <v>18</v>
      </c>
      <c r="C377" s="128">
        <f t="shared" ref="C377" si="1099">C376</f>
        <v>1</v>
      </c>
      <c r="D377" s="127">
        <f t="shared" si="1040"/>
        <v>18</v>
      </c>
      <c r="E377" s="201"/>
      <c r="F377" s="93"/>
      <c r="G377" s="203"/>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f t="shared" ref="B378:C378" si="1100">B377</f>
        <v>18</v>
      </c>
      <c r="C378" s="128">
        <f t="shared" si="1100"/>
        <v>1</v>
      </c>
      <c r="D378" s="127">
        <f t="shared" si="1040"/>
        <v>18</v>
      </c>
      <c r="E378" s="201"/>
      <c r="F378" s="93"/>
      <c r="G378" s="203"/>
      <c r="H378" s="134">
        <f t="shared" ref="H378" si="1101">COUNT($P378:$XX378)</f>
        <v>3</v>
      </c>
      <c r="I378" s="132">
        <f t="shared" ref="I378" si="1102">_xlfn.STDEV.P($P377:$XX378)/AVERAGE($P377:$XX378)</f>
        <v>9.4600133742774636E-2</v>
      </c>
      <c r="J378" s="7">
        <f>ROW()</f>
        <v>378</v>
      </c>
      <c r="K378" s="67"/>
      <c r="L378" s="29" t="s">
        <v>10</v>
      </c>
      <c r="M378" s="30">
        <f t="shared" ref="M378" si="1103">IFERROR(
IF(COUNTA(P372:AI372)=COUNTIF(P374:XX374,"Orçamento"),MIN(M383,M380),
IF(M381&lt;&gt;"",M381,
IF(M382&lt;&gt;"",M382,
M380
))),"")</f>
        <v>38.303333333333335</v>
      </c>
      <c r="N378" s="71"/>
      <c r="O378" s="27" t="s">
        <v>376</v>
      </c>
      <c r="P378" s="106">
        <f t="shared" ref="P378:AI378" si="1104">IFERROR(IF(P376="",
            "",
            IF(COUNT($P376:$XX376)&lt;=4,
               P376,
               IF(OR(P376&gt;(QUARTILE($P376:$XX376,3)+(QUARTILE($P376:$XX376,3)-QUARTILE($P376:$XX376,1))),
                     P376&lt;(QUARTILE($P376:$XX376,1)-(QUARTILE($P376:$XX376,3)-QUARTILE($P376:$XX376,1)))
                  ),
               "DESCARTADO",P376)
             )
  ),P376)</f>
        <v>34.18</v>
      </c>
      <c r="Q378" s="106">
        <f t="shared" si="1104"/>
        <v>37.729999999999997</v>
      </c>
      <c r="R378" s="106">
        <f t="shared" si="1104"/>
        <v>43</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f t="shared" ref="B379" si="1105">B378</f>
        <v>18</v>
      </c>
      <c r="C379" s="128">
        <f t="shared" ref="C379" si="1106">C378</f>
        <v>1</v>
      </c>
      <c r="D379" s="127">
        <f t="shared" si="1040"/>
        <v>18</v>
      </c>
      <c r="E379" s="201"/>
      <c r="F379" s="93"/>
      <c r="G379" s="203"/>
      <c r="H379"/>
      <c r="I379"/>
      <c r="J379"/>
      <c r="K379" s="66"/>
      <c r="L379" s="29" t="s">
        <v>360</v>
      </c>
      <c r="M379" s="30">
        <f t="shared" ref="M379" si="1107">AVERAGE($P378:$XX378)</f>
        <v>38.303333333333335</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f t="shared" si="1039"/>
        <v>18</v>
      </c>
      <c r="C380" s="128">
        <f t="shared" si="1040"/>
        <v>1</v>
      </c>
      <c r="D380" s="127">
        <f t="shared" si="1040"/>
        <v>18</v>
      </c>
      <c r="E380" s="201"/>
      <c r="F380" s="93"/>
      <c r="G380" s="203"/>
      <c r="H380" s="134">
        <f t="shared" ref="H380" si="1109">COUNT($P380:$XX380)</f>
        <v>3</v>
      </c>
      <c r="I380" s="132">
        <f t="shared" ref="I380" si="1110">_xlfn.STDEV.P($P379:$XX380)/AVERAGE($P379:$XX380)</f>
        <v>9.4600133742774636E-2</v>
      </c>
      <c r="J380" s="7">
        <f t="shared" ref="J380" si="1111">IF(AND(H380&gt;2,
OR(L372="MÉDIA SANEADA",L372="MEDIANA SANEADA",
AND(L372="PREÇO ESTIMADO",NOT(AND(P374="Orçamento",COUNTA(P372:XX372)=COUNTIF(P374:XX374,"Orçamento")))))),
ROW(),0)</f>
        <v>380</v>
      </c>
      <c r="K380" s="66"/>
      <c r="L380" s="29" t="s">
        <v>361</v>
      </c>
      <c r="M380" s="30">
        <f t="shared" ref="M380" si="1112">MEDIAN($P378:$XX378)</f>
        <v>37.729999999999997</v>
      </c>
      <c r="N380" s="71"/>
      <c r="O380" s="27" t="str">
        <f t="shared" ref="O380" si="1113">"1 RODADA"</f>
        <v>1 RODADA</v>
      </c>
      <c r="P380" s="107">
        <f t="shared" ref="P380:AI380" si="1114">IF(P378="","",IF((_xlfn.STDEV.P($P377:$XX378)/AVERAGE($P377:$XX378))&lt;=25%,P378,IF(OR(P378&gt;(AVERAGE($P377:$XX378)+_xlfn.STDEV.P($P377:$XX378)),P378&lt;(AVERAGE($P377:$XX378)-_xlfn.STDEV.P($P377:$XX378))),"DESCARTADO",P378)))</f>
        <v>34.18</v>
      </c>
      <c r="Q380" s="107">
        <f t="shared" si="1114"/>
        <v>37.729999999999997</v>
      </c>
      <c r="R380" s="107">
        <f t="shared" si="1114"/>
        <v>43</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f t="shared" si="1039"/>
        <v>18</v>
      </c>
      <c r="C381" s="128">
        <f t="shared" si="1040"/>
        <v>1</v>
      </c>
      <c r="D381" s="127">
        <f t="shared" si="1040"/>
        <v>18</v>
      </c>
      <c r="E381" s="201"/>
      <c r="F381" s="93"/>
      <c r="G381" s="203"/>
      <c r="H381"/>
      <c r="I381"/>
      <c r="J381"/>
      <c r="L381" s="29" t="s">
        <v>38</v>
      </c>
      <c r="M381" s="30">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38.303333333333335</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f t="shared" si="1039"/>
        <v>18</v>
      </c>
      <c r="C382" s="128">
        <f t="shared" si="1040"/>
        <v>1</v>
      </c>
      <c r="D382" s="127">
        <f t="shared" si="1040"/>
        <v>18</v>
      </c>
      <c r="E382" s="201"/>
      <c r="F382" s="93"/>
      <c r="G382" s="203"/>
      <c r="H382" s="134">
        <f t="shared" ref="H382" si="1117">COUNT($P382:$XX382)</f>
        <v>3</v>
      </c>
      <c r="I382" s="132">
        <f t="shared" ref="I382" si="1118">_xlfn.STDEV.P($P381:$XX382)/AVERAGE($P381:$XX382)</f>
        <v>9.4600133742774636E-2</v>
      </c>
      <c r="J382" s="7">
        <f t="shared" ref="J382" si="1119">IF(AND(H382&gt;2,
OR(L372="MÉDIA SANEADA",L372="MEDIANA SANEADA",
AND(L372="PREÇO ESTIMADO",NOT(AND(P374="Orçamento",COUNTA(P372:XX372)=COUNTIF(P374:XX374,"Orçamento")))))),
ROW(),0)</f>
        <v>382</v>
      </c>
      <c r="K382" s="66"/>
      <c r="L382" s="29" t="s">
        <v>362</v>
      </c>
      <c r="M382" s="30">
        <f t="shared" ref="M382" si="1120" xml:space="preserve">
IF(H380&gt;2,MEDIAN(P379:XX380),
IF(H382&gt;2,MEDIAN(P381:XX382),
IF(H384&gt;2,MEDIAN(P383:XX384),
IF(H386&gt;2,MEDIAN(P385:XX386),
IF(H388&gt;2,MEDIAN(P387:XX388),
IF(H390&gt;2,MEDIAN(P389:XX390),
MEDIAN(P377:XX378)))))))</f>
        <v>37.729999999999997</v>
      </c>
      <c r="N382" s="71"/>
      <c r="O382" s="27" t="str">
        <f t="shared" ref="O382" si="1121">"2 RODADA"</f>
        <v>2 RODADA</v>
      </c>
      <c r="P382" s="107">
        <f t="shared" ref="P382:AI382" si="1122">IF(P380="","",IF((_xlfn.STDEV.P($P379:$XX380)/AVERAGE($P379:$XX380))&lt;=25%,P380,IF(OR(P380&gt;(AVERAGE($P379:$XX380)+_xlfn.STDEV.P($P379:$XX380)),P380&lt;(AVERAGE($P379:$XX380)-_xlfn.STDEV.P($P379:$XX380))),"DESCARTADO",P380)))</f>
        <v>34.18</v>
      </c>
      <c r="Q382" s="107">
        <f t="shared" si="1122"/>
        <v>37.729999999999997</v>
      </c>
      <c r="R382" s="107">
        <f t="shared" si="1122"/>
        <v>43</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f t="shared" si="1039"/>
        <v>18</v>
      </c>
      <c r="C383" s="128">
        <f t="shared" si="1040"/>
        <v>1</v>
      </c>
      <c r="D383" s="127">
        <f t="shared" si="1040"/>
        <v>18</v>
      </c>
      <c r="E383" s="201"/>
      <c r="F383" s="93"/>
      <c r="G383" s="203"/>
      <c r="H383"/>
      <c r="I383"/>
      <c r="J383"/>
      <c r="K383" s="66"/>
      <c r="L383" s="29" t="s">
        <v>359</v>
      </c>
      <c r="M383" s="30">
        <f t="shared" ref="M383" si="1123">HARMEAN($P377:$XX378)</f>
        <v>37.966610854761988</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f t="shared" si="1039"/>
        <v>18</v>
      </c>
      <c r="C384" s="128">
        <f t="shared" si="1040"/>
        <v>1</v>
      </c>
      <c r="D384" s="127">
        <f t="shared" si="1040"/>
        <v>18</v>
      </c>
      <c r="E384" s="201"/>
      <c r="F384" s="93"/>
      <c r="G384" s="203"/>
      <c r="H384" s="134">
        <f t="shared" ref="H384" si="1125">COUNT($P384:$XX384)</f>
        <v>3</v>
      </c>
      <c r="I384" s="132">
        <f t="shared" ref="I384" si="1126">_xlfn.STDEV.P($P383:$XX384)/AVERAGE($P383:$XX384)</f>
        <v>9.4600133742774636E-2</v>
      </c>
      <c r="J384" s="7">
        <f t="shared" ref="J384" si="1127">IF(AND(H384&gt;2,
OR(L372="MÉDIA SANEADA",L372="MEDIANA SANEADA",
AND(L372="PREÇO ESTIMADO",NOT(AND(P374="Orçamento",COUNTA(P372:XX372)=COUNTIF(P374:XX374,"Orçamento")))))),
ROW(),0)</f>
        <v>384</v>
      </c>
      <c r="K384" s="66"/>
      <c r="L384" s="29" t="s">
        <v>41</v>
      </c>
      <c r="M384" s="30">
        <f t="shared" ref="M384" si="1128">IFERROR(_xlfn.QUARTILE.EXC($P378:$XX378,1),"")</f>
        <v>34.18</v>
      </c>
      <c r="N384" s="71"/>
      <c r="O384" s="27" t="str">
        <f t="shared" ref="O384" si="1129">"3 RODADA"</f>
        <v>3 RODADA</v>
      </c>
      <c r="P384" s="107">
        <f t="shared" ref="P384:AI384" si="1130">IF(P382="","",IF((_xlfn.STDEV.P($P381:$XX382)/AVERAGE($P381:$XX382))&lt;=25%,P382,IF(OR(P382&gt;(AVERAGE($P381:$XX382)+_xlfn.STDEV.P($P381:$XX382)),P382&lt;(AVERAGE($P381:$XX382)-_xlfn.STDEV.P($P381:$XX382))),"DESCARTADO",P382)))</f>
        <v>34.18</v>
      </c>
      <c r="Q384" s="107">
        <f t="shared" si="1130"/>
        <v>37.729999999999997</v>
      </c>
      <c r="R384" s="107">
        <f t="shared" si="1130"/>
        <v>43</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f t="shared" si="1039"/>
        <v>18</v>
      </c>
      <c r="C385" s="128">
        <f t="shared" si="1040"/>
        <v>1</v>
      </c>
      <c r="D385" s="127">
        <f t="shared" si="1040"/>
        <v>18</v>
      </c>
      <c r="E385" s="201"/>
      <c r="F385" s="93"/>
      <c r="G385" s="203"/>
      <c r="H385"/>
      <c r="I385"/>
      <c r="J385"/>
      <c r="K385" s="66"/>
      <c r="L385" s="29" t="s">
        <v>39</v>
      </c>
      <c r="M385" s="30">
        <f t="shared" ref="M385" si="1131">IFERROR(_xlfn.QUARTILE.EXC($P378:$XX378,3),"")</f>
        <v>43</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f t="shared" si="1039"/>
        <v>18</v>
      </c>
      <c r="C386" s="128">
        <f t="shared" si="1040"/>
        <v>1</v>
      </c>
      <c r="D386" s="127">
        <f t="shared" si="1040"/>
        <v>18</v>
      </c>
      <c r="E386" s="201"/>
      <c r="F386" s="93"/>
      <c r="G386" s="203"/>
      <c r="H386" s="134">
        <f t="shared" ref="H386" si="1133">COUNT($P386:$XX386)</f>
        <v>3</v>
      </c>
      <c r="I386" s="132">
        <f t="shared" ref="I386" si="1134">_xlfn.STDEV.P($P385:$XX386)/AVERAGE($P385:$XX386)</f>
        <v>9.4600133742774636E-2</v>
      </c>
      <c r="J386" s="7">
        <f t="shared" ref="J386" si="1135">IF(AND(H386&gt;2,
OR(L372="MÉDIA SANEADA",L372="MEDIANA SANEADA",
AND(L372="PREÇO ESTIMADO",NOT(AND(P374="Orçamento",COUNTA(P372:XX372)=COUNTIF(P374:XX374,"Orçamento")))))),
ROW(),0)</f>
        <v>386</v>
      </c>
      <c r="K386" s="66"/>
      <c r="L386" s="29" t="s">
        <v>42</v>
      </c>
      <c r="M386" s="30">
        <f t="shared" ref="M386" si="1136">MIN($P378:$XX378)</f>
        <v>34.18</v>
      </c>
      <c r="N386" s="71"/>
      <c r="O386" s="27" t="str">
        <f t="shared" ref="O386" si="1137">"4 RODADA"</f>
        <v>4 RODADA</v>
      </c>
      <c r="P386" s="107">
        <f t="shared" ref="P386:AI386" si="1138">IF(P384="","",IF((_xlfn.STDEV.P($P383:$XX384)/AVERAGE($P383:$XX384))&lt;=25%,P384,IF(OR(P384&gt;(AVERAGE($P383:$XX384)+_xlfn.STDEV.P($P383:$XX384)),P384&lt;(AVERAGE($P383:$XX384)-_xlfn.STDEV.P($P383:$XX384))),"DESCARTADO",P384)))</f>
        <v>34.18</v>
      </c>
      <c r="Q386" s="107">
        <f t="shared" si="1138"/>
        <v>37.729999999999997</v>
      </c>
      <c r="R386" s="107">
        <f t="shared" si="1138"/>
        <v>43</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f t="shared" si="1039"/>
        <v>18</v>
      </c>
      <c r="C387" s="128">
        <f t="shared" si="1040"/>
        <v>1</v>
      </c>
      <c r="D387" s="127">
        <f t="shared" si="1040"/>
        <v>18</v>
      </c>
      <c r="E387" s="201"/>
      <c r="F387" s="93"/>
      <c r="G387" s="203"/>
      <c r="H387"/>
      <c r="I387"/>
      <c r="J387"/>
      <c r="K387" s="66"/>
      <c r="L387" s="29" t="s">
        <v>40</v>
      </c>
      <c r="M387" s="30">
        <f t="shared" ref="M387" si="1139">MAX($P378:$XX378)</f>
        <v>43</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f t="shared" si="1039"/>
        <v>18</v>
      </c>
      <c r="C388" s="128">
        <f t="shared" si="1040"/>
        <v>1</v>
      </c>
      <c r="D388" s="127">
        <f t="shared" si="1040"/>
        <v>18</v>
      </c>
      <c r="E388" s="201"/>
      <c r="F388" s="93"/>
      <c r="G388" s="203"/>
      <c r="H388" s="134">
        <f t="shared" ref="H388" si="1141">COUNT($P388:$XX388)</f>
        <v>3</v>
      </c>
      <c r="I388" s="132">
        <f t="shared" ref="I388" si="1142">_xlfn.STDEV.P($P387:$XX388)/AVERAGE($P387:$XX388)</f>
        <v>9.4600133742774636E-2</v>
      </c>
      <c r="J388" s="7">
        <f t="shared" ref="J388" si="1143">IF(AND(H388&gt;2,
OR(L372="MÉDIA SANEADA",L372="MEDIANA SANEADA",
AND(L372="PREÇO ESTIMADO",NOT(AND(P374="Orçamento",COUNTA(P372:XX372)=COUNTIF(P374:XX374,"Orçamento")))))),
ROW(),0)</f>
        <v>388</v>
      </c>
      <c r="K388" s="66"/>
      <c r="N388" s="71"/>
      <c r="O388" s="27" t="str">
        <f t="shared" ref="O388" si="1144">"5 RODADA"</f>
        <v>5 RODADA</v>
      </c>
      <c r="P388" s="107">
        <f t="shared" ref="P388:AI388" si="1145">IF(P386="","",IF((_xlfn.STDEV.P($P385:$XX386)/AVERAGE($P385:$XX386))&lt;=25%,P386,IF(OR(P386&gt;(AVERAGE($P385:$XX386)+_xlfn.STDEV.P($P385:$XX386)),P386&lt;(AVERAGE($P385:$XX386)-_xlfn.STDEV.P($P385:$XX386))),"DESCARTADO",P386)))</f>
        <v>34.18</v>
      </c>
      <c r="Q388" s="107">
        <f t="shared" si="1145"/>
        <v>37.729999999999997</v>
      </c>
      <c r="R388" s="107">
        <f t="shared" si="1145"/>
        <v>43</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f t="shared" si="1039"/>
        <v>18</v>
      </c>
      <c r="C389" s="128">
        <f t="shared" si="1040"/>
        <v>1</v>
      </c>
      <c r="D389" s="127">
        <f t="shared" si="1040"/>
        <v>18</v>
      </c>
      <c r="E389" s="201"/>
      <c r="F389" s="93"/>
      <c r="G389" s="203"/>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f t="shared" si="1039"/>
        <v>18</v>
      </c>
      <c r="C390" s="128">
        <f t="shared" si="1040"/>
        <v>1</v>
      </c>
      <c r="D390" s="127">
        <f t="shared" si="1040"/>
        <v>18</v>
      </c>
      <c r="E390" s="201"/>
      <c r="F390" s="93"/>
      <c r="G390" s="203"/>
      <c r="H390" s="134">
        <f t="shared" ref="H390" si="1147">COUNT($P390:$XX390)</f>
        <v>3</v>
      </c>
      <c r="I390" s="132">
        <f t="shared" ref="I390" si="1148">_xlfn.STDEV.P($P389:$XX390)/AVERAGE($P389:$XX390)</f>
        <v>9.4600133742774636E-2</v>
      </c>
      <c r="J390" s="7">
        <f t="shared" ref="J390" si="1149">IF(AND(H390&gt;2,
OR(L372="MÉDIA SANEADA",L372="MEDIANA SANEADA",
AND(L372="PREÇO ESTIMADO",NOT(AND(P374="Orçamento",COUNTA(P372:XX372)=COUNTIF(P374:XX374,"Orçamento")))))),
ROW(),0)</f>
        <v>390</v>
      </c>
      <c r="N390" s="71"/>
      <c r="O390" s="27" t="str">
        <f t="shared" ref="O390" si="1150">"6 RODADA"</f>
        <v>6 RODADA</v>
      </c>
      <c r="P390" s="107">
        <f t="shared" ref="P390:AI390" si="1151">IFERROR(IF(P388="","",IF((_xlfn.STDEV.P($P387:$XX388)/AVERAGE($P387:$XX388))&lt;=25%,P388,IF(OR(P388&gt;(AVERAGE($P387:$XX388)+_xlfn.STDEV.P($P387:$XX388)),P388&lt;(AVERAGE($P387:$XX388)-_xlfn.STDEV.P($P387:$XX388))),"DESCARTADO",P388))),)</f>
        <v>34.18</v>
      </c>
      <c r="Q390" s="107">
        <f t="shared" si="1151"/>
        <v>37.729999999999997</v>
      </c>
      <c r="R390" s="107">
        <f t="shared" si="1151"/>
        <v>43</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f t="shared" si="1039"/>
        <v>18</v>
      </c>
      <c r="C391" s="128">
        <f t="shared" si="1040"/>
        <v>1</v>
      </c>
      <c r="D391" s="127">
        <f t="shared" si="1040"/>
        <v>18</v>
      </c>
      <c r="E391" s="201"/>
      <c r="F391" s="136"/>
      <c r="G391" s="203"/>
      <c r="H391" s="206"/>
      <c r="I391" s="206"/>
      <c r="J391" s="207"/>
      <c r="K391" s="67"/>
      <c r="L391" s="1" t="s">
        <v>43</v>
      </c>
      <c r="M391" s="143">
        <f t="shared" ref="M391" si="1152">IFERROR(ROUND(M372*M374,2),"")</f>
        <v>153.19999999999999</v>
      </c>
      <c r="O391" s="27" t="s">
        <v>363</v>
      </c>
      <c r="P391" s="107">
        <f t="shared" ref="P391:AI412" si="1153">INDEX(P378:P390,MATCH(MAX($J378:$J390),$J378:$J390,0))</f>
        <v>34.18</v>
      </c>
      <c r="Q391" s="107">
        <f t="shared" si="1153"/>
        <v>37.729999999999997</v>
      </c>
      <c r="R391" s="107">
        <f t="shared" si="1153"/>
        <v>43</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f t="shared" ref="B393" si="1154">LARGE(IFERROR(IF(B391+1&gt;$H$8,"",B391+1),""),1)</f>
        <v>19</v>
      </c>
      <c r="C393" s="127">
        <f>IF(_xlfn.ISFORMULA(E397),MAX(INDEX('BASE FORMAÇÃO'!A:A,B393+1),1),E397)</f>
        <v>1</v>
      </c>
      <c r="D393" s="127">
        <f t="shared" ref="D393" si="1155">IFERROR(IF(C393=C383,D383+1,1),1)</f>
        <v>19</v>
      </c>
      <c r="E393" s="38" t="s">
        <v>9</v>
      </c>
      <c r="F393" s="73"/>
      <c r="G393" s="38" t="s">
        <v>15</v>
      </c>
      <c r="H393" s="135">
        <f>INDEX('BASE FORMAÇÃO'!B:B,B393+1)</f>
        <v>0</v>
      </c>
      <c r="I393" s="181" t="s">
        <v>16</v>
      </c>
      <c r="J393" s="6">
        <f>INDEX('BASE FORMAÇÃO'!K:K,B393+1)</f>
        <v>0</v>
      </c>
      <c r="K393" s="65"/>
      <c r="L393" s="184" t="s">
        <v>10</v>
      </c>
      <c r="M393" s="186">
        <f t="shared" ref="M393" si="1156">IF(OR(ISBLANK($O$8),ISBLANK($O$7),ISBLANK($H$8),ISBLANK($O$6),ISBLANK($O$5),ISBLANK($H$5)),"",IFERROR(IF(VLOOKUP(L393,L399:M408,2,FALSE)&lt;1,ROUND(VLOOKUP(L393,L399:M408,2,FALSE),4),ROUND(VLOOKUP(L393,L399:M408,2,FALSE),2)),""))</f>
        <v>33.229999999999997</v>
      </c>
      <c r="N393" s="69"/>
      <c r="O393" s="27" t="s">
        <v>17</v>
      </c>
      <c r="P393" s="113">
        <v>35.9</v>
      </c>
      <c r="Q393" s="113">
        <v>29.9</v>
      </c>
      <c r="R393" s="113">
        <v>33.9</v>
      </c>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f t="shared" ref="B394:D394" si="1157">B393</f>
        <v>19</v>
      </c>
      <c r="C394" s="128">
        <f t="shared" si="1157"/>
        <v>1</v>
      </c>
      <c r="D394" s="127">
        <f t="shared" si="1157"/>
        <v>19</v>
      </c>
      <c r="E394" s="188">
        <f t="shared" ref="E394" si="1158">D393</f>
        <v>19</v>
      </c>
      <c r="F394" s="92"/>
      <c r="G394" s="190" t="s">
        <v>1</v>
      </c>
      <c r="H394" s="193" t="s">
        <v>506</v>
      </c>
      <c r="I394" s="194"/>
      <c r="J394" s="195"/>
      <c r="K394" s="66"/>
      <c r="L394" s="185"/>
      <c r="M394" s="187"/>
      <c r="N394" s="70"/>
      <c r="O394" s="27" t="s">
        <v>13</v>
      </c>
      <c r="P394" s="122">
        <v>46195</v>
      </c>
      <c r="Q394" s="122">
        <v>46195</v>
      </c>
      <c r="R394" s="122">
        <v>46195</v>
      </c>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f t="shared" ref="B395:D395" si="1159">B394</f>
        <v>19</v>
      </c>
      <c r="C395" s="128">
        <f t="shared" si="1159"/>
        <v>1</v>
      </c>
      <c r="D395" s="127">
        <f t="shared" si="1159"/>
        <v>19</v>
      </c>
      <c r="E395" s="189"/>
      <c r="F395" s="93"/>
      <c r="G395" s="191"/>
      <c r="H395" s="196"/>
      <c r="I395" s="196"/>
      <c r="J395" s="197"/>
      <c r="K395" s="64"/>
      <c r="L395" s="130" t="s">
        <v>44</v>
      </c>
      <c r="M395" s="131">
        <v>10</v>
      </c>
      <c r="N395" s="71"/>
      <c r="O395" s="27" t="s">
        <v>380</v>
      </c>
      <c r="P395" s="114" t="s">
        <v>302</v>
      </c>
      <c r="Q395" s="114" t="s">
        <v>302</v>
      </c>
      <c r="R395" s="114" t="s">
        <v>302</v>
      </c>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f t="shared" ref="B396:C396" si="1160">B395</f>
        <v>19</v>
      </c>
      <c r="C396" s="128">
        <f t="shared" si="1160"/>
        <v>1</v>
      </c>
      <c r="D396" s="127">
        <f t="shared" si="1040"/>
        <v>19</v>
      </c>
      <c r="E396" s="38" t="s">
        <v>313</v>
      </c>
      <c r="F396" s="93"/>
      <c r="G396" s="192"/>
      <c r="H396" s="198"/>
      <c r="I396" s="198"/>
      <c r="J396" s="199"/>
      <c r="K396" s="64"/>
      <c r="L396" s="1" t="s">
        <v>2</v>
      </c>
      <c r="M396" s="6" t="s">
        <v>288</v>
      </c>
      <c r="N396" s="71"/>
      <c r="O396" s="27" t="s">
        <v>381</v>
      </c>
      <c r="P396" s="182" t="s">
        <v>507</v>
      </c>
      <c r="Q396" s="182" t="s">
        <v>508</v>
      </c>
      <c r="R396" s="182" t="s">
        <v>509</v>
      </c>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f t="shared" ref="B397:C397" si="1161">B395</f>
        <v>19</v>
      </c>
      <c r="C397" s="128">
        <f t="shared" si="1161"/>
        <v>1</v>
      </c>
      <c r="D397" s="127">
        <f t="shared" si="1040"/>
        <v>19</v>
      </c>
      <c r="E397" s="200">
        <f t="shared" ref="E397" si="1162">C393</f>
        <v>1</v>
      </c>
      <c r="F397" s="93"/>
      <c r="G397" s="202" t="s">
        <v>304</v>
      </c>
      <c r="H397" s="204"/>
      <c r="I397" s="205"/>
      <c r="J397" s="205"/>
      <c r="K397" s="67"/>
      <c r="L397" s="28" t="s">
        <v>303</v>
      </c>
      <c r="M397" s="133">
        <f t="shared" ref="M397" si="1163">IFERROR(INDEX(I399:I411,MATCH(MAX(J399:J411),J399:J411,0)),"")</f>
        <v>7.50583227035896E-2</v>
      </c>
      <c r="N397" s="71"/>
      <c r="O397" s="27" t="s">
        <v>18</v>
      </c>
      <c r="P397" s="106">
        <f>IF(P393="","",
IF(OR(P395="Orçamento",P394="",MAX('Tabela de Apoio'!$A:$A)&lt;=P394),
P393,
(INDEX('Tabela de Apoio'!$B:$B,MATCH('MAPA DE PREÇOS'!$O$8,'Tabela de Apoio'!$A:$A,1))/INDEX('Tabela de Apoio'!$B:$B,MATCH('MAPA DE PREÇOS'!P394,'Tabela de Apoio'!$A:$A,1)-1))*P393))</f>
        <v>35.9</v>
      </c>
      <c r="Q397" s="106">
        <f>IF(Q393="","",
IF(OR(Q395="Orçamento",Q394="",MAX('Tabela de Apoio'!$A:$A)&lt;=Q394),
Q393,
(INDEX('Tabela de Apoio'!$B:$B,MATCH('MAPA DE PREÇOS'!$O$8,'Tabela de Apoio'!$A:$A,1))/INDEX('Tabela de Apoio'!$B:$B,MATCH('MAPA DE PREÇOS'!Q394,'Tabela de Apoio'!$A:$A,1)-1))*Q393))</f>
        <v>29.9</v>
      </c>
      <c r="R397" s="106">
        <f>IF(R393="","",
IF(OR(R395="Orçamento",R394="",MAX('Tabela de Apoio'!$A:$A)&lt;=R394),
R393,
(INDEX('Tabela de Apoio'!$B:$B,MATCH('MAPA DE PREÇOS'!$O$8,'Tabela de Apoio'!$A:$A,1))/INDEX('Tabela de Apoio'!$B:$B,MATCH('MAPA DE PREÇOS'!R394,'Tabela de Apoio'!$A:$A,1)-1))*R393))</f>
        <v>33.9</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f t="shared" ref="B398" si="1164">B397</f>
        <v>19</v>
      </c>
      <c r="C398" s="128">
        <f t="shared" ref="C398" si="1165">C397</f>
        <v>1</v>
      </c>
      <c r="D398" s="127">
        <f t="shared" si="1040"/>
        <v>19</v>
      </c>
      <c r="E398" s="201"/>
      <c r="F398" s="93"/>
      <c r="G398" s="203"/>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f t="shared" ref="B399:C399" si="1166">B398</f>
        <v>19</v>
      </c>
      <c r="C399" s="128">
        <f t="shared" si="1166"/>
        <v>1</v>
      </c>
      <c r="D399" s="127">
        <f t="shared" si="1040"/>
        <v>19</v>
      </c>
      <c r="E399" s="201"/>
      <c r="F399" s="93"/>
      <c r="G399" s="203"/>
      <c r="H399" s="134">
        <f t="shared" ref="H399" si="1167">COUNT($P399:$XX399)</f>
        <v>3</v>
      </c>
      <c r="I399" s="132">
        <f t="shared" ref="I399" si="1168">_xlfn.STDEV.P($P398:$XX399)/AVERAGE($P398:$XX399)</f>
        <v>7.50583227035896E-2</v>
      </c>
      <c r="J399" s="7">
        <f>ROW()</f>
        <v>399</v>
      </c>
      <c r="K399" s="67"/>
      <c r="L399" s="29" t="s">
        <v>10</v>
      </c>
      <c r="M399" s="30">
        <f t="shared" ref="M399" si="1169">IFERROR(
IF(COUNTA(P393:AI393)=COUNTIF(P395:XX395,"Orçamento"),MIN(M404,M401),
IF(M402&lt;&gt;"",M402,
IF(M403&lt;&gt;"",M403,
M401
))),"")</f>
        <v>33.233333333333327</v>
      </c>
      <c r="N399" s="71"/>
      <c r="O399" s="27" t="s">
        <v>376</v>
      </c>
      <c r="P399" s="106">
        <f t="shared" ref="P399:AI399" si="1170">IFERROR(IF(P397="",
            "",
            IF(COUNT($P397:$XX397)&lt;=4,
               P397,
               IF(OR(P397&gt;(QUARTILE($P397:$XX397,3)+(QUARTILE($P397:$XX397,3)-QUARTILE($P397:$XX397,1))),
                     P397&lt;(QUARTILE($P397:$XX397,1)-(QUARTILE($P397:$XX397,3)-QUARTILE($P397:$XX397,1)))
                  ),
               "DESCARTADO",P397)
             )
  ),P397)</f>
        <v>35.9</v>
      </c>
      <c r="Q399" s="106">
        <f t="shared" si="1170"/>
        <v>29.9</v>
      </c>
      <c r="R399" s="106">
        <f t="shared" si="1170"/>
        <v>33.9</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f t="shared" ref="B400" si="1171">B399</f>
        <v>19</v>
      </c>
      <c r="C400" s="128">
        <f t="shared" ref="C400" si="1172">C399</f>
        <v>1</v>
      </c>
      <c r="D400" s="127">
        <f t="shared" si="1040"/>
        <v>19</v>
      </c>
      <c r="E400" s="201"/>
      <c r="F400" s="93"/>
      <c r="G400" s="203"/>
      <c r="H400"/>
      <c r="I400"/>
      <c r="J400"/>
      <c r="K400" s="66"/>
      <c r="L400" s="29" t="s">
        <v>360</v>
      </c>
      <c r="M400" s="30">
        <f t="shared" ref="M400" si="1173">AVERAGE($P399:$XX399)</f>
        <v>33.233333333333327</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f t="shared" si="1039"/>
        <v>19</v>
      </c>
      <c r="C401" s="128">
        <f t="shared" si="1040"/>
        <v>1</v>
      </c>
      <c r="D401" s="127">
        <f t="shared" si="1040"/>
        <v>19</v>
      </c>
      <c r="E401" s="201"/>
      <c r="F401" s="93"/>
      <c r="G401" s="203"/>
      <c r="H401" s="134">
        <f t="shared" ref="H401" si="1175">COUNT($P401:$XX401)</f>
        <v>3</v>
      </c>
      <c r="I401" s="132">
        <f t="shared" ref="I401" si="1176">_xlfn.STDEV.P($P400:$XX401)/AVERAGE($P400:$XX401)</f>
        <v>7.50583227035896E-2</v>
      </c>
      <c r="J401" s="7">
        <f t="shared" ref="J401" si="1177">IF(AND(H401&gt;2,
OR(L393="MÉDIA SANEADA",L393="MEDIANA SANEADA",
AND(L393="PREÇO ESTIMADO",NOT(AND(P395="Orçamento",COUNTA(P393:XX393)=COUNTIF(P395:XX395,"Orçamento")))))),
ROW(),0)</f>
        <v>401</v>
      </c>
      <c r="K401" s="66"/>
      <c r="L401" s="29" t="s">
        <v>361</v>
      </c>
      <c r="M401" s="30">
        <f t="shared" ref="M401" si="1178">MEDIAN($P399:$XX399)</f>
        <v>33.9</v>
      </c>
      <c r="N401" s="71"/>
      <c r="O401" s="27" t="str">
        <f t="shared" ref="O401" si="1179">"1 RODADA"</f>
        <v>1 RODADA</v>
      </c>
      <c r="P401" s="107">
        <f t="shared" ref="P401:AI401" si="1180">IF(P399="","",IF((_xlfn.STDEV.P($P398:$XX399)/AVERAGE($P398:$XX399))&lt;=25%,P399,IF(OR(P399&gt;(AVERAGE($P398:$XX399)+_xlfn.STDEV.P($P398:$XX399)),P399&lt;(AVERAGE($P398:$XX399)-_xlfn.STDEV.P($P398:$XX399))),"DESCARTADO",P399)))</f>
        <v>35.9</v>
      </c>
      <c r="Q401" s="107">
        <f t="shared" si="1180"/>
        <v>29.9</v>
      </c>
      <c r="R401" s="107">
        <f t="shared" si="1180"/>
        <v>33.9</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f t="shared" si="1039"/>
        <v>19</v>
      </c>
      <c r="C402" s="128">
        <f t="shared" si="1040"/>
        <v>1</v>
      </c>
      <c r="D402" s="127">
        <f t="shared" si="1040"/>
        <v>19</v>
      </c>
      <c r="E402" s="201"/>
      <c r="F402" s="93"/>
      <c r="G402" s="203"/>
      <c r="H402"/>
      <c r="I402"/>
      <c r="J402"/>
      <c r="L402" s="29" t="s">
        <v>38</v>
      </c>
      <c r="M402" s="30">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33.233333333333327</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f t="shared" si="1039"/>
        <v>19</v>
      </c>
      <c r="C403" s="128">
        <f t="shared" si="1040"/>
        <v>1</v>
      </c>
      <c r="D403" s="127">
        <f t="shared" si="1040"/>
        <v>19</v>
      </c>
      <c r="E403" s="201"/>
      <c r="F403" s="93"/>
      <c r="G403" s="203"/>
      <c r="H403" s="134">
        <f t="shared" ref="H403" si="1183">COUNT($P403:$XX403)</f>
        <v>3</v>
      </c>
      <c r="I403" s="132">
        <f t="shared" ref="I403" si="1184">_xlfn.STDEV.P($P402:$XX403)/AVERAGE($P402:$XX403)</f>
        <v>7.50583227035896E-2</v>
      </c>
      <c r="J403" s="7">
        <f t="shared" ref="J403" si="1185">IF(AND(H403&gt;2,
OR(L393="MÉDIA SANEADA",L393="MEDIANA SANEADA",
AND(L393="PREÇO ESTIMADO",NOT(AND(P395="Orçamento",COUNTA(P393:XX393)=COUNTIF(P395:XX395,"Orçamento")))))),
ROW(),0)</f>
        <v>403</v>
      </c>
      <c r="K403" s="66"/>
      <c r="L403" s="29" t="s">
        <v>362</v>
      </c>
      <c r="M403" s="30">
        <f t="shared" ref="M403" si="1186" xml:space="preserve">
IF(H401&gt;2,MEDIAN(P400:XX401),
IF(H403&gt;2,MEDIAN(P402:XX403),
IF(H405&gt;2,MEDIAN(P404:XX405),
IF(H407&gt;2,MEDIAN(P406:XX407),
IF(H409&gt;2,MEDIAN(P408:XX409),
IF(H411&gt;2,MEDIAN(P410:XX411),
MEDIAN(P398:XX399)))))))</f>
        <v>33.9</v>
      </c>
      <c r="N403" s="71"/>
      <c r="O403" s="27" t="str">
        <f t="shared" ref="O403" si="1187">"2 RODADA"</f>
        <v>2 RODADA</v>
      </c>
      <c r="P403" s="107">
        <f t="shared" ref="P403:AI403" si="1188">IF(P401="","",IF((_xlfn.STDEV.P($P400:$XX401)/AVERAGE($P400:$XX401))&lt;=25%,P401,IF(OR(P401&gt;(AVERAGE($P400:$XX401)+_xlfn.STDEV.P($P400:$XX401)),P401&lt;(AVERAGE($P400:$XX401)-_xlfn.STDEV.P($P400:$XX401))),"DESCARTADO",P401)))</f>
        <v>35.9</v>
      </c>
      <c r="Q403" s="107">
        <f t="shared" si="1188"/>
        <v>29.9</v>
      </c>
      <c r="R403" s="107">
        <f t="shared" si="1188"/>
        <v>33.9</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f t="shared" si="1039"/>
        <v>19</v>
      </c>
      <c r="C404" s="128">
        <f t="shared" si="1040"/>
        <v>1</v>
      </c>
      <c r="D404" s="127">
        <f t="shared" si="1040"/>
        <v>19</v>
      </c>
      <c r="E404" s="201"/>
      <c r="F404" s="93"/>
      <c r="G404" s="203"/>
      <c r="H404"/>
      <c r="I404"/>
      <c r="J404"/>
      <c r="K404" s="66"/>
      <c r="L404" s="29" t="s">
        <v>359</v>
      </c>
      <c r="M404" s="30">
        <f t="shared" ref="M404" si="1189">HARMEAN($P398:$XX399)</f>
        <v>33.040195458273686</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f t="shared" si="1039"/>
        <v>19</v>
      </c>
      <c r="C405" s="128">
        <f t="shared" si="1040"/>
        <v>1</v>
      </c>
      <c r="D405" s="127">
        <f t="shared" si="1040"/>
        <v>19</v>
      </c>
      <c r="E405" s="201"/>
      <c r="F405" s="93"/>
      <c r="G405" s="203"/>
      <c r="H405" s="134">
        <f t="shared" ref="H405" si="1191">COUNT($P405:$XX405)</f>
        <v>3</v>
      </c>
      <c r="I405" s="132">
        <f t="shared" ref="I405" si="1192">_xlfn.STDEV.P($P404:$XX405)/AVERAGE($P404:$XX405)</f>
        <v>7.50583227035896E-2</v>
      </c>
      <c r="J405" s="7">
        <f t="shared" ref="J405" si="1193">IF(AND(H405&gt;2,
OR(L393="MÉDIA SANEADA",L393="MEDIANA SANEADA",
AND(L393="PREÇO ESTIMADO",NOT(AND(P395="Orçamento",COUNTA(P393:XX393)=COUNTIF(P395:XX395,"Orçamento")))))),
ROW(),0)</f>
        <v>405</v>
      </c>
      <c r="K405" s="66"/>
      <c r="L405" s="29" t="s">
        <v>41</v>
      </c>
      <c r="M405" s="30">
        <f t="shared" ref="M405" si="1194">IFERROR(_xlfn.QUARTILE.EXC($P399:$XX399,1),"")</f>
        <v>29.9</v>
      </c>
      <c r="N405" s="71"/>
      <c r="O405" s="27" t="str">
        <f t="shared" ref="O405" si="1195">"3 RODADA"</f>
        <v>3 RODADA</v>
      </c>
      <c r="P405" s="107">
        <f t="shared" ref="P405:AI405" si="1196">IF(P403="","",IF((_xlfn.STDEV.P($P402:$XX403)/AVERAGE($P402:$XX403))&lt;=25%,P403,IF(OR(P403&gt;(AVERAGE($P402:$XX403)+_xlfn.STDEV.P($P402:$XX403)),P403&lt;(AVERAGE($P402:$XX403)-_xlfn.STDEV.P($P402:$XX403))),"DESCARTADO",P403)))</f>
        <v>35.9</v>
      </c>
      <c r="Q405" s="107">
        <f t="shared" si="1196"/>
        <v>29.9</v>
      </c>
      <c r="R405" s="107">
        <f t="shared" si="1196"/>
        <v>33.9</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f t="shared" si="1039"/>
        <v>19</v>
      </c>
      <c r="C406" s="128">
        <f t="shared" si="1040"/>
        <v>1</v>
      </c>
      <c r="D406" s="127">
        <f t="shared" si="1040"/>
        <v>19</v>
      </c>
      <c r="E406" s="201"/>
      <c r="F406" s="93"/>
      <c r="G406" s="203"/>
      <c r="H406"/>
      <c r="I406"/>
      <c r="J406"/>
      <c r="K406" s="66"/>
      <c r="L406" s="29" t="s">
        <v>39</v>
      </c>
      <c r="M406" s="30">
        <f t="shared" ref="M406" si="1197">IFERROR(_xlfn.QUARTILE.EXC($P399:$XX399,3),"")</f>
        <v>35.9</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f t="shared" si="1039"/>
        <v>19</v>
      </c>
      <c r="C407" s="128">
        <f t="shared" si="1040"/>
        <v>1</v>
      </c>
      <c r="D407" s="127">
        <f t="shared" si="1040"/>
        <v>19</v>
      </c>
      <c r="E407" s="201"/>
      <c r="F407" s="93"/>
      <c r="G407" s="203"/>
      <c r="H407" s="134">
        <f t="shared" ref="H407" si="1199">COUNT($P407:$XX407)</f>
        <v>3</v>
      </c>
      <c r="I407" s="132">
        <f t="shared" ref="I407" si="1200">_xlfn.STDEV.P($P406:$XX407)/AVERAGE($P406:$XX407)</f>
        <v>7.50583227035896E-2</v>
      </c>
      <c r="J407" s="7">
        <f t="shared" ref="J407" si="1201">IF(AND(H407&gt;2,
OR(L393="MÉDIA SANEADA",L393="MEDIANA SANEADA",
AND(L393="PREÇO ESTIMADO",NOT(AND(P395="Orçamento",COUNTA(P393:XX393)=COUNTIF(P395:XX395,"Orçamento")))))),
ROW(),0)</f>
        <v>407</v>
      </c>
      <c r="K407" s="66"/>
      <c r="L407" s="29" t="s">
        <v>42</v>
      </c>
      <c r="M407" s="30">
        <f t="shared" ref="M407" si="1202">MIN($P399:$XX399)</f>
        <v>29.9</v>
      </c>
      <c r="N407" s="71"/>
      <c r="O407" s="27" t="str">
        <f t="shared" ref="O407" si="1203">"4 RODADA"</f>
        <v>4 RODADA</v>
      </c>
      <c r="P407" s="107">
        <f t="shared" ref="P407:AI407" si="1204">IF(P405="","",IF((_xlfn.STDEV.P($P404:$XX405)/AVERAGE($P404:$XX405))&lt;=25%,P405,IF(OR(P405&gt;(AVERAGE($P404:$XX405)+_xlfn.STDEV.P($P404:$XX405)),P405&lt;(AVERAGE($P404:$XX405)-_xlfn.STDEV.P($P404:$XX405))),"DESCARTADO",P405)))</f>
        <v>35.9</v>
      </c>
      <c r="Q407" s="107">
        <f t="shared" si="1204"/>
        <v>29.9</v>
      </c>
      <c r="R407" s="107">
        <f t="shared" si="1204"/>
        <v>33.9</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f t="shared" si="1039"/>
        <v>19</v>
      </c>
      <c r="C408" s="128">
        <f t="shared" si="1040"/>
        <v>1</v>
      </c>
      <c r="D408" s="127">
        <f t="shared" si="1040"/>
        <v>19</v>
      </c>
      <c r="E408" s="201"/>
      <c r="F408" s="93"/>
      <c r="G408" s="203"/>
      <c r="H408"/>
      <c r="I408"/>
      <c r="J408"/>
      <c r="K408" s="66"/>
      <c r="L408" s="29" t="s">
        <v>40</v>
      </c>
      <c r="M408" s="30">
        <f t="shared" ref="M408" si="1205">MAX($P399:$XX399)</f>
        <v>35.9</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f t="shared" si="1039"/>
        <v>19</v>
      </c>
      <c r="C409" s="128">
        <f t="shared" si="1040"/>
        <v>1</v>
      </c>
      <c r="D409" s="127">
        <f t="shared" si="1040"/>
        <v>19</v>
      </c>
      <c r="E409" s="201"/>
      <c r="F409" s="93"/>
      <c r="G409" s="203"/>
      <c r="H409" s="134">
        <f t="shared" ref="H409" si="1207">COUNT($P409:$XX409)</f>
        <v>3</v>
      </c>
      <c r="I409" s="132">
        <f t="shared" ref="I409" si="1208">_xlfn.STDEV.P($P408:$XX409)/AVERAGE($P408:$XX409)</f>
        <v>7.50583227035896E-2</v>
      </c>
      <c r="J409" s="7">
        <f t="shared" ref="J409" si="1209">IF(AND(H409&gt;2,
OR(L393="MÉDIA SANEADA",L393="MEDIANA SANEADA",
AND(L393="PREÇO ESTIMADO",NOT(AND(P395="Orçamento",COUNTA(P393:XX393)=COUNTIF(P395:XX395,"Orçamento")))))),
ROW(),0)</f>
        <v>409</v>
      </c>
      <c r="K409" s="66"/>
      <c r="N409" s="71"/>
      <c r="O409" s="27" t="str">
        <f t="shared" ref="O409" si="1210">"5 RODADA"</f>
        <v>5 RODADA</v>
      </c>
      <c r="P409" s="107">
        <f t="shared" ref="P409:AI409" si="1211">IF(P407="","",IF((_xlfn.STDEV.P($P406:$XX407)/AVERAGE($P406:$XX407))&lt;=25%,P407,IF(OR(P407&gt;(AVERAGE($P406:$XX407)+_xlfn.STDEV.P($P406:$XX407)),P407&lt;(AVERAGE($P406:$XX407)-_xlfn.STDEV.P($P406:$XX407))),"DESCARTADO",P407)))</f>
        <v>35.9</v>
      </c>
      <c r="Q409" s="107">
        <f t="shared" si="1211"/>
        <v>29.9</v>
      </c>
      <c r="R409" s="107">
        <f t="shared" si="1211"/>
        <v>33.9</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f t="shared" si="1039"/>
        <v>19</v>
      </c>
      <c r="C410" s="128">
        <f t="shared" si="1040"/>
        <v>1</v>
      </c>
      <c r="D410" s="127">
        <f t="shared" si="1040"/>
        <v>19</v>
      </c>
      <c r="E410" s="201"/>
      <c r="F410" s="93"/>
      <c r="G410" s="203"/>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f t="shared" si="1039"/>
        <v>19</v>
      </c>
      <c r="C411" s="128">
        <f t="shared" si="1040"/>
        <v>1</v>
      </c>
      <c r="D411" s="127">
        <f t="shared" si="1040"/>
        <v>19</v>
      </c>
      <c r="E411" s="201"/>
      <c r="F411" s="93"/>
      <c r="G411" s="203"/>
      <c r="H411" s="134">
        <f t="shared" ref="H411" si="1213">COUNT($P411:$XX411)</f>
        <v>3</v>
      </c>
      <c r="I411" s="132">
        <f t="shared" ref="I411" si="1214">_xlfn.STDEV.P($P410:$XX411)/AVERAGE($P410:$XX411)</f>
        <v>7.50583227035896E-2</v>
      </c>
      <c r="J411" s="7">
        <f t="shared" ref="J411" si="1215">IF(AND(H411&gt;2,
OR(L393="MÉDIA SANEADA",L393="MEDIANA SANEADA",
AND(L393="PREÇO ESTIMADO",NOT(AND(P395="Orçamento",COUNTA(P393:XX393)=COUNTIF(P395:XX395,"Orçamento")))))),
ROW(),0)</f>
        <v>411</v>
      </c>
      <c r="N411" s="71"/>
      <c r="O411" s="27" t="str">
        <f t="shared" ref="O411" si="1216">"6 RODADA"</f>
        <v>6 RODADA</v>
      </c>
      <c r="P411" s="107">
        <f t="shared" ref="P411:AI411" si="1217">IFERROR(IF(P409="","",IF((_xlfn.STDEV.P($P408:$XX409)/AVERAGE($P408:$XX409))&lt;=25%,P409,IF(OR(P409&gt;(AVERAGE($P408:$XX409)+_xlfn.STDEV.P($P408:$XX409)),P409&lt;(AVERAGE($P408:$XX409)-_xlfn.STDEV.P($P408:$XX409))),"DESCARTADO",P409))),)</f>
        <v>35.9</v>
      </c>
      <c r="Q411" s="107">
        <f t="shared" si="1217"/>
        <v>29.9</v>
      </c>
      <c r="R411" s="107">
        <f t="shared" si="1217"/>
        <v>33.9</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f t="shared" si="1039"/>
        <v>19</v>
      </c>
      <c r="C412" s="128">
        <f t="shared" si="1040"/>
        <v>1</v>
      </c>
      <c r="D412" s="127">
        <f t="shared" si="1040"/>
        <v>19</v>
      </c>
      <c r="E412" s="201"/>
      <c r="F412" s="136"/>
      <c r="G412" s="203"/>
      <c r="H412" s="206"/>
      <c r="I412" s="206"/>
      <c r="J412" s="207"/>
      <c r="K412" s="67"/>
      <c r="L412" s="1" t="s">
        <v>43</v>
      </c>
      <c r="M412" s="143">
        <f t="shared" ref="M412" si="1218">IFERROR(ROUND(M393*M395,2),"")</f>
        <v>332.3</v>
      </c>
      <c r="O412" s="27" t="s">
        <v>363</v>
      </c>
      <c r="P412" s="107">
        <f t="shared" ref="P412:R412" si="1219">INDEX(P399:P411,MATCH(MAX($J399:$J411),$J399:$J411,0))</f>
        <v>35.9</v>
      </c>
      <c r="Q412" s="107">
        <f t="shared" si="1219"/>
        <v>29.9</v>
      </c>
      <c r="R412" s="107">
        <f t="shared" si="1219"/>
        <v>33.9</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f t="shared" ref="B414" si="1220">LARGE(IFERROR(IF(B412+1&gt;$H$8,"",B412+1),""),1)</f>
        <v>20</v>
      </c>
      <c r="C414" s="127">
        <f>IF(_xlfn.ISFORMULA(E418),MAX(INDEX('BASE FORMAÇÃO'!A:A,B414+1),1),E418)</f>
        <v>1</v>
      </c>
      <c r="D414" s="127">
        <f t="shared" ref="D414" si="1221">IFERROR(IF(C414=C404,D404+1,1),1)</f>
        <v>20</v>
      </c>
      <c r="E414" s="38" t="s">
        <v>9</v>
      </c>
      <c r="F414" s="73"/>
      <c r="G414" s="38" t="s">
        <v>15</v>
      </c>
      <c r="H414" s="135">
        <f>INDEX('BASE FORMAÇÃO'!B:B,B414+1)</f>
        <v>0</v>
      </c>
      <c r="I414" s="181" t="s">
        <v>16</v>
      </c>
      <c r="J414" s="6">
        <f>INDEX('BASE FORMAÇÃO'!K:K,B414+1)</f>
        <v>0</v>
      </c>
      <c r="K414" s="65"/>
      <c r="L414" s="184" t="s">
        <v>10</v>
      </c>
      <c r="M414" s="186">
        <f t="shared" ref="M414" si="1222">IF(OR(ISBLANK($O$8),ISBLANK($O$7),ISBLANK($H$8),ISBLANK($O$6),ISBLANK($O$5),ISBLANK($H$5)),"",IFERROR(IF(VLOOKUP(L414,L420:M429,2,FALSE)&lt;1,ROUND(VLOOKUP(L414,L420:M429,2,FALSE),4),ROUND(VLOOKUP(L414,L420:M429,2,FALSE),2)),""))</f>
        <v>44.08</v>
      </c>
      <c r="N414" s="69"/>
      <c r="O414" s="27" t="s">
        <v>17</v>
      </c>
      <c r="P414" s="113">
        <v>35.9</v>
      </c>
      <c r="Q414" s="113">
        <v>41.7</v>
      </c>
      <c r="R414" s="113">
        <v>54.63</v>
      </c>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f t="shared" ref="B415:D415" si="1223">B414</f>
        <v>20</v>
      </c>
      <c r="C415" s="128">
        <f t="shared" si="1223"/>
        <v>1</v>
      </c>
      <c r="D415" s="127">
        <f t="shared" si="1223"/>
        <v>20</v>
      </c>
      <c r="E415" s="188">
        <f t="shared" ref="E415" si="1224">D414</f>
        <v>20</v>
      </c>
      <c r="F415" s="92"/>
      <c r="G415" s="190" t="s">
        <v>1</v>
      </c>
      <c r="H415" s="193" t="s">
        <v>510</v>
      </c>
      <c r="I415" s="194"/>
      <c r="J415" s="195"/>
      <c r="K415" s="66"/>
      <c r="L415" s="185"/>
      <c r="M415" s="187"/>
      <c r="N415" s="70"/>
      <c r="O415" s="27" t="s">
        <v>13</v>
      </c>
      <c r="P415" s="122">
        <v>46195</v>
      </c>
      <c r="Q415" s="122">
        <v>46195</v>
      </c>
      <c r="R415" s="122">
        <v>46195</v>
      </c>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f t="shared" ref="B416:D416" si="1225">B415</f>
        <v>20</v>
      </c>
      <c r="C416" s="128">
        <f t="shared" si="1225"/>
        <v>1</v>
      </c>
      <c r="D416" s="127">
        <f t="shared" si="1225"/>
        <v>20</v>
      </c>
      <c r="E416" s="189"/>
      <c r="F416" s="93"/>
      <c r="G416" s="191"/>
      <c r="H416" s="196"/>
      <c r="I416" s="196"/>
      <c r="J416" s="197"/>
      <c r="K416" s="64"/>
      <c r="L416" s="130" t="s">
        <v>44</v>
      </c>
      <c r="M416" s="131">
        <v>7</v>
      </c>
      <c r="N416" s="71"/>
      <c r="O416" s="27" t="s">
        <v>380</v>
      </c>
      <c r="P416" s="114" t="s">
        <v>302</v>
      </c>
      <c r="Q416" s="114" t="s">
        <v>302</v>
      </c>
      <c r="R416" s="114" t="s">
        <v>302</v>
      </c>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f t="shared" ref="B417:C417" si="1226">B416</f>
        <v>20</v>
      </c>
      <c r="C417" s="128">
        <f t="shared" si="1226"/>
        <v>1</v>
      </c>
      <c r="D417" s="127">
        <f t="shared" si="1040"/>
        <v>20</v>
      </c>
      <c r="E417" s="38" t="s">
        <v>313</v>
      </c>
      <c r="F417" s="93"/>
      <c r="G417" s="192"/>
      <c r="H417" s="198"/>
      <c r="I417" s="198"/>
      <c r="J417" s="199"/>
      <c r="K417" s="64"/>
      <c r="L417" s="1" t="s">
        <v>2</v>
      </c>
      <c r="M417" s="6" t="s">
        <v>288</v>
      </c>
      <c r="N417" s="71"/>
      <c r="O417" s="27" t="s">
        <v>381</v>
      </c>
      <c r="P417" s="182" t="s">
        <v>511</v>
      </c>
      <c r="Q417" s="182" t="s">
        <v>512</v>
      </c>
      <c r="R417" s="182" t="s">
        <v>513</v>
      </c>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f t="shared" ref="B418:C418" si="1227">B416</f>
        <v>20</v>
      </c>
      <c r="C418" s="128">
        <f t="shared" si="1227"/>
        <v>1</v>
      </c>
      <c r="D418" s="127">
        <f t="shared" si="1040"/>
        <v>20</v>
      </c>
      <c r="E418" s="200">
        <f t="shared" ref="E418" si="1228">C414</f>
        <v>1</v>
      </c>
      <c r="F418" s="93"/>
      <c r="G418" s="202" t="s">
        <v>304</v>
      </c>
      <c r="H418" s="204"/>
      <c r="I418" s="205"/>
      <c r="J418" s="205"/>
      <c r="K418" s="67"/>
      <c r="L418" s="28" t="s">
        <v>303</v>
      </c>
      <c r="M418" s="133">
        <f t="shared" ref="M418" si="1229">IFERROR(INDEX(I420:I432,MATCH(MAX(J420:J432),J420:J432,0)),"")</f>
        <v>0.17762210433487366</v>
      </c>
      <c r="N418" s="71"/>
      <c r="O418" s="27" t="s">
        <v>18</v>
      </c>
      <c r="P418" s="106">
        <f>IF(P414="","",
IF(OR(P416="Orçamento",P415="",MAX('Tabela de Apoio'!$A:$A)&lt;=P415),
P414,
(INDEX('Tabela de Apoio'!$B:$B,MATCH('MAPA DE PREÇOS'!$O$8,'Tabela de Apoio'!$A:$A,1))/INDEX('Tabela de Apoio'!$B:$B,MATCH('MAPA DE PREÇOS'!P415,'Tabela de Apoio'!$A:$A,1)-1))*P414))</f>
        <v>35.9</v>
      </c>
      <c r="Q418" s="106">
        <f>IF(Q414="","",
IF(OR(Q416="Orçamento",Q415="",MAX('Tabela de Apoio'!$A:$A)&lt;=Q415),
Q414,
(INDEX('Tabela de Apoio'!$B:$B,MATCH('MAPA DE PREÇOS'!$O$8,'Tabela de Apoio'!$A:$A,1))/INDEX('Tabela de Apoio'!$B:$B,MATCH('MAPA DE PREÇOS'!Q415,'Tabela de Apoio'!$A:$A,1)-1))*Q414))</f>
        <v>41.7</v>
      </c>
      <c r="R418" s="106">
        <f>IF(R414="","",
IF(OR(R416="Orçamento",R415="",MAX('Tabela de Apoio'!$A:$A)&lt;=R415),
R414,
(INDEX('Tabela de Apoio'!$B:$B,MATCH('MAPA DE PREÇOS'!$O$8,'Tabela de Apoio'!$A:$A,1))/INDEX('Tabela de Apoio'!$B:$B,MATCH('MAPA DE PREÇOS'!R415,'Tabela de Apoio'!$A:$A,1)-1))*R414))</f>
        <v>54.63</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f t="shared" ref="B419" si="1230">B418</f>
        <v>20</v>
      </c>
      <c r="C419" s="128">
        <f t="shared" ref="C419" si="1231">C418</f>
        <v>1</v>
      </c>
      <c r="D419" s="127">
        <f t="shared" si="1040"/>
        <v>20</v>
      </c>
      <c r="E419" s="201"/>
      <c r="F419" s="93"/>
      <c r="G419" s="203"/>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f t="shared" ref="B420:C420" si="1232">B419</f>
        <v>20</v>
      </c>
      <c r="C420" s="128">
        <f t="shared" si="1232"/>
        <v>1</v>
      </c>
      <c r="D420" s="127">
        <f t="shared" si="1040"/>
        <v>20</v>
      </c>
      <c r="E420" s="201"/>
      <c r="F420" s="93"/>
      <c r="G420" s="203"/>
      <c r="H420" s="134">
        <f t="shared" ref="H420" si="1233">COUNT($P420:$XX420)</f>
        <v>3</v>
      </c>
      <c r="I420" s="132">
        <f t="shared" ref="I420" si="1234">_xlfn.STDEV.P($P419:$XX420)/AVERAGE($P419:$XX420)</f>
        <v>0.17762210433487366</v>
      </c>
      <c r="J420" s="7">
        <f>ROW()</f>
        <v>420</v>
      </c>
      <c r="K420" s="67"/>
      <c r="L420" s="29" t="s">
        <v>10</v>
      </c>
      <c r="M420" s="30">
        <f t="shared" ref="M420" si="1235">IFERROR(
IF(COUNTA(P414:AI414)=COUNTIF(P416:XX416,"Orçamento"),MIN(M425,M422),
IF(M423&lt;&gt;"",M423,
IF(M424&lt;&gt;"",M424,
M422
))),"")</f>
        <v>44.076666666666661</v>
      </c>
      <c r="N420" s="71"/>
      <c r="O420" s="27" t="s">
        <v>376</v>
      </c>
      <c r="P420" s="106">
        <f t="shared" ref="P420:AI420" si="1236">IFERROR(IF(P418="",
            "",
            IF(COUNT($P418:$XX418)&lt;=4,
               P418,
               IF(OR(P418&gt;(QUARTILE($P418:$XX418,3)+(QUARTILE($P418:$XX418,3)-QUARTILE($P418:$XX418,1))),
                     P418&lt;(QUARTILE($P418:$XX418,1)-(QUARTILE($P418:$XX418,3)-QUARTILE($P418:$XX418,1)))
                  ),
               "DESCARTADO",P418)
             )
  ),P418)</f>
        <v>35.9</v>
      </c>
      <c r="Q420" s="106">
        <f t="shared" si="1236"/>
        <v>41.7</v>
      </c>
      <c r="R420" s="106">
        <f t="shared" si="1236"/>
        <v>54.63</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f t="shared" ref="B421:B475" si="1237">B420</f>
        <v>20</v>
      </c>
      <c r="C421" s="128">
        <f t="shared" ref="C421:D484" si="1238">C420</f>
        <v>1</v>
      </c>
      <c r="D421" s="127">
        <f t="shared" si="1040"/>
        <v>20</v>
      </c>
      <c r="E421" s="201"/>
      <c r="F421" s="93"/>
      <c r="G421" s="203"/>
      <c r="H421"/>
      <c r="I421"/>
      <c r="J421"/>
      <c r="K421" s="66"/>
      <c r="L421" s="29" t="s">
        <v>360</v>
      </c>
      <c r="M421" s="30">
        <f t="shared" ref="M421" si="1239">AVERAGE($P420:$XX420)</f>
        <v>44.076666666666661</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f t="shared" si="1237"/>
        <v>20</v>
      </c>
      <c r="C422" s="128">
        <f t="shared" si="1238"/>
        <v>1</v>
      </c>
      <c r="D422" s="127">
        <f t="shared" si="1238"/>
        <v>20</v>
      </c>
      <c r="E422" s="201"/>
      <c r="F422" s="93"/>
      <c r="G422" s="203"/>
      <c r="H422" s="134">
        <f t="shared" ref="H422" si="1241">COUNT($P422:$XX422)</f>
        <v>3</v>
      </c>
      <c r="I422" s="132">
        <f t="shared" ref="I422" si="1242">_xlfn.STDEV.P($P421:$XX422)/AVERAGE($P421:$XX422)</f>
        <v>0.17762210433487366</v>
      </c>
      <c r="J422" s="7">
        <f t="shared" ref="J422" si="1243">IF(AND(H422&gt;2,
OR(L414="MÉDIA SANEADA",L414="MEDIANA SANEADA",
AND(L414="PREÇO ESTIMADO",NOT(AND(P416="Orçamento",COUNTA(P414:XX414)=COUNTIF(P416:XX416,"Orçamento")))))),
ROW(),0)</f>
        <v>422</v>
      </c>
      <c r="K422" s="66"/>
      <c r="L422" s="29" t="s">
        <v>361</v>
      </c>
      <c r="M422" s="30">
        <f t="shared" ref="M422" si="1244">MEDIAN($P420:$XX420)</f>
        <v>41.7</v>
      </c>
      <c r="N422" s="71"/>
      <c r="O422" s="27" t="str">
        <f t="shared" ref="O422" si="1245">"1 RODADA"</f>
        <v>1 RODADA</v>
      </c>
      <c r="P422" s="107">
        <f t="shared" ref="P422:AI422" si="1246">IF(P420="","",IF((_xlfn.STDEV.P($P419:$XX420)/AVERAGE($P419:$XX420))&lt;=25%,P420,IF(OR(P420&gt;(AVERAGE($P419:$XX420)+_xlfn.STDEV.P($P419:$XX420)),P420&lt;(AVERAGE($P419:$XX420)-_xlfn.STDEV.P($P419:$XX420))),"DESCARTADO",P420)))</f>
        <v>35.9</v>
      </c>
      <c r="Q422" s="107">
        <f t="shared" si="1246"/>
        <v>41.7</v>
      </c>
      <c r="R422" s="107">
        <f t="shared" si="1246"/>
        <v>54.63</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f t="shared" si="1237"/>
        <v>20</v>
      </c>
      <c r="C423" s="128">
        <f t="shared" si="1238"/>
        <v>1</v>
      </c>
      <c r="D423" s="127">
        <f t="shared" si="1238"/>
        <v>20</v>
      </c>
      <c r="E423" s="201"/>
      <c r="F423" s="93"/>
      <c r="G423" s="203"/>
      <c r="H423"/>
      <c r="I423"/>
      <c r="J423"/>
      <c r="L423" s="29" t="s">
        <v>38</v>
      </c>
      <c r="M423" s="30">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44.076666666666661</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f t="shared" si="1237"/>
        <v>20</v>
      </c>
      <c r="C424" s="128">
        <f t="shared" si="1238"/>
        <v>1</v>
      </c>
      <c r="D424" s="127">
        <f t="shared" si="1238"/>
        <v>20</v>
      </c>
      <c r="E424" s="201"/>
      <c r="F424" s="93"/>
      <c r="G424" s="203"/>
      <c r="H424" s="134">
        <f t="shared" ref="H424" si="1249">COUNT($P424:$XX424)</f>
        <v>3</v>
      </c>
      <c r="I424" s="132">
        <f t="shared" ref="I424" si="1250">_xlfn.STDEV.P($P423:$XX424)/AVERAGE($P423:$XX424)</f>
        <v>0.17762210433487366</v>
      </c>
      <c r="J424" s="7">
        <f t="shared" ref="J424" si="1251">IF(AND(H424&gt;2,
OR(L414="MÉDIA SANEADA",L414="MEDIANA SANEADA",
AND(L414="PREÇO ESTIMADO",NOT(AND(P416="Orçamento",COUNTA(P414:XX414)=COUNTIF(P416:XX416,"Orçamento")))))),
ROW(),0)</f>
        <v>424</v>
      </c>
      <c r="K424" s="66"/>
      <c r="L424" s="29" t="s">
        <v>362</v>
      </c>
      <c r="M424" s="30">
        <f t="shared" ref="M424" si="1252" xml:space="preserve">
IF(H422&gt;2,MEDIAN(P421:XX422),
IF(H424&gt;2,MEDIAN(P423:XX424),
IF(H426&gt;2,MEDIAN(P425:XX426),
IF(H428&gt;2,MEDIAN(P427:XX428),
IF(H430&gt;2,MEDIAN(P429:XX430),
IF(H432&gt;2,MEDIAN(P431:XX432),
MEDIAN(P419:XX420)))))))</f>
        <v>41.7</v>
      </c>
      <c r="N424" s="71"/>
      <c r="O424" s="27" t="str">
        <f t="shared" ref="O424" si="1253">"2 RODADA"</f>
        <v>2 RODADA</v>
      </c>
      <c r="P424" s="107">
        <f t="shared" ref="P424:AI424" si="1254">IF(P422="","",IF((_xlfn.STDEV.P($P421:$XX422)/AVERAGE($P421:$XX422))&lt;=25%,P422,IF(OR(P422&gt;(AVERAGE($P421:$XX422)+_xlfn.STDEV.P($P421:$XX422)),P422&lt;(AVERAGE($P421:$XX422)-_xlfn.STDEV.P($P421:$XX422))),"DESCARTADO",P422)))</f>
        <v>35.9</v>
      </c>
      <c r="Q424" s="107">
        <f t="shared" si="1254"/>
        <v>41.7</v>
      </c>
      <c r="R424" s="107">
        <f t="shared" si="1254"/>
        <v>54.63</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f t="shared" si="1237"/>
        <v>20</v>
      </c>
      <c r="C425" s="128">
        <f t="shared" si="1238"/>
        <v>1</v>
      </c>
      <c r="D425" s="127">
        <f t="shared" si="1238"/>
        <v>20</v>
      </c>
      <c r="E425" s="201"/>
      <c r="F425" s="93"/>
      <c r="G425" s="203"/>
      <c r="H425"/>
      <c r="I425"/>
      <c r="J425"/>
      <c r="K425" s="66"/>
      <c r="L425" s="29" t="s">
        <v>359</v>
      </c>
      <c r="M425" s="30">
        <f t="shared" ref="M425" si="1255">HARMEAN($P419:$XX420)</f>
        <v>42.771033038963324</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f t="shared" si="1237"/>
        <v>20</v>
      </c>
      <c r="C426" s="128">
        <f t="shared" si="1238"/>
        <v>1</v>
      </c>
      <c r="D426" s="127">
        <f t="shared" si="1238"/>
        <v>20</v>
      </c>
      <c r="E426" s="201"/>
      <c r="F426" s="93"/>
      <c r="G426" s="203"/>
      <c r="H426" s="134">
        <f t="shared" ref="H426" si="1257">COUNT($P426:$XX426)</f>
        <v>3</v>
      </c>
      <c r="I426" s="132">
        <f t="shared" ref="I426" si="1258">_xlfn.STDEV.P($P425:$XX426)/AVERAGE($P425:$XX426)</f>
        <v>0.17762210433487366</v>
      </c>
      <c r="J426" s="7">
        <f t="shared" ref="J426" si="1259">IF(AND(H426&gt;2,
OR(L414="MÉDIA SANEADA",L414="MEDIANA SANEADA",
AND(L414="PREÇO ESTIMADO",NOT(AND(P416="Orçamento",COUNTA(P414:XX414)=COUNTIF(P416:XX416,"Orçamento")))))),
ROW(),0)</f>
        <v>426</v>
      </c>
      <c r="K426" s="66"/>
      <c r="L426" s="29" t="s">
        <v>41</v>
      </c>
      <c r="M426" s="30">
        <f t="shared" ref="M426" si="1260">IFERROR(_xlfn.QUARTILE.EXC($P420:$XX420,1),"")</f>
        <v>35.9</v>
      </c>
      <c r="N426" s="71"/>
      <c r="O426" s="27" t="str">
        <f t="shared" ref="O426" si="1261">"3 RODADA"</f>
        <v>3 RODADA</v>
      </c>
      <c r="P426" s="107">
        <f t="shared" ref="P426:AI426" si="1262">IF(P424="","",IF((_xlfn.STDEV.P($P423:$XX424)/AVERAGE($P423:$XX424))&lt;=25%,P424,IF(OR(P424&gt;(AVERAGE($P423:$XX424)+_xlfn.STDEV.P($P423:$XX424)),P424&lt;(AVERAGE($P423:$XX424)-_xlfn.STDEV.P($P423:$XX424))),"DESCARTADO",P424)))</f>
        <v>35.9</v>
      </c>
      <c r="Q426" s="107">
        <f t="shared" si="1262"/>
        <v>41.7</v>
      </c>
      <c r="R426" s="107">
        <f t="shared" si="1262"/>
        <v>54.63</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f t="shared" si="1237"/>
        <v>20</v>
      </c>
      <c r="C427" s="128">
        <f t="shared" si="1238"/>
        <v>1</v>
      </c>
      <c r="D427" s="127">
        <f t="shared" si="1238"/>
        <v>20</v>
      </c>
      <c r="E427" s="201"/>
      <c r="F427" s="93"/>
      <c r="G427" s="203"/>
      <c r="H427"/>
      <c r="I427"/>
      <c r="J427"/>
      <c r="K427" s="66"/>
      <c r="L427" s="29" t="s">
        <v>39</v>
      </c>
      <c r="M427" s="30">
        <f t="shared" ref="M427" si="1263">IFERROR(_xlfn.QUARTILE.EXC($P420:$XX420,3),"")</f>
        <v>54.63</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f t="shared" si="1237"/>
        <v>20</v>
      </c>
      <c r="C428" s="128">
        <f t="shared" si="1238"/>
        <v>1</v>
      </c>
      <c r="D428" s="127">
        <f t="shared" si="1238"/>
        <v>20</v>
      </c>
      <c r="E428" s="201"/>
      <c r="F428" s="93"/>
      <c r="G428" s="203"/>
      <c r="H428" s="134">
        <f t="shared" ref="H428" si="1265">COUNT($P428:$XX428)</f>
        <v>3</v>
      </c>
      <c r="I428" s="132">
        <f t="shared" ref="I428" si="1266">_xlfn.STDEV.P($P427:$XX428)/AVERAGE($P427:$XX428)</f>
        <v>0.17762210433487366</v>
      </c>
      <c r="J428" s="7">
        <f t="shared" ref="J428" si="1267">IF(AND(H428&gt;2,
OR(L414="MÉDIA SANEADA",L414="MEDIANA SANEADA",
AND(L414="PREÇO ESTIMADO",NOT(AND(P416="Orçamento",COUNTA(P414:XX414)=COUNTIF(P416:XX416,"Orçamento")))))),
ROW(),0)</f>
        <v>428</v>
      </c>
      <c r="K428" s="66"/>
      <c r="L428" s="29" t="s">
        <v>42</v>
      </c>
      <c r="M428" s="30">
        <f t="shared" ref="M428" si="1268">MIN($P420:$XX420)</f>
        <v>35.9</v>
      </c>
      <c r="N428" s="71"/>
      <c r="O428" s="27" t="str">
        <f t="shared" ref="O428" si="1269">"4 RODADA"</f>
        <v>4 RODADA</v>
      </c>
      <c r="P428" s="107">
        <f t="shared" ref="P428:AI428" si="1270">IF(P426="","",IF((_xlfn.STDEV.P($P425:$XX426)/AVERAGE($P425:$XX426))&lt;=25%,P426,IF(OR(P426&gt;(AVERAGE($P425:$XX426)+_xlfn.STDEV.P($P425:$XX426)),P426&lt;(AVERAGE($P425:$XX426)-_xlfn.STDEV.P($P425:$XX426))),"DESCARTADO",P426)))</f>
        <v>35.9</v>
      </c>
      <c r="Q428" s="107">
        <f t="shared" si="1270"/>
        <v>41.7</v>
      </c>
      <c r="R428" s="107">
        <f t="shared" si="1270"/>
        <v>54.63</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f t="shared" si="1237"/>
        <v>20</v>
      </c>
      <c r="C429" s="128">
        <f t="shared" si="1238"/>
        <v>1</v>
      </c>
      <c r="D429" s="127">
        <f t="shared" si="1238"/>
        <v>20</v>
      </c>
      <c r="E429" s="201"/>
      <c r="F429" s="93"/>
      <c r="G429" s="203"/>
      <c r="H429"/>
      <c r="I429"/>
      <c r="J429"/>
      <c r="K429" s="66"/>
      <c r="L429" s="29" t="s">
        <v>40</v>
      </c>
      <c r="M429" s="30">
        <f t="shared" ref="M429" si="1271">MAX($P420:$XX420)</f>
        <v>54.63</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f t="shared" si="1237"/>
        <v>20</v>
      </c>
      <c r="C430" s="128">
        <f t="shared" si="1238"/>
        <v>1</v>
      </c>
      <c r="D430" s="127">
        <f t="shared" si="1238"/>
        <v>20</v>
      </c>
      <c r="E430" s="201"/>
      <c r="F430" s="93"/>
      <c r="G430" s="203"/>
      <c r="H430" s="134">
        <f t="shared" ref="H430" si="1273">COUNT($P430:$XX430)</f>
        <v>3</v>
      </c>
      <c r="I430" s="132">
        <f t="shared" ref="I430" si="1274">_xlfn.STDEV.P($P429:$XX430)/AVERAGE($P429:$XX430)</f>
        <v>0.17762210433487366</v>
      </c>
      <c r="J430" s="7">
        <f t="shared" ref="J430" si="1275">IF(AND(H430&gt;2,
OR(L414="MÉDIA SANEADA",L414="MEDIANA SANEADA",
AND(L414="PREÇO ESTIMADO",NOT(AND(P416="Orçamento",COUNTA(P414:XX414)=COUNTIF(P416:XX416,"Orçamento")))))),
ROW(),0)</f>
        <v>430</v>
      </c>
      <c r="K430" s="66"/>
      <c r="N430" s="71"/>
      <c r="O430" s="27" t="str">
        <f t="shared" ref="O430" si="1276">"5 RODADA"</f>
        <v>5 RODADA</v>
      </c>
      <c r="P430" s="107">
        <f t="shared" ref="P430:AI430" si="1277">IF(P428="","",IF((_xlfn.STDEV.P($P427:$XX428)/AVERAGE($P427:$XX428))&lt;=25%,P428,IF(OR(P428&gt;(AVERAGE($P427:$XX428)+_xlfn.STDEV.P($P427:$XX428)),P428&lt;(AVERAGE($P427:$XX428)-_xlfn.STDEV.P($P427:$XX428))),"DESCARTADO",P428)))</f>
        <v>35.9</v>
      </c>
      <c r="Q430" s="107">
        <f t="shared" si="1277"/>
        <v>41.7</v>
      </c>
      <c r="R430" s="107">
        <f t="shared" si="1277"/>
        <v>54.63</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f t="shared" si="1237"/>
        <v>20</v>
      </c>
      <c r="C431" s="128">
        <f t="shared" si="1238"/>
        <v>1</v>
      </c>
      <c r="D431" s="127">
        <f t="shared" si="1238"/>
        <v>20</v>
      </c>
      <c r="E431" s="201"/>
      <c r="F431" s="93"/>
      <c r="G431" s="203"/>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f t="shared" si="1237"/>
        <v>20</v>
      </c>
      <c r="C432" s="128">
        <f t="shared" si="1238"/>
        <v>1</v>
      </c>
      <c r="D432" s="127">
        <f t="shared" si="1238"/>
        <v>20</v>
      </c>
      <c r="E432" s="201"/>
      <c r="F432" s="93"/>
      <c r="G432" s="203"/>
      <c r="H432" s="134">
        <f t="shared" ref="H432" si="1279">COUNT($P432:$XX432)</f>
        <v>3</v>
      </c>
      <c r="I432" s="132">
        <f t="shared" ref="I432" si="1280">_xlfn.STDEV.P($P431:$XX432)/AVERAGE($P431:$XX432)</f>
        <v>0.17762210433487366</v>
      </c>
      <c r="J432" s="7">
        <f t="shared" ref="J432" si="1281">IF(AND(H432&gt;2,
OR(L414="MÉDIA SANEADA",L414="MEDIANA SANEADA",
AND(L414="PREÇO ESTIMADO",NOT(AND(P416="Orçamento",COUNTA(P414:XX414)=COUNTIF(P416:XX416,"Orçamento")))))),
ROW(),0)</f>
        <v>432</v>
      </c>
      <c r="N432" s="71"/>
      <c r="O432" s="27" t="str">
        <f t="shared" ref="O432" si="1282">"6 RODADA"</f>
        <v>6 RODADA</v>
      </c>
      <c r="P432" s="107">
        <f t="shared" ref="P432:AI432" si="1283">IFERROR(IF(P430="","",IF((_xlfn.STDEV.P($P429:$XX430)/AVERAGE($P429:$XX430))&lt;=25%,P430,IF(OR(P430&gt;(AVERAGE($P429:$XX430)+_xlfn.STDEV.P($P429:$XX430)),P430&lt;(AVERAGE($P429:$XX430)-_xlfn.STDEV.P($P429:$XX430))),"DESCARTADO",P430))),)</f>
        <v>35.9</v>
      </c>
      <c r="Q432" s="107">
        <f t="shared" si="1283"/>
        <v>41.7</v>
      </c>
      <c r="R432" s="107">
        <f t="shared" si="1283"/>
        <v>54.63</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f t="shared" si="1237"/>
        <v>20</v>
      </c>
      <c r="C433" s="128">
        <f t="shared" si="1238"/>
        <v>1</v>
      </c>
      <c r="D433" s="127">
        <f t="shared" si="1238"/>
        <v>20</v>
      </c>
      <c r="E433" s="201"/>
      <c r="F433" s="136"/>
      <c r="G433" s="203"/>
      <c r="H433" s="206"/>
      <c r="I433" s="206"/>
      <c r="J433" s="207"/>
      <c r="K433" s="67"/>
      <c r="L433" s="1" t="s">
        <v>43</v>
      </c>
      <c r="M433" s="143">
        <f t="shared" ref="M433" si="1284">IFERROR(ROUND(M414*M416,2),"")</f>
        <v>308.56</v>
      </c>
      <c r="O433" s="27" t="s">
        <v>363</v>
      </c>
      <c r="P433" s="107">
        <f t="shared" ref="P433:AI454" si="1285">INDEX(P420:P432,MATCH(MAX($J420:$J432),$J420:$J432,0))</f>
        <v>35.9</v>
      </c>
      <c r="Q433" s="107">
        <f t="shared" si="1285"/>
        <v>41.7</v>
      </c>
      <c r="R433" s="107">
        <f t="shared" si="1285"/>
        <v>54.63</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f t="shared" ref="B435" si="1286">LARGE(IFERROR(IF(B433+1&gt;$H$8,"",B433+1),""),1)</f>
        <v>21</v>
      </c>
      <c r="C435" s="127">
        <f>IF(_xlfn.ISFORMULA(E439),MAX(INDEX('BASE FORMAÇÃO'!A:A,B435+1),1),E439)</f>
        <v>1</v>
      </c>
      <c r="D435" s="127">
        <f t="shared" ref="D435" si="1287">IFERROR(IF(C435=C425,D425+1,1),1)</f>
        <v>21</v>
      </c>
      <c r="E435" s="38" t="s">
        <v>9</v>
      </c>
      <c r="F435" s="73"/>
      <c r="G435" s="38" t="s">
        <v>15</v>
      </c>
      <c r="H435" s="135">
        <f>INDEX('BASE FORMAÇÃO'!B:B,B435+1)</f>
        <v>0</v>
      </c>
      <c r="I435" s="181" t="s">
        <v>16</v>
      </c>
      <c r="J435" s="6">
        <f>INDEX('BASE FORMAÇÃO'!K:K,B435+1)</f>
        <v>0</v>
      </c>
      <c r="K435" s="65"/>
      <c r="L435" s="184" t="s">
        <v>10</v>
      </c>
      <c r="M435" s="186">
        <f t="shared" ref="M435" si="1288">IF(OR(ISBLANK($O$8),ISBLANK($O$7),ISBLANK($H$8),ISBLANK($O$6),ISBLANK($O$5),ISBLANK($H$5)),"",IFERROR(IF(VLOOKUP(L435,L441:M450,2,FALSE)&lt;1,ROUND(VLOOKUP(L435,L441:M450,2,FALSE),4),ROUND(VLOOKUP(L435,L441:M450,2,FALSE),2)),""))</f>
        <v>41.26</v>
      </c>
      <c r="N435" s="69"/>
      <c r="O435" s="27" t="s">
        <v>17</v>
      </c>
      <c r="P435" s="113">
        <v>47.9</v>
      </c>
      <c r="Q435" s="113">
        <v>36.99</v>
      </c>
      <c r="R435" s="113">
        <v>38.9</v>
      </c>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f t="shared" ref="B436:D436" si="1289">B435</f>
        <v>21</v>
      </c>
      <c r="C436" s="128">
        <f t="shared" si="1289"/>
        <v>1</v>
      </c>
      <c r="D436" s="127">
        <f t="shared" si="1289"/>
        <v>21</v>
      </c>
      <c r="E436" s="188">
        <f t="shared" ref="E436" si="1290">D435</f>
        <v>21</v>
      </c>
      <c r="F436" s="92"/>
      <c r="G436" s="190" t="s">
        <v>1</v>
      </c>
      <c r="H436" s="193" t="s">
        <v>514</v>
      </c>
      <c r="I436" s="194"/>
      <c r="J436" s="195"/>
      <c r="K436" s="66"/>
      <c r="L436" s="185"/>
      <c r="M436" s="187"/>
      <c r="N436" s="70"/>
      <c r="O436" s="27" t="s">
        <v>13</v>
      </c>
      <c r="P436" s="122">
        <v>46195</v>
      </c>
      <c r="Q436" s="122">
        <v>46195</v>
      </c>
      <c r="R436" s="122">
        <v>46195</v>
      </c>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f t="shared" ref="B437:D437" si="1291">B436</f>
        <v>21</v>
      </c>
      <c r="C437" s="128">
        <f t="shared" si="1291"/>
        <v>1</v>
      </c>
      <c r="D437" s="127">
        <f t="shared" si="1291"/>
        <v>21</v>
      </c>
      <c r="E437" s="189"/>
      <c r="F437" s="93"/>
      <c r="G437" s="191"/>
      <c r="H437" s="196"/>
      <c r="I437" s="196"/>
      <c r="J437" s="197"/>
      <c r="K437" s="64"/>
      <c r="L437" s="130" t="s">
        <v>44</v>
      </c>
      <c r="M437" s="131">
        <v>3</v>
      </c>
      <c r="N437" s="71"/>
      <c r="O437" s="27" t="s">
        <v>380</v>
      </c>
      <c r="P437" s="114" t="s">
        <v>302</v>
      </c>
      <c r="Q437" s="114" t="s">
        <v>302</v>
      </c>
      <c r="R437" s="114" t="s">
        <v>302</v>
      </c>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f t="shared" ref="B438:C438" si="1292">B437</f>
        <v>21</v>
      </c>
      <c r="C438" s="128">
        <f t="shared" si="1292"/>
        <v>1</v>
      </c>
      <c r="D438" s="127">
        <f t="shared" si="1238"/>
        <v>21</v>
      </c>
      <c r="E438" s="38" t="s">
        <v>313</v>
      </c>
      <c r="F438" s="93"/>
      <c r="G438" s="192"/>
      <c r="H438" s="198"/>
      <c r="I438" s="198"/>
      <c r="J438" s="199"/>
      <c r="K438" s="64"/>
      <c r="L438" s="1" t="s">
        <v>2</v>
      </c>
      <c r="M438" s="6" t="s">
        <v>288</v>
      </c>
      <c r="N438" s="71"/>
      <c r="O438" s="27" t="s">
        <v>381</v>
      </c>
      <c r="P438" s="182" t="s">
        <v>515</v>
      </c>
      <c r="Q438" s="182" t="s">
        <v>516</v>
      </c>
      <c r="R438" s="182" t="s">
        <v>517</v>
      </c>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f t="shared" ref="B439:C439" si="1293">B437</f>
        <v>21</v>
      </c>
      <c r="C439" s="128">
        <f t="shared" si="1293"/>
        <v>1</v>
      </c>
      <c r="D439" s="127">
        <f t="shared" si="1238"/>
        <v>21</v>
      </c>
      <c r="E439" s="200">
        <f t="shared" ref="E439" si="1294">C435</f>
        <v>1</v>
      </c>
      <c r="F439" s="93"/>
      <c r="G439" s="202" t="s">
        <v>304</v>
      </c>
      <c r="H439" s="204"/>
      <c r="I439" s="205"/>
      <c r="J439" s="205"/>
      <c r="K439" s="67"/>
      <c r="L439" s="28" t="s">
        <v>303</v>
      </c>
      <c r="M439" s="133">
        <f t="shared" ref="M439" si="1295">IFERROR(INDEX(I441:I453,MATCH(MAX(J441:J453),J441:J453,0)),"")</f>
        <v>0.1152881257633307</v>
      </c>
      <c r="N439" s="71"/>
      <c r="O439" s="27" t="s">
        <v>18</v>
      </c>
      <c r="P439" s="106">
        <f>IF(P435="","",
IF(OR(P437="Orçamento",P436="",MAX('Tabela de Apoio'!$A:$A)&lt;=P436),
P435,
(INDEX('Tabela de Apoio'!$B:$B,MATCH('MAPA DE PREÇOS'!$O$8,'Tabela de Apoio'!$A:$A,1))/INDEX('Tabela de Apoio'!$B:$B,MATCH('MAPA DE PREÇOS'!P436,'Tabela de Apoio'!$A:$A,1)-1))*P435))</f>
        <v>47.9</v>
      </c>
      <c r="Q439" s="106">
        <f>IF(Q435="","",
IF(OR(Q437="Orçamento",Q436="",MAX('Tabela de Apoio'!$A:$A)&lt;=Q436),
Q435,
(INDEX('Tabela de Apoio'!$B:$B,MATCH('MAPA DE PREÇOS'!$O$8,'Tabela de Apoio'!$A:$A,1))/INDEX('Tabela de Apoio'!$B:$B,MATCH('MAPA DE PREÇOS'!Q436,'Tabela de Apoio'!$A:$A,1)-1))*Q435))</f>
        <v>36.99</v>
      </c>
      <c r="R439" s="106">
        <f>IF(R435="","",
IF(OR(R437="Orçamento",R436="",MAX('Tabela de Apoio'!$A:$A)&lt;=R436),
R435,
(INDEX('Tabela de Apoio'!$B:$B,MATCH('MAPA DE PREÇOS'!$O$8,'Tabela de Apoio'!$A:$A,1))/INDEX('Tabela de Apoio'!$B:$B,MATCH('MAPA DE PREÇOS'!R436,'Tabela de Apoio'!$A:$A,1)-1))*R435))</f>
        <v>38.9</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f t="shared" ref="B440" si="1296">B439</f>
        <v>21</v>
      </c>
      <c r="C440" s="128">
        <f t="shared" ref="C440" si="1297">C439</f>
        <v>1</v>
      </c>
      <c r="D440" s="127">
        <f t="shared" si="1238"/>
        <v>21</v>
      </c>
      <c r="E440" s="201"/>
      <c r="F440" s="93"/>
      <c r="G440" s="203"/>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f t="shared" ref="B441:C441" si="1298">B440</f>
        <v>21</v>
      </c>
      <c r="C441" s="128">
        <f t="shared" si="1298"/>
        <v>1</v>
      </c>
      <c r="D441" s="127">
        <f t="shared" si="1238"/>
        <v>21</v>
      </c>
      <c r="E441" s="201"/>
      <c r="F441" s="93"/>
      <c r="G441" s="203"/>
      <c r="H441" s="134">
        <f t="shared" ref="H441" si="1299">COUNT($P441:$XX441)</f>
        <v>3</v>
      </c>
      <c r="I441" s="132">
        <f t="shared" ref="I441" si="1300">_xlfn.STDEV.P($P440:$XX441)/AVERAGE($P440:$XX441)</f>
        <v>0.1152881257633307</v>
      </c>
      <c r="J441" s="7">
        <f>ROW()</f>
        <v>441</v>
      </c>
      <c r="K441" s="67"/>
      <c r="L441" s="29" t="s">
        <v>10</v>
      </c>
      <c r="M441" s="30">
        <f t="shared" ref="M441" si="1301">IFERROR(
IF(COUNTA(P435:AI435)=COUNTIF(P437:XX437,"Orçamento"),MIN(M446,M443),
IF(M444&lt;&gt;"",M444,
IF(M445&lt;&gt;"",M445,
M443
))),"")</f>
        <v>41.263333333333328</v>
      </c>
      <c r="N441" s="71"/>
      <c r="O441" s="27" t="s">
        <v>376</v>
      </c>
      <c r="P441" s="106">
        <f t="shared" ref="P441:AI441" si="1302">IFERROR(IF(P439="",
            "",
            IF(COUNT($P439:$XX439)&lt;=4,
               P439,
               IF(OR(P439&gt;(QUARTILE($P439:$XX439,3)+(QUARTILE($P439:$XX439,3)-QUARTILE($P439:$XX439,1))),
                     P439&lt;(QUARTILE($P439:$XX439,1)-(QUARTILE($P439:$XX439,3)-QUARTILE($P439:$XX439,1)))
                  ),
               "DESCARTADO",P439)
             )
  ),P439)</f>
        <v>47.9</v>
      </c>
      <c r="Q441" s="106">
        <f t="shared" si="1302"/>
        <v>36.99</v>
      </c>
      <c r="R441" s="106">
        <f t="shared" si="1302"/>
        <v>38.9</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f t="shared" ref="B442" si="1303">B441</f>
        <v>21</v>
      </c>
      <c r="C442" s="128">
        <f t="shared" ref="C442" si="1304">C441</f>
        <v>1</v>
      </c>
      <c r="D442" s="127">
        <f t="shared" si="1238"/>
        <v>21</v>
      </c>
      <c r="E442" s="201"/>
      <c r="F442" s="93"/>
      <c r="G442" s="203"/>
      <c r="H442"/>
      <c r="I442"/>
      <c r="J442"/>
      <c r="K442" s="66"/>
      <c r="L442" s="29" t="s">
        <v>360</v>
      </c>
      <c r="M442" s="30">
        <f t="shared" ref="M442" si="1305">AVERAGE($P441:$XX441)</f>
        <v>41.263333333333328</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f t="shared" si="1237"/>
        <v>21</v>
      </c>
      <c r="C443" s="128">
        <f t="shared" si="1238"/>
        <v>1</v>
      </c>
      <c r="D443" s="127">
        <f t="shared" si="1238"/>
        <v>21</v>
      </c>
      <c r="E443" s="201"/>
      <c r="F443" s="93"/>
      <c r="G443" s="203"/>
      <c r="H443" s="134">
        <f t="shared" ref="H443" si="1307">COUNT($P443:$XX443)</f>
        <v>3</v>
      </c>
      <c r="I443" s="132">
        <f t="shared" ref="I443" si="1308">_xlfn.STDEV.P($P442:$XX443)/AVERAGE($P442:$XX443)</f>
        <v>0.1152881257633307</v>
      </c>
      <c r="J443" s="7">
        <f t="shared" ref="J443" si="1309">IF(AND(H443&gt;2,
OR(L435="MÉDIA SANEADA",L435="MEDIANA SANEADA",
AND(L435="PREÇO ESTIMADO",NOT(AND(P437="Orçamento",COUNTA(P435:XX435)=COUNTIF(P437:XX437,"Orçamento")))))),
ROW(),0)</f>
        <v>443</v>
      </c>
      <c r="K443" s="66"/>
      <c r="L443" s="29" t="s">
        <v>361</v>
      </c>
      <c r="M443" s="30">
        <f t="shared" ref="M443" si="1310">MEDIAN($P441:$XX441)</f>
        <v>38.9</v>
      </c>
      <c r="N443" s="71"/>
      <c r="O443" s="27" t="str">
        <f t="shared" ref="O443" si="1311">"1 RODADA"</f>
        <v>1 RODADA</v>
      </c>
      <c r="P443" s="107">
        <f t="shared" ref="P443:AI443" si="1312">IF(P441="","",IF((_xlfn.STDEV.P($P440:$XX441)/AVERAGE($P440:$XX441))&lt;=25%,P441,IF(OR(P441&gt;(AVERAGE($P440:$XX441)+_xlfn.STDEV.P($P440:$XX441)),P441&lt;(AVERAGE($P440:$XX441)-_xlfn.STDEV.P($P440:$XX441))),"DESCARTADO",P441)))</f>
        <v>47.9</v>
      </c>
      <c r="Q443" s="107">
        <f t="shared" si="1312"/>
        <v>36.99</v>
      </c>
      <c r="R443" s="107">
        <f t="shared" si="1312"/>
        <v>38.9</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f t="shared" si="1237"/>
        <v>21</v>
      </c>
      <c r="C444" s="128">
        <f t="shared" si="1238"/>
        <v>1</v>
      </c>
      <c r="D444" s="127">
        <f t="shared" si="1238"/>
        <v>21</v>
      </c>
      <c r="E444" s="201"/>
      <c r="F444" s="93"/>
      <c r="G444" s="203"/>
      <c r="H444"/>
      <c r="I444"/>
      <c r="J444"/>
      <c r="L444" s="29" t="s">
        <v>38</v>
      </c>
      <c r="M444" s="30">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41.263333333333328</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f t="shared" si="1237"/>
        <v>21</v>
      </c>
      <c r="C445" s="128">
        <f t="shared" si="1238"/>
        <v>1</v>
      </c>
      <c r="D445" s="127">
        <f t="shared" si="1238"/>
        <v>21</v>
      </c>
      <c r="E445" s="201"/>
      <c r="F445" s="93"/>
      <c r="G445" s="203"/>
      <c r="H445" s="134">
        <f t="shared" ref="H445" si="1315">COUNT($P445:$XX445)</f>
        <v>3</v>
      </c>
      <c r="I445" s="132">
        <f t="shared" ref="I445" si="1316">_xlfn.STDEV.P($P444:$XX445)/AVERAGE($P444:$XX445)</f>
        <v>0.1152881257633307</v>
      </c>
      <c r="J445" s="7">
        <f t="shared" ref="J445" si="1317">IF(AND(H445&gt;2,
OR(L435="MÉDIA SANEADA",L435="MEDIANA SANEADA",
AND(L435="PREÇO ESTIMADO",NOT(AND(P437="Orçamento",COUNTA(P435:XX435)=COUNTIF(P437:XX437,"Orçamento")))))),
ROW(),0)</f>
        <v>445</v>
      </c>
      <c r="K445" s="66"/>
      <c r="L445" s="29" t="s">
        <v>362</v>
      </c>
      <c r="M445" s="30">
        <f t="shared" ref="M445" si="1318" xml:space="preserve">
IF(H443&gt;2,MEDIAN(P442:XX443),
IF(H445&gt;2,MEDIAN(P444:XX445),
IF(H447&gt;2,MEDIAN(P446:XX447),
IF(H449&gt;2,MEDIAN(P448:XX449),
IF(H451&gt;2,MEDIAN(P450:XX451),
IF(H453&gt;2,MEDIAN(P452:XX453),
MEDIAN(P440:XX441)))))))</f>
        <v>38.9</v>
      </c>
      <c r="N445" s="71"/>
      <c r="O445" s="27" t="str">
        <f t="shared" ref="O445" si="1319">"2 RODADA"</f>
        <v>2 RODADA</v>
      </c>
      <c r="P445" s="107">
        <f t="shared" ref="P445:AI445" si="1320">IF(P443="","",IF((_xlfn.STDEV.P($P442:$XX443)/AVERAGE($P442:$XX443))&lt;=25%,P443,IF(OR(P443&gt;(AVERAGE($P442:$XX443)+_xlfn.STDEV.P($P442:$XX443)),P443&lt;(AVERAGE($P442:$XX443)-_xlfn.STDEV.P($P442:$XX443))),"DESCARTADO",P443)))</f>
        <v>47.9</v>
      </c>
      <c r="Q445" s="107">
        <f t="shared" si="1320"/>
        <v>36.99</v>
      </c>
      <c r="R445" s="107">
        <f t="shared" si="1320"/>
        <v>38.9</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f t="shared" si="1237"/>
        <v>21</v>
      </c>
      <c r="C446" s="128">
        <f t="shared" si="1238"/>
        <v>1</v>
      </c>
      <c r="D446" s="127">
        <f t="shared" si="1238"/>
        <v>21</v>
      </c>
      <c r="E446" s="201"/>
      <c r="F446" s="93"/>
      <c r="G446" s="203"/>
      <c r="H446"/>
      <c r="I446"/>
      <c r="J446"/>
      <c r="K446" s="66"/>
      <c r="L446" s="29" t="s">
        <v>359</v>
      </c>
      <c r="M446" s="30">
        <f t="shared" ref="M446" si="1321">HARMEAN($P440:$XX441)</f>
        <v>40.750847292947121</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f t="shared" si="1237"/>
        <v>21</v>
      </c>
      <c r="C447" s="128">
        <f t="shared" si="1238"/>
        <v>1</v>
      </c>
      <c r="D447" s="127">
        <f t="shared" si="1238"/>
        <v>21</v>
      </c>
      <c r="E447" s="201"/>
      <c r="F447" s="93"/>
      <c r="G447" s="203"/>
      <c r="H447" s="134">
        <f t="shared" ref="H447" si="1323">COUNT($P447:$XX447)</f>
        <v>3</v>
      </c>
      <c r="I447" s="132">
        <f t="shared" ref="I447" si="1324">_xlfn.STDEV.P($P446:$XX447)/AVERAGE($P446:$XX447)</f>
        <v>0.1152881257633307</v>
      </c>
      <c r="J447" s="7">
        <f t="shared" ref="J447" si="1325">IF(AND(H447&gt;2,
OR(L435="MÉDIA SANEADA",L435="MEDIANA SANEADA",
AND(L435="PREÇO ESTIMADO",NOT(AND(P437="Orçamento",COUNTA(P435:XX435)=COUNTIF(P437:XX437,"Orçamento")))))),
ROW(),0)</f>
        <v>447</v>
      </c>
      <c r="K447" s="66"/>
      <c r="L447" s="29" t="s">
        <v>41</v>
      </c>
      <c r="M447" s="30">
        <f t="shared" ref="M447" si="1326">IFERROR(_xlfn.QUARTILE.EXC($P441:$XX441,1),"")</f>
        <v>36.99</v>
      </c>
      <c r="N447" s="71"/>
      <c r="O447" s="27" t="str">
        <f t="shared" ref="O447" si="1327">"3 RODADA"</f>
        <v>3 RODADA</v>
      </c>
      <c r="P447" s="107">
        <f t="shared" ref="P447:AI447" si="1328">IF(P445="","",IF((_xlfn.STDEV.P($P444:$XX445)/AVERAGE($P444:$XX445))&lt;=25%,P445,IF(OR(P445&gt;(AVERAGE($P444:$XX445)+_xlfn.STDEV.P($P444:$XX445)),P445&lt;(AVERAGE($P444:$XX445)-_xlfn.STDEV.P($P444:$XX445))),"DESCARTADO",P445)))</f>
        <v>47.9</v>
      </c>
      <c r="Q447" s="107">
        <f t="shared" si="1328"/>
        <v>36.99</v>
      </c>
      <c r="R447" s="107">
        <f t="shared" si="1328"/>
        <v>38.9</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f t="shared" si="1237"/>
        <v>21</v>
      </c>
      <c r="C448" s="128">
        <f t="shared" si="1238"/>
        <v>1</v>
      </c>
      <c r="D448" s="127">
        <f t="shared" si="1238"/>
        <v>21</v>
      </c>
      <c r="E448" s="201"/>
      <c r="F448" s="93"/>
      <c r="G448" s="203"/>
      <c r="H448"/>
      <c r="I448"/>
      <c r="J448"/>
      <c r="K448" s="66"/>
      <c r="L448" s="29" t="s">
        <v>39</v>
      </c>
      <c r="M448" s="30">
        <f t="shared" ref="M448" si="1329">IFERROR(_xlfn.QUARTILE.EXC($P441:$XX441,3),"")</f>
        <v>47.9</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f t="shared" si="1237"/>
        <v>21</v>
      </c>
      <c r="C449" s="128">
        <f t="shared" si="1238"/>
        <v>1</v>
      </c>
      <c r="D449" s="127">
        <f t="shared" si="1238"/>
        <v>21</v>
      </c>
      <c r="E449" s="201"/>
      <c r="F449" s="93"/>
      <c r="G449" s="203"/>
      <c r="H449" s="134">
        <f t="shared" ref="H449" si="1331">COUNT($P449:$XX449)</f>
        <v>3</v>
      </c>
      <c r="I449" s="132">
        <f t="shared" ref="I449" si="1332">_xlfn.STDEV.P($P448:$XX449)/AVERAGE($P448:$XX449)</f>
        <v>0.1152881257633307</v>
      </c>
      <c r="J449" s="7">
        <f t="shared" ref="J449" si="1333">IF(AND(H449&gt;2,
OR(L435="MÉDIA SANEADA",L435="MEDIANA SANEADA",
AND(L435="PREÇO ESTIMADO",NOT(AND(P437="Orçamento",COUNTA(P435:XX435)=COUNTIF(P437:XX437,"Orçamento")))))),
ROW(),0)</f>
        <v>449</v>
      </c>
      <c r="K449" s="66"/>
      <c r="L449" s="29" t="s">
        <v>42</v>
      </c>
      <c r="M449" s="30">
        <f t="shared" ref="M449" si="1334">MIN($P441:$XX441)</f>
        <v>36.99</v>
      </c>
      <c r="N449" s="71"/>
      <c r="O449" s="27" t="str">
        <f t="shared" ref="O449" si="1335">"4 RODADA"</f>
        <v>4 RODADA</v>
      </c>
      <c r="P449" s="107">
        <f t="shared" ref="P449:AI449" si="1336">IF(P447="","",IF((_xlfn.STDEV.P($P446:$XX447)/AVERAGE($P446:$XX447))&lt;=25%,P447,IF(OR(P447&gt;(AVERAGE($P446:$XX447)+_xlfn.STDEV.P($P446:$XX447)),P447&lt;(AVERAGE($P446:$XX447)-_xlfn.STDEV.P($P446:$XX447))),"DESCARTADO",P447)))</f>
        <v>47.9</v>
      </c>
      <c r="Q449" s="107">
        <f t="shared" si="1336"/>
        <v>36.99</v>
      </c>
      <c r="R449" s="107">
        <f t="shared" si="1336"/>
        <v>38.9</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f t="shared" si="1237"/>
        <v>21</v>
      </c>
      <c r="C450" s="128">
        <f t="shared" si="1238"/>
        <v>1</v>
      </c>
      <c r="D450" s="127">
        <f t="shared" si="1238"/>
        <v>21</v>
      </c>
      <c r="E450" s="201"/>
      <c r="F450" s="93"/>
      <c r="G450" s="203"/>
      <c r="H450"/>
      <c r="I450"/>
      <c r="J450"/>
      <c r="K450" s="66"/>
      <c r="L450" s="29" t="s">
        <v>40</v>
      </c>
      <c r="M450" s="30">
        <f t="shared" ref="M450" si="1337">MAX($P441:$XX441)</f>
        <v>47.9</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f t="shared" si="1237"/>
        <v>21</v>
      </c>
      <c r="C451" s="128">
        <f t="shared" si="1238"/>
        <v>1</v>
      </c>
      <c r="D451" s="127">
        <f t="shared" si="1238"/>
        <v>21</v>
      </c>
      <c r="E451" s="201"/>
      <c r="F451" s="93"/>
      <c r="G451" s="203"/>
      <c r="H451" s="134">
        <f t="shared" ref="H451" si="1339">COUNT($P451:$XX451)</f>
        <v>3</v>
      </c>
      <c r="I451" s="132">
        <f t="shared" ref="I451" si="1340">_xlfn.STDEV.P($P450:$XX451)/AVERAGE($P450:$XX451)</f>
        <v>0.1152881257633307</v>
      </c>
      <c r="J451" s="7">
        <f t="shared" ref="J451" si="1341">IF(AND(H451&gt;2,
OR(L435="MÉDIA SANEADA",L435="MEDIANA SANEADA",
AND(L435="PREÇO ESTIMADO",NOT(AND(P437="Orçamento",COUNTA(P435:XX435)=COUNTIF(P437:XX437,"Orçamento")))))),
ROW(),0)</f>
        <v>451</v>
      </c>
      <c r="K451" s="66"/>
      <c r="N451" s="71"/>
      <c r="O451" s="27" t="str">
        <f t="shared" ref="O451" si="1342">"5 RODADA"</f>
        <v>5 RODADA</v>
      </c>
      <c r="P451" s="107">
        <f t="shared" ref="P451:AI451" si="1343">IF(P449="","",IF((_xlfn.STDEV.P($P448:$XX449)/AVERAGE($P448:$XX449))&lt;=25%,P449,IF(OR(P449&gt;(AVERAGE($P448:$XX449)+_xlfn.STDEV.P($P448:$XX449)),P449&lt;(AVERAGE($P448:$XX449)-_xlfn.STDEV.P($P448:$XX449))),"DESCARTADO",P449)))</f>
        <v>47.9</v>
      </c>
      <c r="Q451" s="107">
        <f t="shared" si="1343"/>
        <v>36.99</v>
      </c>
      <c r="R451" s="107">
        <f t="shared" si="1343"/>
        <v>38.9</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f t="shared" si="1237"/>
        <v>21</v>
      </c>
      <c r="C452" s="128">
        <f t="shared" si="1238"/>
        <v>1</v>
      </c>
      <c r="D452" s="127">
        <f t="shared" si="1238"/>
        <v>21</v>
      </c>
      <c r="E452" s="201"/>
      <c r="F452" s="93"/>
      <c r="G452" s="203"/>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f t="shared" si="1237"/>
        <v>21</v>
      </c>
      <c r="C453" s="128">
        <f t="shared" si="1238"/>
        <v>1</v>
      </c>
      <c r="D453" s="127">
        <f t="shared" si="1238"/>
        <v>21</v>
      </c>
      <c r="E453" s="201"/>
      <c r="F453" s="93"/>
      <c r="G453" s="203"/>
      <c r="H453" s="134">
        <f t="shared" ref="H453" si="1345">COUNT($P453:$XX453)</f>
        <v>3</v>
      </c>
      <c r="I453" s="132">
        <f t="shared" ref="I453" si="1346">_xlfn.STDEV.P($P452:$XX453)/AVERAGE($P452:$XX453)</f>
        <v>0.1152881257633307</v>
      </c>
      <c r="J453" s="7">
        <f t="shared" ref="J453" si="1347">IF(AND(H453&gt;2,
OR(L435="MÉDIA SANEADA",L435="MEDIANA SANEADA",
AND(L435="PREÇO ESTIMADO",NOT(AND(P437="Orçamento",COUNTA(P435:XX435)=COUNTIF(P437:XX437,"Orçamento")))))),
ROW(),0)</f>
        <v>453</v>
      </c>
      <c r="N453" s="71"/>
      <c r="O453" s="27" t="str">
        <f t="shared" ref="O453" si="1348">"6 RODADA"</f>
        <v>6 RODADA</v>
      </c>
      <c r="P453" s="107">
        <f t="shared" ref="P453:AI453" si="1349">IFERROR(IF(P451="","",IF((_xlfn.STDEV.P($P450:$XX451)/AVERAGE($P450:$XX451))&lt;=25%,P451,IF(OR(P451&gt;(AVERAGE($P450:$XX451)+_xlfn.STDEV.P($P450:$XX451)),P451&lt;(AVERAGE($P450:$XX451)-_xlfn.STDEV.P($P450:$XX451))),"DESCARTADO",P451))),)</f>
        <v>47.9</v>
      </c>
      <c r="Q453" s="107">
        <f t="shared" si="1349"/>
        <v>36.99</v>
      </c>
      <c r="R453" s="107">
        <f t="shared" si="1349"/>
        <v>38.9</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f t="shared" si="1237"/>
        <v>21</v>
      </c>
      <c r="C454" s="128">
        <f t="shared" si="1238"/>
        <v>1</v>
      </c>
      <c r="D454" s="127">
        <f t="shared" si="1238"/>
        <v>21</v>
      </c>
      <c r="E454" s="201"/>
      <c r="F454" s="136"/>
      <c r="G454" s="203"/>
      <c r="H454" s="206"/>
      <c r="I454" s="206"/>
      <c r="J454" s="207"/>
      <c r="K454" s="67"/>
      <c r="L454" s="1" t="s">
        <v>43</v>
      </c>
      <c r="M454" s="143">
        <f t="shared" ref="M454" si="1350">IFERROR(ROUND(M435*M437,2),"")</f>
        <v>123.78</v>
      </c>
      <c r="O454" s="27" t="s">
        <v>363</v>
      </c>
      <c r="P454" s="107">
        <f t="shared" ref="P454:R454" si="1351">INDEX(P441:P453,MATCH(MAX($J441:$J453),$J441:$J453,0))</f>
        <v>47.9</v>
      </c>
      <c r="Q454" s="107">
        <f t="shared" si="1351"/>
        <v>36.99</v>
      </c>
      <c r="R454" s="107">
        <f t="shared" si="1351"/>
        <v>38.9</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f t="shared" ref="B456" si="1352">LARGE(IFERROR(IF(B454+1&gt;$H$8,"",B454+1),""),1)</f>
        <v>22</v>
      </c>
      <c r="C456" s="127">
        <f>IF(_xlfn.ISFORMULA(E460),MAX(INDEX('BASE FORMAÇÃO'!A:A,B456+1),1),E460)</f>
        <v>1</v>
      </c>
      <c r="D456" s="127">
        <f t="shared" ref="D456" si="1353">IFERROR(IF(C456=C446,D446+1,1),1)</f>
        <v>22</v>
      </c>
      <c r="E456" s="38" t="s">
        <v>9</v>
      </c>
      <c r="F456" s="73"/>
      <c r="G456" s="38" t="s">
        <v>15</v>
      </c>
      <c r="H456" s="135">
        <f>INDEX('BASE FORMAÇÃO'!B:B,B456+1)</f>
        <v>0</v>
      </c>
      <c r="I456" s="181" t="s">
        <v>16</v>
      </c>
      <c r="J456" s="6">
        <f>INDEX('BASE FORMAÇÃO'!K:K,B456+1)</f>
        <v>0</v>
      </c>
      <c r="K456" s="65"/>
      <c r="L456" s="184" t="s">
        <v>10</v>
      </c>
      <c r="M456" s="186">
        <f t="shared" ref="M456" si="1354">IF(OR(ISBLANK($O$8),ISBLANK($O$7),ISBLANK($H$8),ISBLANK($O$6),ISBLANK($O$5),ISBLANK($H$5)),"",IFERROR(IF(VLOOKUP(L456,L462:M471,2,FALSE)&lt;1,ROUND(VLOOKUP(L456,L462:M471,2,FALSE),4),ROUND(VLOOKUP(L456,L462:M471,2,FALSE),2)),""))</f>
        <v>234.35</v>
      </c>
      <c r="N456" s="69"/>
      <c r="O456" s="27" t="s">
        <v>17</v>
      </c>
      <c r="P456" s="113">
        <v>269.89999999999998</v>
      </c>
      <c r="Q456" s="113">
        <v>223.16</v>
      </c>
      <c r="R456" s="113">
        <v>209.99</v>
      </c>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f t="shared" ref="B457:D457" si="1355">B456</f>
        <v>22</v>
      </c>
      <c r="C457" s="128">
        <f t="shared" si="1355"/>
        <v>1</v>
      </c>
      <c r="D457" s="127">
        <f t="shared" si="1355"/>
        <v>22</v>
      </c>
      <c r="E457" s="188">
        <f t="shared" ref="E457" si="1356">D456</f>
        <v>22</v>
      </c>
      <c r="F457" s="92"/>
      <c r="G457" s="190" t="s">
        <v>1</v>
      </c>
      <c r="H457" s="193" t="s">
        <v>518</v>
      </c>
      <c r="I457" s="194"/>
      <c r="J457" s="195"/>
      <c r="K457" s="66"/>
      <c r="L457" s="185"/>
      <c r="M457" s="187"/>
      <c r="N457" s="70"/>
      <c r="O457" s="27" t="s">
        <v>13</v>
      </c>
      <c r="P457" s="122">
        <v>46195</v>
      </c>
      <c r="Q457" s="122">
        <v>46195</v>
      </c>
      <c r="R457" s="122">
        <v>46195</v>
      </c>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f t="shared" ref="B458:D458" si="1357">B457</f>
        <v>22</v>
      </c>
      <c r="C458" s="128">
        <f t="shared" si="1357"/>
        <v>1</v>
      </c>
      <c r="D458" s="127">
        <f t="shared" si="1357"/>
        <v>22</v>
      </c>
      <c r="E458" s="189"/>
      <c r="F458" s="93"/>
      <c r="G458" s="191"/>
      <c r="H458" s="196"/>
      <c r="I458" s="196"/>
      <c r="J458" s="197"/>
      <c r="K458" s="64"/>
      <c r="L458" s="130" t="s">
        <v>44</v>
      </c>
      <c r="M458" s="131">
        <v>3</v>
      </c>
      <c r="N458" s="71"/>
      <c r="O458" s="27" t="s">
        <v>380</v>
      </c>
      <c r="P458" s="114" t="s">
        <v>302</v>
      </c>
      <c r="Q458" s="114" t="s">
        <v>302</v>
      </c>
      <c r="R458" s="114" t="s">
        <v>302</v>
      </c>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f t="shared" ref="B459:C459" si="1358">B458</f>
        <v>22</v>
      </c>
      <c r="C459" s="128">
        <f t="shared" si="1358"/>
        <v>1</v>
      </c>
      <c r="D459" s="127">
        <f t="shared" si="1238"/>
        <v>22</v>
      </c>
      <c r="E459" s="38" t="s">
        <v>313</v>
      </c>
      <c r="F459" s="93"/>
      <c r="G459" s="192"/>
      <c r="H459" s="198"/>
      <c r="I459" s="198"/>
      <c r="J459" s="199"/>
      <c r="K459" s="64"/>
      <c r="L459" s="1" t="s">
        <v>2</v>
      </c>
      <c r="M459" s="6" t="s">
        <v>288</v>
      </c>
      <c r="N459" s="71"/>
      <c r="O459" s="27" t="s">
        <v>381</v>
      </c>
      <c r="P459" s="182" t="s">
        <v>519</v>
      </c>
      <c r="Q459" s="182" t="s">
        <v>520</v>
      </c>
      <c r="R459" s="182" t="s">
        <v>521</v>
      </c>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f t="shared" ref="B460:C460" si="1359">B458</f>
        <v>22</v>
      </c>
      <c r="C460" s="128">
        <f t="shared" si="1359"/>
        <v>1</v>
      </c>
      <c r="D460" s="127">
        <f t="shared" si="1238"/>
        <v>22</v>
      </c>
      <c r="E460" s="200">
        <f t="shared" ref="E460" si="1360">C456</f>
        <v>1</v>
      </c>
      <c r="F460" s="93"/>
      <c r="G460" s="202" t="s">
        <v>304</v>
      </c>
      <c r="H460" s="204"/>
      <c r="I460" s="205"/>
      <c r="J460" s="205"/>
      <c r="K460" s="67"/>
      <c r="L460" s="28" t="s">
        <v>303</v>
      </c>
      <c r="M460" s="133">
        <f t="shared" ref="M460" si="1361">IFERROR(INDEX(I462:I474,MATCH(MAX(J462:J474),J462:J474,0)),"")</f>
        <v>0.10969154365999859</v>
      </c>
      <c r="N460" s="71"/>
      <c r="O460" s="27" t="s">
        <v>18</v>
      </c>
      <c r="P460" s="106">
        <f>IF(P456="","",
IF(OR(P458="Orçamento",P457="",MAX('Tabela de Apoio'!$A:$A)&lt;=P457),
P456,
(INDEX('Tabela de Apoio'!$B:$B,MATCH('MAPA DE PREÇOS'!$O$8,'Tabela de Apoio'!$A:$A,1))/INDEX('Tabela de Apoio'!$B:$B,MATCH('MAPA DE PREÇOS'!P457,'Tabela de Apoio'!$A:$A,1)-1))*P456))</f>
        <v>269.89999999999998</v>
      </c>
      <c r="Q460" s="106">
        <f>IF(Q456="","",
IF(OR(Q458="Orçamento",Q457="",MAX('Tabela de Apoio'!$A:$A)&lt;=Q457),
Q456,
(INDEX('Tabela de Apoio'!$B:$B,MATCH('MAPA DE PREÇOS'!$O$8,'Tabela de Apoio'!$A:$A,1))/INDEX('Tabela de Apoio'!$B:$B,MATCH('MAPA DE PREÇOS'!Q457,'Tabela de Apoio'!$A:$A,1)-1))*Q456))</f>
        <v>223.16</v>
      </c>
      <c r="R460" s="106">
        <f>IF(R456="","",
IF(OR(R458="Orçamento",R457="",MAX('Tabela de Apoio'!$A:$A)&lt;=R457),
R456,
(INDEX('Tabela de Apoio'!$B:$B,MATCH('MAPA DE PREÇOS'!$O$8,'Tabela de Apoio'!$A:$A,1))/INDEX('Tabela de Apoio'!$B:$B,MATCH('MAPA DE PREÇOS'!R457,'Tabela de Apoio'!$A:$A,1)-1))*R456))</f>
        <v>209.99</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f t="shared" ref="B461" si="1362">B460</f>
        <v>22</v>
      </c>
      <c r="C461" s="128">
        <f t="shared" ref="C461" si="1363">C460</f>
        <v>1</v>
      </c>
      <c r="D461" s="127">
        <f t="shared" si="1238"/>
        <v>22</v>
      </c>
      <c r="E461" s="201"/>
      <c r="F461" s="93"/>
      <c r="G461" s="203"/>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f t="shared" ref="B462:C462" si="1364">B461</f>
        <v>22</v>
      </c>
      <c r="C462" s="128">
        <f t="shared" si="1364"/>
        <v>1</v>
      </c>
      <c r="D462" s="127">
        <f t="shared" si="1238"/>
        <v>22</v>
      </c>
      <c r="E462" s="201"/>
      <c r="F462" s="93"/>
      <c r="G462" s="203"/>
      <c r="H462" s="134">
        <f t="shared" ref="H462" si="1365">COUNT($P462:$XX462)</f>
        <v>3</v>
      </c>
      <c r="I462" s="132">
        <f t="shared" ref="I462" si="1366">_xlfn.STDEV.P($P461:$XX462)/AVERAGE($P461:$XX462)</f>
        <v>0.10969154365999859</v>
      </c>
      <c r="J462" s="7">
        <f>ROW()</f>
        <v>462</v>
      </c>
      <c r="K462" s="67"/>
      <c r="L462" s="29" t="s">
        <v>10</v>
      </c>
      <c r="M462" s="30">
        <f t="shared" ref="M462" si="1367">IFERROR(
IF(COUNTA(P456:AI456)=COUNTIF(P458:XX458,"Orçamento"),MIN(M467,M464),
IF(M465&lt;&gt;"",M465,
IF(M466&lt;&gt;"",M466,
M464
))),"")</f>
        <v>234.35</v>
      </c>
      <c r="N462" s="71"/>
      <c r="O462" s="27" t="s">
        <v>376</v>
      </c>
      <c r="P462" s="106">
        <f t="shared" ref="P462:AI462" si="1368">IFERROR(IF(P460="",
            "",
            IF(COUNT($P460:$XX460)&lt;=4,
               P460,
               IF(OR(P460&gt;(QUARTILE($P460:$XX460,3)+(QUARTILE($P460:$XX460,3)-QUARTILE($P460:$XX460,1))),
                     P460&lt;(QUARTILE($P460:$XX460,1)-(QUARTILE($P460:$XX460,3)-QUARTILE($P460:$XX460,1)))
                  ),
               "DESCARTADO",P460)
             )
  ),P460)</f>
        <v>269.89999999999998</v>
      </c>
      <c r="Q462" s="106">
        <f t="shared" si="1368"/>
        <v>223.16</v>
      </c>
      <c r="R462" s="106">
        <f t="shared" si="1368"/>
        <v>209.99</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f t="shared" ref="B463" si="1369">B462</f>
        <v>22</v>
      </c>
      <c r="C463" s="128">
        <f t="shared" ref="C463" si="1370">C462</f>
        <v>1</v>
      </c>
      <c r="D463" s="127">
        <f t="shared" si="1238"/>
        <v>22</v>
      </c>
      <c r="E463" s="201"/>
      <c r="F463" s="93"/>
      <c r="G463" s="203"/>
      <c r="H463"/>
      <c r="I463"/>
      <c r="J463"/>
      <c r="K463" s="66"/>
      <c r="L463" s="29" t="s">
        <v>360</v>
      </c>
      <c r="M463" s="30">
        <f t="shared" ref="M463" si="1371">AVERAGE($P462:$XX462)</f>
        <v>234.35</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f t="shared" si="1237"/>
        <v>22</v>
      </c>
      <c r="C464" s="128">
        <f t="shared" si="1238"/>
        <v>1</v>
      </c>
      <c r="D464" s="127">
        <f t="shared" si="1238"/>
        <v>22</v>
      </c>
      <c r="E464" s="201"/>
      <c r="F464" s="93"/>
      <c r="G464" s="203"/>
      <c r="H464" s="134">
        <f t="shared" ref="H464" si="1373">COUNT($P464:$XX464)</f>
        <v>3</v>
      </c>
      <c r="I464" s="132">
        <f t="shared" ref="I464" si="1374">_xlfn.STDEV.P($P463:$XX464)/AVERAGE($P463:$XX464)</f>
        <v>0.10969154365999859</v>
      </c>
      <c r="J464" s="7">
        <f t="shared" ref="J464" si="1375">IF(AND(H464&gt;2,
OR(L456="MÉDIA SANEADA",L456="MEDIANA SANEADA",
AND(L456="PREÇO ESTIMADO",NOT(AND(P458="Orçamento",COUNTA(P456:XX456)=COUNTIF(P458:XX458,"Orçamento")))))),
ROW(),0)</f>
        <v>464</v>
      </c>
      <c r="K464" s="66"/>
      <c r="L464" s="29" t="s">
        <v>361</v>
      </c>
      <c r="M464" s="30">
        <f t="shared" ref="M464" si="1376">MEDIAN($P462:$XX462)</f>
        <v>223.16</v>
      </c>
      <c r="N464" s="71"/>
      <c r="O464" s="27" t="str">
        <f t="shared" ref="O464" si="1377">"1 RODADA"</f>
        <v>1 RODADA</v>
      </c>
      <c r="P464" s="107">
        <f t="shared" ref="P464:AI464" si="1378">IF(P462="","",IF((_xlfn.STDEV.P($P461:$XX462)/AVERAGE($P461:$XX462))&lt;=25%,P462,IF(OR(P462&gt;(AVERAGE($P461:$XX462)+_xlfn.STDEV.P($P461:$XX462)),P462&lt;(AVERAGE($P461:$XX462)-_xlfn.STDEV.P($P461:$XX462))),"DESCARTADO",P462)))</f>
        <v>269.89999999999998</v>
      </c>
      <c r="Q464" s="107">
        <f t="shared" si="1378"/>
        <v>223.16</v>
      </c>
      <c r="R464" s="107">
        <f t="shared" si="1378"/>
        <v>209.99</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f t="shared" si="1237"/>
        <v>22</v>
      </c>
      <c r="C465" s="128">
        <f t="shared" si="1238"/>
        <v>1</v>
      </c>
      <c r="D465" s="127">
        <f t="shared" si="1238"/>
        <v>22</v>
      </c>
      <c r="E465" s="201"/>
      <c r="F465" s="93"/>
      <c r="G465" s="203"/>
      <c r="H465"/>
      <c r="I465"/>
      <c r="J465"/>
      <c r="L465" s="29" t="s">
        <v>38</v>
      </c>
      <c r="M465" s="30">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234.35</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f t="shared" si="1237"/>
        <v>22</v>
      </c>
      <c r="C466" s="128">
        <f t="shared" si="1238"/>
        <v>1</v>
      </c>
      <c r="D466" s="127">
        <f t="shared" si="1238"/>
        <v>22</v>
      </c>
      <c r="E466" s="201"/>
      <c r="F466" s="93"/>
      <c r="G466" s="203"/>
      <c r="H466" s="134">
        <f t="shared" ref="H466" si="1381">COUNT($P466:$XX466)</f>
        <v>3</v>
      </c>
      <c r="I466" s="132">
        <f t="shared" ref="I466" si="1382">_xlfn.STDEV.P($P465:$XX466)/AVERAGE($P465:$XX466)</f>
        <v>0.10969154365999859</v>
      </c>
      <c r="J466" s="7">
        <f t="shared" ref="J466" si="1383">IF(AND(H466&gt;2,
OR(L456="MÉDIA SANEADA",L456="MEDIANA SANEADA",
AND(L456="PREÇO ESTIMADO",NOT(AND(P458="Orçamento",COUNTA(P456:XX456)=COUNTIF(P458:XX458,"Orçamento")))))),
ROW(),0)</f>
        <v>466</v>
      </c>
      <c r="K466" s="66"/>
      <c r="L466" s="29" t="s">
        <v>362</v>
      </c>
      <c r="M466" s="30">
        <f t="shared" ref="M466" si="1384" xml:space="preserve">
IF(H464&gt;2,MEDIAN(P463:XX464),
IF(H466&gt;2,MEDIAN(P465:XX466),
IF(H468&gt;2,MEDIAN(P467:XX468),
IF(H470&gt;2,MEDIAN(P469:XX470),
IF(H472&gt;2,MEDIAN(P471:XX472),
IF(H474&gt;2,MEDIAN(P473:XX474),
MEDIAN(P461:XX462)))))))</f>
        <v>223.16</v>
      </c>
      <c r="N466" s="71"/>
      <c r="O466" s="27" t="str">
        <f t="shared" ref="O466" si="1385">"2 RODADA"</f>
        <v>2 RODADA</v>
      </c>
      <c r="P466" s="107">
        <f t="shared" ref="P466:AI466" si="1386">IF(P464="","",IF((_xlfn.STDEV.P($P463:$XX464)/AVERAGE($P463:$XX464))&lt;=25%,P464,IF(OR(P464&gt;(AVERAGE($P463:$XX464)+_xlfn.STDEV.P($P463:$XX464)),P464&lt;(AVERAGE($P463:$XX464)-_xlfn.STDEV.P($P463:$XX464))),"DESCARTADO",P464)))</f>
        <v>269.89999999999998</v>
      </c>
      <c r="Q466" s="107">
        <f t="shared" si="1386"/>
        <v>223.16</v>
      </c>
      <c r="R466" s="107">
        <f t="shared" si="1386"/>
        <v>209.99</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f t="shared" si="1237"/>
        <v>22</v>
      </c>
      <c r="C467" s="128">
        <f t="shared" si="1238"/>
        <v>1</v>
      </c>
      <c r="D467" s="127">
        <f t="shared" si="1238"/>
        <v>22</v>
      </c>
      <c r="E467" s="201"/>
      <c r="F467" s="93"/>
      <c r="G467" s="203"/>
      <c r="H467"/>
      <c r="I467"/>
      <c r="J467"/>
      <c r="K467" s="66"/>
      <c r="L467" s="29" t="s">
        <v>359</v>
      </c>
      <c r="M467" s="30">
        <f t="shared" ref="M467" si="1387">HARMEAN($P461:$XX462)</f>
        <v>231.69069522647439</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f t="shared" si="1237"/>
        <v>22</v>
      </c>
      <c r="C468" s="128">
        <f t="shared" si="1238"/>
        <v>1</v>
      </c>
      <c r="D468" s="127">
        <f t="shared" si="1238"/>
        <v>22</v>
      </c>
      <c r="E468" s="201"/>
      <c r="F468" s="93"/>
      <c r="G468" s="203"/>
      <c r="H468" s="134">
        <f t="shared" ref="H468" si="1389">COUNT($P468:$XX468)</f>
        <v>3</v>
      </c>
      <c r="I468" s="132">
        <f t="shared" ref="I468" si="1390">_xlfn.STDEV.P($P467:$XX468)/AVERAGE($P467:$XX468)</f>
        <v>0.10969154365999859</v>
      </c>
      <c r="J468" s="7">
        <f t="shared" ref="J468" si="1391">IF(AND(H468&gt;2,
OR(L456="MÉDIA SANEADA",L456="MEDIANA SANEADA",
AND(L456="PREÇO ESTIMADO",NOT(AND(P458="Orçamento",COUNTA(P456:XX456)=COUNTIF(P458:XX458,"Orçamento")))))),
ROW(),0)</f>
        <v>468</v>
      </c>
      <c r="K468" s="66"/>
      <c r="L468" s="29" t="s">
        <v>41</v>
      </c>
      <c r="M468" s="30">
        <f t="shared" ref="M468" si="1392">IFERROR(_xlfn.QUARTILE.EXC($P462:$XX462,1),"")</f>
        <v>209.99</v>
      </c>
      <c r="N468" s="71"/>
      <c r="O468" s="27" t="str">
        <f t="shared" ref="O468" si="1393">"3 RODADA"</f>
        <v>3 RODADA</v>
      </c>
      <c r="P468" s="107">
        <f t="shared" ref="P468:AI468" si="1394">IF(P466="","",IF((_xlfn.STDEV.P($P465:$XX466)/AVERAGE($P465:$XX466))&lt;=25%,P466,IF(OR(P466&gt;(AVERAGE($P465:$XX466)+_xlfn.STDEV.P($P465:$XX466)),P466&lt;(AVERAGE($P465:$XX466)-_xlfn.STDEV.P($P465:$XX466))),"DESCARTADO",P466)))</f>
        <v>269.89999999999998</v>
      </c>
      <c r="Q468" s="107">
        <f t="shared" si="1394"/>
        <v>223.16</v>
      </c>
      <c r="R468" s="107">
        <f t="shared" si="1394"/>
        <v>209.99</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f t="shared" si="1237"/>
        <v>22</v>
      </c>
      <c r="C469" s="128">
        <f t="shared" si="1238"/>
        <v>1</v>
      </c>
      <c r="D469" s="127">
        <f t="shared" si="1238"/>
        <v>22</v>
      </c>
      <c r="E469" s="201"/>
      <c r="F469" s="93"/>
      <c r="G469" s="203"/>
      <c r="H469"/>
      <c r="I469"/>
      <c r="J469"/>
      <c r="K469" s="66"/>
      <c r="L469" s="29" t="s">
        <v>39</v>
      </c>
      <c r="M469" s="30">
        <f t="shared" ref="M469" si="1395">IFERROR(_xlfn.QUARTILE.EXC($P462:$XX462,3),"")</f>
        <v>269.89999999999998</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f t="shared" si="1237"/>
        <v>22</v>
      </c>
      <c r="C470" s="128">
        <f t="shared" si="1238"/>
        <v>1</v>
      </c>
      <c r="D470" s="127">
        <f t="shared" si="1238"/>
        <v>22</v>
      </c>
      <c r="E470" s="201"/>
      <c r="F470" s="93"/>
      <c r="G470" s="203"/>
      <c r="H470" s="134">
        <f t="shared" ref="H470" si="1397">COUNT($P470:$XX470)</f>
        <v>3</v>
      </c>
      <c r="I470" s="132">
        <f t="shared" ref="I470" si="1398">_xlfn.STDEV.P($P469:$XX470)/AVERAGE($P469:$XX470)</f>
        <v>0.10969154365999859</v>
      </c>
      <c r="J470" s="7">
        <f t="shared" ref="J470" si="1399">IF(AND(H470&gt;2,
OR(L456="MÉDIA SANEADA",L456="MEDIANA SANEADA",
AND(L456="PREÇO ESTIMADO",NOT(AND(P458="Orçamento",COUNTA(P456:XX456)=COUNTIF(P458:XX458,"Orçamento")))))),
ROW(),0)</f>
        <v>470</v>
      </c>
      <c r="K470" s="66"/>
      <c r="L470" s="29" t="s">
        <v>42</v>
      </c>
      <c r="M470" s="30">
        <f t="shared" ref="M470" si="1400">MIN($P462:$XX462)</f>
        <v>209.99</v>
      </c>
      <c r="N470" s="71"/>
      <c r="O470" s="27" t="str">
        <f t="shared" ref="O470" si="1401">"4 RODADA"</f>
        <v>4 RODADA</v>
      </c>
      <c r="P470" s="107">
        <f t="shared" ref="P470:AI470" si="1402">IF(P468="","",IF((_xlfn.STDEV.P($P467:$XX468)/AVERAGE($P467:$XX468))&lt;=25%,P468,IF(OR(P468&gt;(AVERAGE($P467:$XX468)+_xlfn.STDEV.P($P467:$XX468)),P468&lt;(AVERAGE($P467:$XX468)-_xlfn.STDEV.P($P467:$XX468))),"DESCARTADO",P468)))</f>
        <v>269.89999999999998</v>
      </c>
      <c r="Q470" s="107">
        <f t="shared" si="1402"/>
        <v>223.16</v>
      </c>
      <c r="R470" s="107">
        <f t="shared" si="1402"/>
        <v>209.99</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f t="shared" si="1237"/>
        <v>22</v>
      </c>
      <c r="C471" s="128">
        <f t="shared" si="1238"/>
        <v>1</v>
      </c>
      <c r="D471" s="127">
        <f t="shared" si="1238"/>
        <v>22</v>
      </c>
      <c r="E471" s="201"/>
      <c r="F471" s="93"/>
      <c r="G471" s="203"/>
      <c r="H471"/>
      <c r="I471"/>
      <c r="J471"/>
      <c r="K471" s="66"/>
      <c r="L471" s="29" t="s">
        <v>40</v>
      </c>
      <c r="M471" s="30">
        <f t="shared" ref="M471" si="1403">MAX($P462:$XX462)</f>
        <v>269.89999999999998</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f t="shared" si="1237"/>
        <v>22</v>
      </c>
      <c r="C472" s="128">
        <f t="shared" si="1238"/>
        <v>1</v>
      </c>
      <c r="D472" s="127">
        <f t="shared" si="1238"/>
        <v>22</v>
      </c>
      <c r="E472" s="201"/>
      <c r="F472" s="93"/>
      <c r="G472" s="203"/>
      <c r="H472" s="134">
        <f t="shared" ref="H472" si="1405">COUNT($P472:$XX472)</f>
        <v>3</v>
      </c>
      <c r="I472" s="132">
        <f t="shared" ref="I472" si="1406">_xlfn.STDEV.P($P471:$XX472)/AVERAGE($P471:$XX472)</f>
        <v>0.10969154365999859</v>
      </c>
      <c r="J472" s="7">
        <f t="shared" ref="J472" si="1407">IF(AND(H472&gt;2,
OR(L456="MÉDIA SANEADA",L456="MEDIANA SANEADA",
AND(L456="PREÇO ESTIMADO",NOT(AND(P458="Orçamento",COUNTA(P456:XX456)=COUNTIF(P458:XX458,"Orçamento")))))),
ROW(),0)</f>
        <v>472</v>
      </c>
      <c r="K472" s="66"/>
      <c r="N472" s="71"/>
      <c r="O472" s="27" t="str">
        <f t="shared" ref="O472" si="1408">"5 RODADA"</f>
        <v>5 RODADA</v>
      </c>
      <c r="P472" s="107">
        <f t="shared" ref="P472:AI472" si="1409">IF(P470="","",IF((_xlfn.STDEV.P($P469:$XX470)/AVERAGE($P469:$XX470))&lt;=25%,P470,IF(OR(P470&gt;(AVERAGE($P469:$XX470)+_xlfn.STDEV.P($P469:$XX470)),P470&lt;(AVERAGE($P469:$XX470)-_xlfn.STDEV.P($P469:$XX470))),"DESCARTADO",P470)))</f>
        <v>269.89999999999998</v>
      </c>
      <c r="Q472" s="107">
        <f t="shared" si="1409"/>
        <v>223.16</v>
      </c>
      <c r="R472" s="107">
        <f t="shared" si="1409"/>
        <v>209.99</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f t="shared" si="1237"/>
        <v>22</v>
      </c>
      <c r="C473" s="128">
        <f t="shared" si="1238"/>
        <v>1</v>
      </c>
      <c r="D473" s="127">
        <f t="shared" si="1238"/>
        <v>22</v>
      </c>
      <c r="E473" s="201"/>
      <c r="F473" s="93"/>
      <c r="G473" s="203"/>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f t="shared" si="1237"/>
        <v>22</v>
      </c>
      <c r="C474" s="128">
        <f t="shared" si="1238"/>
        <v>1</v>
      </c>
      <c r="D474" s="127">
        <f t="shared" si="1238"/>
        <v>22</v>
      </c>
      <c r="E474" s="201"/>
      <c r="F474" s="93"/>
      <c r="G474" s="203"/>
      <c r="H474" s="134">
        <f t="shared" ref="H474" si="1411">COUNT($P474:$XX474)</f>
        <v>3</v>
      </c>
      <c r="I474" s="132">
        <f t="shared" ref="I474" si="1412">_xlfn.STDEV.P($P473:$XX474)/AVERAGE($P473:$XX474)</f>
        <v>0.10969154365999859</v>
      </c>
      <c r="J474" s="7">
        <f t="shared" ref="J474" si="1413">IF(AND(H474&gt;2,
OR(L456="MÉDIA SANEADA",L456="MEDIANA SANEADA",
AND(L456="PREÇO ESTIMADO",NOT(AND(P458="Orçamento",COUNTA(P456:XX456)=COUNTIF(P458:XX458,"Orçamento")))))),
ROW(),0)</f>
        <v>474</v>
      </c>
      <c r="N474" s="71"/>
      <c r="O474" s="27" t="str">
        <f t="shared" ref="O474" si="1414">"6 RODADA"</f>
        <v>6 RODADA</v>
      </c>
      <c r="P474" s="107">
        <f t="shared" ref="P474:AI474" si="1415">IFERROR(IF(P472="","",IF((_xlfn.STDEV.P($P471:$XX472)/AVERAGE($P471:$XX472))&lt;=25%,P472,IF(OR(P472&gt;(AVERAGE($P471:$XX472)+_xlfn.STDEV.P($P471:$XX472)),P472&lt;(AVERAGE($P471:$XX472)-_xlfn.STDEV.P($P471:$XX472))),"DESCARTADO",P472))),)</f>
        <v>269.89999999999998</v>
      </c>
      <c r="Q474" s="107">
        <f t="shared" si="1415"/>
        <v>223.16</v>
      </c>
      <c r="R474" s="107">
        <f t="shared" si="1415"/>
        <v>209.99</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f t="shared" si="1237"/>
        <v>22</v>
      </c>
      <c r="C475" s="128">
        <f t="shared" si="1238"/>
        <v>1</v>
      </c>
      <c r="D475" s="127">
        <f t="shared" si="1238"/>
        <v>22</v>
      </c>
      <c r="E475" s="201"/>
      <c r="F475" s="136"/>
      <c r="G475" s="203"/>
      <c r="H475" s="206"/>
      <c r="I475" s="206"/>
      <c r="J475" s="207"/>
      <c r="K475" s="67"/>
      <c r="L475" s="1" t="s">
        <v>43</v>
      </c>
      <c r="M475" s="143">
        <f t="shared" ref="M475" si="1416">IFERROR(ROUND(M456*M458,2),"")</f>
        <v>703.05</v>
      </c>
      <c r="O475" s="27" t="s">
        <v>363</v>
      </c>
      <c r="P475" s="107">
        <f t="shared" ref="P475:AI496" si="1417">INDEX(P462:P474,MATCH(MAX($J462:$J474),$J462:$J474,0))</f>
        <v>269.89999999999998</v>
      </c>
      <c r="Q475" s="107">
        <f t="shared" si="1417"/>
        <v>223.16</v>
      </c>
      <c r="R475" s="107">
        <f t="shared" si="1417"/>
        <v>209.99</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f t="shared" ref="B477" si="1418">LARGE(IFERROR(IF(B475+1&gt;$H$8,"",B475+1),""),1)</f>
        <v>23</v>
      </c>
      <c r="C477" s="127">
        <f>IF(_xlfn.ISFORMULA(E481),MAX(INDEX('BASE FORMAÇÃO'!A:A,B477+1),1),E481)</f>
        <v>1</v>
      </c>
      <c r="D477" s="127">
        <f t="shared" ref="D477" si="1419">IFERROR(IF(C477=C467,D467+1,1),1)</f>
        <v>23</v>
      </c>
      <c r="E477" s="38" t="s">
        <v>9</v>
      </c>
      <c r="F477" s="73"/>
      <c r="G477" s="38" t="s">
        <v>15</v>
      </c>
      <c r="H477" s="135">
        <f>INDEX('BASE FORMAÇÃO'!B:B,B477+1)</f>
        <v>0</v>
      </c>
      <c r="I477" s="181" t="s">
        <v>16</v>
      </c>
      <c r="J477" s="6">
        <f>INDEX('BASE FORMAÇÃO'!K:K,B477+1)</f>
        <v>0</v>
      </c>
      <c r="K477" s="65"/>
      <c r="L477" s="184" t="s">
        <v>10</v>
      </c>
      <c r="M477" s="186">
        <f t="shared" ref="M477" si="1420">IF(OR(ISBLANK($O$8),ISBLANK($O$7),ISBLANK($H$8),ISBLANK($O$6),ISBLANK($O$5),ISBLANK($H$5)),"",IFERROR(IF(VLOOKUP(L477,L483:M492,2,FALSE)&lt;1,ROUND(VLOOKUP(L477,L483:M492,2,FALSE),4),ROUND(VLOOKUP(L477,L483:M492,2,FALSE),2)),""))</f>
        <v>78.83</v>
      </c>
      <c r="N477" s="69"/>
      <c r="O477" s="27" t="s">
        <v>17</v>
      </c>
      <c r="P477" s="113">
        <v>75.98</v>
      </c>
      <c r="Q477" s="113">
        <v>77.52</v>
      </c>
      <c r="R477" s="113">
        <v>82.99</v>
      </c>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f t="shared" ref="B478:D478" si="1421">B477</f>
        <v>23</v>
      </c>
      <c r="C478" s="128">
        <f t="shared" si="1421"/>
        <v>1</v>
      </c>
      <c r="D478" s="127">
        <f t="shared" si="1421"/>
        <v>23</v>
      </c>
      <c r="E478" s="188">
        <f t="shared" ref="E478" si="1422">D477</f>
        <v>23</v>
      </c>
      <c r="F478" s="92"/>
      <c r="G478" s="190" t="s">
        <v>1</v>
      </c>
      <c r="H478" s="193" t="s">
        <v>522</v>
      </c>
      <c r="I478" s="194"/>
      <c r="J478" s="195"/>
      <c r="K478" s="66"/>
      <c r="L478" s="185"/>
      <c r="M478" s="187"/>
      <c r="N478" s="70"/>
      <c r="O478" s="27" t="s">
        <v>13</v>
      </c>
      <c r="P478" s="122">
        <v>46195</v>
      </c>
      <c r="Q478" s="122">
        <v>46195</v>
      </c>
      <c r="R478" s="122">
        <v>46195</v>
      </c>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f t="shared" ref="B479:D479" si="1423">B478</f>
        <v>23</v>
      </c>
      <c r="C479" s="128">
        <f t="shared" si="1423"/>
        <v>1</v>
      </c>
      <c r="D479" s="127">
        <f t="shared" si="1423"/>
        <v>23</v>
      </c>
      <c r="E479" s="189"/>
      <c r="F479" s="93"/>
      <c r="G479" s="191"/>
      <c r="H479" s="196"/>
      <c r="I479" s="196"/>
      <c r="J479" s="197"/>
      <c r="K479" s="64"/>
      <c r="L479" s="130" t="s">
        <v>44</v>
      </c>
      <c r="M479" s="131">
        <v>3</v>
      </c>
      <c r="N479" s="71"/>
      <c r="O479" s="27" t="s">
        <v>380</v>
      </c>
      <c r="P479" s="114" t="s">
        <v>302</v>
      </c>
      <c r="Q479" s="114" t="s">
        <v>302</v>
      </c>
      <c r="R479" s="114" t="s">
        <v>302</v>
      </c>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f t="shared" ref="B480:C480" si="1424">B479</f>
        <v>23</v>
      </c>
      <c r="C480" s="128">
        <f t="shared" si="1424"/>
        <v>1</v>
      </c>
      <c r="D480" s="127">
        <f t="shared" si="1238"/>
        <v>23</v>
      </c>
      <c r="E480" s="38" t="s">
        <v>313</v>
      </c>
      <c r="F480" s="93"/>
      <c r="G480" s="192"/>
      <c r="H480" s="198"/>
      <c r="I480" s="198"/>
      <c r="J480" s="199"/>
      <c r="K480" s="64"/>
      <c r="L480" s="1" t="s">
        <v>2</v>
      </c>
      <c r="M480" s="6" t="s">
        <v>288</v>
      </c>
      <c r="N480" s="71"/>
      <c r="O480" s="27" t="s">
        <v>381</v>
      </c>
      <c r="P480" s="182" t="s">
        <v>524</v>
      </c>
      <c r="Q480" s="182" t="s">
        <v>523</v>
      </c>
      <c r="R480" s="182" t="s">
        <v>525</v>
      </c>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f t="shared" ref="B481:C481" si="1425">B479</f>
        <v>23</v>
      </c>
      <c r="C481" s="128">
        <f t="shared" si="1425"/>
        <v>1</v>
      </c>
      <c r="D481" s="127">
        <f t="shared" si="1238"/>
        <v>23</v>
      </c>
      <c r="E481" s="200">
        <f t="shared" ref="E481" si="1426">C477</f>
        <v>1</v>
      </c>
      <c r="F481" s="93"/>
      <c r="G481" s="202" t="s">
        <v>304</v>
      </c>
      <c r="H481" s="204"/>
      <c r="I481" s="205"/>
      <c r="J481" s="205"/>
      <c r="K481" s="67"/>
      <c r="L481" s="28" t="s">
        <v>303</v>
      </c>
      <c r="M481" s="133">
        <f t="shared" ref="M481" si="1427">IFERROR(INDEX(I483:I495,MATCH(MAX(J483:J495),J483:J495,0)),"")</f>
        <v>3.8158067274671768E-2</v>
      </c>
      <c r="N481" s="71"/>
      <c r="O481" s="27" t="s">
        <v>18</v>
      </c>
      <c r="P481" s="106">
        <f>IF(P477="","",
IF(OR(P479="Orçamento",P478="",MAX('Tabela de Apoio'!$A:$A)&lt;=P478),
P477,
(INDEX('Tabela de Apoio'!$B:$B,MATCH('MAPA DE PREÇOS'!$O$8,'Tabela de Apoio'!$A:$A,1))/INDEX('Tabela de Apoio'!$B:$B,MATCH('MAPA DE PREÇOS'!P478,'Tabela de Apoio'!$A:$A,1)-1))*P477))</f>
        <v>75.98</v>
      </c>
      <c r="Q481" s="106">
        <f>IF(Q477="","",
IF(OR(Q479="Orçamento",Q478="",MAX('Tabela de Apoio'!$A:$A)&lt;=Q478),
Q477,
(INDEX('Tabela de Apoio'!$B:$B,MATCH('MAPA DE PREÇOS'!$O$8,'Tabela de Apoio'!$A:$A,1))/INDEX('Tabela de Apoio'!$B:$B,MATCH('MAPA DE PREÇOS'!Q478,'Tabela de Apoio'!$A:$A,1)-1))*Q477))</f>
        <v>77.52</v>
      </c>
      <c r="R481" s="106">
        <f>IF(R477="","",
IF(OR(R479="Orçamento",R478="",MAX('Tabela de Apoio'!$A:$A)&lt;=R478),
R477,
(INDEX('Tabela de Apoio'!$B:$B,MATCH('MAPA DE PREÇOS'!$O$8,'Tabela de Apoio'!$A:$A,1))/INDEX('Tabela de Apoio'!$B:$B,MATCH('MAPA DE PREÇOS'!R478,'Tabela de Apoio'!$A:$A,1)-1))*R477))</f>
        <v>82.99</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f t="shared" ref="B482" si="1428">B481</f>
        <v>23</v>
      </c>
      <c r="C482" s="128">
        <f t="shared" ref="C482" si="1429">C481</f>
        <v>1</v>
      </c>
      <c r="D482" s="127">
        <f t="shared" si="1238"/>
        <v>23</v>
      </c>
      <c r="E482" s="201"/>
      <c r="F482" s="93"/>
      <c r="G482" s="203"/>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f t="shared" ref="B483:C483" si="1430">B482</f>
        <v>23</v>
      </c>
      <c r="C483" s="128">
        <f t="shared" si="1430"/>
        <v>1</v>
      </c>
      <c r="D483" s="127">
        <f t="shared" si="1238"/>
        <v>23</v>
      </c>
      <c r="E483" s="201"/>
      <c r="F483" s="93"/>
      <c r="G483" s="203"/>
      <c r="H483" s="134">
        <f t="shared" ref="H483" si="1431">COUNT($P483:$XX483)</f>
        <v>3</v>
      </c>
      <c r="I483" s="132">
        <f t="shared" ref="I483" si="1432">_xlfn.STDEV.P($P482:$XX483)/AVERAGE($P482:$XX483)</f>
        <v>3.8158067274671768E-2</v>
      </c>
      <c r="J483" s="7">
        <f>ROW()</f>
        <v>483</v>
      </c>
      <c r="K483" s="67"/>
      <c r="L483" s="29" t="s">
        <v>10</v>
      </c>
      <c r="M483" s="30">
        <f t="shared" ref="M483" si="1433">IFERROR(
IF(COUNTA(P477:AI477)=COUNTIF(P479:XX479,"Orçamento"),MIN(M488,M485),
IF(M486&lt;&gt;"",M486,
IF(M487&lt;&gt;"",M487,
M485
))),"")</f>
        <v>78.83</v>
      </c>
      <c r="N483" s="71"/>
      <c r="O483" s="27" t="s">
        <v>376</v>
      </c>
      <c r="P483" s="106">
        <f t="shared" ref="P483:AI483" si="1434">IFERROR(IF(P481="",
            "",
            IF(COUNT($P481:$XX481)&lt;=4,
               P481,
               IF(OR(P481&gt;(QUARTILE($P481:$XX481,3)+(QUARTILE($P481:$XX481,3)-QUARTILE($P481:$XX481,1))),
                     P481&lt;(QUARTILE($P481:$XX481,1)-(QUARTILE($P481:$XX481,3)-QUARTILE($P481:$XX481,1)))
                  ),
               "DESCARTADO",P481)
             )
  ),P481)</f>
        <v>75.98</v>
      </c>
      <c r="Q483" s="106">
        <f t="shared" si="1434"/>
        <v>77.52</v>
      </c>
      <c r="R483" s="106">
        <f t="shared" si="1434"/>
        <v>82.99</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f t="shared" ref="B484:B538" si="1435">B483</f>
        <v>23</v>
      </c>
      <c r="C484" s="128">
        <f t="shared" ref="C484:D547" si="1436">C483</f>
        <v>1</v>
      </c>
      <c r="D484" s="127">
        <f t="shared" si="1238"/>
        <v>23</v>
      </c>
      <c r="E484" s="201"/>
      <c r="F484" s="93"/>
      <c r="G484" s="203"/>
      <c r="H484"/>
      <c r="I484"/>
      <c r="J484"/>
      <c r="K484" s="66"/>
      <c r="L484" s="29" t="s">
        <v>360</v>
      </c>
      <c r="M484" s="30">
        <f t="shared" ref="M484" si="1437">AVERAGE($P483:$XX483)</f>
        <v>78.83</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f t="shared" si="1435"/>
        <v>23</v>
      </c>
      <c r="C485" s="128">
        <f t="shared" si="1436"/>
        <v>1</v>
      </c>
      <c r="D485" s="127">
        <f t="shared" si="1436"/>
        <v>23</v>
      </c>
      <c r="E485" s="201"/>
      <c r="F485" s="93"/>
      <c r="G485" s="203"/>
      <c r="H485" s="134">
        <f t="shared" ref="H485" si="1439">COUNT($P485:$XX485)</f>
        <v>3</v>
      </c>
      <c r="I485" s="132">
        <f t="shared" ref="I485" si="1440">_xlfn.STDEV.P($P484:$XX485)/AVERAGE($P484:$XX485)</f>
        <v>3.8158067274671768E-2</v>
      </c>
      <c r="J485" s="7">
        <f t="shared" ref="J485" si="1441">IF(AND(H485&gt;2,
OR(L477="MÉDIA SANEADA",L477="MEDIANA SANEADA",
AND(L477="PREÇO ESTIMADO",NOT(AND(P479="Orçamento",COUNTA(P477:XX477)=COUNTIF(P479:XX479,"Orçamento")))))),
ROW(),0)</f>
        <v>485</v>
      </c>
      <c r="K485" s="66"/>
      <c r="L485" s="29" t="s">
        <v>361</v>
      </c>
      <c r="M485" s="30">
        <f t="shared" ref="M485" si="1442">MEDIAN($P483:$XX483)</f>
        <v>77.52</v>
      </c>
      <c r="N485" s="71"/>
      <c r="O485" s="27" t="str">
        <f t="shared" ref="O485" si="1443">"1 RODADA"</f>
        <v>1 RODADA</v>
      </c>
      <c r="P485" s="107">
        <f t="shared" ref="P485:AI485" si="1444">IF(P483="","",IF((_xlfn.STDEV.P($P482:$XX483)/AVERAGE($P482:$XX483))&lt;=25%,P483,IF(OR(P483&gt;(AVERAGE($P482:$XX483)+_xlfn.STDEV.P($P482:$XX483)),P483&lt;(AVERAGE($P482:$XX483)-_xlfn.STDEV.P($P482:$XX483))),"DESCARTADO",P483)))</f>
        <v>75.98</v>
      </c>
      <c r="Q485" s="107">
        <f t="shared" si="1444"/>
        <v>77.52</v>
      </c>
      <c r="R485" s="107">
        <f t="shared" si="1444"/>
        <v>82.99</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f t="shared" si="1435"/>
        <v>23</v>
      </c>
      <c r="C486" s="128">
        <f t="shared" si="1436"/>
        <v>1</v>
      </c>
      <c r="D486" s="127">
        <f t="shared" si="1436"/>
        <v>23</v>
      </c>
      <c r="E486" s="201"/>
      <c r="F486" s="93"/>
      <c r="G486" s="203"/>
      <c r="H486"/>
      <c r="I486"/>
      <c r="J486"/>
      <c r="L486" s="29" t="s">
        <v>38</v>
      </c>
      <c r="M486" s="30">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78.83</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f t="shared" si="1435"/>
        <v>23</v>
      </c>
      <c r="C487" s="128">
        <f t="shared" si="1436"/>
        <v>1</v>
      </c>
      <c r="D487" s="127">
        <f t="shared" si="1436"/>
        <v>23</v>
      </c>
      <c r="E487" s="201"/>
      <c r="F487" s="93"/>
      <c r="G487" s="203"/>
      <c r="H487" s="134">
        <f t="shared" ref="H487" si="1447">COUNT($P487:$XX487)</f>
        <v>3</v>
      </c>
      <c r="I487" s="132">
        <f t="shared" ref="I487" si="1448">_xlfn.STDEV.P($P486:$XX487)/AVERAGE($P486:$XX487)</f>
        <v>3.8158067274671768E-2</v>
      </c>
      <c r="J487" s="7">
        <f t="shared" ref="J487" si="1449">IF(AND(H487&gt;2,
OR(L477="MÉDIA SANEADA",L477="MEDIANA SANEADA",
AND(L477="PREÇO ESTIMADO",NOT(AND(P479="Orçamento",COUNTA(P477:XX477)=COUNTIF(P479:XX479,"Orçamento")))))),
ROW(),0)</f>
        <v>487</v>
      </c>
      <c r="K487" s="66"/>
      <c r="L487" s="29" t="s">
        <v>362</v>
      </c>
      <c r="M487" s="30">
        <f t="shared" ref="M487" si="1450" xml:space="preserve">
IF(H485&gt;2,MEDIAN(P484:XX485),
IF(H487&gt;2,MEDIAN(P486:XX487),
IF(H489&gt;2,MEDIAN(P488:XX489),
IF(H491&gt;2,MEDIAN(P490:XX491),
IF(H493&gt;2,MEDIAN(P492:XX493),
IF(H495&gt;2,MEDIAN(P494:XX495),
MEDIAN(P482:XX483)))))))</f>
        <v>77.52</v>
      </c>
      <c r="N487" s="71"/>
      <c r="O487" s="27" t="str">
        <f t="shared" ref="O487" si="1451">"2 RODADA"</f>
        <v>2 RODADA</v>
      </c>
      <c r="P487" s="107">
        <f t="shared" ref="P487:AI487" si="1452">IF(P485="","",IF((_xlfn.STDEV.P($P484:$XX485)/AVERAGE($P484:$XX485))&lt;=25%,P485,IF(OR(P485&gt;(AVERAGE($P484:$XX485)+_xlfn.STDEV.P($P484:$XX485)),P485&lt;(AVERAGE($P484:$XX485)-_xlfn.STDEV.P($P484:$XX485))),"DESCARTADO",P485)))</f>
        <v>75.98</v>
      </c>
      <c r="Q487" s="107">
        <f t="shared" si="1452"/>
        <v>77.52</v>
      </c>
      <c r="R487" s="107">
        <f t="shared" si="1452"/>
        <v>82.99</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f t="shared" si="1435"/>
        <v>23</v>
      </c>
      <c r="C488" s="128">
        <f t="shared" si="1436"/>
        <v>1</v>
      </c>
      <c r="D488" s="127">
        <f t="shared" si="1436"/>
        <v>23</v>
      </c>
      <c r="E488" s="201"/>
      <c r="F488" s="93"/>
      <c r="G488" s="203"/>
      <c r="H488"/>
      <c r="I488"/>
      <c r="J488"/>
      <c r="K488" s="66"/>
      <c r="L488" s="29" t="s">
        <v>359</v>
      </c>
      <c r="M488" s="30">
        <f t="shared" ref="M488" si="1453">HARMEAN($P482:$XX483)</f>
        <v>78.717638061384363</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f t="shared" si="1435"/>
        <v>23</v>
      </c>
      <c r="C489" s="128">
        <f t="shared" si="1436"/>
        <v>1</v>
      </c>
      <c r="D489" s="127">
        <f t="shared" si="1436"/>
        <v>23</v>
      </c>
      <c r="E489" s="201"/>
      <c r="F489" s="93"/>
      <c r="G489" s="203"/>
      <c r="H489" s="134">
        <f t="shared" ref="H489" si="1455">COUNT($P489:$XX489)</f>
        <v>3</v>
      </c>
      <c r="I489" s="132">
        <f t="shared" ref="I489" si="1456">_xlfn.STDEV.P($P488:$XX489)/AVERAGE($P488:$XX489)</f>
        <v>3.8158067274671768E-2</v>
      </c>
      <c r="J489" s="7">
        <f t="shared" ref="J489" si="1457">IF(AND(H489&gt;2,
OR(L477="MÉDIA SANEADA",L477="MEDIANA SANEADA",
AND(L477="PREÇO ESTIMADO",NOT(AND(P479="Orçamento",COUNTA(P477:XX477)=COUNTIF(P479:XX479,"Orçamento")))))),
ROW(),0)</f>
        <v>489</v>
      </c>
      <c r="K489" s="66"/>
      <c r="L489" s="29" t="s">
        <v>41</v>
      </c>
      <c r="M489" s="30">
        <f t="shared" ref="M489" si="1458">IFERROR(_xlfn.QUARTILE.EXC($P483:$XX483,1),"")</f>
        <v>75.98</v>
      </c>
      <c r="N489" s="71"/>
      <c r="O489" s="27" t="str">
        <f t="shared" ref="O489" si="1459">"3 RODADA"</f>
        <v>3 RODADA</v>
      </c>
      <c r="P489" s="107">
        <f t="shared" ref="P489:AI489" si="1460">IF(P487="","",IF((_xlfn.STDEV.P($P486:$XX487)/AVERAGE($P486:$XX487))&lt;=25%,P487,IF(OR(P487&gt;(AVERAGE($P486:$XX487)+_xlfn.STDEV.P($P486:$XX487)),P487&lt;(AVERAGE($P486:$XX487)-_xlfn.STDEV.P($P486:$XX487))),"DESCARTADO",P487)))</f>
        <v>75.98</v>
      </c>
      <c r="Q489" s="107">
        <f t="shared" si="1460"/>
        <v>77.52</v>
      </c>
      <c r="R489" s="107">
        <f t="shared" si="1460"/>
        <v>82.99</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f t="shared" si="1435"/>
        <v>23</v>
      </c>
      <c r="C490" s="128">
        <f t="shared" si="1436"/>
        <v>1</v>
      </c>
      <c r="D490" s="127">
        <f t="shared" si="1436"/>
        <v>23</v>
      </c>
      <c r="E490" s="201"/>
      <c r="F490" s="93"/>
      <c r="G490" s="203"/>
      <c r="H490"/>
      <c r="I490"/>
      <c r="J490"/>
      <c r="K490" s="66"/>
      <c r="L490" s="29" t="s">
        <v>39</v>
      </c>
      <c r="M490" s="30">
        <f t="shared" ref="M490" si="1461">IFERROR(_xlfn.QUARTILE.EXC($P483:$XX483,3),"")</f>
        <v>82.99</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f t="shared" si="1435"/>
        <v>23</v>
      </c>
      <c r="C491" s="128">
        <f t="shared" si="1436"/>
        <v>1</v>
      </c>
      <c r="D491" s="127">
        <f t="shared" si="1436"/>
        <v>23</v>
      </c>
      <c r="E491" s="201"/>
      <c r="F491" s="93"/>
      <c r="G491" s="203"/>
      <c r="H491" s="134">
        <f t="shared" ref="H491" si="1463">COUNT($P491:$XX491)</f>
        <v>3</v>
      </c>
      <c r="I491" s="132">
        <f t="shared" ref="I491" si="1464">_xlfn.STDEV.P($P490:$XX491)/AVERAGE($P490:$XX491)</f>
        <v>3.8158067274671768E-2</v>
      </c>
      <c r="J491" s="7">
        <f t="shared" ref="J491" si="1465">IF(AND(H491&gt;2,
OR(L477="MÉDIA SANEADA",L477="MEDIANA SANEADA",
AND(L477="PREÇO ESTIMADO",NOT(AND(P479="Orçamento",COUNTA(P477:XX477)=COUNTIF(P479:XX479,"Orçamento")))))),
ROW(),0)</f>
        <v>491</v>
      </c>
      <c r="K491" s="66"/>
      <c r="L491" s="29" t="s">
        <v>42</v>
      </c>
      <c r="M491" s="30">
        <f t="shared" ref="M491" si="1466">MIN($P483:$XX483)</f>
        <v>75.98</v>
      </c>
      <c r="N491" s="71"/>
      <c r="O491" s="27" t="str">
        <f t="shared" ref="O491" si="1467">"4 RODADA"</f>
        <v>4 RODADA</v>
      </c>
      <c r="P491" s="107">
        <f t="shared" ref="P491:AI491" si="1468">IF(P489="","",IF((_xlfn.STDEV.P($P488:$XX489)/AVERAGE($P488:$XX489))&lt;=25%,P489,IF(OR(P489&gt;(AVERAGE($P488:$XX489)+_xlfn.STDEV.P($P488:$XX489)),P489&lt;(AVERAGE($P488:$XX489)-_xlfn.STDEV.P($P488:$XX489))),"DESCARTADO",P489)))</f>
        <v>75.98</v>
      </c>
      <c r="Q491" s="107">
        <f t="shared" si="1468"/>
        <v>77.52</v>
      </c>
      <c r="R491" s="107">
        <f t="shared" si="1468"/>
        <v>82.99</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f t="shared" si="1435"/>
        <v>23</v>
      </c>
      <c r="C492" s="128">
        <f t="shared" si="1436"/>
        <v>1</v>
      </c>
      <c r="D492" s="127">
        <f t="shared" si="1436"/>
        <v>23</v>
      </c>
      <c r="E492" s="201"/>
      <c r="F492" s="93"/>
      <c r="G492" s="203"/>
      <c r="H492"/>
      <c r="I492"/>
      <c r="J492"/>
      <c r="K492" s="66"/>
      <c r="L492" s="29" t="s">
        <v>40</v>
      </c>
      <c r="M492" s="30">
        <f t="shared" ref="M492" si="1469">MAX($P483:$XX483)</f>
        <v>82.99</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f t="shared" si="1435"/>
        <v>23</v>
      </c>
      <c r="C493" s="128">
        <f t="shared" si="1436"/>
        <v>1</v>
      </c>
      <c r="D493" s="127">
        <f t="shared" si="1436"/>
        <v>23</v>
      </c>
      <c r="E493" s="201"/>
      <c r="F493" s="93"/>
      <c r="G493" s="203"/>
      <c r="H493" s="134">
        <f t="shared" ref="H493" si="1471">COUNT($P493:$XX493)</f>
        <v>3</v>
      </c>
      <c r="I493" s="132">
        <f t="shared" ref="I493" si="1472">_xlfn.STDEV.P($P492:$XX493)/AVERAGE($P492:$XX493)</f>
        <v>3.8158067274671768E-2</v>
      </c>
      <c r="J493" s="7">
        <f t="shared" ref="J493" si="1473">IF(AND(H493&gt;2,
OR(L477="MÉDIA SANEADA",L477="MEDIANA SANEADA",
AND(L477="PREÇO ESTIMADO",NOT(AND(P479="Orçamento",COUNTA(P477:XX477)=COUNTIF(P479:XX479,"Orçamento")))))),
ROW(),0)</f>
        <v>493</v>
      </c>
      <c r="K493" s="66"/>
      <c r="N493" s="71"/>
      <c r="O493" s="27" t="str">
        <f t="shared" ref="O493" si="1474">"5 RODADA"</f>
        <v>5 RODADA</v>
      </c>
      <c r="P493" s="107">
        <f t="shared" ref="P493:AI493" si="1475">IF(P491="","",IF((_xlfn.STDEV.P($P490:$XX491)/AVERAGE($P490:$XX491))&lt;=25%,P491,IF(OR(P491&gt;(AVERAGE($P490:$XX491)+_xlfn.STDEV.P($P490:$XX491)),P491&lt;(AVERAGE($P490:$XX491)-_xlfn.STDEV.P($P490:$XX491))),"DESCARTADO",P491)))</f>
        <v>75.98</v>
      </c>
      <c r="Q493" s="107">
        <f t="shared" si="1475"/>
        <v>77.52</v>
      </c>
      <c r="R493" s="107">
        <f t="shared" si="1475"/>
        <v>82.99</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f t="shared" si="1435"/>
        <v>23</v>
      </c>
      <c r="C494" s="128">
        <f t="shared" si="1436"/>
        <v>1</v>
      </c>
      <c r="D494" s="127">
        <f t="shared" si="1436"/>
        <v>23</v>
      </c>
      <c r="E494" s="201"/>
      <c r="F494" s="93"/>
      <c r="G494" s="203"/>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f t="shared" si="1435"/>
        <v>23</v>
      </c>
      <c r="C495" s="128">
        <f t="shared" si="1436"/>
        <v>1</v>
      </c>
      <c r="D495" s="127">
        <f t="shared" si="1436"/>
        <v>23</v>
      </c>
      <c r="E495" s="201"/>
      <c r="F495" s="93"/>
      <c r="G495" s="203"/>
      <c r="H495" s="134">
        <f t="shared" ref="H495" si="1477">COUNT($P495:$XX495)</f>
        <v>3</v>
      </c>
      <c r="I495" s="132">
        <f t="shared" ref="I495" si="1478">_xlfn.STDEV.P($P494:$XX495)/AVERAGE($P494:$XX495)</f>
        <v>3.8158067274671768E-2</v>
      </c>
      <c r="J495" s="7">
        <f t="shared" ref="J495" si="1479">IF(AND(H495&gt;2,
OR(L477="MÉDIA SANEADA",L477="MEDIANA SANEADA",
AND(L477="PREÇO ESTIMADO",NOT(AND(P479="Orçamento",COUNTA(P477:XX477)=COUNTIF(P479:XX479,"Orçamento")))))),
ROW(),0)</f>
        <v>495</v>
      </c>
      <c r="N495" s="71"/>
      <c r="O495" s="27" t="str">
        <f t="shared" ref="O495" si="1480">"6 RODADA"</f>
        <v>6 RODADA</v>
      </c>
      <c r="P495" s="107">
        <f t="shared" ref="P495:AI495" si="1481">IFERROR(IF(P493="","",IF((_xlfn.STDEV.P($P492:$XX493)/AVERAGE($P492:$XX493))&lt;=25%,P493,IF(OR(P493&gt;(AVERAGE($P492:$XX493)+_xlfn.STDEV.P($P492:$XX493)),P493&lt;(AVERAGE($P492:$XX493)-_xlfn.STDEV.P($P492:$XX493))),"DESCARTADO",P493))),)</f>
        <v>75.98</v>
      </c>
      <c r="Q495" s="107">
        <f t="shared" si="1481"/>
        <v>77.52</v>
      </c>
      <c r="R495" s="107">
        <f t="shared" si="1481"/>
        <v>82.99</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f t="shared" si="1435"/>
        <v>23</v>
      </c>
      <c r="C496" s="128">
        <f t="shared" si="1436"/>
        <v>1</v>
      </c>
      <c r="D496" s="127">
        <f t="shared" si="1436"/>
        <v>23</v>
      </c>
      <c r="E496" s="201"/>
      <c r="F496" s="136"/>
      <c r="G496" s="203"/>
      <c r="H496" s="206"/>
      <c r="I496" s="206"/>
      <c r="J496" s="207"/>
      <c r="K496" s="67"/>
      <c r="L496" s="1" t="s">
        <v>43</v>
      </c>
      <c r="M496" s="143">
        <f t="shared" ref="M496" si="1482">IFERROR(ROUND(M477*M479,2),"")</f>
        <v>236.49</v>
      </c>
      <c r="O496" s="27" t="s">
        <v>363</v>
      </c>
      <c r="P496" s="107">
        <f t="shared" ref="P496:R496" si="1483">INDEX(P483:P495,MATCH(MAX($J483:$J495),$J483:$J495,0))</f>
        <v>75.98</v>
      </c>
      <c r="Q496" s="107">
        <f t="shared" si="1483"/>
        <v>77.52</v>
      </c>
      <c r="R496" s="107">
        <f t="shared" si="1483"/>
        <v>82.99</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f t="shared" ref="B498" si="1484">LARGE(IFERROR(IF(B496+1&gt;$H$8,"",B496+1),""),1)</f>
        <v>24</v>
      </c>
      <c r="C498" s="127">
        <f>IF(_xlfn.ISFORMULA(E502),MAX(INDEX('BASE FORMAÇÃO'!A:A,B498+1),1),E502)</f>
        <v>1</v>
      </c>
      <c r="D498" s="127">
        <f t="shared" ref="D498" si="1485">IFERROR(IF(C498=C488,D488+1,1),1)</f>
        <v>24</v>
      </c>
      <c r="E498" s="38" t="s">
        <v>9</v>
      </c>
      <c r="F498" s="73"/>
      <c r="G498" s="38" t="s">
        <v>15</v>
      </c>
      <c r="H498" s="135">
        <f>INDEX('BASE FORMAÇÃO'!B:B,B498+1)</f>
        <v>0</v>
      </c>
      <c r="I498" s="181" t="s">
        <v>16</v>
      </c>
      <c r="J498" s="6">
        <f>INDEX('BASE FORMAÇÃO'!K:K,B498+1)</f>
        <v>0</v>
      </c>
      <c r="K498" s="65"/>
      <c r="L498" s="184" t="s">
        <v>10</v>
      </c>
      <c r="M498" s="186">
        <f t="shared" ref="M498" si="1486">IF(OR(ISBLANK($O$8),ISBLANK($O$7),ISBLANK($H$8),ISBLANK($O$6),ISBLANK($O$5),ISBLANK($H$5)),"",IFERROR(IF(VLOOKUP(L498,L504:M513,2,FALSE)&lt;1,ROUND(VLOOKUP(L498,L504:M513,2,FALSE),4),ROUND(VLOOKUP(L498,L504:M513,2,FALSE),2)),""))</f>
        <v>104.85</v>
      </c>
      <c r="N498" s="69"/>
      <c r="O498" s="27" t="s">
        <v>17</v>
      </c>
      <c r="P498" s="113">
        <v>105.9</v>
      </c>
      <c r="Q498" s="113">
        <v>107.75</v>
      </c>
      <c r="R498" s="113">
        <v>100.9</v>
      </c>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f t="shared" ref="B499:D499" si="1487">B498</f>
        <v>24</v>
      </c>
      <c r="C499" s="128">
        <f t="shared" si="1487"/>
        <v>1</v>
      </c>
      <c r="D499" s="127">
        <f t="shared" si="1487"/>
        <v>24</v>
      </c>
      <c r="E499" s="188">
        <f t="shared" ref="E499" si="1488">D498</f>
        <v>24</v>
      </c>
      <c r="F499" s="92"/>
      <c r="G499" s="190" t="s">
        <v>1</v>
      </c>
      <c r="H499" s="193" t="s">
        <v>526</v>
      </c>
      <c r="I499" s="194"/>
      <c r="J499" s="195"/>
      <c r="K499" s="66"/>
      <c r="L499" s="185"/>
      <c r="M499" s="187"/>
      <c r="N499" s="70"/>
      <c r="O499" s="27" t="s">
        <v>13</v>
      </c>
      <c r="P499" s="122">
        <v>46195</v>
      </c>
      <c r="Q499" s="122">
        <v>46195</v>
      </c>
      <c r="R499" s="122">
        <v>46195</v>
      </c>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f t="shared" ref="B500:D500" si="1489">B499</f>
        <v>24</v>
      </c>
      <c r="C500" s="128">
        <f t="shared" si="1489"/>
        <v>1</v>
      </c>
      <c r="D500" s="127">
        <f t="shared" si="1489"/>
        <v>24</v>
      </c>
      <c r="E500" s="189"/>
      <c r="F500" s="93"/>
      <c r="G500" s="191"/>
      <c r="H500" s="196"/>
      <c r="I500" s="196"/>
      <c r="J500" s="197"/>
      <c r="K500" s="64"/>
      <c r="L500" s="130" t="s">
        <v>44</v>
      </c>
      <c r="M500" s="131">
        <v>5</v>
      </c>
      <c r="N500" s="71"/>
      <c r="O500" s="27" t="s">
        <v>380</v>
      </c>
      <c r="P500" s="114" t="s">
        <v>302</v>
      </c>
      <c r="Q500" s="114" t="s">
        <v>302</v>
      </c>
      <c r="R500" s="114" t="s">
        <v>302</v>
      </c>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f t="shared" ref="B501:C501" si="1490">B500</f>
        <v>24</v>
      </c>
      <c r="C501" s="128">
        <f t="shared" si="1490"/>
        <v>1</v>
      </c>
      <c r="D501" s="127">
        <f t="shared" si="1436"/>
        <v>24</v>
      </c>
      <c r="E501" s="38" t="s">
        <v>313</v>
      </c>
      <c r="F501" s="93"/>
      <c r="G501" s="192"/>
      <c r="H501" s="198"/>
      <c r="I501" s="198"/>
      <c r="J501" s="199"/>
      <c r="K501" s="64"/>
      <c r="L501" s="1" t="s">
        <v>2</v>
      </c>
      <c r="M501" s="6" t="s">
        <v>288</v>
      </c>
      <c r="N501" s="71"/>
      <c r="O501" s="27" t="s">
        <v>381</v>
      </c>
      <c r="P501" s="182" t="s">
        <v>527</v>
      </c>
      <c r="Q501" s="182" t="s">
        <v>528</v>
      </c>
      <c r="R501" s="182" t="s">
        <v>529</v>
      </c>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f t="shared" ref="B502:C502" si="1491">B500</f>
        <v>24</v>
      </c>
      <c r="C502" s="128">
        <f t="shared" si="1491"/>
        <v>1</v>
      </c>
      <c r="D502" s="127">
        <f t="shared" si="1436"/>
        <v>24</v>
      </c>
      <c r="E502" s="200">
        <f t="shared" ref="E502" si="1492">C498</f>
        <v>1</v>
      </c>
      <c r="F502" s="93"/>
      <c r="G502" s="202" t="s">
        <v>304</v>
      </c>
      <c r="H502" s="204"/>
      <c r="I502" s="205"/>
      <c r="J502" s="205"/>
      <c r="K502" s="67"/>
      <c r="L502" s="28" t="s">
        <v>303</v>
      </c>
      <c r="M502" s="133">
        <f t="shared" ref="M502" si="1493">IFERROR(INDEX(I504:I516,MATCH(MAX(J504:J516),J504:J516,0)),"")</f>
        <v>2.7595453086292049E-2</v>
      </c>
      <c r="N502" s="71"/>
      <c r="O502" s="27" t="s">
        <v>18</v>
      </c>
      <c r="P502" s="106">
        <f>IF(P498="","",
IF(OR(P500="Orçamento",P499="",MAX('Tabela de Apoio'!$A:$A)&lt;=P499),
P498,
(INDEX('Tabela de Apoio'!$B:$B,MATCH('MAPA DE PREÇOS'!$O$8,'Tabela de Apoio'!$A:$A,1))/INDEX('Tabela de Apoio'!$B:$B,MATCH('MAPA DE PREÇOS'!P499,'Tabela de Apoio'!$A:$A,1)-1))*P498))</f>
        <v>105.9</v>
      </c>
      <c r="Q502" s="106">
        <f>IF(Q498="","",
IF(OR(Q500="Orçamento",Q499="",MAX('Tabela de Apoio'!$A:$A)&lt;=Q499),
Q498,
(INDEX('Tabela de Apoio'!$B:$B,MATCH('MAPA DE PREÇOS'!$O$8,'Tabela de Apoio'!$A:$A,1))/INDEX('Tabela de Apoio'!$B:$B,MATCH('MAPA DE PREÇOS'!Q499,'Tabela de Apoio'!$A:$A,1)-1))*Q498))</f>
        <v>107.75</v>
      </c>
      <c r="R502" s="106">
        <f>IF(R498="","",
IF(OR(R500="Orçamento",R499="",MAX('Tabela de Apoio'!$A:$A)&lt;=R499),
R498,
(INDEX('Tabela de Apoio'!$B:$B,MATCH('MAPA DE PREÇOS'!$O$8,'Tabela de Apoio'!$A:$A,1))/INDEX('Tabela de Apoio'!$B:$B,MATCH('MAPA DE PREÇOS'!R499,'Tabela de Apoio'!$A:$A,1)-1))*R498))</f>
        <v>100.9</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f t="shared" ref="B503" si="1494">B502</f>
        <v>24</v>
      </c>
      <c r="C503" s="128">
        <f t="shared" ref="C503" si="1495">C502</f>
        <v>1</v>
      </c>
      <c r="D503" s="127">
        <f t="shared" si="1436"/>
        <v>24</v>
      </c>
      <c r="E503" s="201"/>
      <c r="F503" s="93"/>
      <c r="G503" s="203"/>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f t="shared" ref="B504:C504" si="1496">B503</f>
        <v>24</v>
      </c>
      <c r="C504" s="128">
        <f t="shared" si="1496"/>
        <v>1</v>
      </c>
      <c r="D504" s="127">
        <f t="shared" si="1436"/>
        <v>24</v>
      </c>
      <c r="E504" s="201"/>
      <c r="F504" s="93"/>
      <c r="G504" s="203"/>
      <c r="H504" s="134">
        <f t="shared" ref="H504" si="1497">COUNT($P504:$XX504)</f>
        <v>3</v>
      </c>
      <c r="I504" s="132">
        <f t="shared" ref="I504" si="1498">_xlfn.STDEV.P($P503:$XX504)/AVERAGE($P503:$XX504)</f>
        <v>2.7595453086292049E-2</v>
      </c>
      <c r="J504" s="7">
        <f>ROW()</f>
        <v>504</v>
      </c>
      <c r="K504" s="67"/>
      <c r="L504" s="29" t="s">
        <v>10</v>
      </c>
      <c r="M504" s="30">
        <f t="shared" ref="M504" si="1499">IFERROR(
IF(COUNTA(P498:AI498)=COUNTIF(P500:XX500,"Orçamento"),MIN(M509,M506),
IF(M507&lt;&gt;"",M507,
IF(M508&lt;&gt;"",M508,
M506
))),"")</f>
        <v>104.85000000000001</v>
      </c>
      <c r="N504" s="71"/>
      <c r="O504" s="27" t="s">
        <v>376</v>
      </c>
      <c r="P504" s="106">
        <f t="shared" ref="P504:AI504" si="1500">IFERROR(IF(P502="",
            "",
            IF(COUNT($P502:$XX502)&lt;=4,
               P502,
               IF(OR(P502&gt;(QUARTILE($P502:$XX502,3)+(QUARTILE($P502:$XX502,3)-QUARTILE($P502:$XX502,1))),
                     P502&lt;(QUARTILE($P502:$XX502,1)-(QUARTILE($P502:$XX502,3)-QUARTILE($P502:$XX502,1)))
                  ),
               "DESCARTADO",P502)
             )
  ),P502)</f>
        <v>105.9</v>
      </c>
      <c r="Q504" s="106">
        <f t="shared" si="1500"/>
        <v>107.75</v>
      </c>
      <c r="R504" s="106">
        <f t="shared" si="1500"/>
        <v>100.9</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f t="shared" ref="B505" si="1501">B504</f>
        <v>24</v>
      </c>
      <c r="C505" s="128">
        <f t="shared" ref="C505" si="1502">C504</f>
        <v>1</v>
      </c>
      <c r="D505" s="127">
        <f t="shared" si="1436"/>
        <v>24</v>
      </c>
      <c r="E505" s="201"/>
      <c r="F505" s="93"/>
      <c r="G505" s="203"/>
      <c r="H505"/>
      <c r="I505"/>
      <c r="J505"/>
      <c r="K505" s="66"/>
      <c r="L505" s="29" t="s">
        <v>360</v>
      </c>
      <c r="M505" s="30">
        <f t="shared" ref="M505" si="1503">AVERAGE($P504:$XX504)</f>
        <v>104.85000000000001</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f t="shared" si="1435"/>
        <v>24</v>
      </c>
      <c r="C506" s="128">
        <f t="shared" si="1436"/>
        <v>1</v>
      </c>
      <c r="D506" s="127">
        <f t="shared" si="1436"/>
        <v>24</v>
      </c>
      <c r="E506" s="201"/>
      <c r="F506" s="93"/>
      <c r="G506" s="203"/>
      <c r="H506" s="134">
        <f t="shared" ref="H506" si="1505">COUNT($P506:$XX506)</f>
        <v>3</v>
      </c>
      <c r="I506" s="132">
        <f t="shared" ref="I506" si="1506">_xlfn.STDEV.P($P505:$XX506)/AVERAGE($P505:$XX506)</f>
        <v>2.7595453086292049E-2</v>
      </c>
      <c r="J506" s="7">
        <f t="shared" ref="J506" si="1507">IF(AND(H506&gt;2,
OR(L498="MÉDIA SANEADA",L498="MEDIANA SANEADA",
AND(L498="PREÇO ESTIMADO",NOT(AND(P500="Orçamento",COUNTA(P498:XX498)=COUNTIF(P500:XX500,"Orçamento")))))),
ROW(),0)</f>
        <v>506</v>
      </c>
      <c r="K506" s="66"/>
      <c r="L506" s="29" t="s">
        <v>361</v>
      </c>
      <c r="M506" s="30">
        <f t="shared" ref="M506" si="1508">MEDIAN($P504:$XX504)</f>
        <v>105.9</v>
      </c>
      <c r="N506" s="71"/>
      <c r="O506" s="27" t="str">
        <f t="shared" ref="O506" si="1509">"1 RODADA"</f>
        <v>1 RODADA</v>
      </c>
      <c r="P506" s="107">
        <f t="shared" ref="P506:AI506" si="1510">IF(P504="","",IF((_xlfn.STDEV.P($P503:$XX504)/AVERAGE($P503:$XX504))&lt;=25%,P504,IF(OR(P504&gt;(AVERAGE($P503:$XX504)+_xlfn.STDEV.P($P503:$XX504)),P504&lt;(AVERAGE($P503:$XX504)-_xlfn.STDEV.P($P503:$XX504))),"DESCARTADO",P504)))</f>
        <v>105.9</v>
      </c>
      <c r="Q506" s="107">
        <f t="shared" si="1510"/>
        <v>107.75</v>
      </c>
      <c r="R506" s="107">
        <f t="shared" si="1510"/>
        <v>100.9</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f t="shared" si="1435"/>
        <v>24</v>
      </c>
      <c r="C507" s="128">
        <f t="shared" si="1436"/>
        <v>1</v>
      </c>
      <c r="D507" s="127">
        <f t="shared" si="1436"/>
        <v>24</v>
      </c>
      <c r="E507" s="201"/>
      <c r="F507" s="93"/>
      <c r="G507" s="203"/>
      <c r="H507"/>
      <c r="I507"/>
      <c r="J507"/>
      <c r="L507" s="29" t="s">
        <v>38</v>
      </c>
      <c r="M507" s="30">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104.85000000000001</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f t="shared" si="1435"/>
        <v>24</v>
      </c>
      <c r="C508" s="128">
        <f t="shared" si="1436"/>
        <v>1</v>
      </c>
      <c r="D508" s="127">
        <f t="shared" si="1436"/>
        <v>24</v>
      </c>
      <c r="E508" s="201"/>
      <c r="F508" s="93"/>
      <c r="G508" s="203"/>
      <c r="H508" s="134">
        <f t="shared" ref="H508" si="1513">COUNT($P508:$XX508)</f>
        <v>3</v>
      </c>
      <c r="I508" s="132">
        <f t="shared" ref="I508" si="1514">_xlfn.STDEV.P($P507:$XX508)/AVERAGE($P507:$XX508)</f>
        <v>2.7595453086292049E-2</v>
      </c>
      <c r="J508" s="7">
        <f t="shared" ref="J508" si="1515">IF(AND(H508&gt;2,
OR(L498="MÉDIA SANEADA",L498="MEDIANA SANEADA",
AND(L498="PREÇO ESTIMADO",NOT(AND(P500="Orçamento",COUNTA(P498:XX498)=COUNTIF(P500:XX500,"Orçamento")))))),
ROW(),0)</f>
        <v>508</v>
      </c>
      <c r="K508" s="66"/>
      <c r="L508" s="29" t="s">
        <v>362</v>
      </c>
      <c r="M508" s="30">
        <f t="shared" ref="M508" si="1516" xml:space="preserve">
IF(H506&gt;2,MEDIAN(P505:XX506),
IF(H508&gt;2,MEDIAN(P507:XX508),
IF(H510&gt;2,MEDIAN(P509:XX510),
IF(H512&gt;2,MEDIAN(P511:XX512),
IF(H514&gt;2,MEDIAN(P513:XX514),
IF(H516&gt;2,MEDIAN(P515:XX516),
MEDIAN(P503:XX504)))))))</f>
        <v>105.9</v>
      </c>
      <c r="N508" s="71"/>
      <c r="O508" s="27" t="str">
        <f t="shared" ref="O508" si="1517">"2 RODADA"</f>
        <v>2 RODADA</v>
      </c>
      <c r="P508" s="107">
        <f t="shared" ref="P508:AI508" si="1518">IF(P506="","",IF((_xlfn.STDEV.P($P505:$XX506)/AVERAGE($P505:$XX506))&lt;=25%,P506,IF(OR(P506&gt;(AVERAGE($P505:$XX506)+_xlfn.STDEV.P($P505:$XX506)),P506&lt;(AVERAGE($P505:$XX506)-_xlfn.STDEV.P($P505:$XX506))),"DESCARTADO",P506)))</f>
        <v>105.9</v>
      </c>
      <c r="Q508" s="107">
        <f t="shared" si="1518"/>
        <v>107.75</v>
      </c>
      <c r="R508" s="107">
        <f t="shared" si="1518"/>
        <v>100.9</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f t="shared" si="1435"/>
        <v>24</v>
      </c>
      <c r="C509" s="128">
        <f t="shared" si="1436"/>
        <v>1</v>
      </c>
      <c r="D509" s="127">
        <f t="shared" si="1436"/>
        <v>24</v>
      </c>
      <c r="E509" s="201"/>
      <c r="F509" s="93"/>
      <c r="G509" s="203"/>
      <c r="H509"/>
      <c r="I509"/>
      <c r="J509"/>
      <c r="K509" s="66"/>
      <c r="L509" s="29" t="s">
        <v>359</v>
      </c>
      <c r="M509" s="30">
        <f t="shared" ref="M509" si="1519">HARMEAN($P503:$XX504)</f>
        <v>104.76903087265504</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f t="shared" si="1435"/>
        <v>24</v>
      </c>
      <c r="C510" s="128">
        <f t="shared" si="1436"/>
        <v>1</v>
      </c>
      <c r="D510" s="127">
        <f t="shared" si="1436"/>
        <v>24</v>
      </c>
      <c r="E510" s="201"/>
      <c r="F510" s="93"/>
      <c r="G510" s="203"/>
      <c r="H510" s="134">
        <f t="shared" ref="H510" si="1521">COUNT($P510:$XX510)</f>
        <v>3</v>
      </c>
      <c r="I510" s="132">
        <f t="shared" ref="I510" si="1522">_xlfn.STDEV.P($P509:$XX510)/AVERAGE($P509:$XX510)</f>
        <v>2.7595453086292049E-2</v>
      </c>
      <c r="J510" s="7">
        <f t="shared" ref="J510" si="1523">IF(AND(H510&gt;2,
OR(L498="MÉDIA SANEADA",L498="MEDIANA SANEADA",
AND(L498="PREÇO ESTIMADO",NOT(AND(P500="Orçamento",COUNTA(P498:XX498)=COUNTIF(P500:XX500,"Orçamento")))))),
ROW(),0)</f>
        <v>510</v>
      </c>
      <c r="K510" s="66"/>
      <c r="L510" s="29" t="s">
        <v>41</v>
      </c>
      <c r="M510" s="30">
        <f t="shared" ref="M510" si="1524">IFERROR(_xlfn.QUARTILE.EXC($P504:$XX504,1),"")</f>
        <v>100.9</v>
      </c>
      <c r="N510" s="71"/>
      <c r="O510" s="27" t="str">
        <f t="shared" ref="O510" si="1525">"3 RODADA"</f>
        <v>3 RODADA</v>
      </c>
      <c r="P510" s="107">
        <f t="shared" ref="P510:AI510" si="1526">IF(P508="","",IF((_xlfn.STDEV.P($P507:$XX508)/AVERAGE($P507:$XX508))&lt;=25%,P508,IF(OR(P508&gt;(AVERAGE($P507:$XX508)+_xlfn.STDEV.P($P507:$XX508)),P508&lt;(AVERAGE($P507:$XX508)-_xlfn.STDEV.P($P507:$XX508))),"DESCARTADO",P508)))</f>
        <v>105.9</v>
      </c>
      <c r="Q510" s="107">
        <f t="shared" si="1526"/>
        <v>107.75</v>
      </c>
      <c r="R510" s="107">
        <f t="shared" si="1526"/>
        <v>100.9</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f t="shared" si="1435"/>
        <v>24</v>
      </c>
      <c r="C511" s="128">
        <f t="shared" si="1436"/>
        <v>1</v>
      </c>
      <c r="D511" s="127">
        <f t="shared" si="1436"/>
        <v>24</v>
      </c>
      <c r="E511" s="201"/>
      <c r="F511" s="93"/>
      <c r="G511" s="203"/>
      <c r="H511"/>
      <c r="I511"/>
      <c r="J511"/>
      <c r="K511" s="66"/>
      <c r="L511" s="29" t="s">
        <v>39</v>
      </c>
      <c r="M511" s="30">
        <f t="shared" ref="M511" si="1527">IFERROR(_xlfn.QUARTILE.EXC($P504:$XX504,3),"")</f>
        <v>107.75</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f t="shared" si="1435"/>
        <v>24</v>
      </c>
      <c r="C512" s="128">
        <f t="shared" si="1436"/>
        <v>1</v>
      </c>
      <c r="D512" s="127">
        <f t="shared" si="1436"/>
        <v>24</v>
      </c>
      <c r="E512" s="201"/>
      <c r="F512" s="93"/>
      <c r="G512" s="203"/>
      <c r="H512" s="134">
        <f t="shared" ref="H512" si="1529">COUNT($P512:$XX512)</f>
        <v>3</v>
      </c>
      <c r="I512" s="132">
        <f t="shared" ref="I512" si="1530">_xlfn.STDEV.P($P511:$XX512)/AVERAGE($P511:$XX512)</f>
        <v>2.7595453086292049E-2</v>
      </c>
      <c r="J512" s="7">
        <f t="shared" ref="J512" si="1531">IF(AND(H512&gt;2,
OR(L498="MÉDIA SANEADA",L498="MEDIANA SANEADA",
AND(L498="PREÇO ESTIMADO",NOT(AND(P500="Orçamento",COUNTA(P498:XX498)=COUNTIF(P500:XX500,"Orçamento")))))),
ROW(),0)</f>
        <v>512</v>
      </c>
      <c r="K512" s="66"/>
      <c r="L512" s="29" t="s">
        <v>42</v>
      </c>
      <c r="M512" s="30">
        <f t="shared" ref="M512" si="1532">MIN($P504:$XX504)</f>
        <v>100.9</v>
      </c>
      <c r="N512" s="71"/>
      <c r="O512" s="27" t="str">
        <f t="shared" ref="O512" si="1533">"4 RODADA"</f>
        <v>4 RODADA</v>
      </c>
      <c r="P512" s="107">
        <f t="shared" ref="P512:AI512" si="1534">IF(P510="","",IF((_xlfn.STDEV.P($P509:$XX510)/AVERAGE($P509:$XX510))&lt;=25%,P510,IF(OR(P510&gt;(AVERAGE($P509:$XX510)+_xlfn.STDEV.P($P509:$XX510)),P510&lt;(AVERAGE($P509:$XX510)-_xlfn.STDEV.P($P509:$XX510))),"DESCARTADO",P510)))</f>
        <v>105.9</v>
      </c>
      <c r="Q512" s="107">
        <f t="shared" si="1534"/>
        <v>107.75</v>
      </c>
      <c r="R512" s="107">
        <f t="shared" si="1534"/>
        <v>100.9</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f t="shared" si="1435"/>
        <v>24</v>
      </c>
      <c r="C513" s="128">
        <f t="shared" si="1436"/>
        <v>1</v>
      </c>
      <c r="D513" s="127">
        <f t="shared" si="1436"/>
        <v>24</v>
      </c>
      <c r="E513" s="201"/>
      <c r="F513" s="93"/>
      <c r="G513" s="203"/>
      <c r="H513"/>
      <c r="I513"/>
      <c r="J513"/>
      <c r="K513" s="66"/>
      <c r="L513" s="29" t="s">
        <v>40</v>
      </c>
      <c r="M513" s="30">
        <f t="shared" ref="M513" si="1535">MAX($P504:$XX504)</f>
        <v>107.75</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f t="shared" si="1435"/>
        <v>24</v>
      </c>
      <c r="C514" s="128">
        <f t="shared" si="1436"/>
        <v>1</v>
      </c>
      <c r="D514" s="127">
        <f t="shared" si="1436"/>
        <v>24</v>
      </c>
      <c r="E514" s="201"/>
      <c r="F514" s="93"/>
      <c r="G514" s="203"/>
      <c r="H514" s="134">
        <f t="shared" ref="H514" si="1537">COUNT($P514:$XX514)</f>
        <v>3</v>
      </c>
      <c r="I514" s="132">
        <f t="shared" ref="I514" si="1538">_xlfn.STDEV.P($P513:$XX514)/AVERAGE($P513:$XX514)</f>
        <v>2.7595453086292049E-2</v>
      </c>
      <c r="J514" s="7">
        <f t="shared" ref="J514" si="1539">IF(AND(H514&gt;2,
OR(L498="MÉDIA SANEADA",L498="MEDIANA SANEADA",
AND(L498="PREÇO ESTIMADO",NOT(AND(P500="Orçamento",COUNTA(P498:XX498)=COUNTIF(P500:XX500,"Orçamento")))))),
ROW(),0)</f>
        <v>514</v>
      </c>
      <c r="K514" s="66"/>
      <c r="N514" s="71"/>
      <c r="O514" s="27" t="str">
        <f t="shared" ref="O514" si="1540">"5 RODADA"</f>
        <v>5 RODADA</v>
      </c>
      <c r="P514" s="107">
        <f t="shared" ref="P514:AI514" si="1541">IF(P512="","",IF((_xlfn.STDEV.P($P511:$XX512)/AVERAGE($P511:$XX512))&lt;=25%,P512,IF(OR(P512&gt;(AVERAGE($P511:$XX512)+_xlfn.STDEV.P($P511:$XX512)),P512&lt;(AVERAGE($P511:$XX512)-_xlfn.STDEV.P($P511:$XX512))),"DESCARTADO",P512)))</f>
        <v>105.9</v>
      </c>
      <c r="Q514" s="107">
        <f t="shared" si="1541"/>
        <v>107.75</v>
      </c>
      <c r="R514" s="107">
        <f t="shared" si="1541"/>
        <v>100.9</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f t="shared" si="1435"/>
        <v>24</v>
      </c>
      <c r="C515" s="128">
        <f t="shared" si="1436"/>
        <v>1</v>
      </c>
      <c r="D515" s="127">
        <f t="shared" si="1436"/>
        <v>24</v>
      </c>
      <c r="E515" s="201"/>
      <c r="F515" s="93"/>
      <c r="G515" s="203"/>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f t="shared" si="1435"/>
        <v>24</v>
      </c>
      <c r="C516" s="128">
        <f t="shared" si="1436"/>
        <v>1</v>
      </c>
      <c r="D516" s="127">
        <f t="shared" si="1436"/>
        <v>24</v>
      </c>
      <c r="E516" s="201"/>
      <c r="F516" s="93"/>
      <c r="G516" s="203"/>
      <c r="H516" s="134">
        <f t="shared" ref="H516" si="1543">COUNT($P516:$XX516)</f>
        <v>3</v>
      </c>
      <c r="I516" s="132">
        <f t="shared" ref="I516" si="1544">_xlfn.STDEV.P($P515:$XX516)/AVERAGE($P515:$XX516)</f>
        <v>2.7595453086292049E-2</v>
      </c>
      <c r="J516" s="7">
        <f t="shared" ref="J516" si="1545">IF(AND(H516&gt;2,
OR(L498="MÉDIA SANEADA",L498="MEDIANA SANEADA",
AND(L498="PREÇO ESTIMADO",NOT(AND(P500="Orçamento",COUNTA(P498:XX498)=COUNTIF(P500:XX500,"Orçamento")))))),
ROW(),0)</f>
        <v>516</v>
      </c>
      <c r="N516" s="71"/>
      <c r="O516" s="27" t="str">
        <f t="shared" ref="O516" si="1546">"6 RODADA"</f>
        <v>6 RODADA</v>
      </c>
      <c r="P516" s="107">
        <f t="shared" ref="P516:AI516" si="1547">IFERROR(IF(P514="","",IF((_xlfn.STDEV.P($P513:$XX514)/AVERAGE($P513:$XX514))&lt;=25%,P514,IF(OR(P514&gt;(AVERAGE($P513:$XX514)+_xlfn.STDEV.P($P513:$XX514)),P514&lt;(AVERAGE($P513:$XX514)-_xlfn.STDEV.P($P513:$XX514))),"DESCARTADO",P514))),)</f>
        <v>105.9</v>
      </c>
      <c r="Q516" s="107">
        <f t="shared" si="1547"/>
        <v>107.75</v>
      </c>
      <c r="R516" s="107">
        <f t="shared" si="1547"/>
        <v>100.9</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f t="shared" si="1435"/>
        <v>24</v>
      </c>
      <c r="C517" s="128">
        <f t="shared" si="1436"/>
        <v>1</v>
      </c>
      <c r="D517" s="127">
        <f t="shared" si="1436"/>
        <v>24</v>
      </c>
      <c r="E517" s="201"/>
      <c r="F517" s="136"/>
      <c r="G517" s="203"/>
      <c r="H517" s="206"/>
      <c r="I517" s="206"/>
      <c r="J517" s="207"/>
      <c r="K517" s="67"/>
      <c r="L517" s="1" t="s">
        <v>43</v>
      </c>
      <c r="M517" s="143">
        <f t="shared" ref="M517" si="1548">IFERROR(ROUND(M498*M500,2),"")</f>
        <v>524.25</v>
      </c>
      <c r="O517" s="27" t="s">
        <v>363</v>
      </c>
      <c r="P517" s="107">
        <f t="shared" ref="P517:AI538" si="1549">INDEX(P504:P516,MATCH(MAX($J504:$J516),$J504:$J516,0))</f>
        <v>105.9</v>
      </c>
      <c r="Q517" s="107">
        <f t="shared" si="1549"/>
        <v>107.75</v>
      </c>
      <c r="R517" s="107">
        <f t="shared" si="1549"/>
        <v>100.9</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f t="shared" ref="B519" si="1550">LARGE(IFERROR(IF(B517+1&gt;$H$8,"",B517+1),""),1)</f>
        <v>25</v>
      </c>
      <c r="C519" s="127">
        <f>IF(_xlfn.ISFORMULA(E523),MAX(INDEX('BASE FORMAÇÃO'!A:A,B519+1),1),E523)</f>
        <v>1</v>
      </c>
      <c r="D519" s="127">
        <f t="shared" ref="D519" si="1551">IFERROR(IF(C519=C509,D509+1,1),1)</f>
        <v>25</v>
      </c>
      <c r="E519" s="38" t="s">
        <v>9</v>
      </c>
      <c r="F519" s="73"/>
      <c r="G519" s="38" t="s">
        <v>15</v>
      </c>
      <c r="H519" s="135">
        <f>INDEX('BASE FORMAÇÃO'!B:B,B519+1)</f>
        <v>0</v>
      </c>
      <c r="I519" s="181" t="s">
        <v>16</v>
      </c>
      <c r="J519" s="6">
        <f>INDEX('BASE FORMAÇÃO'!K:K,B519+1)</f>
        <v>0</v>
      </c>
      <c r="K519" s="65"/>
      <c r="L519" s="184" t="s">
        <v>10</v>
      </c>
      <c r="M519" s="186">
        <f t="shared" ref="M519" si="1552">IF(OR(ISBLANK($O$8),ISBLANK($O$7),ISBLANK($H$8),ISBLANK($O$6),ISBLANK($O$5),ISBLANK($H$5)),"",IFERROR(IF(VLOOKUP(L519,L525:M534,2,FALSE)&lt;1,ROUND(VLOOKUP(L519,L525:M534,2,FALSE),4),ROUND(VLOOKUP(L519,L525:M534,2,FALSE),2)),""))</f>
        <v>57.36</v>
      </c>
      <c r="N519" s="69"/>
      <c r="O519" s="27" t="s">
        <v>17</v>
      </c>
      <c r="P519" s="113">
        <v>52.94</v>
      </c>
      <c r="Q519" s="113">
        <v>64.900000000000006</v>
      </c>
      <c r="R519" s="113">
        <v>54.24</v>
      </c>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f t="shared" ref="B520:D520" si="1553">B519</f>
        <v>25</v>
      </c>
      <c r="C520" s="128">
        <f t="shared" si="1553"/>
        <v>1</v>
      </c>
      <c r="D520" s="127">
        <f t="shared" si="1553"/>
        <v>25</v>
      </c>
      <c r="E520" s="188">
        <f t="shared" ref="E520" si="1554">D519</f>
        <v>25</v>
      </c>
      <c r="F520" s="92"/>
      <c r="G520" s="190" t="s">
        <v>1</v>
      </c>
      <c r="H520" s="193" t="s">
        <v>530</v>
      </c>
      <c r="I520" s="194"/>
      <c r="J520" s="195"/>
      <c r="K520" s="66"/>
      <c r="L520" s="185"/>
      <c r="M520" s="187"/>
      <c r="N520" s="70"/>
      <c r="O520" s="27" t="s">
        <v>13</v>
      </c>
      <c r="P520" s="122">
        <v>46195</v>
      </c>
      <c r="Q520" s="122">
        <v>46195</v>
      </c>
      <c r="R520" s="122">
        <v>46195</v>
      </c>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f t="shared" ref="B521:D521" si="1555">B520</f>
        <v>25</v>
      </c>
      <c r="C521" s="128">
        <f t="shared" si="1555"/>
        <v>1</v>
      </c>
      <c r="D521" s="127">
        <f t="shared" si="1555"/>
        <v>25</v>
      </c>
      <c r="E521" s="189"/>
      <c r="F521" s="93"/>
      <c r="G521" s="191"/>
      <c r="H521" s="196"/>
      <c r="I521" s="196"/>
      <c r="J521" s="197"/>
      <c r="K521" s="64"/>
      <c r="L521" s="130" t="s">
        <v>44</v>
      </c>
      <c r="M521" s="131">
        <v>10</v>
      </c>
      <c r="N521" s="71"/>
      <c r="O521" s="27" t="s">
        <v>380</v>
      </c>
      <c r="P521" s="114" t="s">
        <v>302</v>
      </c>
      <c r="Q521" s="114" t="s">
        <v>302</v>
      </c>
      <c r="R521" s="114" t="s">
        <v>302</v>
      </c>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f t="shared" ref="B522:C522" si="1556">B521</f>
        <v>25</v>
      </c>
      <c r="C522" s="128">
        <f t="shared" si="1556"/>
        <v>1</v>
      </c>
      <c r="D522" s="127">
        <f t="shared" si="1436"/>
        <v>25</v>
      </c>
      <c r="E522" s="38" t="s">
        <v>313</v>
      </c>
      <c r="F522" s="93"/>
      <c r="G522" s="192"/>
      <c r="H522" s="198"/>
      <c r="I522" s="198"/>
      <c r="J522" s="199"/>
      <c r="K522" s="64"/>
      <c r="L522" s="1" t="s">
        <v>2</v>
      </c>
      <c r="M522" s="6" t="s">
        <v>288</v>
      </c>
      <c r="N522" s="71"/>
      <c r="O522" s="27" t="s">
        <v>381</v>
      </c>
      <c r="P522" s="182" t="s">
        <v>531</v>
      </c>
      <c r="Q522" s="182" t="s">
        <v>532</v>
      </c>
      <c r="R522" s="182" t="s">
        <v>533</v>
      </c>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f t="shared" ref="B523:C523" si="1557">B521</f>
        <v>25</v>
      </c>
      <c r="C523" s="128">
        <f t="shared" si="1557"/>
        <v>1</v>
      </c>
      <c r="D523" s="127">
        <f t="shared" si="1436"/>
        <v>25</v>
      </c>
      <c r="E523" s="200">
        <f t="shared" ref="E523" si="1558">C519</f>
        <v>1</v>
      </c>
      <c r="F523" s="93"/>
      <c r="G523" s="202" t="s">
        <v>304</v>
      </c>
      <c r="H523" s="204"/>
      <c r="I523" s="205"/>
      <c r="J523" s="205"/>
      <c r="K523" s="67"/>
      <c r="L523" s="28" t="s">
        <v>303</v>
      </c>
      <c r="M523" s="133">
        <f t="shared" ref="M523" si="1559">IFERROR(INDEX(I525:I537,MATCH(MAX(J525:J537),J525:J537,0)),"")</f>
        <v>9.3408907349585582E-2</v>
      </c>
      <c r="N523" s="71"/>
      <c r="O523" s="27" t="s">
        <v>18</v>
      </c>
      <c r="P523" s="106">
        <f>IF(P519="","",
IF(OR(P521="Orçamento",P520="",MAX('Tabela de Apoio'!$A:$A)&lt;=P520),
P519,
(INDEX('Tabela de Apoio'!$B:$B,MATCH('MAPA DE PREÇOS'!$O$8,'Tabela de Apoio'!$A:$A,1))/INDEX('Tabela de Apoio'!$B:$B,MATCH('MAPA DE PREÇOS'!P520,'Tabela de Apoio'!$A:$A,1)-1))*P519))</f>
        <v>52.94</v>
      </c>
      <c r="Q523" s="106">
        <f>IF(Q519="","",
IF(OR(Q521="Orçamento",Q520="",MAX('Tabela de Apoio'!$A:$A)&lt;=Q520),
Q519,
(INDEX('Tabela de Apoio'!$B:$B,MATCH('MAPA DE PREÇOS'!$O$8,'Tabela de Apoio'!$A:$A,1))/INDEX('Tabela de Apoio'!$B:$B,MATCH('MAPA DE PREÇOS'!Q520,'Tabela de Apoio'!$A:$A,1)-1))*Q519))</f>
        <v>64.900000000000006</v>
      </c>
      <c r="R523" s="106">
        <f>IF(R519="","",
IF(OR(R521="Orçamento",R520="",MAX('Tabela de Apoio'!$A:$A)&lt;=R520),
R519,
(INDEX('Tabela de Apoio'!$B:$B,MATCH('MAPA DE PREÇOS'!$O$8,'Tabela de Apoio'!$A:$A,1))/INDEX('Tabela de Apoio'!$B:$B,MATCH('MAPA DE PREÇOS'!R520,'Tabela de Apoio'!$A:$A,1)-1))*R519))</f>
        <v>54.24</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f t="shared" ref="B524" si="1560">B523</f>
        <v>25</v>
      </c>
      <c r="C524" s="128">
        <f t="shared" ref="C524" si="1561">C523</f>
        <v>1</v>
      </c>
      <c r="D524" s="127">
        <f t="shared" si="1436"/>
        <v>25</v>
      </c>
      <c r="E524" s="201"/>
      <c r="F524" s="93"/>
      <c r="G524" s="203"/>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f t="shared" ref="B525:C525" si="1562">B524</f>
        <v>25</v>
      </c>
      <c r="C525" s="128">
        <f t="shared" si="1562"/>
        <v>1</v>
      </c>
      <c r="D525" s="127">
        <f t="shared" si="1436"/>
        <v>25</v>
      </c>
      <c r="E525" s="201"/>
      <c r="F525" s="93"/>
      <c r="G525" s="203"/>
      <c r="H525" s="134">
        <f t="shared" ref="H525" si="1563">COUNT($P525:$XX525)</f>
        <v>3</v>
      </c>
      <c r="I525" s="132">
        <f t="shared" ref="I525" si="1564">_xlfn.STDEV.P($P524:$XX525)/AVERAGE($P524:$XX525)</f>
        <v>9.3408907349585582E-2</v>
      </c>
      <c r="J525" s="7">
        <f>ROW()</f>
        <v>525</v>
      </c>
      <c r="K525" s="67"/>
      <c r="L525" s="29" t="s">
        <v>10</v>
      </c>
      <c r="M525" s="30">
        <f t="shared" ref="M525" si="1565">IFERROR(
IF(COUNTA(P519:AI519)=COUNTIF(P521:XX521,"Orçamento"),MIN(M530,M527),
IF(M528&lt;&gt;"",M528,
IF(M529&lt;&gt;"",M529,
M527
))),"")</f>
        <v>57.360000000000007</v>
      </c>
      <c r="N525" s="71"/>
      <c r="O525" s="27" t="s">
        <v>376</v>
      </c>
      <c r="P525" s="106">
        <f t="shared" ref="P525:AI525" si="1566">IFERROR(IF(P523="",
            "",
            IF(COUNT($P523:$XX523)&lt;=4,
               P523,
               IF(OR(P523&gt;(QUARTILE($P523:$XX523,3)+(QUARTILE($P523:$XX523,3)-QUARTILE($P523:$XX523,1))),
                     P523&lt;(QUARTILE($P523:$XX523,1)-(QUARTILE($P523:$XX523,3)-QUARTILE($P523:$XX523,1)))
                  ),
               "DESCARTADO",P523)
             )
  ),P523)</f>
        <v>52.94</v>
      </c>
      <c r="Q525" s="106">
        <f t="shared" si="1566"/>
        <v>64.900000000000006</v>
      </c>
      <c r="R525" s="106">
        <f t="shared" si="1566"/>
        <v>54.24</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f t="shared" ref="B526" si="1567">B525</f>
        <v>25</v>
      </c>
      <c r="C526" s="128">
        <f t="shared" ref="C526" si="1568">C525</f>
        <v>1</v>
      </c>
      <c r="D526" s="127">
        <f t="shared" si="1436"/>
        <v>25</v>
      </c>
      <c r="E526" s="201"/>
      <c r="F526" s="93"/>
      <c r="G526" s="203"/>
      <c r="H526"/>
      <c r="I526"/>
      <c r="J526"/>
      <c r="K526" s="66"/>
      <c r="L526" s="29" t="s">
        <v>360</v>
      </c>
      <c r="M526" s="30">
        <f t="shared" ref="M526" si="1569">AVERAGE($P525:$XX525)</f>
        <v>57.360000000000007</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f t="shared" si="1435"/>
        <v>25</v>
      </c>
      <c r="C527" s="128">
        <f t="shared" si="1436"/>
        <v>1</v>
      </c>
      <c r="D527" s="127">
        <f t="shared" si="1436"/>
        <v>25</v>
      </c>
      <c r="E527" s="201"/>
      <c r="F527" s="93"/>
      <c r="G527" s="203"/>
      <c r="H527" s="134">
        <f t="shared" ref="H527" si="1571">COUNT($P527:$XX527)</f>
        <v>3</v>
      </c>
      <c r="I527" s="132">
        <f t="shared" ref="I527" si="1572">_xlfn.STDEV.P($P526:$XX527)/AVERAGE($P526:$XX527)</f>
        <v>9.3408907349585582E-2</v>
      </c>
      <c r="J527" s="7">
        <f t="shared" ref="J527" si="1573">IF(AND(H527&gt;2,
OR(L519="MÉDIA SANEADA",L519="MEDIANA SANEADA",
AND(L519="PREÇO ESTIMADO",NOT(AND(P521="Orçamento",COUNTA(P519:XX519)=COUNTIF(P521:XX521,"Orçamento")))))),
ROW(),0)</f>
        <v>527</v>
      </c>
      <c r="K527" s="66"/>
      <c r="L527" s="29" t="s">
        <v>361</v>
      </c>
      <c r="M527" s="30">
        <f t="shared" ref="M527" si="1574">MEDIAN($P525:$XX525)</f>
        <v>54.24</v>
      </c>
      <c r="N527" s="71"/>
      <c r="O527" s="27" t="str">
        <f t="shared" ref="O527" si="1575">"1 RODADA"</f>
        <v>1 RODADA</v>
      </c>
      <c r="P527" s="107">
        <f t="shared" ref="P527:AI527" si="1576">IF(P525="","",IF((_xlfn.STDEV.P($P524:$XX525)/AVERAGE($P524:$XX525))&lt;=25%,P525,IF(OR(P525&gt;(AVERAGE($P524:$XX525)+_xlfn.STDEV.P($P524:$XX525)),P525&lt;(AVERAGE($P524:$XX525)-_xlfn.STDEV.P($P524:$XX525))),"DESCARTADO",P525)))</f>
        <v>52.94</v>
      </c>
      <c r="Q527" s="107">
        <f t="shared" si="1576"/>
        <v>64.900000000000006</v>
      </c>
      <c r="R527" s="107">
        <f t="shared" si="1576"/>
        <v>54.24</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f t="shared" si="1435"/>
        <v>25</v>
      </c>
      <c r="C528" s="128">
        <f t="shared" si="1436"/>
        <v>1</v>
      </c>
      <c r="D528" s="127">
        <f t="shared" si="1436"/>
        <v>25</v>
      </c>
      <c r="E528" s="201"/>
      <c r="F528" s="93"/>
      <c r="G528" s="203"/>
      <c r="H528"/>
      <c r="I528"/>
      <c r="J528"/>
      <c r="L528" s="29" t="s">
        <v>38</v>
      </c>
      <c r="M528" s="30">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57.360000000000007</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f t="shared" si="1435"/>
        <v>25</v>
      </c>
      <c r="C529" s="128">
        <f t="shared" si="1436"/>
        <v>1</v>
      </c>
      <c r="D529" s="127">
        <f t="shared" si="1436"/>
        <v>25</v>
      </c>
      <c r="E529" s="201"/>
      <c r="F529" s="93"/>
      <c r="G529" s="203"/>
      <c r="H529" s="134">
        <f t="shared" ref="H529" si="1579">COUNT($P529:$XX529)</f>
        <v>3</v>
      </c>
      <c r="I529" s="132">
        <f t="shared" ref="I529" si="1580">_xlfn.STDEV.P($P528:$XX529)/AVERAGE($P528:$XX529)</f>
        <v>9.3408907349585582E-2</v>
      </c>
      <c r="J529" s="7">
        <f t="shared" ref="J529" si="1581">IF(AND(H529&gt;2,
OR(L519="MÉDIA SANEADA",L519="MEDIANA SANEADA",
AND(L519="PREÇO ESTIMADO",NOT(AND(P521="Orçamento",COUNTA(P519:XX519)=COUNTIF(P521:XX521,"Orçamento")))))),
ROW(),0)</f>
        <v>529</v>
      </c>
      <c r="K529" s="66"/>
      <c r="L529" s="29" t="s">
        <v>362</v>
      </c>
      <c r="M529" s="30">
        <f t="shared" ref="M529" si="1582" xml:space="preserve">
IF(H527&gt;2,MEDIAN(P526:XX527),
IF(H529&gt;2,MEDIAN(P528:XX529),
IF(H531&gt;2,MEDIAN(P530:XX531),
IF(H533&gt;2,MEDIAN(P532:XX533),
IF(H535&gt;2,MEDIAN(P534:XX535),
IF(H537&gt;2,MEDIAN(P536:XX537),
MEDIAN(P524:XX525)))))))</f>
        <v>54.24</v>
      </c>
      <c r="N529" s="71"/>
      <c r="O529" s="27" t="str">
        <f t="shared" ref="O529" si="1583">"2 RODADA"</f>
        <v>2 RODADA</v>
      </c>
      <c r="P529" s="107">
        <f t="shared" ref="P529:AI529" si="1584">IF(P527="","",IF((_xlfn.STDEV.P($P526:$XX527)/AVERAGE($P526:$XX527))&lt;=25%,P527,IF(OR(P527&gt;(AVERAGE($P526:$XX527)+_xlfn.STDEV.P($P526:$XX527)),P527&lt;(AVERAGE($P526:$XX527)-_xlfn.STDEV.P($P526:$XX527))),"DESCARTADO",P527)))</f>
        <v>52.94</v>
      </c>
      <c r="Q529" s="107">
        <f t="shared" si="1584"/>
        <v>64.900000000000006</v>
      </c>
      <c r="R529" s="107">
        <f t="shared" si="1584"/>
        <v>54.24</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f t="shared" si="1435"/>
        <v>25</v>
      </c>
      <c r="C530" s="128">
        <f t="shared" si="1436"/>
        <v>1</v>
      </c>
      <c r="D530" s="127">
        <f t="shared" si="1436"/>
        <v>25</v>
      </c>
      <c r="E530" s="201"/>
      <c r="F530" s="93"/>
      <c r="G530" s="203"/>
      <c r="H530"/>
      <c r="I530"/>
      <c r="J530"/>
      <c r="K530" s="66"/>
      <c r="L530" s="29" t="s">
        <v>359</v>
      </c>
      <c r="M530" s="30">
        <f t="shared" ref="M530" si="1585">HARMEAN($P524:$XX525)</f>
        <v>56.889069784508436</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f t="shared" si="1435"/>
        <v>25</v>
      </c>
      <c r="C531" s="128">
        <f t="shared" si="1436"/>
        <v>1</v>
      </c>
      <c r="D531" s="127">
        <f t="shared" si="1436"/>
        <v>25</v>
      </c>
      <c r="E531" s="201"/>
      <c r="F531" s="93"/>
      <c r="G531" s="203"/>
      <c r="H531" s="134">
        <f t="shared" ref="H531" si="1587">COUNT($P531:$XX531)</f>
        <v>3</v>
      </c>
      <c r="I531" s="132">
        <f t="shared" ref="I531" si="1588">_xlfn.STDEV.P($P530:$XX531)/AVERAGE($P530:$XX531)</f>
        <v>9.3408907349585582E-2</v>
      </c>
      <c r="J531" s="7">
        <f t="shared" ref="J531" si="1589">IF(AND(H531&gt;2,
OR(L519="MÉDIA SANEADA",L519="MEDIANA SANEADA",
AND(L519="PREÇO ESTIMADO",NOT(AND(P521="Orçamento",COUNTA(P519:XX519)=COUNTIF(P521:XX521,"Orçamento")))))),
ROW(),0)</f>
        <v>531</v>
      </c>
      <c r="K531" s="66"/>
      <c r="L531" s="29" t="s">
        <v>41</v>
      </c>
      <c r="M531" s="30">
        <f t="shared" ref="M531" si="1590">IFERROR(_xlfn.QUARTILE.EXC($P525:$XX525,1),"")</f>
        <v>52.94</v>
      </c>
      <c r="N531" s="71"/>
      <c r="O531" s="27" t="str">
        <f t="shared" ref="O531" si="1591">"3 RODADA"</f>
        <v>3 RODADA</v>
      </c>
      <c r="P531" s="107">
        <f t="shared" ref="P531:AI531" si="1592">IF(P529="","",IF((_xlfn.STDEV.P($P528:$XX529)/AVERAGE($P528:$XX529))&lt;=25%,P529,IF(OR(P529&gt;(AVERAGE($P528:$XX529)+_xlfn.STDEV.P($P528:$XX529)),P529&lt;(AVERAGE($P528:$XX529)-_xlfn.STDEV.P($P528:$XX529))),"DESCARTADO",P529)))</f>
        <v>52.94</v>
      </c>
      <c r="Q531" s="107">
        <f t="shared" si="1592"/>
        <v>64.900000000000006</v>
      </c>
      <c r="R531" s="107">
        <f t="shared" si="1592"/>
        <v>54.24</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f t="shared" si="1435"/>
        <v>25</v>
      </c>
      <c r="C532" s="128">
        <f t="shared" si="1436"/>
        <v>1</v>
      </c>
      <c r="D532" s="127">
        <f t="shared" si="1436"/>
        <v>25</v>
      </c>
      <c r="E532" s="201"/>
      <c r="F532" s="93"/>
      <c r="G532" s="203"/>
      <c r="H532"/>
      <c r="I532"/>
      <c r="J532"/>
      <c r="K532" s="66"/>
      <c r="L532" s="29" t="s">
        <v>39</v>
      </c>
      <c r="M532" s="30">
        <f t="shared" ref="M532" si="1593">IFERROR(_xlfn.QUARTILE.EXC($P525:$XX525,3),"")</f>
        <v>64.900000000000006</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f t="shared" si="1435"/>
        <v>25</v>
      </c>
      <c r="C533" s="128">
        <f t="shared" si="1436"/>
        <v>1</v>
      </c>
      <c r="D533" s="127">
        <f t="shared" si="1436"/>
        <v>25</v>
      </c>
      <c r="E533" s="201"/>
      <c r="F533" s="93"/>
      <c r="G533" s="203"/>
      <c r="H533" s="134">
        <f t="shared" ref="H533" si="1595">COUNT($P533:$XX533)</f>
        <v>3</v>
      </c>
      <c r="I533" s="132">
        <f t="shared" ref="I533" si="1596">_xlfn.STDEV.P($P532:$XX533)/AVERAGE($P532:$XX533)</f>
        <v>9.3408907349585582E-2</v>
      </c>
      <c r="J533" s="7">
        <f t="shared" ref="J533" si="1597">IF(AND(H533&gt;2,
OR(L519="MÉDIA SANEADA",L519="MEDIANA SANEADA",
AND(L519="PREÇO ESTIMADO",NOT(AND(P521="Orçamento",COUNTA(P519:XX519)=COUNTIF(P521:XX521,"Orçamento")))))),
ROW(),0)</f>
        <v>533</v>
      </c>
      <c r="K533" s="66"/>
      <c r="L533" s="29" t="s">
        <v>42</v>
      </c>
      <c r="M533" s="30">
        <f t="shared" ref="M533" si="1598">MIN($P525:$XX525)</f>
        <v>52.94</v>
      </c>
      <c r="N533" s="71"/>
      <c r="O533" s="27" t="str">
        <f t="shared" ref="O533" si="1599">"4 RODADA"</f>
        <v>4 RODADA</v>
      </c>
      <c r="P533" s="107">
        <f t="shared" ref="P533:AI533" si="1600">IF(P531="","",IF((_xlfn.STDEV.P($P530:$XX531)/AVERAGE($P530:$XX531))&lt;=25%,P531,IF(OR(P531&gt;(AVERAGE($P530:$XX531)+_xlfn.STDEV.P($P530:$XX531)),P531&lt;(AVERAGE($P530:$XX531)-_xlfn.STDEV.P($P530:$XX531))),"DESCARTADO",P531)))</f>
        <v>52.94</v>
      </c>
      <c r="Q533" s="107">
        <f t="shared" si="1600"/>
        <v>64.900000000000006</v>
      </c>
      <c r="R533" s="107">
        <f t="shared" si="1600"/>
        <v>54.24</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f t="shared" si="1435"/>
        <v>25</v>
      </c>
      <c r="C534" s="128">
        <f t="shared" si="1436"/>
        <v>1</v>
      </c>
      <c r="D534" s="127">
        <f t="shared" si="1436"/>
        <v>25</v>
      </c>
      <c r="E534" s="201"/>
      <c r="F534" s="93"/>
      <c r="G534" s="203"/>
      <c r="H534"/>
      <c r="I534"/>
      <c r="J534"/>
      <c r="K534" s="66"/>
      <c r="L534" s="29" t="s">
        <v>40</v>
      </c>
      <c r="M534" s="30">
        <f t="shared" ref="M534" si="1601">MAX($P525:$XX525)</f>
        <v>64.900000000000006</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f t="shared" si="1435"/>
        <v>25</v>
      </c>
      <c r="C535" s="128">
        <f t="shared" si="1436"/>
        <v>1</v>
      </c>
      <c r="D535" s="127">
        <f t="shared" si="1436"/>
        <v>25</v>
      </c>
      <c r="E535" s="201"/>
      <c r="F535" s="93"/>
      <c r="G535" s="203"/>
      <c r="H535" s="134">
        <f t="shared" ref="H535" si="1603">COUNT($P535:$XX535)</f>
        <v>3</v>
      </c>
      <c r="I535" s="132">
        <f t="shared" ref="I535" si="1604">_xlfn.STDEV.P($P534:$XX535)/AVERAGE($P534:$XX535)</f>
        <v>9.3408907349585582E-2</v>
      </c>
      <c r="J535" s="7">
        <f t="shared" ref="J535" si="1605">IF(AND(H535&gt;2,
OR(L519="MÉDIA SANEADA",L519="MEDIANA SANEADA",
AND(L519="PREÇO ESTIMADO",NOT(AND(P521="Orçamento",COUNTA(P519:XX519)=COUNTIF(P521:XX521,"Orçamento")))))),
ROW(),0)</f>
        <v>535</v>
      </c>
      <c r="K535" s="66"/>
      <c r="N535" s="71"/>
      <c r="O535" s="27" t="str">
        <f t="shared" ref="O535" si="1606">"5 RODADA"</f>
        <v>5 RODADA</v>
      </c>
      <c r="P535" s="107">
        <f t="shared" ref="P535:AI535" si="1607">IF(P533="","",IF((_xlfn.STDEV.P($P532:$XX533)/AVERAGE($P532:$XX533))&lt;=25%,P533,IF(OR(P533&gt;(AVERAGE($P532:$XX533)+_xlfn.STDEV.P($P532:$XX533)),P533&lt;(AVERAGE($P532:$XX533)-_xlfn.STDEV.P($P532:$XX533))),"DESCARTADO",P533)))</f>
        <v>52.94</v>
      </c>
      <c r="Q535" s="107">
        <f t="shared" si="1607"/>
        <v>64.900000000000006</v>
      </c>
      <c r="R535" s="107">
        <f t="shared" si="1607"/>
        <v>54.24</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f t="shared" si="1435"/>
        <v>25</v>
      </c>
      <c r="C536" s="128">
        <f t="shared" si="1436"/>
        <v>1</v>
      </c>
      <c r="D536" s="127">
        <f t="shared" si="1436"/>
        <v>25</v>
      </c>
      <c r="E536" s="201"/>
      <c r="F536" s="93"/>
      <c r="G536" s="203"/>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f t="shared" si="1435"/>
        <v>25</v>
      </c>
      <c r="C537" s="128">
        <f t="shared" si="1436"/>
        <v>1</v>
      </c>
      <c r="D537" s="127">
        <f t="shared" si="1436"/>
        <v>25</v>
      </c>
      <c r="E537" s="201"/>
      <c r="F537" s="93"/>
      <c r="G537" s="203"/>
      <c r="H537" s="134">
        <f t="shared" ref="H537" si="1609">COUNT($P537:$XX537)</f>
        <v>3</v>
      </c>
      <c r="I537" s="132">
        <f t="shared" ref="I537" si="1610">_xlfn.STDEV.P($P536:$XX537)/AVERAGE($P536:$XX537)</f>
        <v>9.3408907349585582E-2</v>
      </c>
      <c r="J537" s="7">
        <f t="shared" ref="J537" si="1611">IF(AND(H537&gt;2,
OR(L519="MÉDIA SANEADA",L519="MEDIANA SANEADA",
AND(L519="PREÇO ESTIMADO",NOT(AND(P521="Orçamento",COUNTA(P519:XX519)=COUNTIF(P521:XX521,"Orçamento")))))),
ROW(),0)</f>
        <v>537</v>
      </c>
      <c r="N537" s="71"/>
      <c r="O537" s="27" t="str">
        <f t="shared" ref="O537" si="1612">"6 RODADA"</f>
        <v>6 RODADA</v>
      </c>
      <c r="P537" s="107">
        <f t="shared" ref="P537:AI537" si="1613">IFERROR(IF(P535="","",IF((_xlfn.STDEV.P($P534:$XX535)/AVERAGE($P534:$XX535))&lt;=25%,P535,IF(OR(P535&gt;(AVERAGE($P534:$XX535)+_xlfn.STDEV.P($P534:$XX535)),P535&lt;(AVERAGE($P534:$XX535)-_xlfn.STDEV.P($P534:$XX535))),"DESCARTADO",P535))),)</f>
        <v>52.94</v>
      </c>
      <c r="Q537" s="107">
        <f t="shared" si="1613"/>
        <v>64.900000000000006</v>
      </c>
      <c r="R537" s="107">
        <f t="shared" si="1613"/>
        <v>54.24</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f t="shared" si="1435"/>
        <v>25</v>
      </c>
      <c r="C538" s="128">
        <f t="shared" si="1436"/>
        <v>1</v>
      </c>
      <c r="D538" s="127">
        <f t="shared" si="1436"/>
        <v>25</v>
      </c>
      <c r="E538" s="201"/>
      <c r="F538" s="136"/>
      <c r="G538" s="203"/>
      <c r="H538" s="206"/>
      <c r="I538" s="206"/>
      <c r="J538" s="207"/>
      <c r="K538" s="67"/>
      <c r="L538" s="1" t="s">
        <v>43</v>
      </c>
      <c r="M538" s="143">
        <f t="shared" ref="M538" si="1614">IFERROR(ROUND(M519*M521,2),"")</f>
        <v>573.6</v>
      </c>
      <c r="O538" s="27" t="s">
        <v>363</v>
      </c>
      <c r="P538" s="107">
        <f t="shared" ref="P538:R538" si="1615">INDEX(P525:P537,MATCH(MAX($J525:$J537),$J525:$J537,0))</f>
        <v>52.94</v>
      </c>
      <c r="Q538" s="107">
        <f t="shared" si="1615"/>
        <v>64.900000000000006</v>
      </c>
      <c r="R538" s="107">
        <f t="shared" si="1615"/>
        <v>54.24</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f t="shared" ref="B540" si="1616">LARGE(IFERROR(IF(B538+1&gt;$H$8,"",B538+1),""),1)</f>
        <v>26</v>
      </c>
      <c r="C540" s="127">
        <f>IF(_xlfn.ISFORMULA(E544),MAX(INDEX('BASE FORMAÇÃO'!A:A,B540+1),1),E544)</f>
        <v>1</v>
      </c>
      <c r="D540" s="127">
        <f t="shared" ref="D540" si="1617">IFERROR(IF(C540=C530,D530+1,1),1)</f>
        <v>26</v>
      </c>
      <c r="E540" s="38" t="s">
        <v>9</v>
      </c>
      <c r="F540" s="73"/>
      <c r="G540" s="38" t="s">
        <v>15</v>
      </c>
      <c r="H540" s="135">
        <f>INDEX('BASE FORMAÇÃO'!B:B,B540+1)</f>
        <v>0</v>
      </c>
      <c r="I540" s="181" t="s">
        <v>16</v>
      </c>
      <c r="J540" s="6">
        <f>INDEX('BASE FORMAÇÃO'!K:K,B540+1)</f>
        <v>0</v>
      </c>
      <c r="K540" s="65"/>
      <c r="L540" s="184" t="s">
        <v>10</v>
      </c>
      <c r="M540" s="186">
        <f t="shared" ref="M540" si="1618">IF(OR(ISBLANK($O$8),ISBLANK($O$7),ISBLANK($H$8),ISBLANK($O$6),ISBLANK($O$5),ISBLANK($H$5)),"",IFERROR(IF(VLOOKUP(L540,L546:M555,2,FALSE)&lt;1,ROUND(VLOOKUP(L540,L546:M555,2,FALSE),4),ROUND(VLOOKUP(L540,L546:M555,2,FALSE),2)),""))</f>
        <v>53.8</v>
      </c>
      <c r="N540" s="69"/>
      <c r="O540" s="27" t="s">
        <v>17</v>
      </c>
      <c r="P540" s="113">
        <v>59.9</v>
      </c>
      <c r="Q540" s="113">
        <v>62.5</v>
      </c>
      <c r="R540" s="113">
        <v>39</v>
      </c>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f t="shared" ref="B541:D541" si="1619">B540</f>
        <v>26</v>
      </c>
      <c r="C541" s="128">
        <f t="shared" si="1619"/>
        <v>1</v>
      </c>
      <c r="D541" s="127">
        <f t="shared" si="1619"/>
        <v>26</v>
      </c>
      <c r="E541" s="188">
        <f t="shared" ref="E541" si="1620">D540</f>
        <v>26</v>
      </c>
      <c r="F541" s="92"/>
      <c r="G541" s="190" t="s">
        <v>1</v>
      </c>
      <c r="H541" s="193" t="s">
        <v>534</v>
      </c>
      <c r="I541" s="194"/>
      <c r="J541" s="195"/>
      <c r="K541" s="66"/>
      <c r="L541" s="185"/>
      <c r="M541" s="187"/>
      <c r="N541" s="70"/>
      <c r="O541" s="27" t="s">
        <v>13</v>
      </c>
      <c r="P541" s="122">
        <v>46195</v>
      </c>
      <c r="Q541" s="122">
        <v>46195</v>
      </c>
      <c r="R541" s="122">
        <v>46195</v>
      </c>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f t="shared" ref="B542:D542" si="1621">B541</f>
        <v>26</v>
      </c>
      <c r="C542" s="128">
        <f t="shared" si="1621"/>
        <v>1</v>
      </c>
      <c r="D542" s="127">
        <f t="shared" si="1621"/>
        <v>26</v>
      </c>
      <c r="E542" s="189"/>
      <c r="F542" s="93"/>
      <c r="G542" s="191"/>
      <c r="H542" s="196"/>
      <c r="I542" s="196"/>
      <c r="J542" s="197"/>
      <c r="K542" s="64"/>
      <c r="L542" s="130" t="s">
        <v>44</v>
      </c>
      <c r="M542" s="131">
        <v>5</v>
      </c>
      <c r="N542" s="71"/>
      <c r="O542" s="27" t="s">
        <v>380</v>
      </c>
      <c r="P542" s="114" t="s">
        <v>302</v>
      </c>
      <c r="Q542" s="114" t="s">
        <v>302</v>
      </c>
      <c r="R542" s="114" t="s">
        <v>302</v>
      </c>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f t="shared" ref="B543:C543" si="1622">B542</f>
        <v>26</v>
      </c>
      <c r="C543" s="128">
        <f t="shared" si="1622"/>
        <v>1</v>
      </c>
      <c r="D543" s="127">
        <f t="shared" si="1436"/>
        <v>26</v>
      </c>
      <c r="E543" s="38" t="s">
        <v>313</v>
      </c>
      <c r="F543" s="93"/>
      <c r="G543" s="192"/>
      <c r="H543" s="198"/>
      <c r="I543" s="198"/>
      <c r="J543" s="199"/>
      <c r="K543" s="64"/>
      <c r="L543" s="1" t="s">
        <v>2</v>
      </c>
      <c r="M543" s="6" t="s">
        <v>288</v>
      </c>
      <c r="N543" s="71"/>
      <c r="O543" s="27" t="s">
        <v>381</v>
      </c>
      <c r="P543" s="182" t="s">
        <v>535</v>
      </c>
      <c r="Q543" s="182" t="s">
        <v>536</v>
      </c>
      <c r="R543" s="182" t="s">
        <v>537</v>
      </c>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f t="shared" ref="B544:C544" si="1623">B542</f>
        <v>26</v>
      </c>
      <c r="C544" s="128">
        <f t="shared" si="1623"/>
        <v>1</v>
      </c>
      <c r="D544" s="127">
        <f t="shared" si="1436"/>
        <v>26</v>
      </c>
      <c r="E544" s="200">
        <f t="shared" ref="E544" si="1624">C540</f>
        <v>1</v>
      </c>
      <c r="F544" s="93"/>
      <c r="G544" s="202" t="s">
        <v>304</v>
      </c>
      <c r="H544" s="204"/>
      <c r="I544" s="205"/>
      <c r="J544" s="205"/>
      <c r="K544" s="67"/>
      <c r="L544" s="28" t="s">
        <v>303</v>
      </c>
      <c r="M544" s="133">
        <f t="shared" ref="M544" si="1625">IFERROR(INDEX(I546:I558,MATCH(MAX(J546:J558),J546:J558,0)),"")</f>
        <v>0.19551806560183019</v>
      </c>
      <c r="N544" s="71"/>
      <c r="O544" s="27" t="s">
        <v>18</v>
      </c>
      <c r="P544" s="106">
        <f>IF(P540="","",
IF(OR(P542="Orçamento",P541="",MAX('Tabela de Apoio'!$A:$A)&lt;=P541),
P540,
(INDEX('Tabela de Apoio'!$B:$B,MATCH('MAPA DE PREÇOS'!$O$8,'Tabela de Apoio'!$A:$A,1))/INDEX('Tabela de Apoio'!$B:$B,MATCH('MAPA DE PREÇOS'!P541,'Tabela de Apoio'!$A:$A,1)-1))*P540))</f>
        <v>59.9</v>
      </c>
      <c r="Q544" s="106">
        <f>IF(Q540="","",
IF(OR(Q542="Orçamento",Q541="",MAX('Tabela de Apoio'!$A:$A)&lt;=Q541),
Q540,
(INDEX('Tabela de Apoio'!$B:$B,MATCH('MAPA DE PREÇOS'!$O$8,'Tabela de Apoio'!$A:$A,1))/INDEX('Tabela de Apoio'!$B:$B,MATCH('MAPA DE PREÇOS'!Q541,'Tabela de Apoio'!$A:$A,1)-1))*Q540))</f>
        <v>62.5</v>
      </c>
      <c r="R544" s="106">
        <f>IF(R540="","",
IF(OR(R542="Orçamento",R541="",MAX('Tabela de Apoio'!$A:$A)&lt;=R541),
R540,
(INDEX('Tabela de Apoio'!$B:$B,MATCH('MAPA DE PREÇOS'!$O$8,'Tabela de Apoio'!$A:$A,1))/INDEX('Tabela de Apoio'!$B:$B,MATCH('MAPA DE PREÇOS'!R541,'Tabela de Apoio'!$A:$A,1)-1))*R540))</f>
        <v>39</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f t="shared" ref="B545" si="1626">B544</f>
        <v>26</v>
      </c>
      <c r="C545" s="128">
        <f t="shared" ref="C545" si="1627">C544</f>
        <v>1</v>
      </c>
      <c r="D545" s="127">
        <f t="shared" si="1436"/>
        <v>26</v>
      </c>
      <c r="E545" s="201"/>
      <c r="F545" s="93"/>
      <c r="G545" s="203"/>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f t="shared" ref="B546:C546" si="1628">B545</f>
        <v>26</v>
      </c>
      <c r="C546" s="128">
        <f t="shared" si="1628"/>
        <v>1</v>
      </c>
      <c r="D546" s="127">
        <f t="shared" si="1436"/>
        <v>26</v>
      </c>
      <c r="E546" s="201"/>
      <c r="F546" s="93"/>
      <c r="G546" s="203"/>
      <c r="H546" s="134">
        <f t="shared" ref="H546" si="1629">COUNT($P546:$XX546)</f>
        <v>3</v>
      </c>
      <c r="I546" s="132">
        <f t="shared" ref="I546" si="1630">_xlfn.STDEV.P($P545:$XX546)/AVERAGE($P545:$XX546)</f>
        <v>0.19551806560183019</v>
      </c>
      <c r="J546" s="7">
        <f>ROW()</f>
        <v>546</v>
      </c>
      <c r="K546" s="67"/>
      <c r="L546" s="29" t="s">
        <v>10</v>
      </c>
      <c r="M546" s="30">
        <f t="shared" ref="M546" si="1631">IFERROR(
IF(COUNTA(P540:AI540)=COUNTIF(P542:XX542,"Orçamento"),MIN(M551,M548),
IF(M549&lt;&gt;"",M549,
IF(M550&lt;&gt;"",M550,
M548
))),"")</f>
        <v>53.800000000000004</v>
      </c>
      <c r="N546" s="71"/>
      <c r="O546" s="27" t="s">
        <v>376</v>
      </c>
      <c r="P546" s="106">
        <f t="shared" ref="P546:AI546" si="1632">IFERROR(IF(P544="",
            "",
            IF(COUNT($P544:$XX544)&lt;=4,
               P544,
               IF(OR(P544&gt;(QUARTILE($P544:$XX544,3)+(QUARTILE($P544:$XX544,3)-QUARTILE($P544:$XX544,1))),
                     P544&lt;(QUARTILE($P544:$XX544,1)-(QUARTILE($P544:$XX544,3)-QUARTILE($P544:$XX544,1)))
                  ),
               "DESCARTADO",P544)
             )
  ),P544)</f>
        <v>59.9</v>
      </c>
      <c r="Q546" s="106">
        <f t="shared" si="1632"/>
        <v>62.5</v>
      </c>
      <c r="R546" s="106">
        <f t="shared" si="1632"/>
        <v>39</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f t="shared" ref="B547:B601" si="1633">B546</f>
        <v>26</v>
      </c>
      <c r="C547" s="128">
        <f t="shared" ref="C547:D610" si="1634">C546</f>
        <v>1</v>
      </c>
      <c r="D547" s="127">
        <f t="shared" si="1436"/>
        <v>26</v>
      </c>
      <c r="E547" s="201"/>
      <c r="F547" s="93"/>
      <c r="G547" s="203"/>
      <c r="H547"/>
      <c r="I547"/>
      <c r="J547"/>
      <c r="K547" s="66"/>
      <c r="L547" s="29" t="s">
        <v>360</v>
      </c>
      <c r="M547" s="30">
        <f t="shared" ref="M547" si="1635">AVERAGE($P546:$XX546)</f>
        <v>53.800000000000004</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f t="shared" si="1633"/>
        <v>26</v>
      </c>
      <c r="C548" s="128">
        <f t="shared" si="1634"/>
        <v>1</v>
      </c>
      <c r="D548" s="127">
        <f t="shared" si="1634"/>
        <v>26</v>
      </c>
      <c r="E548" s="201"/>
      <c r="F548" s="93"/>
      <c r="G548" s="203"/>
      <c r="H548" s="134">
        <f t="shared" ref="H548" si="1637">COUNT($P548:$XX548)</f>
        <v>3</v>
      </c>
      <c r="I548" s="132">
        <f t="shared" ref="I548" si="1638">_xlfn.STDEV.P($P547:$XX548)/AVERAGE($P547:$XX548)</f>
        <v>0.19551806560183019</v>
      </c>
      <c r="J548" s="7">
        <f t="shared" ref="J548" si="1639">IF(AND(H548&gt;2,
OR(L540="MÉDIA SANEADA",L540="MEDIANA SANEADA",
AND(L540="PREÇO ESTIMADO",NOT(AND(P542="Orçamento",COUNTA(P540:XX540)=COUNTIF(P542:XX542,"Orçamento")))))),
ROW(),0)</f>
        <v>548</v>
      </c>
      <c r="K548" s="66"/>
      <c r="L548" s="29" t="s">
        <v>361</v>
      </c>
      <c r="M548" s="30">
        <f t="shared" ref="M548" si="1640">MEDIAN($P546:$XX546)</f>
        <v>59.9</v>
      </c>
      <c r="N548" s="71"/>
      <c r="O548" s="27" t="str">
        <f t="shared" ref="O548" si="1641">"1 RODADA"</f>
        <v>1 RODADA</v>
      </c>
      <c r="P548" s="107">
        <f t="shared" ref="P548:AI548" si="1642">IF(P546="","",IF((_xlfn.STDEV.P($P545:$XX546)/AVERAGE($P545:$XX546))&lt;=25%,P546,IF(OR(P546&gt;(AVERAGE($P545:$XX546)+_xlfn.STDEV.P($P545:$XX546)),P546&lt;(AVERAGE($P545:$XX546)-_xlfn.STDEV.P($P545:$XX546))),"DESCARTADO",P546)))</f>
        <v>59.9</v>
      </c>
      <c r="Q548" s="107">
        <f t="shared" si="1642"/>
        <v>62.5</v>
      </c>
      <c r="R548" s="107">
        <f t="shared" si="1642"/>
        <v>39</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f t="shared" si="1633"/>
        <v>26</v>
      </c>
      <c r="C549" s="128">
        <f t="shared" si="1634"/>
        <v>1</v>
      </c>
      <c r="D549" s="127">
        <f t="shared" si="1634"/>
        <v>26</v>
      </c>
      <c r="E549" s="201"/>
      <c r="F549" s="93"/>
      <c r="G549" s="203"/>
      <c r="H549"/>
      <c r="I549"/>
      <c r="J549"/>
      <c r="L549" s="29" t="s">
        <v>38</v>
      </c>
      <c r="M549" s="30">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53.800000000000004</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f t="shared" si="1633"/>
        <v>26</v>
      </c>
      <c r="C550" s="128">
        <f t="shared" si="1634"/>
        <v>1</v>
      </c>
      <c r="D550" s="127">
        <f t="shared" si="1634"/>
        <v>26</v>
      </c>
      <c r="E550" s="201"/>
      <c r="F550" s="93"/>
      <c r="G550" s="203"/>
      <c r="H550" s="134">
        <f t="shared" ref="H550" si="1645">COUNT($P550:$XX550)</f>
        <v>3</v>
      </c>
      <c r="I550" s="132">
        <f t="shared" ref="I550" si="1646">_xlfn.STDEV.P($P549:$XX550)/AVERAGE($P549:$XX550)</f>
        <v>0.19551806560183019</v>
      </c>
      <c r="J550" s="7">
        <f t="shared" ref="J550" si="1647">IF(AND(H550&gt;2,
OR(L540="MÉDIA SANEADA",L540="MEDIANA SANEADA",
AND(L540="PREÇO ESTIMADO",NOT(AND(P542="Orçamento",COUNTA(P540:XX540)=COUNTIF(P542:XX542,"Orçamento")))))),
ROW(),0)</f>
        <v>550</v>
      </c>
      <c r="K550" s="66"/>
      <c r="L550" s="29" t="s">
        <v>362</v>
      </c>
      <c r="M550" s="30">
        <f t="shared" ref="M550" si="1648" xml:space="preserve">
IF(H548&gt;2,MEDIAN(P547:XX548),
IF(H550&gt;2,MEDIAN(P549:XX550),
IF(H552&gt;2,MEDIAN(P551:XX552),
IF(H554&gt;2,MEDIAN(P553:XX554),
IF(H556&gt;2,MEDIAN(P555:XX556),
IF(H558&gt;2,MEDIAN(P557:XX558),
MEDIAN(P545:XX546)))))))</f>
        <v>59.9</v>
      </c>
      <c r="N550" s="71"/>
      <c r="O550" s="27" t="str">
        <f t="shared" ref="O550" si="1649">"2 RODADA"</f>
        <v>2 RODADA</v>
      </c>
      <c r="P550" s="107">
        <f t="shared" ref="P550:AI550" si="1650">IF(P548="","",IF((_xlfn.STDEV.P($P547:$XX548)/AVERAGE($P547:$XX548))&lt;=25%,P548,IF(OR(P548&gt;(AVERAGE($P547:$XX548)+_xlfn.STDEV.P($P547:$XX548)),P548&lt;(AVERAGE($P547:$XX548)-_xlfn.STDEV.P($P547:$XX548))),"DESCARTADO",P548)))</f>
        <v>59.9</v>
      </c>
      <c r="Q550" s="107">
        <f t="shared" si="1650"/>
        <v>62.5</v>
      </c>
      <c r="R550" s="107">
        <f t="shared" si="1650"/>
        <v>39</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f t="shared" si="1633"/>
        <v>26</v>
      </c>
      <c r="C551" s="128">
        <f t="shared" si="1634"/>
        <v>1</v>
      </c>
      <c r="D551" s="127">
        <f t="shared" si="1634"/>
        <v>26</v>
      </c>
      <c r="E551" s="201"/>
      <c r="F551" s="93"/>
      <c r="G551" s="203"/>
      <c r="H551"/>
      <c r="I551"/>
      <c r="J551"/>
      <c r="K551" s="66"/>
      <c r="L551" s="29" t="s">
        <v>359</v>
      </c>
      <c r="M551" s="30">
        <f t="shared" ref="M551" si="1651">HARMEAN($P545:$XX546)</f>
        <v>51.426646785678642</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f t="shared" si="1633"/>
        <v>26</v>
      </c>
      <c r="C552" s="128">
        <f t="shared" si="1634"/>
        <v>1</v>
      </c>
      <c r="D552" s="127">
        <f t="shared" si="1634"/>
        <v>26</v>
      </c>
      <c r="E552" s="201"/>
      <c r="F552" s="93"/>
      <c r="G552" s="203"/>
      <c r="H552" s="134">
        <f t="shared" ref="H552" si="1653">COUNT($P552:$XX552)</f>
        <v>3</v>
      </c>
      <c r="I552" s="132">
        <f t="shared" ref="I552" si="1654">_xlfn.STDEV.P($P551:$XX552)/AVERAGE($P551:$XX552)</f>
        <v>0.19551806560183019</v>
      </c>
      <c r="J552" s="7">
        <f t="shared" ref="J552" si="1655">IF(AND(H552&gt;2,
OR(L540="MÉDIA SANEADA",L540="MEDIANA SANEADA",
AND(L540="PREÇO ESTIMADO",NOT(AND(P542="Orçamento",COUNTA(P540:XX540)=COUNTIF(P542:XX542,"Orçamento")))))),
ROW(),0)</f>
        <v>552</v>
      </c>
      <c r="K552" s="66"/>
      <c r="L552" s="29" t="s">
        <v>41</v>
      </c>
      <c r="M552" s="30">
        <f t="shared" ref="M552" si="1656">IFERROR(_xlfn.QUARTILE.EXC($P546:$XX546,1),"")</f>
        <v>39</v>
      </c>
      <c r="N552" s="71"/>
      <c r="O552" s="27" t="str">
        <f t="shared" ref="O552" si="1657">"3 RODADA"</f>
        <v>3 RODADA</v>
      </c>
      <c r="P552" s="107">
        <f t="shared" ref="P552:AI552" si="1658">IF(P550="","",IF((_xlfn.STDEV.P($P549:$XX550)/AVERAGE($P549:$XX550))&lt;=25%,P550,IF(OR(P550&gt;(AVERAGE($P549:$XX550)+_xlfn.STDEV.P($P549:$XX550)),P550&lt;(AVERAGE($P549:$XX550)-_xlfn.STDEV.P($P549:$XX550))),"DESCARTADO",P550)))</f>
        <v>59.9</v>
      </c>
      <c r="Q552" s="107">
        <f t="shared" si="1658"/>
        <v>62.5</v>
      </c>
      <c r="R552" s="107">
        <f t="shared" si="1658"/>
        <v>39</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f t="shared" si="1633"/>
        <v>26</v>
      </c>
      <c r="C553" s="128">
        <f t="shared" si="1634"/>
        <v>1</v>
      </c>
      <c r="D553" s="127">
        <f t="shared" si="1634"/>
        <v>26</v>
      </c>
      <c r="E553" s="201"/>
      <c r="F553" s="93"/>
      <c r="G553" s="203"/>
      <c r="H553"/>
      <c r="I553"/>
      <c r="J553"/>
      <c r="K553" s="66"/>
      <c r="L553" s="29" t="s">
        <v>39</v>
      </c>
      <c r="M553" s="30">
        <f t="shared" ref="M553" si="1659">IFERROR(_xlfn.QUARTILE.EXC($P546:$XX546,3),"")</f>
        <v>62.5</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f t="shared" si="1633"/>
        <v>26</v>
      </c>
      <c r="C554" s="128">
        <f t="shared" si="1634"/>
        <v>1</v>
      </c>
      <c r="D554" s="127">
        <f t="shared" si="1634"/>
        <v>26</v>
      </c>
      <c r="E554" s="201"/>
      <c r="F554" s="93"/>
      <c r="G554" s="203"/>
      <c r="H554" s="134">
        <f t="shared" ref="H554" si="1661">COUNT($P554:$XX554)</f>
        <v>3</v>
      </c>
      <c r="I554" s="132">
        <f t="shared" ref="I554" si="1662">_xlfn.STDEV.P($P553:$XX554)/AVERAGE($P553:$XX554)</f>
        <v>0.19551806560183019</v>
      </c>
      <c r="J554" s="7">
        <f t="shared" ref="J554" si="1663">IF(AND(H554&gt;2,
OR(L540="MÉDIA SANEADA",L540="MEDIANA SANEADA",
AND(L540="PREÇO ESTIMADO",NOT(AND(P542="Orçamento",COUNTA(P540:XX540)=COUNTIF(P542:XX542,"Orçamento")))))),
ROW(),0)</f>
        <v>554</v>
      </c>
      <c r="K554" s="66"/>
      <c r="L554" s="29" t="s">
        <v>42</v>
      </c>
      <c r="M554" s="30">
        <f t="shared" ref="M554" si="1664">MIN($P546:$XX546)</f>
        <v>39</v>
      </c>
      <c r="N554" s="71"/>
      <c r="O554" s="27" t="str">
        <f t="shared" ref="O554" si="1665">"4 RODADA"</f>
        <v>4 RODADA</v>
      </c>
      <c r="P554" s="107">
        <f t="shared" ref="P554:AI554" si="1666">IF(P552="","",IF((_xlfn.STDEV.P($P551:$XX552)/AVERAGE($P551:$XX552))&lt;=25%,P552,IF(OR(P552&gt;(AVERAGE($P551:$XX552)+_xlfn.STDEV.P($P551:$XX552)),P552&lt;(AVERAGE($P551:$XX552)-_xlfn.STDEV.P($P551:$XX552))),"DESCARTADO",P552)))</f>
        <v>59.9</v>
      </c>
      <c r="Q554" s="107">
        <f t="shared" si="1666"/>
        <v>62.5</v>
      </c>
      <c r="R554" s="107">
        <f t="shared" si="1666"/>
        <v>39</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f t="shared" si="1633"/>
        <v>26</v>
      </c>
      <c r="C555" s="128">
        <f t="shared" si="1634"/>
        <v>1</v>
      </c>
      <c r="D555" s="127">
        <f t="shared" si="1634"/>
        <v>26</v>
      </c>
      <c r="E555" s="201"/>
      <c r="F555" s="93"/>
      <c r="G555" s="203"/>
      <c r="H555"/>
      <c r="I555"/>
      <c r="J555"/>
      <c r="K555" s="66"/>
      <c r="L555" s="29" t="s">
        <v>40</v>
      </c>
      <c r="M555" s="30">
        <f t="shared" ref="M555" si="1667">MAX($P546:$XX546)</f>
        <v>62.5</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f t="shared" si="1633"/>
        <v>26</v>
      </c>
      <c r="C556" s="128">
        <f t="shared" si="1634"/>
        <v>1</v>
      </c>
      <c r="D556" s="127">
        <f t="shared" si="1634"/>
        <v>26</v>
      </c>
      <c r="E556" s="201"/>
      <c r="F556" s="93"/>
      <c r="G556" s="203"/>
      <c r="H556" s="134">
        <f t="shared" ref="H556" si="1669">COUNT($P556:$XX556)</f>
        <v>3</v>
      </c>
      <c r="I556" s="132">
        <f t="shared" ref="I556" si="1670">_xlfn.STDEV.P($P555:$XX556)/AVERAGE($P555:$XX556)</f>
        <v>0.19551806560183019</v>
      </c>
      <c r="J556" s="7">
        <f t="shared" ref="J556" si="1671">IF(AND(H556&gt;2,
OR(L540="MÉDIA SANEADA",L540="MEDIANA SANEADA",
AND(L540="PREÇO ESTIMADO",NOT(AND(P542="Orçamento",COUNTA(P540:XX540)=COUNTIF(P542:XX542,"Orçamento")))))),
ROW(),0)</f>
        <v>556</v>
      </c>
      <c r="K556" s="66"/>
      <c r="N556" s="71"/>
      <c r="O556" s="27" t="str">
        <f t="shared" ref="O556" si="1672">"5 RODADA"</f>
        <v>5 RODADA</v>
      </c>
      <c r="P556" s="107">
        <f t="shared" ref="P556:AI556" si="1673">IF(P554="","",IF((_xlfn.STDEV.P($P553:$XX554)/AVERAGE($P553:$XX554))&lt;=25%,P554,IF(OR(P554&gt;(AVERAGE($P553:$XX554)+_xlfn.STDEV.P($P553:$XX554)),P554&lt;(AVERAGE($P553:$XX554)-_xlfn.STDEV.P($P553:$XX554))),"DESCARTADO",P554)))</f>
        <v>59.9</v>
      </c>
      <c r="Q556" s="107">
        <f t="shared" si="1673"/>
        <v>62.5</v>
      </c>
      <c r="R556" s="107">
        <f t="shared" si="1673"/>
        <v>39</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f t="shared" si="1633"/>
        <v>26</v>
      </c>
      <c r="C557" s="128">
        <f t="shared" si="1634"/>
        <v>1</v>
      </c>
      <c r="D557" s="127">
        <f t="shared" si="1634"/>
        <v>26</v>
      </c>
      <c r="E557" s="201"/>
      <c r="F557" s="93"/>
      <c r="G557" s="203"/>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f t="shared" si="1633"/>
        <v>26</v>
      </c>
      <c r="C558" s="128">
        <f t="shared" si="1634"/>
        <v>1</v>
      </c>
      <c r="D558" s="127">
        <f t="shared" si="1634"/>
        <v>26</v>
      </c>
      <c r="E558" s="201"/>
      <c r="F558" s="93"/>
      <c r="G558" s="203"/>
      <c r="H558" s="134">
        <f t="shared" ref="H558" si="1675">COUNT($P558:$XX558)</f>
        <v>3</v>
      </c>
      <c r="I558" s="132">
        <f t="shared" ref="I558" si="1676">_xlfn.STDEV.P($P557:$XX558)/AVERAGE($P557:$XX558)</f>
        <v>0.19551806560183019</v>
      </c>
      <c r="J558" s="7">
        <f t="shared" ref="J558" si="1677">IF(AND(H558&gt;2,
OR(L540="MÉDIA SANEADA",L540="MEDIANA SANEADA",
AND(L540="PREÇO ESTIMADO",NOT(AND(P542="Orçamento",COUNTA(P540:XX540)=COUNTIF(P542:XX542,"Orçamento")))))),
ROW(),0)</f>
        <v>558</v>
      </c>
      <c r="N558" s="71"/>
      <c r="O558" s="27" t="str">
        <f t="shared" ref="O558" si="1678">"6 RODADA"</f>
        <v>6 RODADA</v>
      </c>
      <c r="P558" s="107">
        <f t="shared" ref="P558:AI558" si="1679">IFERROR(IF(P556="","",IF((_xlfn.STDEV.P($P555:$XX556)/AVERAGE($P555:$XX556))&lt;=25%,P556,IF(OR(P556&gt;(AVERAGE($P555:$XX556)+_xlfn.STDEV.P($P555:$XX556)),P556&lt;(AVERAGE($P555:$XX556)-_xlfn.STDEV.P($P555:$XX556))),"DESCARTADO",P556))),)</f>
        <v>59.9</v>
      </c>
      <c r="Q558" s="107">
        <f t="shared" si="1679"/>
        <v>62.5</v>
      </c>
      <c r="R558" s="107">
        <f t="shared" si="1679"/>
        <v>39</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f t="shared" si="1633"/>
        <v>26</v>
      </c>
      <c r="C559" s="128">
        <f t="shared" si="1634"/>
        <v>1</v>
      </c>
      <c r="D559" s="127">
        <f t="shared" si="1634"/>
        <v>26</v>
      </c>
      <c r="E559" s="201"/>
      <c r="F559" s="136"/>
      <c r="G559" s="203"/>
      <c r="H559" s="206"/>
      <c r="I559" s="206"/>
      <c r="J559" s="207"/>
      <c r="K559" s="67"/>
      <c r="L559" s="1" t="s">
        <v>43</v>
      </c>
      <c r="M559" s="143">
        <f t="shared" ref="M559" si="1680">IFERROR(ROUND(M540*M542,2),"")</f>
        <v>269</v>
      </c>
      <c r="O559" s="27" t="s">
        <v>363</v>
      </c>
      <c r="P559" s="107">
        <f t="shared" ref="P559:AI580" si="1681">INDEX(P546:P558,MATCH(MAX($J546:$J558),$J546:$J558,0))</f>
        <v>59.9</v>
      </c>
      <c r="Q559" s="107">
        <f t="shared" si="1681"/>
        <v>62.5</v>
      </c>
      <c r="R559" s="107">
        <f t="shared" si="1681"/>
        <v>39</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f t="shared" ref="B561" si="1682">LARGE(IFERROR(IF(B559+1&gt;$H$8,"",B559+1),""),1)</f>
        <v>27</v>
      </c>
      <c r="C561" s="127">
        <f>IF(_xlfn.ISFORMULA(E565),MAX(INDEX('BASE FORMAÇÃO'!A:A,B561+1),1),E565)</f>
        <v>1</v>
      </c>
      <c r="D561" s="127">
        <f t="shared" ref="D561" si="1683">IFERROR(IF(C561=C551,D551+1,1),1)</f>
        <v>27</v>
      </c>
      <c r="E561" s="38" t="s">
        <v>9</v>
      </c>
      <c r="F561" s="73"/>
      <c r="G561" s="38" t="s">
        <v>15</v>
      </c>
      <c r="H561" s="135">
        <f>INDEX('BASE FORMAÇÃO'!B:B,B561+1)</f>
        <v>0</v>
      </c>
      <c r="I561" s="181" t="s">
        <v>16</v>
      </c>
      <c r="J561" s="6">
        <f>INDEX('BASE FORMAÇÃO'!K:K,B561+1)</f>
        <v>0</v>
      </c>
      <c r="K561" s="65"/>
      <c r="L561" s="184" t="s">
        <v>10</v>
      </c>
      <c r="M561" s="186">
        <f t="shared" ref="M561" si="1684">IF(OR(ISBLANK($O$8),ISBLANK($O$7),ISBLANK($H$8),ISBLANK($O$6),ISBLANK($O$5),ISBLANK($H$5)),"",IFERROR(IF(VLOOKUP(L561,L567:M576,2,FALSE)&lt;1,ROUND(VLOOKUP(L561,L567:M576,2,FALSE),4),ROUND(VLOOKUP(L561,L567:M576,2,FALSE),2)),""))</f>
        <v>43</v>
      </c>
      <c r="N561" s="69"/>
      <c r="O561" s="27" t="s">
        <v>17</v>
      </c>
      <c r="P561" s="113">
        <v>40.04</v>
      </c>
      <c r="Q561" s="113">
        <v>45.9</v>
      </c>
      <c r="R561" s="113">
        <v>43.05</v>
      </c>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f t="shared" ref="B562:D562" si="1685">B561</f>
        <v>27</v>
      </c>
      <c r="C562" s="128">
        <f t="shared" si="1685"/>
        <v>1</v>
      </c>
      <c r="D562" s="127">
        <f t="shared" si="1685"/>
        <v>27</v>
      </c>
      <c r="E562" s="188">
        <f t="shared" ref="E562" si="1686">D561</f>
        <v>27</v>
      </c>
      <c r="F562" s="92"/>
      <c r="G562" s="190" t="s">
        <v>1</v>
      </c>
      <c r="H562" s="193" t="s">
        <v>538</v>
      </c>
      <c r="I562" s="194"/>
      <c r="J562" s="195"/>
      <c r="K562" s="66"/>
      <c r="L562" s="185"/>
      <c r="M562" s="187"/>
      <c r="N562" s="70"/>
      <c r="O562" s="27" t="s">
        <v>13</v>
      </c>
      <c r="P562" s="122">
        <v>46195</v>
      </c>
      <c r="Q562" s="122">
        <v>46195</v>
      </c>
      <c r="R562" s="122">
        <v>46195</v>
      </c>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f t="shared" ref="B563:D563" si="1687">B562</f>
        <v>27</v>
      </c>
      <c r="C563" s="128">
        <f t="shared" si="1687"/>
        <v>1</v>
      </c>
      <c r="D563" s="127">
        <f t="shared" si="1687"/>
        <v>27</v>
      </c>
      <c r="E563" s="189"/>
      <c r="F563" s="93"/>
      <c r="G563" s="191"/>
      <c r="H563" s="196"/>
      <c r="I563" s="196"/>
      <c r="J563" s="197"/>
      <c r="K563" s="64"/>
      <c r="L563" s="130" t="s">
        <v>44</v>
      </c>
      <c r="M563" s="131">
        <v>4</v>
      </c>
      <c r="N563" s="71"/>
      <c r="O563" s="27" t="s">
        <v>380</v>
      </c>
      <c r="P563" s="114" t="s">
        <v>302</v>
      </c>
      <c r="Q563" s="114" t="s">
        <v>302</v>
      </c>
      <c r="R563" s="114" t="s">
        <v>302</v>
      </c>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f t="shared" ref="B564:C564" si="1688">B563</f>
        <v>27</v>
      </c>
      <c r="C564" s="128">
        <f t="shared" si="1688"/>
        <v>1</v>
      </c>
      <c r="D564" s="127">
        <f t="shared" si="1634"/>
        <v>27</v>
      </c>
      <c r="E564" s="38" t="s">
        <v>313</v>
      </c>
      <c r="F564" s="93"/>
      <c r="G564" s="192"/>
      <c r="H564" s="198"/>
      <c r="I564" s="198"/>
      <c r="J564" s="199"/>
      <c r="K564" s="64"/>
      <c r="L564" s="1" t="s">
        <v>2</v>
      </c>
      <c r="M564" s="6" t="s">
        <v>288</v>
      </c>
      <c r="N564" s="71"/>
      <c r="O564" s="27" t="s">
        <v>381</v>
      </c>
      <c r="P564" s="182" t="s">
        <v>539</v>
      </c>
      <c r="Q564" s="182" t="s">
        <v>540</v>
      </c>
      <c r="R564" s="182" t="s">
        <v>541</v>
      </c>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f t="shared" ref="B565:C565" si="1689">B563</f>
        <v>27</v>
      </c>
      <c r="C565" s="128">
        <f t="shared" si="1689"/>
        <v>1</v>
      </c>
      <c r="D565" s="127">
        <f t="shared" si="1634"/>
        <v>27</v>
      </c>
      <c r="E565" s="200">
        <f t="shared" ref="E565" si="1690">C561</f>
        <v>1</v>
      </c>
      <c r="F565" s="93"/>
      <c r="G565" s="202" t="s">
        <v>304</v>
      </c>
      <c r="H565" s="204"/>
      <c r="I565" s="205"/>
      <c r="J565" s="205"/>
      <c r="K565" s="67"/>
      <c r="L565" s="28" t="s">
        <v>303</v>
      </c>
      <c r="M565" s="133">
        <f t="shared" ref="M565" si="1691">IFERROR(INDEX(I567:I579,MATCH(MAX(J567:J579),J567:J579,0)),"")</f>
        <v>5.5646923233142138E-2</v>
      </c>
      <c r="N565" s="71"/>
      <c r="O565" s="27" t="s">
        <v>18</v>
      </c>
      <c r="P565" s="106">
        <f>IF(P561="","",
IF(OR(P563="Orçamento",P562="",MAX('Tabela de Apoio'!$A:$A)&lt;=P562),
P561,
(INDEX('Tabela de Apoio'!$B:$B,MATCH('MAPA DE PREÇOS'!$O$8,'Tabela de Apoio'!$A:$A,1))/INDEX('Tabela de Apoio'!$B:$B,MATCH('MAPA DE PREÇOS'!P562,'Tabela de Apoio'!$A:$A,1)-1))*P561))</f>
        <v>40.04</v>
      </c>
      <c r="Q565" s="106">
        <f>IF(Q561="","",
IF(OR(Q563="Orçamento",Q562="",MAX('Tabela de Apoio'!$A:$A)&lt;=Q562),
Q561,
(INDEX('Tabela de Apoio'!$B:$B,MATCH('MAPA DE PREÇOS'!$O$8,'Tabela de Apoio'!$A:$A,1))/INDEX('Tabela de Apoio'!$B:$B,MATCH('MAPA DE PREÇOS'!Q562,'Tabela de Apoio'!$A:$A,1)-1))*Q561))</f>
        <v>45.9</v>
      </c>
      <c r="R565" s="106">
        <f>IF(R561="","",
IF(OR(R563="Orçamento",R562="",MAX('Tabela de Apoio'!$A:$A)&lt;=R562),
R561,
(INDEX('Tabela de Apoio'!$B:$B,MATCH('MAPA DE PREÇOS'!$O$8,'Tabela de Apoio'!$A:$A,1))/INDEX('Tabela de Apoio'!$B:$B,MATCH('MAPA DE PREÇOS'!R562,'Tabela de Apoio'!$A:$A,1)-1))*R561))</f>
        <v>43.05</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f t="shared" ref="B566" si="1692">B565</f>
        <v>27</v>
      </c>
      <c r="C566" s="128">
        <f t="shared" ref="C566" si="1693">C565</f>
        <v>1</v>
      </c>
      <c r="D566" s="127">
        <f t="shared" si="1634"/>
        <v>27</v>
      </c>
      <c r="E566" s="201"/>
      <c r="F566" s="93"/>
      <c r="G566" s="203"/>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f t="shared" ref="B567:C567" si="1694">B566</f>
        <v>27</v>
      </c>
      <c r="C567" s="128">
        <f t="shared" si="1694"/>
        <v>1</v>
      </c>
      <c r="D567" s="127">
        <f t="shared" si="1634"/>
        <v>27</v>
      </c>
      <c r="E567" s="201"/>
      <c r="F567" s="93"/>
      <c r="G567" s="203"/>
      <c r="H567" s="134">
        <f t="shared" ref="H567" si="1695">COUNT($P567:$XX567)</f>
        <v>3</v>
      </c>
      <c r="I567" s="132">
        <f t="shared" ref="I567" si="1696">_xlfn.STDEV.P($P566:$XX567)/AVERAGE($P566:$XX567)</f>
        <v>5.5646923233142138E-2</v>
      </c>
      <c r="J567" s="7">
        <f>ROW()</f>
        <v>567</v>
      </c>
      <c r="K567" s="67"/>
      <c r="L567" s="29" t="s">
        <v>10</v>
      </c>
      <c r="M567" s="30">
        <f t="shared" ref="M567" si="1697">IFERROR(
IF(COUNTA(P561:AI561)=COUNTIF(P563:XX563,"Orçamento"),MIN(M572,M569),
IF(M570&lt;&gt;"",M570,
IF(M571&lt;&gt;"",M571,
M569
))),"")</f>
        <v>42.99666666666667</v>
      </c>
      <c r="N567" s="71"/>
      <c r="O567" s="27" t="s">
        <v>376</v>
      </c>
      <c r="P567" s="106">
        <f t="shared" ref="P567:AI567" si="1698">IFERROR(IF(P565="",
            "",
            IF(COUNT($P565:$XX565)&lt;=4,
               P565,
               IF(OR(P565&gt;(QUARTILE($P565:$XX565,3)+(QUARTILE($P565:$XX565,3)-QUARTILE($P565:$XX565,1))),
                     P565&lt;(QUARTILE($P565:$XX565,1)-(QUARTILE($P565:$XX565,3)-QUARTILE($P565:$XX565,1)))
                  ),
               "DESCARTADO",P565)
             )
  ),P565)</f>
        <v>40.04</v>
      </c>
      <c r="Q567" s="106">
        <f t="shared" si="1698"/>
        <v>45.9</v>
      </c>
      <c r="R567" s="106">
        <f t="shared" si="1698"/>
        <v>43.05</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f t="shared" ref="B568" si="1699">B567</f>
        <v>27</v>
      </c>
      <c r="C568" s="128">
        <f t="shared" ref="C568" si="1700">C567</f>
        <v>1</v>
      </c>
      <c r="D568" s="127">
        <f t="shared" si="1634"/>
        <v>27</v>
      </c>
      <c r="E568" s="201"/>
      <c r="F568" s="93"/>
      <c r="G568" s="203"/>
      <c r="H568"/>
      <c r="I568"/>
      <c r="J568"/>
      <c r="K568" s="66"/>
      <c r="L568" s="29" t="s">
        <v>360</v>
      </c>
      <c r="M568" s="30">
        <f t="shared" ref="M568" si="1701">AVERAGE($P567:$XX567)</f>
        <v>42.99666666666667</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f t="shared" si="1633"/>
        <v>27</v>
      </c>
      <c r="C569" s="128">
        <f t="shared" si="1634"/>
        <v>1</v>
      </c>
      <c r="D569" s="127">
        <f t="shared" si="1634"/>
        <v>27</v>
      </c>
      <c r="E569" s="201"/>
      <c r="F569" s="93"/>
      <c r="G569" s="203"/>
      <c r="H569" s="134">
        <f t="shared" ref="H569" si="1703">COUNT($P569:$XX569)</f>
        <v>3</v>
      </c>
      <c r="I569" s="132">
        <f t="shared" ref="I569" si="1704">_xlfn.STDEV.P($P568:$XX569)/AVERAGE($P568:$XX569)</f>
        <v>5.5646923233142138E-2</v>
      </c>
      <c r="J569" s="7">
        <f t="shared" ref="J569" si="1705">IF(AND(H569&gt;2,
OR(L561="MÉDIA SANEADA",L561="MEDIANA SANEADA",
AND(L561="PREÇO ESTIMADO",NOT(AND(P563="Orçamento",COUNTA(P561:XX561)=COUNTIF(P563:XX563,"Orçamento")))))),
ROW(),0)</f>
        <v>569</v>
      </c>
      <c r="K569" s="66"/>
      <c r="L569" s="29" t="s">
        <v>361</v>
      </c>
      <c r="M569" s="30">
        <f t="shared" ref="M569" si="1706">MEDIAN($P567:$XX567)</f>
        <v>43.05</v>
      </c>
      <c r="N569" s="71"/>
      <c r="O569" s="27" t="str">
        <f t="shared" ref="O569" si="1707">"1 RODADA"</f>
        <v>1 RODADA</v>
      </c>
      <c r="P569" s="107">
        <f t="shared" ref="P569:AI569" si="1708">IF(P567="","",IF((_xlfn.STDEV.P($P566:$XX567)/AVERAGE($P566:$XX567))&lt;=25%,P567,IF(OR(P567&gt;(AVERAGE($P566:$XX567)+_xlfn.STDEV.P($P566:$XX567)),P567&lt;(AVERAGE($P566:$XX567)-_xlfn.STDEV.P($P566:$XX567))),"DESCARTADO",P567)))</f>
        <v>40.04</v>
      </c>
      <c r="Q569" s="107">
        <f t="shared" si="1708"/>
        <v>45.9</v>
      </c>
      <c r="R569" s="107">
        <f t="shared" si="1708"/>
        <v>43.05</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f t="shared" si="1633"/>
        <v>27</v>
      </c>
      <c r="C570" s="128">
        <f t="shared" si="1634"/>
        <v>1</v>
      </c>
      <c r="D570" s="127">
        <f t="shared" si="1634"/>
        <v>27</v>
      </c>
      <c r="E570" s="201"/>
      <c r="F570" s="93"/>
      <c r="G570" s="203"/>
      <c r="H570"/>
      <c r="I570"/>
      <c r="J570"/>
      <c r="L570" s="29" t="s">
        <v>38</v>
      </c>
      <c r="M570" s="30">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42.99666666666667</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f t="shared" si="1633"/>
        <v>27</v>
      </c>
      <c r="C571" s="128">
        <f t="shared" si="1634"/>
        <v>1</v>
      </c>
      <c r="D571" s="127">
        <f t="shared" si="1634"/>
        <v>27</v>
      </c>
      <c r="E571" s="201"/>
      <c r="F571" s="93"/>
      <c r="G571" s="203"/>
      <c r="H571" s="134">
        <f t="shared" ref="H571" si="1711">COUNT($P571:$XX571)</f>
        <v>3</v>
      </c>
      <c r="I571" s="132">
        <f t="shared" ref="I571" si="1712">_xlfn.STDEV.P($P570:$XX571)/AVERAGE($P570:$XX571)</f>
        <v>5.5646923233142138E-2</v>
      </c>
      <c r="J571" s="7">
        <f t="shared" ref="J571" si="1713">IF(AND(H571&gt;2,
OR(L561="MÉDIA SANEADA",L561="MEDIANA SANEADA",
AND(L561="PREÇO ESTIMADO",NOT(AND(P563="Orçamento",COUNTA(P561:XX561)=COUNTIF(P563:XX563,"Orçamento")))))),
ROW(),0)</f>
        <v>571</v>
      </c>
      <c r="K571" s="66"/>
      <c r="L571" s="29" t="s">
        <v>362</v>
      </c>
      <c r="M571" s="30">
        <f t="shared" ref="M571" si="1714" xml:space="preserve">
IF(H569&gt;2,MEDIAN(P568:XX569),
IF(H571&gt;2,MEDIAN(P570:XX571),
IF(H573&gt;2,MEDIAN(P572:XX573),
IF(H575&gt;2,MEDIAN(P574:XX575),
IF(H577&gt;2,MEDIAN(P576:XX577),
IF(H579&gt;2,MEDIAN(P578:XX579),
MEDIAN(P566:XX567)))))))</f>
        <v>43.05</v>
      </c>
      <c r="N571" s="71"/>
      <c r="O571" s="27" t="str">
        <f t="shared" ref="O571" si="1715">"2 RODADA"</f>
        <v>2 RODADA</v>
      </c>
      <c r="P571" s="107">
        <f t="shared" ref="P571:AI571" si="1716">IF(P569="","",IF((_xlfn.STDEV.P($P568:$XX569)/AVERAGE($P568:$XX569))&lt;=25%,P569,IF(OR(P569&gt;(AVERAGE($P568:$XX569)+_xlfn.STDEV.P($P568:$XX569)),P569&lt;(AVERAGE($P568:$XX569)-_xlfn.STDEV.P($P568:$XX569))),"DESCARTADO",P569)))</f>
        <v>40.04</v>
      </c>
      <c r="Q571" s="107">
        <f t="shared" si="1716"/>
        <v>45.9</v>
      </c>
      <c r="R571" s="107">
        <f t="shared" si="1716"/>
        <v>43.05</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f t="shared" si="1633"/>
        <v>27</v>
      </c>
      <c r="C572" s="128">
        <f t="shared" si="1634"/>
        <v>1</v>
      </c>
      <c r="D572" s="127">
        <f t="shared" si="1634"/>
        <v>27</v>
      </c>
      <c r="E572" s="201"/>
      <c r="F572" s="93"/>
      <c r="G572" s="203"/>
      <c r="H572"/>
      <c r="I572"/>
      <c r="J572"/>
      <c r="K572" s="66"/>
      <c r="L572" s="29" t="s">
        <v>359</v>
      </c>
      <c r="M572" s="30">
        <f t="shared" ref="M572" si="1717">HARMEAN($P566:$XX567)</f>
        <v>42.863069554368145</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f t="shared" si="1633"/>
        <v>27</v>
      </c>
      <c r="C573" s="128">
        <f t="shared" si="1634"/>
        <v>1</v>
      </c>
      <c r="D573" s="127">
        <f t="shared" si="1634"/>
        <v>27</v>
      </c>
      <c r="E573" s="201"/>
      <c r="F573" s="93"/>
      <c r="G573" s="203"/>
      <c r="H573" s="134">
        <f t="shared" ref="H573" si="1719">COUNT($P573:$XX573)</f>
        <v>3</v>
      </c>
      <c r="I573" s="132">
        <f t="shared" ref="I573" si="1720">_xlfn.STDEV.P($P572:$XX573)/AVERAGE($P572:$XX573)</f>
        <v>5.5646923233142138E-2</v>
      </c>
      <c r="J573" s="7">
        <f t="shared" ref="J573" si="1721">IF(AND(H573&gt;2,
OR(L561="MÉDIA SANEADA",L561="MEDIANA SANEADA",
AND(L561="PREÇO ESTIMADO",NOT(AND(P563="Orçamento",COUNTA(P561:XX561)=COUNTIF(P563:XX563,"Orçamento")))))),
ROW(),0)</f>
        <v>573</v>
      </c>
      <c r="K573" s="66"/>
      <c r="L573" s="29" t="s">
        <v>41</v>
      </c>
      <c r="M573" s="30">
        <f t="shared" ref="M573" si="1722">IFERROR(_xlfn.QUARTILE.EXC($P567:$XX567,1),"")</f>
        <v>40.04</v>
      </c>
      <c r="N573" s="71"/>
      <c r="O573" s="27" t="str">
        <f t="shared" ref="O573" si="1723">"3 RODADA"</f>
        <v>3 RODADA</v>
      </c>
      <c r="P573" s="107">
        <f t="shared" ref="P573:AI573" si="1724">IF(P571="","",IF((_xlfn.STDEV.P($P570:$XX571)/AVERAGE($P570:$XX571))&lt;=25%,P571,IF(OR(P571&gt;(AVERAGE($P570:$XX571)+_xlfn.STDEV.P($P570:$XX571)),P571&lt;(AVERAGE($P570:$XX571)-_xlfn.STDEV.P($P570:$XX571))),"DESCARTADO",P571)))</f>
        <v>40.04</v>
      </c>
      <c r="Q573" s="107">
        <f t="shared" si="1724"/>
        <v>45.9</v>
      </c>
      <c r="R573" s="107">
        <f t="shared" si="1724"/>
        <v>43.05</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f t="shared" si="1633"/>
        <v>27</v>
      </c>
      <c r="C574" s="128">
        <f t="shared" si="1634"/>
        <v>1</v>
      </c>
      <c r="D574" s="127">
        <f t="shared" si="1634"/>
        <v>27</v>
      </c>
      <c r="E574" s="201"/>
      <c r="F574" s="93"/>
      <c r="G574" s="203"/>
      <c r="H574"/>
      <c r="I574"/>
      <c r="J574"/>
      <c r="K574" s="66"/>
      <c r="L574" s="29" t="s">
        <v>39</v>
      </c>
      <c r="M574" s="30">
        <f t="shared" ref="M574" si="1725">IFERROR(_xlfn.QUARTILE.EXC($P567:$XX567,3),"")</f>
        <v>45.9</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f t="shared" si="1633"/>
        <v>27</v>
      </c>
      <c r="C575" s="128">
        <f t="shared" si="1634"/>
        <v>1</v>
      </c>
      <c r="D575" s="127">
        <f t="shared" si="1634"/>
        <v>27</v>
      </c>
      <c r="E575" s="201"/>
      <c r="F575" s="93"/>
      <c r="G575" s="203"/>
      <c r="H575" s="134">
        <f t="shared" ref="H575" si="1727">COUNT($P575:$XX575)</f>
        <v>3</v>
      </c>
      <c r="I575" s="132">
        <f t="shared" ref="I575" si="1728">_xlfn.STDEV.P($P574:$XX575)/AVERAGE($P574:$XX575)</f>
        <v>5.5646923233142138E-2</v>
      </c>
      <c r="J575" s="7">
        <f t="shared" ref="J575" si="1729">IF(AND(H575&gt;2,
OR(L561="MÉDIA SANEADA",L561="MEDIANA SANEADA",
AND(L561="PREÇO ESTIMADO",NOT(AND(P563="Orçamento",COUNTA(P561:XX561)=COUNTIF(P563:XX563,"Orçamento")))))),
ROW(),0)</f>
        <v>575</v>
      </c>
      <c r="K575" s="66"/>
      <c r="L575" s="29" t="s">
        <v>42</v>
      </c>
      <c r="M575" s="30">
        <f t="shared" ref="M575" si="1730">MIN($P567:$XX567)</f>
        <v>40.04</v>
      </c>
      <c r="N575" s="71"/>
      <c r="O575" s="27" t="str">
        <f t="shared" ref="O575" si="1731">"4 RODADA"</f>
        <v>4 RODADA</v>
      </c>
      <c r="P575" s="107">
        <f t="shared" ref="P575:AI575" si="1732">IF(P573="","",IF((_xlfn.STDEV.P($P572:$XX573)/AVERAGE($P572:$XX573))&lt;=25%,P573,IF(OR(P573&gt;(AVERAGE($P572:$XX573)+_xlfn.STDEV.P($P572:$XX573)),P573&lt;(AVERAGE($P572:$XX573)-_xlfn.STDEV.P($P572:$XX573))),"DESCARTADO",P573)))</f>
        <v>40.04</v>
      </c>
      <c r="Q575" s="107">
        <f t="shared" si="1732"/>
        <v>45.9</v>
      </c>
      <c r="R575" s="107">
        <f t="shared" si="1732"/>
        <v>43.05</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f t="shared" si="1633"/>
        <v>27</v>
      </c>
      <c r="C576" s="128">
        <f t="shared" si="1634"/>
        <v>1</v>
      </c>
      <c r="D576" s="127">
        <f t="shared" si="1634"/>
        <v>27</v>
      </c>
      <c r="E576" s="201"/>
      <c r="F576" s="93"/>
      <c r="G576" s="203"/>
      <c r="H576"/>
      <c r="I576"/>
      <c r="J576"/>
      <c r="K576" s="66"/>
      <c r="L576" s="29" t="s">
        <v>40</v>
      </c>
      <c r="M576" s="30">
        <f t="shared" ref="M576" si="1733">MAX($P567:$XX567)</f>
        <v>45.9</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f t="shared" si="1633"/>
        <v>27</v>
      </c>
      <c r="C577" s="128">
        <f t="shared" si="1634"/>
        <v>1</v>
      </c>
      <c r="D577" s="127">
        <f t="shared" si="1634"/>
        <v>27</v>
      </c>
      <c r="E577" s="201"/>
      <c r="F577" s="93"/>
      <c r="G577" s="203"/>
      <c r="H577" s="134">
        <f t="shared" ref="H577" si="1735">COUNT($P577:$XX577)</f>
        <v>3</v>
      </c>
      <c r="I577" s="132">
        <f t="shared" ref="I577" si="1736">_xlfn.STDEV.P($P576:$XX577)/AVERAGE($P576:$XX577)</f>
        <v>5.5646923233142138E-2</v>
      </c>
      <c r="J577" s="7">
        <f t="shared" ref="J577" si="1737">IF(AND(H577&gt;2,
OR(L561="MÉDIA SANEADA",L561="MEDIANA SANEADA",
AND(L561="PREÇO ESTIMADO",NOT(AND(P563="Orçamento",COUNTA(P561:XX561)=COUNTIF(P563:XX563,"Orçamento")))))),
ROW(),0)</f>
        <v>577</v>
      </c>
      <c r="K577" s="66"/>
      <c r="N577" s="71"/>
      <c r="O577" s="27" t="str">
        <f t="shared" ref="O577" si="1738">"5 RODADA"</f>
        <v>5 RODADA</v>
      </c>
      <c r="P577" s="107">
        <f t="shared" ref="P577:AI577" si="1739">IF(P575="","",IF((_xlfn.STDEV.P($P574:$XX575)/AVERAGE($P574:$XX575))&lt;=25%,P575,IF(OR(P575&gt;(AVERAGE($P574:$XX575)+_xlfn.STDEV.P($P574:$XX575)),P575&lt;(AVERAGE($P574:$XX575)-_xlfn.STDEV.P($P574:$XX575))),"DESCARTADO",P575)))</f>
        <v>40.04</v>
      </c>
      <c r="Q577" s="107">
        <f t="shared" si="1739"/>
        <v>45.9</v>
      </c>
      <c r="R577" s="107">
        <f t="shared" si="1739"/>
        <v>43.05</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f t="shared" si="1633"/>
        <v>27</v>
      </c>
      <c r="C578" s="128">
        <f t="shared" si="1634"/>
        <v>1</v>
      </c>
      <c r="D578" s="127">
        <f t="shared" si="1634"/>
        <v>27</v>
      </c>
      <c r="E578" s="201"/>
      <c r="F578" s="93"/>
      <c r="G578" s="203"/>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f t="shared" si="1633"/>
        <v>27</v>
      </c>
      <c r="C579" s="128">
        <f t="shared" si="1634"/>
        <v>1</v>
      </c>
      <c r="D579" s="127">
        <f t="shared" si="1634"/>
        <v>27</v>
      </c>
      <c r="E579" s="201"/>
      <c r="F579" s="93"/>
      <c r="G579" s="203"/>
      <c r="H579" s="134">
        <f t="shared" ref="H579" si="1741">COUNT($P579:$XX579)</f>
        <v>3</v>
      </c>
      <c r="I579" s="132">
        <f t="shared" ref="I579" si="1742">_xlfn.STDEV.P($P578:$XX579)/AVERAGE($P578:$XX579)</f>
        <v>5.5646923233142138E-2</v>
      </c>
      <c r="J579" s="7">
        <f t="shared" ref="J579" si="1743">IF(AND(H579&gt;2,
OR(L561="MÉDIA SANEADA",L561="MEDIANA SANEADA",
AND(L561="PREÇO ESTIMADO",NOT(AND(P563="Orçamento",COUNTA(P561:XX561)=COUNTIF(P563:XX563,"Orçamento")))))),
ROW(),0)</f>
        <v>579</v>
      </c>
      <c r="N579" s="71"/>
      <c r="O579" s="27" t="str">
        <f t="shared" ref="O579" si="1744">"6 RODADA"</f>
        <v>6 RODADA</v>
      </c>
      <c r="P579" s="107">
        <f t="shared" ref="P579:AI579" si="1745">IFERROR(IF(P577="","",IF((_xlfn.STDEV.P($P576:$XX577)/AVERAGE($P576:$XX577))&lt;=25%,P577,IF(OR(P577&gt;(AVERAGE($P576:$XX577)+_xlfn.STDEV.P($P576:$XX577)),P577&lt;(AVERAGE($P576:$XX577)-_xlfn.STDEV.P($P576:$XX577))),"DESCARTADO",P577))),)</f>
        <v>40.04</v>
      </c>
      <c r="Q579" s="107">
        <f t="shared" si="1745"/>
        <v>45.9</v>
      </c>
      <c r="R579" s="107">
        <f t="shared" si="1745"/>
        <v>43.05</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f t="shared" si="1633"/>
        <v>27</v>
      </c>
      <c r="C580" s="128">
        <f t="shared" si="1634"/>
        <v>1</v>
      </c>
      <c r="D580" s="127">
        <f t="shared" si="1634"/>
        <v>27</v>
      </c>
      <c r="E580" s="201"/>
      <c r="F580" s="136"/>
      <c r="G580" s="203"/>
      <c r="H580" s="206"/>
      <c r="I580" s="206"/>
      <c r="J580" s="207"/>
      <c r="K580" s="67"/>
      <c r="L580" s="1" t="s">
        <v>43</v>
      </c>
      <c r="M580" s="143">
        <f t="shared" ref="M580" si="1746">IFERROR(ROUND(M561*M563,2),"")</f>
        <v>172</v>
      </c>
      <c r="O580" s="27" t="s">
        <v>363</v>
      </c>
      <c r="P580" s="107">
        <f t="shared" ref="P580:R580" si="1747">INDEX(P567:P579,MATCH(MAX($J567:$J579),$J567:$J579,0))</f>
        <v>40.04</v>
      </c>
      <c r="Q580" s="107">
        <f t="shared" si="1747"/>
        <v>45.9</v>
      </c>
      <c r="R580" s="107">
        <f t="shared" si="1747"/>
        <v>43.05</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f t="shared" ref="B582" si="1748">LARGE(IFERROR(IF(B580+1&gt;$H$8,"",B580+1),""),1)</f>
        <v>28</v>
      </c>
      <c r="C582" s="127">
        <f>IF(_xlfn.ISFORMULA(E586),MAX(INDEX('BASE FORMAÇÃO'!A:A,B582+1),1),E586)</f>
        <v>1</v>
      </c>
      <c r="D582" s="127">
        <f t="shared" ref="D582" si="1749">IFERROR(IF(C582=C572,D572+1,1),1)</f>
        <v>28</v>
      </c>
      <c r="E582" s="38" t="s">
        <v>9</v>
      </c>
      <c r="F582" s="73"/>
      <c r="G582" s="38" t="s">
        <v>15</v>
      </c>
      <c r="H582" s="135">
        <f>INDEX('BASE FORMAÇÃO'!B:B,B582+1)</f>
        <v>0</v>
      </c>
      <c r="I582" s="181" t="s">
        <v>16</v>
      </c>
      <c r="J582" s="6">
        <f>INDEX('BASE FORMAÇÃO'!K:K,B582+1)</f>
        <v>0</v>
      </c>
      <c r="K582" s="65"/>
      <c r="L582" s="184" t="s">
        <v>10</v>
      </c>
      <c r="M582" s="186">
        <f t="shared" ref="M582" si="1750">IF(OR(ISBLANK($O$8),ISBLANK($O$7),ISBLANK($H$8),ISBLANK($O$6),ISBLANK($O$5),ISBLANK($H$5)),"",IFERROR(IF(VLOOKUP(L582,L588:M597,2,FALSE)&lt;1,ROUND(VLOOKUP(L582,L588:M597,2,FALSE),4),ROUND(VLOOKUP(L582,L588:M597,2,FALSE),2)),""))</f>
        <v>14.16</v>
      </c>
      <c r="N582" s="69"/>
      <c r="O582" s="27" t="s">
        <v>17</v>
      </c>
      <c r="P582" s="113">
        <v>10.9</v>
      </c>
      <c r="Q582" s="113">
        <v>19.989999999999998</v>
      </c>
      <c r="R582" s="113">
        <v>14.16</v>
      </c>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f t="shared" ref="B583:D583" si="1751">B582</f>
        <v>28</v>
      </c>
      <c r="C583" s="128">
        <f t="shared" si="1751"/>
        <v>1</v>
      </c>
      <c r="D583" s="127">
        <f t="shared" si="1751"/>
        <v>28</v>
      </c>
      <c r="E583" s="188">
        <f t="shared" ref="E583" si="1752">D582</f>
        <v>28</v>
      </c>
      <c r="F583" s="92"/>
      <c r="G583" s="190" t="s">
        <v>1</v>
      </c>
      <c r="H583" s="193" t="s">
        <v>545</v>
      </c>
      <c r="I583" s="194"/>
      <c r="J583" s="195"/>
      <c r="K583" s="66"/>
      <c r="L583" s="185"/>
      <c r="M583" s="187"/>
      <c r="N583" s="70"/>
      <c r="O583" s="27" t="s">
        <v>13</v>
      </c>
      <c r="P583" s="122">
        <v>46195</v>
      </c>
      <c r="Q583" s="122">
        <v>46195</v>
      </c>
      <c r="R583" s="122">
        <v>46195</v>
      </c>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f t="shared" ref="B584:D584" si="1753">B583</f>
        <v>28</v>
      </c>
      <c r="C584" s="128">
        <f t="shared" si="1753"/>
        <v>1</v>
      </c>
      <c r="D584" s="127">
        <f t="shared" si="1753"/>
        <v>28</v>
      </c>
      <c r="E584" s="189"/>
      <c r="F584" s="93"/>
      <c r="G584" s="191"/>
      <c r="H584" s="196"/>
      <c r="I584" s="196"/>
      <c r="J584" s="197"/>
      <c r="K584" s="64"/>
      <c r="L584" s="130" t="s">
        <v>44</v>
      </c>
      <c r="M584" s="131">
        <v>7</v>
      </c>
      <c r="N584" s="71"/>
      <c r="O584" s="27" t="s">
        <v>380</v>
      </c>
      <c r="P584" s="114" t="s">
        <v>302</v>
      </c>
      <c r="Q584" s="114" t="s">
        <v>302</v>
      </c>
      <c r="R584" s="114" t="s">
        <v>302</v>
      </c>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f t="shared" ref="B585:C585" si="1754">B584</f>
        <v>28</v>
      </c>
      <c r="C585" s="128">
        <f t="shared" si="1754"/>
        <v>1</v>
      </c>
      <c r="D585" s="127">
        <f t="shared" si="1634"/>
        <v>28</v>
      </c>
      <c r="E585" s="38" t="s">
        <v>313</v>
      </c>
      <c r="F585" s="93"/>
      <c r="G585" s="192"/>
      <c r="H585" s="198"/>
      <c r="I585" s="198"/>
      <c r="J585" s="199"/>
      <c r="K585" s="64"/>
      <c r="L585" s="1" t="s">
        <v>2</v>
      </c>
      <c r="M585" s="6" t="s">
        <v>288</v>
      </c>
      <c r="N585" s="71"/>
      <c r="O585" s="27" t="s">
        <v>381</v>
      </c>
      <c r="P585" s="182" t="s">
        <v>542</v>
      </c>
      <c r="Q585" s="182" t="s">
        <v>543</v>
      </c>
      <c r="R585" s="182" t="s">
        <v>544</v>
      </c>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f t="shared" ref="B586:C586" si="1755">B584</f>
        <v>28</v>
      </c>
      <c r="C586" s="128">
        <f t="shared" si="1755"/>
        <v>1</v>
      </c>
      <c r="D586" s="127">
        <f t="shared" si="1634"/>
        <v>28</v>
      </c>
      <c r="E586" s="200">
        <f t="shared" ref="E586" si="1756">C582</f>
        <v>1</v>
      </c>
      <c r="F586" s="93"/>
      <c r="G586" s="202" t="s">
        <v>304</v>
      </c>
      <c r="H586" s="204"/>
      <c r="I586" s="205"/>
      <c r="J586" s="205"/>
      <c r="K586" s="67"/>
      <c r="L586" s="28" t="s">
        <v>303</v>
      </c>
      <c r="M586" s="133">
        <f t="shared" ref="M586" si="1757">IFERROR(INDEX(I588:I600,MATCH(MAX(J588:J600),J588:J600,0)),"")</f>
        <v>0.25039455758817486</v>
      </c>
      <c r="N586" s="71"/>
      <c r="O586" s="27" t="s">
        <v>18</v>
      </c>
      <c r="P586" s="106">
        <f>IF(P582="","",
IF(OR(P584="Orçamento",P583="",MAX('Tabela de Apoio'!$A:$A)&lt;=P583),
P582,
(INDEX('Tabela de Apoio'!$B:$B,MATCH('MAPA DE PREÇOS'!$O$8,'Tabela de Apoio'!$A:$A,1))/INDEX('Tabela de Apoio'!$B:$B,MATCH('MAPA DE PREÇOS'!P583,'Tabela de Apoio'!$A:$A,1)-1))*P582))</f>
        <v>10.9</v>
      </c>
      <c r="Q586" s="106">
        <f>IF(Q582="","",
IF(OR(Q584="Orçamento",Q583="",MAX('Tabela de Apoio'!$A:$A)&lt;=Q583),
Q582,
(INDEX('Tabela de Apoio'!$B:$B,MATCH('MAPA DE PREÇOS'!$O$8,'Tabela de Apoio'!$A:$A,1))/INDEX('Tabela de Apoio'!$B:$B,MATCH('MAPA DE PREÇOS'!Q583,'Tabela de Apoio'!$A:$A,1)-1))*Q582))</f>
        <v>19.989999999999998</v>
      </c>
      <c r="R586" s="106">
        <f>IF(R582="","",
IF(OR(R584="Orçamento",R583="",MAX('Tabela de Apoio'!$A:$A)&lt;=R583),
R582,
(INDEX('Tabela de Apoio'!$B:$B,MATCH('MAPA DE PREÇOS'!$O$8,'Tabela de Apoio'!$A:$A,1))/INDEX('Tabela de Apoio'!$B:$B,MATCH('MAPA DE PREÇOS'!R583,'Tabela de Apoio'!$A:$A,1)-1))*R582))</f>
        <v>14.16</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f t="shared" ref="B587" si="1758">B586</f>
        <v>28</v>
      </c>
      <c r="C587" s="128">
        <f t="shared" ref="C587" si="1759">C586</f>
        <v>1</v>
      </c>
      <c r="D587" s="127">
        <f t="shared" si="1634"/>
        <v>28</v>
      </c>
      <c r="E587" s="201"/>
      <c r="F587" s="93"/>
      <c r="G587" s="203"/>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f t="shared" ref="B588:C588" si="1760">B587</f>
        <v>28</v>
      </c>
      <c r="C588" s="128">
        <f t="shared" si="1760"/>
        <v>1</v>
      </c>
      <c r="D588" s="127">
        <f t="shared" si="1634"/>
        <v>28</v>
      </c>
      <c r="E588" s="201"/>
      <c r="F588" s="93"/>
      <c r="G588" s="203"/>
      <c r="H588" s="134">
        <f t="shared" ref="H588" si="1761">COUNT($P588:$XX588)</f>
        <v>3</v>
      </c>
      <c r="I588" s="132">
        <f t="shared" ref="I588" si="1762">_xlfn.STDEV.P($P587:$XX588)/AVERAGE($P587:$XX588)</f>
        <v>0.25039455758817486</v>
      </c>
      <c r="J588" s="7">
        <f>ROW()</f>
        <v>588</v>
      </c>
      <c r="K588" s="67"/>
      <c r="L588" s="29" t="s">
        <v>10</v>
      </c>
      <c r="M588" s="30">
        <f t="shared" ref="M588" si="1763">IFERROR(
IF(COUNTA(P582:AI582)=COUNTIF(P584:XX584,"Orçamento"),MIN(M593,M590),
IF(M591&lt;&gt;"",M591,
IF(M592&lt;&gt;"",M592,
M590
))),"")</f>
        <v>14.16</v>
      </c>
      <c r="N588" s="71"/>
      <c r="O588" s="27" t="s">
        <v>376</v>
      </c>
      <c r="P588" s="106">
        <f t="shared" ref="P588:AI588" si="1764">IFERROR(IF(P586="",
            "",
            IF(COUNT($P586:$XX586)&lt;=4,
               P586,
               IF(OR(P586&gt;(QUARTILE($P586:$XX586,3)+(QUARTILE($P586:$XX586,3)-QUARTILE($P586:$XX586,1))),
                     P586&lt;(QUARTILE($P586:$XX586,1)-(QUARTILE($P586:$XX586,3)-QUARTILE($P586:$XX586,1)))
                  ),
               "DESCARTADO",P586)
             )
  ),P586)</f>
        <v>10.9</v>
      </c>
      <c r="Q588" s="106">
        <f t="shared" si="1764"/>
        <v>19.989999999999998</v>
      </c>
      <c r="R588" s="106">
        <f t="shared" si="1764"/>
        <v>14.16</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f t="shared" ref="B589" si="1765">B588</f>
        <v>28</v>
      </c>
      <c r="C589" s="128">
        <f t="shared" ref="C589" si="1766">C588</f>
        <v>1</v>
      </c>
      <c r="D589" s="127">
        <f t="shared" si="1634"/>
        <v>28</v>
      </c>
      <c r="E589" s="201"/>
      <c r="F589" s="93"/>
      <c r="G589" s="203"/>
      <c r="H589"/>
      <c r="I589"/>
      <c r="J589"/>
      <c r="K589" s="66"/>
      <c r="L589" s="29" t="s">
        <v>360</v>
      </c>
      <c r="M589" s="30">
        <f t="shared" ref="M589" si="1767">AVERAGE($P588:$XX588)</f>
        <v>15.016666666666666</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f t="shared" si="1633"/>
        <v>28</v>
      </c>
      <c r="C590" s="128">
        <f t="shared" si="1634"/>
        <v>1</v>
      </c>
      <c r="D590" s="127">
        <f t="shared" si="1634"/>
        <v>28</v>
      </c>
      <c r="E590" s="201"/>
      <c r="F590" s="93"/>
      <c r="G590" s="203"/>
      <c r="H590" s="134">
        <f t="shared" ref="H590" si="1769">COUNT($P590:$XX590)</f>
        <v>1</v>
      </c>
      <c r="I590" s="132">
        <f t="shared" ref="I590" si="1770">_xlfn.STDEV.P($P589:$XX590)/AVERAGE($P589:$XX590)</f>
        <v>0</v>
      </c>
      <c r="J590" s="7">
        <f t="shared" ref="J590" si="1771">IF(AND(H590&gt;2,
OR(L582="MÉDIA SANEADA",L582="MEDIANA SANEADA",
AND(L582="PREÇO ESTIMADO",NOT(AND(P584="Orçamento",COUNTA(P582:XX582)=COUNTIF(P584:XX584,"Orçamento")))))),
ROW(),0)</f>
        <v>0</v>
      </c>
      <c r="K590" s="66"/>
      <c r="L590" s="29" t="s">
        <v>361</v>
      </c>
      <c r="M590" s="30">
        <f t="shared" ref="M590" si="1772">MEDIAN($P588:$XX588)</f>
        <v>14.16</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DESCARTADO</v>
      </c>
      <c r="Q590" s="107" t="str">
        <f t="shared" si="1774"/>
        <v>DESCARTADO</v>
      </c>
      <c r="R590" s="107">
        <f t="shared" si="1774"/>
        <v>14.16</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f t="shared" si="1633"/>
        <v>28</v>
      </c>
      <c r="C591" s="128">
        <f t="shared" si="1634"/>
        <v>1</v>
      </c>
      <c r="D591" s="127">
        <f t="shared" si="1634"/>
        <v>28</v>
      </c>
      <c r="E591" s="201"/>
      <c r="F591" s="93"/>
      <c r="G591" s="203"/>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f t="shared" si="1633"/>
        <v>28</v>
      </c>
      <c r="C592" s="128">
        <f t="shared" si="1634"/>
        <v>1</v>
      </c>
      <c r="D592" s="127">
        <f t="shared" si="1634"/>
        <v>28</v>
      </c>
      <c r="E592" s="201"/>
      <c r="F592" s="93"/>
      <c r="G592" s="203"/>
      <c r="H592" s="134">
        <f t="shared" ref="H592" si="1777">COUNT($P592:$XX592)</f>
        <v>1</v>
      </c>
      <c r="I592" s="132">
        <f t="shared" ref="I592" si="1778">_xlfn.STDEV.P($P591:$XX592)/AVERAGE($P591:$XX592)</f>
        <v>0</v>
      </c>
      <c r="J592" s="7">
        <f t="shared" ref="J592" si="1779">IF(AND(H592&gt;2,
OR(L582="MÉDIA SANEADA",L582="MEDIANA SANEADA",
AND(L582="PREÇO ESTIMADO",NOT(AND(P584="Orçamento",COUNTA(P582:XX582)=COUNTIF(P584:XX584,"Orçamento")))))),
ROW(),0)</f>
        <v>0</v>
      </c>
      <c r="K592" s="66"/>
      <c r="L592" s="29" t="s">
        <v>362</v>
      </c>
      <c r="M592" s="30">
        <f t="shared" ref="M592" si="1780" xml:space="preserve">
IF(H590&gt;2,MEDIAN(P589:XX590),
IF(H592&gt;2,MEDIAN(P591:XX592),
IF(H594&gt;2,MEDIAN(P593:XX594),
IF(H596&gt;2,MEDIAN(P595:XX596),
IF(H598&gt;2,MEDIAN(P597:XX598),
IF(H600&gt;2,MEDIAN(P599:XX600),
MEDIAN(P587:XX588)))))))</f>
        <v>14.16</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DESCARTADO</v>
      </c>
      <c r="Q592" s="107" t="str">
        <f t="shared" si="1782"/>
        <v>DESCARTADO</v>
      </c>
      <c r="R592" s="107">
        <f t="shared" si="1782"/>
        <v>14.16</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f t="shared" si="1633"/>
        <v>28</v>
      </c>
      <c r="C593" s="128">
        <f t="shared" si="1634"/>
        <v>1</v>
      </c>
      <c r="D593" s="127">
        <f t="shared" si="1634"/>
        <v>28</v>
      </c>
      <c r="E593" s="201"/>
      <c r="F593" s="93"/>
      <c r="G593" s="203"/>
      <c r="H593"/>
      <c r="I593"/>
      <c r="J593"/>
      <c r="K593" s="66"/>
      <c r="L593" s="29" t="s">
        <v>359</v>
      </c>
      <c r="M593" s="30">
        <f t="shared" ref="M593" si="1783">HARMEAN($P587:$XX588)</f>
        <v>14.12498535770389</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f t="shared" si="1633"/>
        <v>28</v>
      </c>
      <c r="C594" s="128">
        <f t="shared" si="1634"/>
        <v>1</v>
      </c>
      <c r="D594" s="127">
        <f t="shared" si="1634"/>
        <v>28</v>
      </c>
      <c r="E594" s="201"/>
      <c r="F594" s="93"/>
      <c r="G594" s="203"/>
      <c r="H594" s="134">
        <f t="shared" ref="H594" si="1785">COUNT($P594:$XX594)</f>
        <v>1</v>
      </c>
      <c r="I594" s="132">
        <f t="shared" ref="I594" si="1786">_xlfn.STDEV.P($P593:$XX594)/AVERAGE($P593:$XX594)</f>
        <v>0</v>
      </c>
      <c r="J594" s="7">
        <f t="shared" ref="J594" si="1787">IF(AND(H594&gt;2,
OR(L582="MÉDIA SANEADA",L582="MEDIANA SANEADA",
AND(L582="PREÇO ESTIMADO",NOT(AND(P584="Orçamento",COUNTA(P582:XX582)=COUNTIF(P584:XX584,"Orçamento")))))),
ROW(),0)</f>
        <v>0</v>
      </c>
      <c r="K594" s="66"/>
      <c r="L594" s="29" t="s">
        <v>41</v>
      </c>
      <c r="M594" s="30">
        <f t="shared" ref="M594" si="1788">IFERROR(_xlfn.QUARTILE.EXC($P588:$XX588,1),"")</f>
        <v>10.9</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DESCARTADO</v>
      </c>
      <c r="Q594" s="107" t="str">
        <f t="shared" si="1790"/>
        <v>DESCARTADO</v>
      </c>
      <c r="R594" s="107">
        <f t="shared" si="1790"/>
        <v>14.16</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f t="shared" si="1633"/>
        <v>28</v>
      </c>
      <c r="C595" s="128">
        <f t="shared" si="1634"/>
        <v>1</v>
      </c>
      <c r="D595" s="127">
        <f t="shared" si="1634"/>
        <v>28</v>
      </c>
      <c r="E595" s="201"/>
      <c r="F595" s="93"/>
      <c r="G595" s="203"/>
      <c r="H595"/>
      <c r="I595"/>
      <c r="J595"/>
      <c r="K595" s="66"/>
      <c r="L595" s="29" t="s">
        <v>39</v>
      </c>
      <c r="M595" s="30">
        <f t="shared" ref="M595" si="1791">IFERROR(_xlfn.QUARTILE.EXC($P588:$XX588,3),"")</f>
        <v>19.989999999999998</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f t="shared" si="1633"/>
        <v>28</v>
      </c>
      <c r="C596" s="128">
        <f t="shared" si="1634"/>
        <v>1</v>
      </c>
      <c r="D596" s="127">
        <f t="shared" si="1634"/>
        <v>28</v>
      </c>
      <c r="E596" s="201"/>
      <c r="F596" s="93"/>
      <c r="G596" s="203"/>
      <c r="H596" s="134">
        <f t="shared" ref="H596" si="1793">COUNT($P596:$XX596)</f>
        <v>1</v>
      </c>
      <c r="I596" s="132">
        <f t="shared" ref="I596" si="1794">_xlfn.STDEV.P($P595:$XX596)/AVERAGE($P595:$XX596)</f>
        <v>0</v>
      </c>
      <c r="J596" s="7">
        <f t="shared" ref="J596" si="1795">IF(AND(H596&gt;2,
OR(L582="MÉDIA SANEADA",L582="MEDIANA SANEADA",
AND(L582="PREÇO ESTIMADO",NOT(AND(P584="Orçamento",COUNTA(P582:XX582)=COUNTIF(P584:XX584,"Orçamento")))))),
ROW(),0)</f>
        <v>0</v>
      </c>
      <c r="K596" s="66"/>
      <c r="L596" s="29" t="s">
        <v>42</v>
      </c>
      <c r="M596" s="30">
        <f t="shared" ref="M596" si="1796">MIN($P588:$XX588)</f>
        <v>10.9</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DESCARTADO</v>
      </c>
      <c r="Q596" s="107" t="str">
        <f t="shared" si="1798"/>
        <v>DESCARTADO</v>
      </c>
      <c r="R596" s="107">
        <f t="shared" si="1798"/>
        <v>14.16</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f t="shared" si="1633"/>
        <v>28</v>
      </c>
      <c r="C597" s="128">
        <f t="shared" si="1634"/>
        <v>1</v>
      </c>
      <c r="D597" s="127">
        <f t="shared" si="1634"/>
        <v>28</v>
      </c>
      <c r="E597" s="201"/>
      <c r="F597" s="93"/>
      <c r="G597" s="203"/>
      <c r="H597"/>
      <c r="I597"/>
      <c r="J597"/>
      <c r="K597" s="66"/>
      <c r="L597" s="29" t="s">
        <v>40</v>
      </c>
      <c r="M597" s="30">
        <f t="shared" ref="M597" si="1799">MAX($P588:$XX588)</f>
        <v>19.989999999999998</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f t="shared" si="1633"/>
        <v>28</v>
      </c>
      <c r="C598" s="128">
        <f t="shared" si="1634"/>
        <v>1</v>
      </c>
      <c r="D598" s="127">
        <f t="shared" si="1634"/>
        <v>28</v>
      </c>
      <c r="E598" s="201"/>
      <c r="F598" s="93"/>
      <c r="G598" s="203"/>
      <c r="H598" s="134">
        <f t="shared" ref="H598" si="1801">COUNT($P598:$XX598)</f>
        <v>1</v>
      </c>
      <c r="I598" s="132">
        <f t="shared" ref="I598" si="1802">_xlfn.STDEV.P($P597:$XX598)/AVERAGE($P597:$XX598)</f>
        <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DESCARTADO</v>
      </c>
      <c r="Q598" s="107" t="str">
        <f t="shared" si="1805"/>
        <v>DESCARTADO</v>
      </c>
      <c r="R598" s="107">
        <f t="shared" si="1805"/>
        <v>14.16</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f t="shared" si="1633"/>
        <v>28</v>
      </c>
      <c r="C599" s="128">
        <f t="shared" si="1634"/>
        <v>1</v>
      </c>
      <c r="D599" s="127">
        <f t="shared" si="1634"/>
        <v>28</v>
      </c>
      <c r="E599" s="201"/>
      <c r="F599" s="93"/>
      <c r="G599" s="203"/>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f t="shared" si="1633"/>
        <v>28</v>
      </c>
      <c r="C600" s="128">
        <f t="shared" si="1634"/>
        <v>1</v>
      </c>
      <c r="D600" s="127">
        <f t="shared" si="1634"/>
        <v>28</v>
      </c>
      <c r="E600" s="201"/>
      <c r="F600" s="93"/>
      <c r="G600" s="203"/>
      <c r="H600" s="134">
        <f t="shared" ref="H600" si="1807">COUNT($P600:$XX600)</f>
        <v>1</v>
      </c>
      <c r="I600" s="132">
        <f t="shared" ref="I600" si="1808">_xlfn.STDEV.P($P599:$XX600)/AVERAGE($P599:$XX600)</f>
        <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DESCARTADO</v>
      </c>
      <c r="Q600" s="107" t="str">
        <f t="shared" si="1811"/>
        <v>DESCARTADO</v>
      </c>
      <c r="R600" s="107">
        <f t="shared" si="1811"/>
        <v>14.16</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f t="shared" si="1633"/>
        <v>28</v>
      </c>
      <c r="C601" s="128">
        <f t="shared" si="1634"/>
        <v>1</v>
      </c>
      <c r="D601" s="127">
        <f t="shared" si="1634"/>
        <v>28</v>
      </c>
      <c r="E601" s="201"/>
      <c r="F601" s="136"/>
      <c r="G601" s="203"/>
      <c r="H601" s="206"/>
      <c r="I601" s="206"/>
      <c r="J601" s="207"/>
      <c r="K601" s="67"/>
      <c r="L601" s="1" t="s">
        <v>43</v>
      </c>
      <c r="M601" s="143">
        <f t="shared" ref="M601" si="1812">IFERROR(ROUND(M582*M584,2),"")</f>
        <v>99.12</v>
      </c>
      <c r="O601" s="27" t="s">
        <v>363</v>
      </c>
      <c r="P601" s="107">
        <f t="shared" ref="P601:AI622" si="1813">INDEX(P588:P600,MATCH(MAX($J588:$J600),$J588:$J600,0))</f>
        <v>10.9</v>
      </c>
      <c r="Q601" s="107">
        <f t="shared" si="1813"/>
        <v>19.989999999999998</v>
      </c>
      <c r="R601" s="107">
        <f t="shared" si="1813"/>
        <v>14.16</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f t="shared" ref="B603" si="1814">LARGE(IFERROR(IF(B601+1&gt;$H$8,"",B601+1),""),1)</f>
        <v>29</v>
      </c>
      <c r="C603" s="127">
        <f>IF(_xlfn.ISFORMULA(E607),MAX(INDEX('BASE FORMAÇÃO'!A:A,B603+1),1),E607)</f>
        <v>1</v>
      </c>
      <c r="D603" s="127">
        <f t="shared" ref="D603" si="1815">IFERROR(IF(C603=C593,D593+1,1),1)</f>
        <v>29</v>
      </c>
      <c r="E603" s="38" t="s">
        <v>9</v>
      </c>
      <c r="F603" s="73"/>
      <c r="G603" s="38" t="s">
        <v>15</v>
      </c>
      <c r="H603" s="135">
        <f>INDEX('BASE FORMAÇÃO'!B:B,B603+1)</f>
        <v>0</v>
      </c>
      <c r="I603" s="181" t="s">
        <v>16</v>
      </c>
      <c r="J603" s="6">
        <f>INDEX('BASE FORMAÇÃO'!K:K,B603+1)</f>
        <v>0</v>
      </c>
      <c r="K603" s="65"/>
      <c r="L603" s="184" t="s">
        <v>10</v>
      </c>
      <c r="M603" s="186">
        <f t="shared" ref="M603" si="1816">IF(OR(ISBLANK($O$8),ISBLANK($O$7),ISBLANK($H$8),ISBLANK($O$6),ISBLANK($O$5),ISBLANK($H$5)),"",IFERROR(IF(VLOOKUP(L603,L609:M618,2,FALSE)&lt;1,ROUND(VLOOKUP(L603,L609:M618,2,FALSE),4),ROUND(VLOOKUP(L603,L609:M618,2,FALSE),2)),""))</f>
        <v>69.709999999999994</v>
      </c>
      <c r="N603" s="69"/>
      <c r="O603" s="27" t="s">
        <v>17</v>
      </c>
      <c r="P603" s="113">
        <v>62.66</v>
      </c>
      <c r="Q603" s="113">
        <v>68.260000000000005</v>
      </c>
      <c r="R603" s="113">
        <v>78.2</v>
      </c>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f t="shared" ref="B604:D604" si="1817">B603</f>
        <v>29</v>
      </c>
      <c r="C604" s="128">
        <f t="shared" si="1817"/>
        <v>1</v>
      </c>
      <c r="D604" s="127">
        <f t="shared" si="1817"/>
        <v>29</v>
      </c>
      <c r="E604" s="188">
        <f t="shared" ref="E604" si="1818">D603</f>
        <v>29</v>
      </c>
      <c r="F604" s="92"/>
      <c r="G604" s="190" t="s">
        <v>1</v>
      </c>
      <c r="H604" s="193" t="s">
        <v>546</v>
      </c>
      <c r="I604" s="194"/>
      <c r="J604" s="195"/>
      <c r="K604" s="66"/>
      <c r="L604" s="185"/>
      <c r="M604" s="187"/>
      <c r="N604" s="70"/>
      <c r="O604" s="27" t="s">
        <v>13</v>
      </c>
      <c r="P604" s="122">
        <v>46195</v>
      </c>
      <c r="Q604" s="122">
        <v>46195</v>
      </c>
      <c r="R604" s="122">
        <v>46195</v>
      </c>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f t="shared" ref="B605:D605" si="1819">B604</f>
        <v>29</v>
      </c>
      <c r="C605" s="128">
        <f t="shared" si="1819"/>
        <v>1</v>
      </c>
      <c r="D605" s="127">
        <f t="shared" si="1819"/>
        <v>29</v>
      </c>
      <c r="E605" s="189"/>
      <c r="F605" s="93"/>
      <c r="G605" s="191"/>
      <c r="H605" s="196"/>
      <c r="I605" s="196"/>
      <c r="J605" s="197"/>
      <c r="K605" s="64"/>
      <c r="L605" s="130" t="s">
        <v>44</v>
      </c>
      <c r="M605" s="131">
        <v>5</v>
      </c>
      <c r="N605" s="71"/>
      <c r="O605" s="27" t="s">
        <v>380</v>
      </c>
      <c r="P605" s="114" t="s">
        <v>302</v>
      </c>
      <c r="Q605" s="114" t="s">
        <v>302</v>
      </c>
      <c r="R605" s="114" t="s">
        <v>302</v>
      </c>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f t="shared" ref="B606:C606" si="1820">B605</f>
        <v>29</v>
      </c>
      <c r="C606" s="128">
        <f t="shared" si="1820"/>
        <v>1</v>
      </c>
      <c r="D606" s="127">
        <f t="shared" si="1634"/>
        <v>29</v>
      </c>
      <c r="E606" s="38" t="s">
        <v>313</v>
      </c>
      <c r="F606" s="93"/>
      <c r="G606" s="192"/>
      <c r="H606" s="198"/>
      <c r="I606" s="198"/>
      <c r="J606" s="199"/>
      <c r="K606" s="64"/>
      <c r="L606" s="1" t="s">
        <v>2</v>
      </c>
      <c r="M606" s="6" t="s">
        <v>288</v>
      </c>
      <c r="N606" s="71"/>
      <c r="O606" s="27" t="s">
        <v>381</v>
      </c>
      <c r="P606" s="182" t="s">
        <v>547</v>
      </c>
      <c r="Q606" s="182" t="s">
        <v>548</v>
      </c>
      <c r="R606" s="182" t="s">
        <v>549</v>
      </c>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f t="shared" ref="B607:C607" si="1821">B605</f>
        <v>29</v>
      </c>
      <c r="C607" s="128">
        <f t="shared" si="1821"/>
        <v>1</v>
      </c>
      <c r="D607" s="127">
        <f t="shared" si="1634"/>
        <v>29</v>
      </c>
      <c r="E607" s="200">
        <f t="shared" ref="E607" si="1822">C603</f>
        <v>1</v>
      </c>
      <c r="F607" s="93"/>
      <c r="G607" s="202" t="s">
        <v>304</v>
      </c>
      <c r="H607" s="204"/>
      <c r="I607" s="205"/>
      <c r="J607" s="205"/>
      <c r="K607" s="67"/>
      <c r="L607" s="28" t="s">
        <v>303</v>
      </c>
      <c r="M607" s="133">
        <f t="shared" ref="M607" si="1823">IFERROR(INDEX(I609:I621,MATCH(MAX(J609:J621),J609:J621,0)),"")</f>
        <v>9.2188030442704447E-2</v>
      </c>
      <c r="N607" s="71"/>
      <c r="O607" s="27" t="s">
        <v>18</v>
      </c>
      <c r="P607" s="106">
        <f>IF(P603="","",
IF(OR(P605="Orçamento",P604="",MAX('Tabela de Apoio'!$A:$A)&lt;=P604),
P603,
(INDEX('Tabela de Apoio'!$B:$B,MATCH('MAPA DE PREÇOS'!$O$8,'Tabela de Apoio'!$A:$A,1))/INDEX('Tabela de Apoio'!$B:$B,MATCH('MAPA DE PREÇOS'!P604,'Tabela de Apoio'!$A:$A,1)-1))*P603))</f>
        <v>62.66</v>
      </c>
      <c r="Q607" s="106">
        <f>IF(Q603="","",
IF(OR(Q605="Orçamento",Q604="",MAX('Tabela de Apoio'!$A:$A)&lt;=Q604),
Q603,
(INDEX('Tabela de Apoio'!$B:$B,MATCH('MAPA DE PREÇOS'!$O$8,'Tabela de Apoio'!$A:$A,1))/INDEX('Tabela de Apoio'!$B:$B,MATCH('MAPA DE PREÇOS'!Q604,'Tabela de Apoio'!$A:$A,1)-1))*Q603))</f>
        <v>68.260000000000005</v>
      </c>
      <c r="R607" s="106">
        <f>IF(R603="","",
IF(OR(R605="Orçamento",R604="",MAX('Tabela de Apoio'!$A:$A)&lt;=R604),
R603,
(INDEX('Tabela de Apoio'!$B:$B,MATCH('MAPA DE PREÇOS'!$O$8,'Tabela de Apoio'!$A:$A,1))/INDEX('Tabela de Apoio'!$B:$B,MATCH('MAPA DE PREÇOS'!R604,'Tabela de Apoio'!$A:$A,1)-1))*R603))</f>
        <v>78.2</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f t="shared" ref="B608" si="1824">B607</f>
        <v>29</v>
      </c>
      <c r="C608" s="128">
        <f t="shared" ref="C608" si="1825">C607</f>
        <v>1</v>
      </c>
      <c r="D608" s="127">
        <f t="shared" si="1634"/>
        <v>29</v>
      </c>
      <c r="E608" s="201"/>
      <c r="F608" s="93"/>
      <c r="G608" s="203"/>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f t="shared" ref="B609:C609" si="1826">B608</f>
        <v>29</v>
      </c>
      <c r="C609" s="128">
        <f t="shared" si="1826"/>
        <v>1</v>
      </c>
      <c r="D609" s="127">
        <f t="shared" si="1634"/>
        <v>29</v>
      </c>
      <c r="E609" s="201"/>
      <c r="F609" s="93"/>
      <c r="G609" s="203"/>
      <c r="H609" s="134">
        <f t="shared" ref="H609" si="1827">COUNT($P609:$XX609)</f>
        <v>3</v>
      </c>
      <c r="I609" s="132">
        <f t="shared" ref="I609" si="1828">_xlfn.STDEV.P($P608:$XX609)/AVERAGE($P608:$XX609)</f>
        <v>9.2188030442704447E-2</v>
      </c>
      <c r="J609" s="7">
        <f>ROW()</f>
        <v>609</v>
      </c>
      <c r="K609" s="67"/>
      <c r="L609" s="29" t="s">
        <v>10</v>
      </c>
      <c r="M609" s="30">
        <f t="shared" ref="M609" si="1829">IFERROR(
IF(COUNTA(P603:AI603)=COUNTIF(P605:XX605,"Orçamento"),MIN(M614,M611),
IF(M612&lt;&gt;"",M612,
IF(M613&lt;&gt;"",M613,
M611
))),"")</f>
        <v>69.706666666666663</v>
      </c>
      <c r="N609" s="71"/>
      <c r="O609" s="27" t="s">
        <v>376</v>
      </c>
      <c r="P609" s="106">
        <f t="shared" ref="P609:AI609" si="1830">IFERROR(IF(P607="",
            "",
            IF(COUNT($P607:$XX607)&lt;=4,
               P607,
               IF(OR(P607&gt;(QUARTILE($P607:$XX607,3)+(QUARTILE($P607:$XX607,3)-QUARTILE($P607:$XX607,1))),
                     P607&lt;(QUARTILE($P607:$XX607,1)-(QUARTILE($P607:$XX607,3)-QUARTILE($P607:$XX607,1)))
                  ),
               "DESCARTADO",P607)
             )
  ),P607)</f>
        <v>62.66</v>
      </c>
      <c r="Q609" s="106">
        <f t="shared" si="1830"/>
        <v>68.260000000000005</v>
      </c>
      <c r="R609" s="106">
        <f t="shared" si="1830"/>
        <v>78.2</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f t="shared" ref="B610:B664" si="1831">B609</f>
        <v>29</v>
      </c>
      <c r="C610" s="128">
        <f t="shared" ref="C610:D673" si="1832">C609</f>
        <v>1</v>
      </c>
      <c r="D610" s="127">
        <f t="shared" si="1634"/>
        <v>29</v>
      </c>
      <c r="E610" s="201"/>
      <c r="F610" s="93"/>
      <c r="G610" s="203"/>
      <c r="H610"/>
      <c r="I610"/>
      <c r="J610"/>
      <c r="K610" s="66"/>
      <c r="L610" s="29" t="s">
        <v>360</v>
      </c>
      <c r="M610" s="30">
        <f t="shared" ref="M610" si="1833">AVERAGE($P609:$XX609)</f>
        <v>69.706666666666663</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f t="shared" si="1831"/>
        <v>29</v>
      </c>
      <c r="C611" s="128">
        <f t="shared" si="1832"/>
        <v>1</v>
      </c>
      <c r="D611" s="127">
        <f t="shared" si="1832"/>
        <v>29</v>
      </c>
      <c r="E611" s="201"/>
      <c r="F611" s="93"/>
      <c r="G611" s="203"/>
      <c r="H611" s="134">
        <f t="shared" ref="H611" si="1835">COUNT($P611:$XX611)</f>
        <v>3</v>
      </c>
      <c r="I611" s="132">
        <f t="shared" ref="I611" si="1836">_xlfn.STDEV.P($P610:$XX611)/AVERAGE($P610:$XX611)</f>
        <v>9.2188030442704447E-2</v>
      </c>
      <c r="J611" s="7">
        <f t="shared" ref="J611" si="1837">IF(AND(H611&gt;2,
OR(L603="MÉDIA SANEADA",L603="MEDIANA SANEADA",
AND(L603="PREÇO ESTIMADO",NOT(AND(P605="Orçamento",COUNTA(P603:XX603)=COUNTIF(P605:XX605,"Orçamento")))))),
ROW(),0)</f>
        <v>611</v>
      </c>
      <c r="K611" s="66"/>
      <c r="L611" s="29" t="s">
        <v>361</v>
      </c>
      <c r="M611" s="30">
        <f t="shared" ref="M611" si="1838">MEDIAN($P609:$XX609)</f>
        <v>68.260000000000005</v>
      </c>
      <c r="N611" s="71"/>
      <c r="O611" s="27" t="str">
        <f t="shared" ref="O611" si="1839">"1 RODADA"</f>
        <v>1 RODADA</v>
      </c>
      <c r="P611" s="107">
        <f t="shared" ref="P611:AI611" si="1840">IF(P609="","",IF((_xlfn.STDEV.P($P608:$XX609)/AVERAGE($P608:$XX609))&lt;=25%,P609,IF(OR(P609&gt;(AVERAGE($P608:$XX609)+_xlfn.STDEV.P($P608:$XX609)),P609&lt;(AVERAGE($P608:$XX609)-_xlfn.STDEV.P($P608:$XX609))),"DESCARTADO",P609)))</f>
        <v>62.66</v>
      </c>
      <c r="Q611" s="107">
        <f t="shared" si="1840"/>
        <v>68.260000000000005</v>
      </c>
      <c r="R611" s="107">
        <f t="shared" si="1840"/>
        <v>78.2</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f t="shared" si="1831"/>
        <v>29</v>
      </c>
      <c r="C612" s="128">
        <f t="shared" si="1832"/>
        <v>1</v>
      </c>
      <c r="D612" s="127">
        <f t="shared" si="1832"/>
        <v>29</v>
      </c>
      <c r="E612" s="201"/>
      <c r="F612" s="93"/>
      <c r="G612" s="203"/>
      <c r="H612"/>
      <c r="I612"/>
      <c r="J612"/>
      <c r="L612" s="29" t="s">
        <v>38</v>
      </c>
      <c r="M612" s="30">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69.706666666666663</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f t="shared" si="1831"/>
        <v>29</v>
      </c>
      <c r="C613" s="128">
        <f t="shared" si="1832"/>
        <v>1</v>
      </c>
      <c r="D613" s="127">
        <f t="shared" si="1832"/>
        <v>29</v>
      </c>
      <c r="E613" s="201"/>
      <c r="F613" s="93"/>
      <c r="G613" s="203"/>
      <c r="H613" s="134">
        <f t="shared" ref="H613" si="1843">COUNT($P613:$XX613)</f>
        <v>3</v>
      </c>
      <c r="I613" s="132">
        <f t="shared" ref="I613" si="1844">_xlfn.STDEV.P($P612:$XX613)/AVERAGE($P612:$XX613)</f>
        <v>9.2188030442704447E-2</v>
      </c>
      <c r="J613" s="7">
        <f t="shared" ref="J613" si="1845">IF(AND(H613&gt;2,
OR(L603="MÉDIA SANEADA",L603="MEDIANA SANEADA",
AND(L603="PREÇO ESTIMADO",NOT(AND(P605="Orçamento",COUNTA(P603:XX603)=COUNTIF(P605:XX605,"Orçamento")))))),
ROW(),0)</f>
        <v>613</v>
      </c>
      <c r="K613" s="66"/>
      <c r="L613" s="29" t="s">
        <v>362</v>
      </c>
      <c r="M613" s="30">
        <f t="shared" ref="M613" si="1846" xml:space="preserve">
IF(H611&gt;2,MEDIAN(P610:XX611),
IF(H613&gt;2,MEDIAN(P612:XX613),
IF(H615&gt;2,MEDIAN(P614:XX615),
IF(H617&gt;2,MEDIAN(P616:XX617),
IF(H619&gt;2,MEDIAN(P618:XX619),
IF(H621&gt;2,MEDIAN(P620:XX621),
MEDIAN(P608:XX609)))))))</f>
        <v>68.260000000000005</v>
      </c>
      <c r="N613" s="71"/>
      <c r="O613" s="27" t="str">
        <f t="shared" ref="O613" si="1847">"2 RODADA"</f>
        <v>2 RODADA</v>
      </c>
      <c r="P613" s="107">
        <f t="shared" ref="P613:AI613" si="1848">IF(P611="","",IF((_xlfn.STDEV.P($P610:$XX611)/AVERAGE($P610:$XX611))&lt;=25%,P611,IF(OR(P611&gt;(AVERAGE($P610:$XX611)+_xlfn.STDEV.P($P610:$XX611)),P611&lt;(AVERAGE($P610:$XX611)-_xlfn.STDEV.P($P610:$XX611))),"DESCARTADO",P611)))</f>
        <v>62.66</v>
      </c>
      <c r="Q613" s="107">
        <f t="shared" si="1848"/>
        <v>68.260000000000005</v>
      </c>
      <c r="R613" s="107">
        <f t="shared" si="1848"/>
        <v>78.2</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f t="shared" si="1831"/>
        <v>29</v>
      </c>
      <c r="C614" s="128">
        <f t="shared" si="1832"/>
        <v>1</v>
      </c>
      <c r="D614" s="127">
        <f t="shared" si="1832"/>
        <v>29</v>
      </c>
      <c r="E614" s="201"/>
      <c r="F614" s="93"/>
      <c r="G614" s="203"/>
      <c r="H614"/>
      <c r="I614"/>
      <c r="J614"/>
      <c r="K614" s="66"/>
      <c r="L614" s="29" t="s">
        <v>359</v>
      </c>
      <c r="M614" s="30">
        <f t="shared" ref="M614" si="1849">HARMEAN($P608:$XX609)</f>
        <v>69.129622182271831</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f t="shared" si="1831"/>
        <v>29</v>
      </c>
      <c r="C615" s="128">
        <f t="shared" si="1832"/>
        <v>1</v>
      </c>
      <c r="D615" s="127">
        <f t="shared" si="1832"/>
        <v>29</v>
      </c>
      <c r="E615" s="201"/>
      <c r="F615" s="93"/>
      <c r="G615" s="203"/>
      <c r="H615" s="134">
        <f t="shared" ref="H615" si="1851">COUNT($P615:$XX615)</f>
        <v>3</v>
      </c>
      <c r="I615" s="132">
        <f t="shared" ref="I615" si="1852">_xlfn.STDEV.P($P614:$XX615)/AVERAGE($P614:$XX615)</f>
        <v>9.2188030442704447E-2</v>
      </c>
      <c r="J615" s="7">
        <f t="shared" ref="J615" si="1853">IF(AND(H615&gt;2,
OR(L603="MÉDIA SANEADA",L603="MEDIANA SANEADA",
AND(L603="PREÇO ESTIMADO",NOT(AND(P605="Orçamento",COUNTA(P603:XX603)=COUNTIF(P605:XX605,"Orçamento")))))),
ROW(),0)</f>
        <v>615</v>
      </c>
      <c r="K615" s="66"/>
      <c r="L615" s="29" t="s">
        <v>41</v>
      </c>
      <c r="M615" s="30">
        <f t="shared" ref="M615" si="1854">IFERROR(_xlfn.QUARTILE.EXC($P609:$XX609,1),"")</f>
        <v>62.66</v>
      </c>
      <c r="N615" s="71"/>
      <c r="O615" s="27" t="str">
        <f t="shared" ref="O615" si="1855">"3 RODADA"</f>
        <v>3 RODADA</v>
      </c>
      <c r="P615" s="107">
        <f t="shared" ref="P615:AI615" si="1856">IF(P613="","",IF((_xlfn.STDEV.P($P612:$XX613)/AVERAGE($P612:$XX613))&lt;=25%,P613,IF(OR(P613&gt;(AVERAGE($P612:$XX613)+_xlfn.STDEV.P($P612:$XX613)),P613&lt;(AVERAGE($P612:$XX613)-_xlfn.STDEV.P($P612:$XX613))),"DESCARTADO",P613)))</f>
        <v>62.66</v>
      </c>
      <c r="Q615" s="107">
        <f t="shared" si="1856"/>
        <v>68.260000000000005</v>
      </c>
      <c r="R615" s="107">
        <f t="shared" si="1856"/>
        <v>78.2</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f t="shared" si="1831"/>
        <v>29</v>
      </c>
      <c r="C616" s="128">
        <f t="shared" si="1832"/>
        <v>1</v>
      </c>
      <c r="D616" s="127">
        <f t="shared" si="1832"/>
        <v>29</v>
      </c>
      <c r="E616" s="201"/>
      <c r="F616" s="93"/>
      <c r="G616" s="203"/>
      <c r="H616"/>
      <c r="I616"/>
      <c r="J616"/>
      <c r="K616" s="66"/>
      <c r="L616" s="29" t="s">
        <v>39</v>
      </c>
      <c r="M616" s="30">
        <f t="shared" ref="M616" si="1857">IFERROR(_xlfn.QUARTILE.EXC($P609:$XX609,3),"")</f>
        <v>78.2</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f t="shared" si="1831"/>
        <v>29</v>
      </c>
      <c r="C617" s="128">
        <f t="shared" si="1832"/>
        <v>1</v>
      </c>
      <c r="D617" s="127">
        <f t="shared" si="1832"/>
        <v>29</v>
      </c>
      <c r="E617" s="201"/>
      <c r="F617" s="93"/>
      <c r="G617" s="203"/>
      <c r="H617" s="134">
        <f t="shared" ref="H617" si="1859">COUNT($P617:$XX617)</f>
        <v>3</v>
      </c>
      <c r="I617" s="132">
        <f t="shared" ref="I617" si="1860">_xlfn.STDEV.P($P616:$XX617)/AVERAGE($P616:$XX617)</f>
        <v>9.2188030442704447E-2</v>
      </c>
      <c r="J617" s="7">
        <f t="shared" ref="J617" si="1861">IF(AND(H617&gt;2,
OR(L603="MÉDIA SANEADA",L603="MEDIANA SANEADA",
AND(L603="PREÇO ESTIMADO",NOT(AND(P605="Orçamento",COUNTA(P603:XX603)=COUNTIF(P605:XX605,"Orçamento")))))),
ROW(),0)</f>
        <v>617</v>
      </c>
      <c r="K617" s="66"/>
      <c r="L617" s="29" t="s">
        <v>42</v>
      </c>
      <c r="M617" s="30">
        <f t="shared" ref="M617" si="1862">MIN($P609:$XX609)</f>
        <v>62.66</v>
      </c>
      <c r="N617" s="71"/>
      <c r="O617" s="27" t="str">
        <f t="shared" ref="O617" si="1863">"4 RODADA"</f>
        <v>4 RODADA</v>
      </c>
      <c r="P617" s="107">
        <f t="shared" ref="P617:AI617" si="1864">IF(P615="","",IF((_xlfn.STDEV.P($P614:$XX615)/AVERAGE($P614:$XX615))&lt;=25%,P615,IF(OR(P615&gt;(AVERAGE($P614:$XX615)+_xlfn.STDEV.P($P614:$XX615)),P615&lt;(AVERAGE($P614:$XX615)-_xlfn.STDEV.P($P614:$XX615))),"DESCARTADO",P615)))</f>
        <v>62.66</v>
      </c>
      <c r="Q617" s="107">
        <f t="shared" si="1864"/>
        <v>68.260000000000005</v>
      </c>
      <c r="R617" s="107">
        <f t="shared" si="1864"/>
        <v>78.2</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f t="shared" si="1831"/>
        <v>29</v>
      </c>
      <c r="C618" s="128">
        <f t="shared" si="1832"/>
        <v>1</v>
      </c>
      <c r="D618" s="127">
        <f t="shared" si="1832"/>
        <v>29</v>
      </c>
      <c r="E618" s="201"/>
      <c r="F618" s="93"/>
      <c r="G618" s="203"/>
      <c r="H618"/>
      <c r="I618"/>
      <c r="J618"/>
      <c r="K618" s="66"/>
      <c r="L618" s="29" t="s">
        <v>40</v>
      </c>
      <c r="M618" s="30">
        <f t="shared" ref="M618" si="1865">MAX($P609:$XX609)</f>
        <v>78.2</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f t="shared" si="1831"/>
        <v>29</v>
      </c>
      <c r="C619" s="128">
        <f t="shared" si="1832"/>
        <v>1</v>
      </c>
      <c r="D619" s="127">
        <f t="shared" si="1832"/>
        <v>29</v>
      </c>
      <c r="E619" s="201"/>
      <c r="F619" s="93"/>
      <c r="G619" s="203"/>
      <c r="H619" s="134">
        <f t="shared" ref="H619" si="1867">COUNT($P619:$XX619)</f>
        <v>3</v>
      </c>
      <c r="I619" s="132">
        <f t="shared" ref="I619" si="1868">_xlfn.STDEV.P($P618:$XX619)/AVERAGE($P618:$XX619)</f>
        <v>9.2188030442704447E-2</v>
      </c>
      <c r="J619" s="7">
        <f t="shared" ref="J619" si="1869">IF(AND(H619&gt;2,
OR(L603="MÉDIA SANEADA",L603="MEDIANA SANEADA",
AND(L603="PREÇO ESTIMADO",NOT(AND(P605="Orçamento",COUNTA(P603:XX603)=COUNTIF(P605:XX605,"Orçamento")))))),
ROW(),0)</f>
        <v>619</v>
      </c>
      <c r="K619" s="66"/>
      <c r="N619" s="71"/>
      <c r="O619" s="27" t="str">
        <f t="shared" ref="O619" si="1870">"5 RODADA"</f>
        <v>5 RODADA</v>
      </c>
      <c r="P619" s="107">
        <f t="shared" ref="P619:AI619" si="1871">IF(P617="","",IF((_xlfn.STDEV.P($P616:$XX617)/AVERAGE($P616:$XX617))&lt;=25%,P617,IF(OR(P617&gt;(AVERAGE($P616:$XX617)+_xlfn.STDEV.P($P616:$XX617)),P617&lt;(AVERAGE($P616:$XX617)-_xlfn.STDEV.P($P616:$XX617))),"DESCARTADO",P617)))</f>
        <v>62.66</v>
      </c>
      <c r="Q619" s="107">
        <f t="shared" si="1871"/>
        <v>68.260000000000005</v>
      </c>
      <c r="R619" s="107">
        <f t="shared" si="1871"/>
        <v>78.2</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f t="shared" si="1831"/>
        <v>29</v>
      </c>
      <c r="C620" s="128">
        <f t="shared" si="1832"/>
        <v>1</v>
      </c>
      <c r="D620" s="127">
        <f t="shared" si="1832"/>
        <v>29</v>
      </c>
      <c r="E620" s="201"/>
      <c r="F620" s="93"/>
      <c r="G620" s="203"/>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f t="shared" si="1831"/>
        <v>29</v>
      </c>
      <c r="C621" s="128">
        <f t="shared" si="1832"/>
        <v>1</v>
      </c>
      <c r="D621" s="127">
        <f t="shared" si="1832"/>
        <v>29</v>
      </c>
      <c r="E621" s="201"/>
      <c r="F621" s="93"/>
      <c r="G621" s="203"/>
      <c r="H621" s="134">
        <f t="shared" ref="H621" si="1873">COUNT($P621:$XX621)</f>
        <v>3</v>
      </c>
      <c r="I621" s="132">
        <f t="shared" ref="I621" si="1874">_xlfn.STDEV.P($P620:$XX621)/AVERAGE($P620:$XX621)</f>
        <v>9.2188030442704447E-2</v>
      </c>
      <c r="J621" s="7">
        <f t="shared" ref="J621" si="1875">IF(AND(H621&gt;2,
OR(L603="MÉDIA SANEADA",L603="MEDIANA SANEADA",
AND(L603="PREÇO ESTIMADO",NOT(AND(P605="Orçamento",COUNTA(P603:XX603)=COUNTIF(P605:XX605,"Orçamento")))))),
ROW(),0)</f>
        <v>621</v>
      </c>
      <c r="N621" s="71"/>
      <c r="O621" s="27" t="str">
        <f t="shared" ref="O621" si="1876">"6 RODADA"</f>
        <v>6 RODADA</v>
      </c>
      <c r="P621" s="107">
        <f t="shared" ref="P621:AI621" si="1877">IFERROR(IF(P619="","",IF((_xlfn.STDEV.P($P618:$XX619)/AVERAGE($P618:$XX619))&lt;=25%,P619,IF(OR(P619&gt;(AVERAGE($P618:$XX619)+_xlfn.STDEV.P($P618:$XX619)),P619&lt;(AVERAGE($P618:$XX619)-_xlfn.STDEV.P($P618:$XX619))),"DESCARTADO",P619))),)</f>
        <v>62.66</v>
      </c>
      <c r="Q621" s="107">
        <f t="shared" si="1877"/>
        <v>68.260000000000005</v>
      </c>
      <c r="R621" s="107">
        <f t="shared" si="1877"/>
        <v>78.2</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f t="shared" si="1831"/>
        <v>29</v>
      </c>
      <c r="C622" s="128">
        <f t="shared" si="1832"/>
        <v>1</v>
      </c>
      <c r="D622" s="127">
        <f t="shared" si="1832"/>
        <v>29</v>
      </c>
      <c r="E622" s="201"/>
      <c r="F622" s="136"/>
      <c r="G622" s="203"/>
      <c r="H622" s="206"/>
      <c r="I622" s="206"/>
      <c r="J622" s="207"/>
      <c r="K622" s="67"/>
      <c r="L622" s="1" t="s">
        <v>43</v>
      </c>
      <c r="M622" s="143">
        <f t="shared" ref="M622" si="1878">IFERROR(ROUND(M603*M605,2),"")</f>
        <v>348.55</v>
      </c>
      <c r="O622" s="27" t="s">
        <v>363</v>
      </c>
      <c r="P622" s="107">
        <f t="shared" ref="P622:R622" si="1879">INDEX(P609:P621,MATCH(MAX($J609:$J621),$J609:$J621,0))</f>
        <v>62.66</v>
      </c>
      <c r="Q622" s="107">
        <f t="shared" si="1879"/>
        <v>68.260000000000005</v>
      </c>
      <c r="R622" s="107">
        <f t="shared" si="1879"/>
        <v>78.2</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f t="shared" ref="B624" si="1880">LARGE(IFERROR(IF(B622+1&gt;$H$8,"",B622+1),""),1)</f>
        <v>30</v>
      </c>
      <c r="C624" s="127">
        <f>IF(_xlfn.ISFORMULA(E628),MAX(INDEX('BASE FORMAÇÃO'!A:A,B624+1),1),E628)</f>
        <v>1</v>
      </c>
      <c r="D624" s="127">
        <f t="shared" ref="D624" si="1881">IFERROR(IF(C624=C614,D614+1,1),1)</f>
        <v>30</v>
      </c>
      <c r="E624" s="38" t="s">
        <v>9</v>
      </c>
      <c r="F624" s="73"/>
      <c r="G624" s="38" t="s">
        <v>15</v>
      </c>
      <c r="H624" s="135">
        <f>INDEX('BASE FORMAÇÃO'!B:B,B624+1)</f>
        <v>0</v>
      </c>
      <c r="I624" s="181" t="s">
        <v>16</v>
      </c>
      <c r="J624" s="6">
        <f>INDEX('BASE FORMAÇÃO'!K:K,B624+1)</f>
        <v>0</v>
      </c>
      <c r="K624" s="65"/>
      <c r="L624" s="184" t="s">
        <v>10</v>
      </c>
      <c r="M624" s="186">
        <f t="shared" ref="M624" si="1882">IF(OR(ISBLANK($O$8),ISBLANK($O$7),ISBLANK($H$8),ISBLANK($O$6),ISBLANK($O$5),ISBLANK($H$5)),"",IFERROR(IF(VLOOKUP(L624,L630:M639,2,FALSE)&lt;1,ROUND(VLOOKUP(L624,L630:M639,2,FALSE),4),ROUND(VLOOKUP(L624,L630:M639,2,FALSE),2)),""))</f>
        <v>284.12</v>
      </c>
      <c r="N624" s="69"/>
      <c r="O624" s="27" t="s">
        <v>17</v>
      </c>
      <c r="P624" s="113">
        <v>283.98</v>
      </c>
      <c r="Q624" s="113">
        <v>283.98</v>
      </c>
      <c r="R624" s="113">
        <v>284.39</v>
      </c>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f t="shared" ref="B625:D625" si="1883">B624</f>
        <v>30</v>
      </c>
      <c r="C625" s="128">
        <f t="shared" si="1883"/>
        <v>1</v>
      </c>
      <c r="D625" s="127">
        <f t="shared" si="1883"/>
        <v>30</v>
      </c>
      <c r="E625" s="188">
        <f t="shared" ref="E625" si="1884">D624</f>
        <v>30</v>
      </c>
      <c r="F625" s="92"/>
      <c r="G625" s="190" t="s">
        <v>1</v>
      </c>
      <c r="H625" s="193" t="s">
        <v>551</v>
      </c>
      <c r="I625" s="194"/>
      <c r="J625" s="195"/>
      <c r="K625" s="66"/>
      <c r="L625" s="185"/>
      <c r="M625" s="187"/>
      <c r="N625" s="70"/>
      <c r="O625" s="27" t="s">
        <v>13</v>
      </c>
      <c r="P625" s="122">
        <v>46195</v>
      </c>
      <c r="Q625" s="122">
        <v>46195</v>
      </c>
      <c r="R625" s="122">
        <v>46195</v>
      </c>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f t="shared" ref="B626:D626" si="1885">B625</f>
        <v>30</v>
      </c>
      <c r="C626" s="128">
        <f t="shared" si="1885"/>
        <v>1</v>
      </c>
      <c r="D626" s="127">
        <f t="shared" si="1885"/>
        <v>30</v>
      </c>
      <c r="E626" s="189"/>
      <c r="F626" s="93"/>
      <c r="G626" s="191"/>
      <c r="H626" s="196"/>
      <c r="I626" s="196"/>
      <c r="J626" s="197"/>
      <c r="K626" s="64"/>
      <c r="L626" s="130" t="s">
        <v>44</v>
      </c>
      <c r="M626" s="131">
        <v>3</v>
      </c>
      <c r="N626" s="71"/>
      <c r="O626" s="27" t="s">
        <v>380</v>
      </c>
      <c r="P626" s="114" t="s">
        <v>302</v>
      </c>
      <c r="Q626" s="114" t="s">
        <v>302</v>
      </c>
      <c r="R626" s="114" t="s">
        <v>302</v>
      </c>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f t="shared" ref="B627:C627" si="1886">B626</f>
        <v>30</v>
      </c>
      <c r="C627" s="128">
        <f t="shared" si="1886"/>
        <v>1</v>
      </c>
      <c r="D627" s="127">
        <f t="shared" si="1832"/>
        <v>30</v>
      </c>
      <c r="E627" s="38" t="s">
        <v>313</v>
      </c>
      <c r="F627" s="93"/>
      <c r="G627" s="192"/>
      <c r="H627" s="198"/>
      <c r="I627" s="198"/>
      <c r="J627" s="199"/>
      <c r="K627" s="64"/>
      <c r="L627" s="1" t="s">
        <v>2</v>
      </c>
      <c r="M627" s="6" t="s">
        <v>288</v>
      </c>
      <c r="N627" s="71"/>
      <c r="O627" s="27" t="s">
        <v>381</v>
      </c>
      <c r="P627" s="182" t="s">
        <v>550</v>
      </c>
      <c r="Q627" s="182" t="s">
        <v>552</v>
      </c>
      <c r="R627" s="182" t="s">
        <v>553</v>
      </c>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f t="shared" ref="B628:C628" si="1887">B626</f>
        <v>30</v>
      </c>
      <c r="C628" s="128">
        <f t="shared" si="1887"/>
        <v>1</v>
      </c>
      <c r="D628" s="127">
        <f t="shared" si="1832"/>
        <v>30</v>
      </c>
      <c r="E628" s="200">
        <f t="shared" ref="E628" si="1888">C624</f>
        <v>1</v>
      </c>
      <c r="F628" s="93"/>
      <c r="G628" s="202" t="s">
        <v>304</v>
      </c>
      <c r="H628" s="204"/>
      <c r="I628" s="205"/>
      <c r="J628" s="205"/>
      <c r="K628" s="67"/>
      <c r="L628" s="28" t="s">
        <v>303</v>
      </c>
      <c r="M628" s="133">
        <f t="shared" ref="M628" si="1889">IFERROR(INDEX(I630:I642,MATCH(MAX(J630:J642),J630:J642,0)),"")</f>
        <v>6.8026932665328087E-4</v>
      </c>
      <c r="N628" s="71"/>
      <c r="O628" s="27" t="s">
        <v>18</v>
      </c>
      <c r="P628" s="106">
        <f>IF(P624="","",
IF(OR(P626="Orçamento",P625="",MAX('Tabela de Apoio'!$A:$A)&lt;=P625),
P624,
(INDEX('Tabela de Apoio'!$B:$B,MATCH('MAPA DE PREÇOS'!$O$8,'Tabela de Apoio'!$A:$A,1))/INDEX('Tabela de Apoio'!$B:$B,MATCH('MAPA DE PREÇOS'!P625,'Tabela de Apoio'!$A:$A,1)-1))*P624))</f>
        <v>283.98</v>
      </c>
      <c r="Q628" s="106">
        <f>IF(Q624="","",
IF(OR(Q626="Orçamento",Q625="",MAX('Tabela de Apoio'!$A:$A)&lt;=Q625),
Q624,
(INDEX('Tabela de Apoio'!$B:$B,MATCH('MAPA DE PREÇOS'!$O$8,'Tabela de Apoio'!$A:$A,1))/INDEX('Tabela de Apoio'!$B:$B,MATCH('MAPA DE PREÇOS'!Q625,'Tabela de Apoio'!$A:$A,1)-1))*Q624))</f>
        <v>283.98</v>
      </c>
      <c r="R628" s="106">
        <f>IF(R624="","",
IF(OR(R626="Orçamento",R625="",MAX('Tabela de Apoio'!$A:$A)&lt;=R625),
R624,
(INDEX('Tabela de Apoio'!$B:$B,MATCH('MAPA DE PREÇOS'!$O$8,'Tabela de Apoio'!$A:$A,1))/INDEX('Tabela de Apoio'!$B:$B,MATCH('MAPA DE PREÇOS'!R625,'Tabela de Apoio'!$A:$A,1)-1))*R624))</f>
        <v>284.39</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f t="shared" ref="B629" si="1890">B628</f>
        <v>30</v>
      </c>
      <c r="C629" s="128">
        <f t="shared" ref="C629" si="1891">C628</f>
        <v>1</v>
      </c>
      <c r="D629" s="127">
        <f t="shared" si="1832"/>
        <v>30</v>
      </c>
      <c r="E629" s="201"/>
      <c r="F629" s="93"/>
      <c r="G629" s="203"/>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f t="shared" ref="B630:C630" si="1892">B629</f>
        <v>30</v>
      </c>
      <c r="C630" s="128">
        <f t="shared" si="1892"/>
        <v>1</v>
      </c>
      <c r="D630" s="127">
        <f t="shared" si="1832"/>
        <v>30</v>
      </c>
      <c r="E630" s="201"/>
      <c r="F630" s="93"/>
      <c r="G630" s="203"/>
      <c r="H630" s="134">
        <f t="shared" ref="H630" si="1893">COUNT($P630:$XX630)</f>
        <v>3</v>
      </c>
      <c r="I630" s="132">
        <f t="shared" ref="I630" si="1894">_xlfn.STDEV.P($P629:$XX630)/AVERAGE($P629:$XX630)</f>
        <v>6.8026932665328087E-4</v>
      </c>
      <c r="J630" s="7">
        <f>ROW()</f>
        <v>630</v>
      </c>
      <c r="K630" s="67"/>
      <c r="L630" s="29" t="s">
        <v>10</v>
      </c>
      <c r="M630" s="30">
        <f t="shared" ref="M630" si="1895">IFERROR(
IF(COUNTA(P624:AI624)=COUNTIF(P626:XX626,"Orçamento"),MIN(M635,M632),
IF(M633&lt;&gt;"",M633,
IF(M634&lt;&gt;"",M634,
M632
))),"")</f>
        <v>284.11666666666667</v>
      </c>
      <c r="N630" s="71"/>
      <c r="O630" s="27" t="s">
        <v>376</v>
      </c>
      <c r="P630" s="106">
        <f t="shared" ref="P630:AI630" si="1896">IFERROR(IF(P628="",
            "",
            IF(COUNT($P628:$XX628)&lt;=4,
               P628,
               IF(OR(P628&gt;(QUARTILE($P628:$XX628,3)+(QUARTILE($P628:$XX628,3)-QUARTILE($P628:$XX628,1))),
                     P628&lt;(QUARTILE($P628:$XX628,1)-(QUARTILE($P628:$XX628,3)-QUARTILE($P628:$XX628,1)))
                  ),
               "DESCARTADO",P628)
             )
  ),P628)</f>
        <v>283.98</v>
      </c>
      <c r="Q630" s="106">
        <f t="shared" si="1896"/>
        <v>283.98</v>
      </c>
      <c r="R630" s="106">
        <f t="shared" si="1896"/>
        <v>284.39</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f t="shared" ref="B631" si="1897">B630</f>
        <v>30</v>
      </c>
      <c r="C631" s="128">
        <f t="shared" ref="C631" si="1898">C630</f>
        <v>1</v>
      </c>
      <c r="D631" s="127">
        <f t="shared" si="1832"/>
        <v>30</v>
      </c>
      <c r="E631" s="201"/>
      <c r="F631" s="93"/>
      <c r="G631" s="203"/>
      <c r="H631"/>
      <c r="I631"/>
      <c r="J631"/>
      <c r="K631" s="66"/>
      <c r="L631" s="29" t="s">
        <v>360</v>
      </c>
      <c r="M631" s="30">
        <f t="shared" ref="M631" si="1899">AVERAGE($P630:$XX630)</f>
        <v>284.11666666666667</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f t="shared" si="1831"/>
        <v>30</v>
      </c>
      <c r="C632" s="128">
        <f t="shared" si="1832"/>
        <v>1</v>
      </c>
      <c r="D632" s="127">
        <f t="shared" si="1832"/>
        <v>30</v>
      </c>
      <c r="E632" s="201"/>
      <c r="F632" s="93"/>
      <c r="G632" s="203"/>
      <c r="H632" s="134">
        <f t="shared" ref="H632" si="1901">COUNT($P632:$XX632)</f>
        <v>3</v>
      </c>
      <c r="I632" s="132">
        <f t="shared" ref="I632" si="1902">_xlfn.STDEV.P($P631:$XX632)/AVERAGE($P631:$XX632)</f>
        <v>6.8026932665328087E-4</v>
      </c>
      <c r="J632" s="7">
        <f t="shared" ref="J632" si="1903">IF(AND(H632&gt;2,
OR(L624="MÉDIA SANEADA",L624="MEDIANA SANEADA",
AND(L624="PREÇO ESTIMADO",NOT(AND(P626="Orçamento",COUNTA(P624:XX624)=COUNTIF(P626:XX626,"Orçamento")))))),
ROW(),0)</f>
        <v>632</v>
      </c>
      <c r="K632" s="66"/>
      <c r="L632" s="29" t="s">
        <v>361</v>
      </c>
      <c r="M632" s="30">
        <f t="shared" ref="M632" si="1904">MEDIAN($P630:$XX630)</f>
        <v>283.98</v>
      </c>
      <c r="N632" s="71"/>
      <c r="O632" s="27" t="str">
        <f t="shared" ref="O632" si="1905">"1 RODADA"</f>
        <v>1 RODADA</v>
      </c>
      <c r="P632" s="107">
        <f t="shared" ref="P632:AI632" si="1906">IF(P630="","",IF((_xlfn.STDEV.P($P629:$XX630)/AVERAGE($P629:$XX630))&lt;=25%,P630,IF(OR(P630&gt;(AVERAGE($P629:$XX630)+_xlfn.STDEV.P($P629:$XX630)),P630&lt;(AVERAGE($P629:$XX630)-_xlfn.STDEV.P($P629:$XX630))),"DESCARTADO",P630)))</f>
        <v>283.98</v>
      </c>
      <c r="Q632" s="107">
        <f t="shared" si="1906"/>
        <v>283.98</v>
      </c>
      <c r="R632" s="107">
        <f t="shared" si="1906"/>
        <v>284.39</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f t="shared" si="1831"/>
        <v>30</v>
      </c>
      <c r="C633" s="128">
        <f t="shared" si="1832"/>
        <v>1</v>
      </c>
      <c r="D633" s="127">
        <f t="shared" si="1832"/>
        <v>30</v>
      </c>
      <c r="E633" s="201"/>
      <c r="F633" s="93"/>
      <c r="G633" s="203"/>
      <c r="H633"/>
      <c r="I633"/>
      <c r="J633"/>
      <c r="L633" s="29" t="s">
        <v>38</v>
      </c>
      <c r="M633" s="30">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284.11666666666667</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f t="shared" si="1831"/>
        <v>30</v>
      </c>
      <c r="C634" s="128">
        <f t="shared" si="1832"/>
        <v>1</v>
      </c>
      <c r="D634" s="127">
        <f t="shared" si="1832"/>
        <v>30</v>
      </c>
      <c r="E634" s="201"/>
      <c r="F634" s="93"/>
      <c r="G634" s="203"/>
      <c r="H634" s="134">
        <f t="shared" ref="H634" si="1909">COUNT($P634:$XX634)</f>
        <v>3</v>
      </c>
      <c r="I634" s="132">
        <f t="shared" ref="I634" si="1910">_xlfn.STDEV.P($P633:$XX634)/AVERAGE($P633:$XX634)</f>
        <v>6.8026932665328087E-4</v>
      </c>
      <c r="J634" s="7">
        <f t="shared" ref="J634" si="1911">IF(AND(H634&gt;2,
OR(L624="MÉDIA SANEADA",L624="MEDIANA SANEADA",
AND(L624="PREÇO ESTIMADO",NOT(AND(P626="Orçamento",COUNTA(P624:XX624)=COUNTIF(P626:XX626,"Orçamento")))))),
ROW(),0)</f>
        <v>634</v>
      </c>
      <c r="K634" s="66"/>
      <c r="L634" s="29" t="s">
        <v>362</v>
      </c>
      <c r="M634" s="30">
        <f t="shared" ref="M634" si="1912" xml:space="preserve">
IF(H632&gt;2,MEDIAN(P631:XX632),
IF(H634&gt;2,MEDIAN(P633:XX634),
IF(H636&gt;2,MEDIAN(P635:XX636),
IF(H638&gt;2,MEDIAN(P637:XX638),
IF(H640&gt;2,MEDIAN(P639:XX640),
IF(H642&gt;2,MEDIAN(P641:XX642),
MEDIAN(P629:XX630)))))))</f>
        <v>283.98</v>
      </c>
      <c r="N634" s="71"/>
      <c r="O634" s="27" t="str">
        <f t="shared" ref="O634" si="1913">"2 RODADA"</f>
        <v>2 RODADA</v>
      </c>
      <c r="P634" s="107">
        <f t="shared" ref="P634:AI634" si="1914">IF(P632="","",IF((_xlfn.STDEV.P($P631:$XX632)/AVERAGE($P631:$XX632))&lt;=25%,P632,IF(OR(P632&gt;(AVERAGE($P631:$XX632)+_xlfn.STDEV.P($P631:$XX632)),P632&lt;(AVERAGE($P631:$XX632)-_xlfn.STDEV.P($P631:$XX632))),"DESCARTADO",P632)))</f>
        <v>283.98</v>
      </c>
      <c r="Q634" s="107">
        <f t="shared" si="1914"/>
        <v>283.98</v>
      </c>
      <c r="R634" s="107">
        <f t="shared" si="1914"/>
        <v>284.39</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f t="shared" si="1831"/>
        <v>30</v>
      </c>
      <c r="C635" s="128">
        <f t="shared" si="1832"/>
        <v>1</v>
      </c>
      <c r="D635" s="127">
        <f t="shared" si="1832"/>
        <v>30</v>
      </c>
      <c r="E635" s="201"/>
      <c r="F635" s="93"/>
      <c r="G635" s="203"/>
      <c r="H635"/>
      <c r="I635"/>
      <c r="J635"/>
      <c r="K635" s="66"/>
      <c r="L635" s="29" t="s">
        <v>359</v>
      </c>
      <c r="M635" s="30">
        <f t="shared" ref="M635" si="1915">HARMEAN($P629:$XX630)</f>
        <v>284.11653525024633</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f t="shared" si="1831"/>
        <v>30</v>
      </c>
      <c r="C636" s="128">
        <f t="shared" si="1832"/>
        <v>1</v>
      </c>
      <c r="D636" s="127">
        <f t="shared" si="1832"/>
        <v>30</v>
      </c>
      <c r="E636" s="201"/>
      <c r="F636" s="93"/>
      <c r="G636" s="203"/>
      <c r="H636" s="134">
        <f t="shared" ref="H636" si="1917">COUNT($P636:$XX636)</f>
        <v>3</v>
      </c>
      <c r="I636" s="132">
        <f t="shared" ref="I636" si="1918">_xlfn.STDEV.P($P635:$XX636)/AVERAGE($P635:$XX636)</f>
        <v>6.8026932665328087E-4</v>
      </c>
      <c r="J636" s="7">
        <f t="shared" ref="J636" si="1919">IF(AND(H636&gt;2,
OR(L624="MÉDIA SANEADA",L624="MEDIANA SANEADA",
AND(L624="PREÇO ESTIMADO",NOT(AND(P626="Orçamento",COUNTA(P624:XX624)=COUNTIF(P626:XX626,"Orçamento")))))),
ROW(),0)</f>
        <v>636</v>
      </c>
      <c r="K636" s="66"/>
      <c r="L636" s="29" t="s">
        <v>41</v>
      </c>
      <c r="M636" s="30">
        <f t="shared" ref="M636" si="1920">IFERROR(_xlfn.QUARTILE.EXC($P630:$XX630,1),"")</f>
        <v>283.98</v>
      </c>
      <c r="N636" s="71"/>
      <c r="O636" s="27" t="str">
        <f t="shared" ref="O636" si="1921">"3 RODADA"</f>
        <v>3 RODADA</v>
      </c>
      <c r="P636" s="107">
        <f t="shared" ref="P636:AI636" si="1922">IF(P634="","",IF((_xlfn.STDEV.P($P633:$XX634)/AVERAGE($P633:$XX634))&lt;=25%,P634,IF(OR(P634&gt;(AVERAGE($P633:$XX634)+_xlfn.STDEV.P($P633:$XX634)),P634&lt;(AVERAGE($P633:$XX634)-_xlfn.STDEV.P($P633:$XX634))),"DESCARTADO",P634)))</f>
        <v>283.98</v>
      </c>
      <c r="Q636" s="107">
        <f t="shared" si="1922"/>
        <v>283.98</v>
      </c>
      <c r="R636" s="107">
        <f t="shared" si="1922"/>
        <v>284.39</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f t="shared" si="1831"/>
        <v>30</v>
      </c>
      <c r="C637" s="128">
        <f t="shared" si="1832"/>
        <v>1</v>
      </c>
      <c r="D637" s="127">
        <f t="shared" si="1832"/>
        <v>30</v>
      </c>
      <c r="E637" s="201"/>
      <c r="F637" s="93"/>
      <c r="G637" s="203"/>
      <c r="H637"/>
      <c r="I637"/>
      <c r="J637"/>
      <c r="K637" s="66"/>
      <c r="L637" s="29" t="s">
        <v>39</v>
      </c>
      <c r="M637" s="30">
        <f t="shared" ref="M637" si="1923">IFERROR(_xlfn.QUARTILE.EXC($P630:$XX630,3),"")</f>
        <v>284.39</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f t="shared" si="1831"/>
        <v>30</v>
      </c>
      <c r="C638" s="128">
        <f t="shared" si="1832"/>
        <v>1</v>
      </c>
      <c r="D638" s="127">
        <f t="shared" si="1832"/>
        <v>30</v>
      </c>
      <c r="E638" s="201"/>
      <c r="F638" s="93"/>
      <c r="G638" s="203"/>
      <c r="H638" s="134">
        <f t="shared" ref="H638" si="1925">COUNT($P638:$XX638)</f>
        <v>3</v>
      </c>
      <c r="I638" s="132">
        <f t="shared" ref="I638" si="1926">_xlfn.STDEV.P($P637:$XX638)/AVERAGE($P637:$XX638)</f>
        <v>6.8026932665328087E-4</v>
      </c>
      <c r="J638" s="7">
        <f t="shared" ref="J638" si="1927">IF(AND(H638&gt;2,
OR(L624="MÉDIA SANEADA",L624="MEDIANA SANEADA",
AND(L624="PREÇO ESTIMADO",NOT(AND(P626="Orçamento",COUNTA(P624:XX624)=COUNTIF(P626:XX626,"Orçamento")))))),
ROW(),0)</f>
        <v>638</v>
      </c>
      <c r="K638" s="66"/>
      <c r="L638" s="29" t="s">
        <v>42</v>
      </c>
      <c r="M638" s="30">
        <f t="shared" ref="M638" si="1928">MIN($P630:$XX630)</f>
        <v>283.98</v>
      </c>
      <c r="N638" s="71"/>
      <c r="O638" s="27" t="str">
        <f t="shared" ref="O638" si="1929">"4 RODADA"</f>
        <v>4 RODADA</v>
      </c>
      <c r="P638" s="107">
        <f t="shared" ref="P638:AI638" si="1930">IF(P636="","",IF((_xlfn.STDEV.P($P635:$XX636)/AVERAGE($P635:$XX636))&lt;=25%,P636,IF(OR(P636&gt;(AVERAGE($P635:$XX636)+_xlfn.STDEV.P($P635:$XX636)),P636&lt;(AVERAGE($P635:$XX636)-_xlfn.STDEV.P($P635:$XX636))),"DESCARTADO",P636)))</f>
        <v>283.98</v>
      </c>
      <c r="Q638" s="107">
        <f t="shared" si="1930"/>
        <v>283.98</v>
      </c>
      <c r="R638" s="107">
        <f t="shared" si="1930"/>
        <v>284.39</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f t="shared" si="1831"/>
        <v>30</v>
      </c>
      <c r="C639" s="128">
        <f t="shared" si="1832"/>
        <v>1</v>
      </c>
      <c r="D639" s="127">
        <f t="shared" si="1832"/>
        <v>30</v>
      </c>
      <c r="E639" s="201"/>
      <c r="F639" s="93"/>
      <c r="G639" s="203"/>
      <c r="H639"/>
      <c r="I639"/>
      <c r="J639"/>
      <c r="K639" s="66"/>
      <c r="L639" s="29" t="s">
        <v>40</v>
      </c>
      <c r="M639" s="30">
        <f t="shared" ref="M639" si="1931">MAX($P630:$XX630)</f>
        <v>284.39</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f t="shared" si="1831"/>
        <v>30</v>
      </c>
      <c r="C640" s="128">
        <f t="shared" si="1832"/>
        <v>1</v>
      </c>
      <c r="D640" s="127">
        <f t="shared" si="1832"/>
        <v>30</v>
      </c>
      <c r="E640" s="201"/>
      <c r="F640" s="93"/>
      <c r="G640" s="203"/>
      <c r="H640" s="134">
        <f t="shared" ref="H640" si="1933">COUNT($P640:$XX640)</f>
        <v>3</v>
      </c>
      <c r="I640" s="132">
        <f t="shared" ref="I640" si="1934">_xlfn.STDEV.P($P639:$XX640)/AVERAGE($P639:$XX640)</f>
        <v>6.8026932665328087E-4</v>
      </c>
      <c r="J640" s="7">
        <f t="shared" ref="J640" si="1935">IF(AND(H640&gt;2,
OR(L624="MÉDIA SANEADA",L624="MEDIANA SANEADA",
AND(L624="PREÇO ESTIMADO",NOT(AND(P626="Orçamento",COUNTA(P624:XX624)=COUNTIF(P626:XX626,"Orçamento")))))),
ROW(),0)</f>
        <v>640</v>
      </c>
      <c r="K640" s="66"/>
      <c r="N640" s="71"/>
      <c r="O640" s="27" t="str">
        <f t="shared" ref="O640" si="1936">"5 RODADA"</f>
        <v>5 RODADA</v>
      </c>
      <c r="P640" s="107">
        <f t="shared" ref="P640:AI640" si="1937">IF(P638="","",IF((_xlfn.STDEV.P($P637:$XX638)/AVERAGE($P637:$XX638))&lt;=25%,P638,IF(OR(P638&gt;(AVERAGE($P637:$XX638)+_xlfn.STDEV.P($P637:$XX638)),P638&lt;(AVERAGE($P637:$XX638)-_xlfn.STDEV.P($P637:$XX638))),"DESCARTADO",P638)))</f>
        <v>283.98</v>
      </c>
      <c r="Q640" s="107">
        <f t="shared" si="1937"/>
        <v>283.98</v>
      </c>
      <c r="R640" s="107">
        <f t="shared" si="1937"/>
        <v>284.39</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f t="shared" si="1831"/>
        <v>30</v>
      </c>
      <c r="C641" s="128">
        <f t="shared" si="1832"/>
        <v>1</v>
      </c>
      <c r="D641" s="127">
        <f t="shared" si="1832"/>
        <v>30</v>
      </c>
      <c r="E641" s="201"/>
      <c r="F641" s="93"/>
      <c r="G641" s="203"/>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f t="shared" si="1831"/>
        <v>30</v>
      </c>
      <c r="C642" s="128">
        <f t="shared" si="1832"/>
        <v>1</v>
      </c>
      <c r="D642" s="127">
        <f t="shared" si="1832"/>
        <v>30</v>
      </c>
      <c r="E642" s="201"/>
      <c r="F642" s="93"/>
      <c r="G642" s="203"/>
      <c r="H642" s="134">
        <f t="shared" ref="H642" si="1939">COUNT($P642:$XX642)</f>
        <v>3</v>
      </c>
      <c r="I642" s="132">
        <f t="shared" ref="I642" si="1940">_xlfn.STDEV.P($P641:$XX642)/AVERAGE($P641:$XX642)</f>
        <v>6.8026932665328087E-4</v>
      </c>
      <c r="J642" s="7">
        <f t="shared" ref="J642" si="1941">IF(AND(H642&gt;2,
OR(L624="MÉDIA SANEADA",L624="MEDIANA SANEADA",
AND(L624="PREÇO ESTIMADO",NOT(AND(P626="Orçamento",COUNTA(P624:XX624)=COUNTIF(P626:XX626,"Orçamento")))))),
ROW(),0)</f>
        <v>642</v>
      </c>
      <c r="N642" s="71"/>
      <c r="O642" s="27" t="str">
        <f t="shared" ref="O642" si="1942">"6 RODADA"</f>
        <v>6 RODADA</v>
      </c>
      <c r="P642" s="107">
        <f t="shared" ref="P642:AI642" si="1943">IFERROR(IF(P640="","",IF((_xlfn.STDEV.P($P639:$XX640)/AVERAGE($P639:$XX640))&lt;=25%,P640,IF(OR(P640&gt;(AVERAGE($P639:$XX640)+_xlfn.STDEV.P($P639:$XX640)),P640&lt;(AVERAGE($P639:$XX640)-_xlfn.STDEV.P($P639:$XX640))),"DESCARTADO",P640))),)</f>
        <v>283.98</v>
      </c>
      <c r="Q642" s="107">
        <f t="shared" si="1943"/>
        <v>283.98</v>
      </c>
      <c r="R642" s="107">
        <f t="shared" si="1943"/>
        <v>284.39</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f t="shared" si="1831"/>
        <v>30</v>
      </c>
      <c r="C643" s="128">
        <f t="shared" si="1832"/>
        <v>1</v>
      </c>
      <c r="D643" s="127">
        <f t="shared" si="1832"/>
        <v>30</v>
      </c>
      <c r="E643" s="201"/>
      <c r="F643" s="136"/>
      <c r="G643" s="203"/>
      <c r="H643" s="206"/>
      <c r="I643" s="206"/>
      <c r="J643" s="207"/>
      <c r="K643" s="67"/>
      <c r="L643" s="1" t="s">
        <v>43</v>
      </c>
      <c r="M643" s="143">
        <f t="shared" ref="M643" si="1944">IFERROR(ROUND(M624*M626,2),"")</f>
        <v>852.36</v>
      </c>
      <c r="O643" s="27" t="s">
        <v>363</v>
      </c>
      <c r="P643" s="107">
        <f t="shared" ref="P643:AI664" si="1945">INDEX(P630:P642,MATCH(MAX($J630:$J642),$J630:$J642,0))</f>
        <v>283.98</v>
      </c>
      <c r="Q643" s="107">
        <f t="shared" si="1945"/>
        <v>283.98</v>
      </c>
      <c r="R643" s="107">
        <f t="shared" si="1945"/>
        <v>284.39</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f t="shared" ref="B645" si="1946">LARGE(IFERROR(IF(B643+1&gt;$H$8,"",B643+1),""),1)</f>
        <v>31</v>
      </c>
      <c r="C645" s="127">
        <f>IF(_xlfn.ISFORMULA(E649),MAX(INDEX('BASE FORMAÇÃO'!A:A,B645+1),1),E649)</f>
        <v>1</v>
      </c>
      <c r="D645" s="127">
        <f t="shared" ref="D645" si="1947">IFERROR(IF(C645=C635,D635+1,1),1)</f>
        <v>31</v>
      </c>
      <c r="E645" s="38" t="s">
        <v>9</v>
      </c>
      <c r="F645" s="73"/>
      <c r="G645" s="38" t="s">
        <v>15</v>
      </c>
      <c r="H645" s="135">
        <f>INDEX('BASE FORMAÇÃO'!B:B,B645+1)</f>
        <v>0</v>
      </c>
      <c r="I645" s="181" t="s">
        <v>16</v>
      </c>
      <c r="J645" s="6">
        <f>INDEX('BASE FORMAÇÃO'!K:K,B645+1)</f>
        <v>0</v>
      </c>
      <c r="K645" s="65"/>
      <c r="L645" s="184" t="s">
        <v>10</v>
      </c>
      <c r="M645" s="186">
        <f t="shared" ref="M645" si="1948">IF(OR(ISBLANK($O$8),ISBLANK($O$7),ISBLANK($H$8),ISBLANK($O$6),ISBLANK($O$5),ISBLANK($H$5)),"",IFERROR(IF(VLOOKUP(L645,L651:M660,2,FALSE)&lt;1,ROUND(VLOOKUP(L645,L651:M660,2,FALSE),4),ROUND(VLOOKUP(L645,L651:M660,2,FALSE),2)),""))</f>
        <v>32.93</v>
      </c>
      <c r="N645" s="69"/>
      <c r="O645" s="27" t="s">
        <v>17</v>
      </c>
      <c r="P645" s="113">
        <v>35.9</v>
      </c>
      <c r="Q645" s="113">
        <v>34.9</v>
      </c>
      <c r="R645" s="113">
        <v>28</v>
      </c>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f t="shared" ref="B646:D646" si="1949">B645</f>
        <v>31</v>
      </c>
      <c r="C646" s="128">
        <f t="shared" si="1949"/>
        <v>1</v>
      </c>
      <c r="D646" s="127">
        <f t="shared" si="1949"/>
        <v>31</v>
      </c>
      <c r="E646" s="188">
        <f t="shared" ref="E646" si="1950">D645</f>
        <v>31</v>
      </c>
      <c r="F646" s="92"/>
      <c r="G646" s="190" t="s">
        <v>1</v>
      </c>
      <c r="H646" s="193" t="s">
        <v>554</v>
      </c>
      <c r="I646" s="194"/>
      <c r="J646" s="195"/>
      <c r="K646" s="66"/>
      <c r="L646" s="185"/>
      <c r="M646" s="187"/>
      <c r="N646" s="70"/>
      <c r="O646" s="27" t="s">
        <v>13</v>
      </c>
      <c r="P646" s="122">
        <v>46195</v>
      </c>
      <c r="Q646" s="122">
        <v>46195</v>
      </c>
      <c r="R646" s="122">
        <v>46195</v>
      </c>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f t="shared" ref="B647:D647" si="1951">B646</f>
        <v>31</v>
      </c>
      <c r="C647" s="128">
        <f t="shared" si="1951"/>
        <v>1</v>
      </c>
      <c r="D647" s="127">
        <f t="shared" si="1951"/>
        <v>31</v>
      </c>
      <c r="E647" s="189"/>
      <c r="F647" s="93"/>
      <c r="G647" s="191"/>
      <c r="H647" s="196"/>
      <c r="I647" s="196"/>
      <c r="J647" s="197"/>
      <c r="K647" s="64"/>
      <c r="L647" s="130" t="s">
        <v>44</v>
      </c>
      <c r="M647" s="131">
        <v>4</v>
      </c>
      <c r="N647" s="71"/>
      <c r="O647" s="27" t="s">
        <v>380</v>
      </c>
      <c r="P647" s="114" t="s">
        <v>302</v>
      </c>
      <c r="Q647" s="114" t="s">
        <v>302</v>
      </c>
      <c r="R647" s="114" t="s">
        <v>302</v>
      </c>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f t="shared" ref="B648:C648" si="1952">B647</f>
        <v>31</v>
      </c>
      <c r="C648" s="128">
        <f t="shared" si="1952"/>
        <v>1</v>
      </c>
      <c r="D648" s="127">
        <f t="shared" si="1832"/>
        <v>31</v>
      </c>
      <c r="E648" s="38" t="s">
        <v>313</v>
      </c>
      <c r="F648" s="93"/>
      <c r="G648" s="192"/>
      <c r="H648" s="198"/>
      <c r="I648" s="198"/>
      <c r="J648" s="199"/>
      <c r="K648" s="64"/>
      <c r="L648" s="1" t="s">
        <v>2</v>
      </c>
      <c r="M648" s="6" t="s">
        <v>288</v>
      </c>
      <c r="N648" s="71"/>
      <c r="O648" s="27" t="s">
        <v>381</v>
      </c>
      <c r="P648" s="182" t="s">
        <v>555</v>
      </c>
      <c r="Q648" s="182" t="s">
        <v>556</v>
      </c>
      <c r="R648" s="182" t="s">
        <v>557</v>
      </c>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f t="shared" ref="B649:C649" si="1953">B647</f>
        <v>31</v>
      </c>
      <c r="C649" s="128">
        <f t="shared" si="1953"/>
        <v>1</v>
      </c>
      <c r="D649" s="127">
        <f t="shared" si="1832"/>
        <v>31</v>
      </c>
      <c r="E649" s="200">
        <f t="shared" ref="E649" si="1954">C645</f>
        <v>1</v>
      </c>
      <c r="F649" s="93"/>
      <c r="G649" s="202" t="s">
        <v>304</v>
      </c>
      <c r="H649" s="204"/>
      <c r="I649" s="205"/>
      <c r="J649" s="205"/>
      <c r="K649" s="67"/>
      <c r="L649" s="28" t="s">
        <v>303</v>
      </c>
      <c r="M649" s="133">
        <f t="shared" ref="M649" si="1955">IFERROR(INDEX(I651:I663,MATCH(MAX(J651:J663),J651:J663,0)),"")</f>
        <v>0.10664577801718118</v>
      </c>
      <c r="N649" s="71"/>
      <c r="O649" s="27" t="s">
        <v>18</v>
      </c>
      <c r="P649" s="106">
        <f>IF(P645="","",
IF(OR(P647="Orçamento",P646="",MAX('Tabela de Apoio'!$A:$A)&lt;=P646),
P645,
(INDEX('Tabela de Apoio'!$B:$B,MATCH('MAPA DE PREÇOS'!$O$8,'Tabela de Apoio'!$A:$A,1))/INDEX('Tabela de Apoio'!$B:$B,MATCH('MAPA DE PREÇOS'!P646,'Tabela de Apoio'!$A:$A,1)-1))*P645))</f>
        <v>35.9</v>
      </c>
      <c r="Q649" s="106">
        <f>IF(Q645="","",
IF(OR(Q647="Orçamento",Q646="",MAX('Tabela de Apoio'!$A:$A)&lt;=Q646),
Q645,
(INDEX('Tabela de Apoio'!$B:$B,MATCH('MAPA DE PREÇOS'!$O$8,'Tabela de Apoio'!$A:$A,1))/INDEX('Tabela de Apoio'!$B:$B,MATCH('MAPA DE PREÇOS'!Q646,'Tabela de Apoio'!$A:$A,1)-1))*Q645))</f>
        <v>34.9</v>
      </c>
      <c r="R649" s="106">
        <f>IF(R645="","",
IF(OR(R647="Orçamento",R646="",MAX('Tabela de Apoio'!$A:$A)&lt;=R646),
R645,
(INDEX('Tabela de Apoio'!$B:$B,MATCH('MAPA DE PREÇOS'!$O$8,'Tabela de Apoio'!$A:$A,1))/INDEX('Tabela de Apoio'!$B:$B,MATCH('MAPA DE PREÇOS'!R646,'Tabela de Apoio'!$A:$A,1)-1))*R645))</f>
        <v>28</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f t="shared" ref="B650" si="1956">B649</f>
        <v>31</v>
      </c>
      <c r="C650" s="128">
        <f t="shared" ref="C650" si="1957">C649</f>
        <v>1</v>
      </c>
      <c r="D650" s="127">
        <f t="shared" si="1832"/>
        <v>31</v>
      </c>
      <c r="E650" s="201"/>
      <c r="F650" s="93"/>
      <c r="G650" s="203"/>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f t="shared" ref="B651:C651" si="1958">B650</f>
        <v>31</v>
      </c>
      <c r="C651" s="128">
        <f t="shared" si="1958"/>
        <v>1</v>
      </c>
      <c r="D651" s="127">
        <f t="shared" si="1832"/>
        <v>31</v>
      </c>
      <c r="E651" s="201"/>
      <c r="F651" s="93"/>
      <c r="G651" s="203"/>
      <c r="H651" s="134">
        <f t="shared" ref="H651" si="1959">COUNT($P651:$XX651)</f>
        <v>3</v>
      </c>
      <c r="I651" s="132">
        <f t="shared" ref="I651" si="1960">_xlfn.STDEV.P($P650:$XX651)/AVERAGE($P650:$XX651)</f>
        <v>0.10664577801718118</v>
      </c>
      <c r="J651" s="7">
        <f>ROW()</f>
        <v>651</v>
      </c>
      <c r="K651" s="67"/>
      <c r="L651" s="29" t="s">
        <v>10</v>
      </c>
      <c r="M651" s="30">
        <f t="shared" ref="M651" si="1961">IFERROR(
IF(COUNTA(P645:AI645)=COUNTIF(P647:XX647,"Orçamento"),MIN(M656,M653),
IF(M654&lt;&gt;"",M654,
IF(M655&lt;&gt;"",M655,
M653
))),"")</f>
        <v>32.93333333333333</v>
      </c>
      <c r="N651" s="71"/>
      <c r="O651" s="27" t="s">
        <v>376</v>
      </c>
      <c r="P651" s="106">
        <f t="shared" ref="P651:AI651" si="1962">IFERROR(IF(P649="",
            "",
            IF(COUNT($P649:$XX649)&lt;=4,
               P649,
               IF(OR(P649&gt;(QUARTILE($P649:$XX649,3)+(QUARTILE($P649:$XX649,3)-QUARTILE($P649:$XX649,1))),
                     P649&lt;(QUARTILE($P649:$XX649,1)-(QUARTILE($P649:$XX649,3)-QUARTILE($P649:$XX649,1)))
                  ),
               "DESCARTADO",P649)
             )
  ),P649)</f>
        <v>35.9</v>
      </c>
      <c r="Q651" s="106">
        <f t="shared" si="1962"/>
        <v>34.9</v>
      </c>
      <c r="R651" s="106">
        <f t="shared" si="1962"/>
        <v>28</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f t="shared" ref="B652" si="1963">B651</f>
        <v>31</v>
      </c>
      <c r="C652" s="128">
        <f t="shared" ref="C652" si="1964">C651</f>
        <v>1</v>
      </c>
      <c r="D652" s="127">
        <f t="shared" si="1832"/>
        <v>31</v>
      </c>
      <c r="E652" s="201"/>
      <c r="F652" s="93"/>
      <c r="G652" s="203"/>
      <c r="H652"/>
      <c r="I652"/>
      <c r="J652"/>
      <c r="K652" s="66"/>
      <c r="L652" s="29" t="s">
        <v>360</v>
      </c>
      <c r="M652" s="30">
        <f t="shared" ref="M652" si="1965">AVERAGE($P651:$XX651)</f>
        <v>32.93333333333333</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f t="shared" si="1831"/>
        <v>31</v>
      </c>
      <c r="C653" s="128">
        <f t="shared" si="1832"/>
        <v>1</v>
      </c>
      <c r="D653" s="127">
        <f t="shared" si="1832"/>
        <v>31</v>
      </c>
      <c r="E653" s="201"/>
      <c r="F653" s="93"/>
      <c r="G653" s="203"/>
      <c r="H653" s="134">
        <f t="shared" ref="H653" si="1967">COUNT($P653:$XX653)</f>
        <v>3</v>
      </c>
      <c r="I653" s="132">
        <f t="shared" ref="I653" si="1968">_xlfn.STDEV.P($P652:$XX653)/AVERAGE($P652:$XX653)</f>
        <v>0.10664577801718118</v>
      </c>
      <c r="J653" s="7">
        <f t="shared" ref="J653" si="1969">IF(AND(H653&gt;2,
OR(L645="MÉDIA SANEADA",L645="MEDIANA SANEADA",
AND(L645="PREÇO ESTIMADO",NOT(AND(P647="Orçamento",COUNTA(P645:XX645)=COUNTIF(P647:XX647,"Orçamento")))))),
ROW(),0)</f>
        <v>653</v>
      </c>
      <c r="K653" s="66"/>
      <c r="L653" s="29" t="s">
        <v>361</v>
      </c>
      <c r="M653" s="30">
        <f t="shared" ref="M653" si="1970">MEDIAN($P651:$XX651)</f>
        <v>34.9</v>
      </c>
      <c r="N653" s="71"/>
      <c r="O653" s="27" t="str">
        <f t="shared" ref="O653" si="1971">"1 RODADA"</f>
        <v>1 RODADA</v>
      </c>
      <c r="P653" s="107">
        <f t="shared" ref="P653:AI653" si="1972">IF(P651="","",IF((_xlfn.STDEV.P($P650:$XX651)/AVERAGE($P650:$XX651))&lt;=25%,P651,IF(OR(P651&gt;(AVERAGE($P650:$XX651)+_xlfn.STDEV.P($P650:$XX651)),P651&lt;(AVERAGE($P650:$XX651)-_xlfn.STDEV.P($P650:$XX651))),"DESCARTADO",P651)))</f>
        <v>35.9</v>
      </c>
      <c r="Q653" s="107">
        <f t="shared" si="1972"/>
        <v>34.9</v>
      </c>
      <c r="R653" s="107">
        <f t="shared" si="1972"/>
        <v>28</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f t="shared" si="1831"/>
        <v>31</v>
      </c>
      <c r="C654" s="128">
        <f t="shared" si="1832"/>
        <v>1</v>
      </c>
      <c r="D654" s="127">
        <f t="shared" si="1832"/>
        <v>31</v>
      </c>
      <c r="E654" s="201"/>
      <c r="F654" s="93"/>
      <c r="G654" s="203"/>
      <c r="H654"/>
      <c r="I654"/>
      <c r="J654"/>
      <c r="L654" s="29" t="s">
        <v>38</v>
      </c>
      <c r="M654" s="30">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32.93333333333333</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f t="shared" si="1831"/>
        <v>31</v>
      </c>
      <c r="C655" s="128">
        <f t="shared" si="1832"/>
        <v>1</v>
      </c>
      <c r="D655" s="127">
        <f t="shared" si="1832"/>
        <v>31</v>
      </c>
      <c r="E655" s="201"/>
      <c r="F655" s="93"/>
      <c r="G655" s="203"/>
      <c r="H655" s="134">
        <f t="shared" ref="H655" si="1975">COUNT($P655:$XX655)</f>
        <v>3</v>
      </c>
      <c r="I655" s="132">
        <f t="shared" ref="I655" si="1976">_xlfn.STDEV.P($P654:$XX655)/AVERAGE($P654:$XX655)</f>
        <v>0.10664577801718118</v>
      </c>
      <c r="J655" s="7">
        <f t="shared" ref="J655" si="1977">IF(AND(H655&gt;2,
OR(L645="MÉDIA SANEADA",L645="MEDIANA SANEADA",
AND(L645="PREÇO ESTIMADO",NOT(AND(P647="Orçamento",COUNTA(P645:XX645)=COUNTIF(P647:XX647,"Orçamento")))))),
ROW(),0)</f>
        <v>655</v>
      </c>
      <c r="K655" s="66"/>
      <c r="L655" s="29" t="s">
        <v>362</v>
      </c>
      <c r="M655" s="30">
        <f t="shared" ref="M655" si="1978" xml:space="preserve">
IF(H653&gt;2,MEDIAN(P652:XX653),
IF(H655&gt;2,MEDIAN(P654:XX655),
IF(H657&gt;2,MEDIAN(P656:XX657),
IF(H659&gt;2,MEDIAN(P658:XX659),
IF(H661&gt;2,MEDIAN(P660:XX661),
IF(H663&gt;2,MEDIAN(P662:XX663),
MEDIAN(P650:XX651)))))))</f>
        <v>34.9</v>
      </c>
      <c r="N655" s="71"/>
      <c r="O655" s="27" t="str">
        <f t="shared" ref="O655" si="1979">"2 RODADA"</f>
        <v>2 RODADA</v>
      </c>
      <c r="P655" s="107">
        <f t="shared" ref="P655:AI655" si="1980">IF(P653="","",IF((_xlfn.STDEV.P($P652:$XX653)/AVERAGE($P652:$XX653))&lt;=25%,P653,IF(OR(P653&gt;(AVERAGE($P652:$XX653)+_xlfn.STDEV.P($P652:$XX653)),P653&lt;(AVERAGE($P652:$XX653)-_xlfn.STDEV.P($P652:$XX653))),"DESCARTADO",P653)))</f>
        <v>35.9</v>
      </c>
      <c r="Q655" s="107">
        <f t="shared" si="1980"/>
        <v>34.9</v>
      </c>
      <c r="R655" s="107">
        <f t="shared" si="1980"/>
        <v>28</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f t="shared" si="1831"/>
        <v>31</v>
      </c>
      <c r="C656" s="128">
        <f t="shared" si="1832"/>
        <v>1</v>
      </c>
      <c r="D656" s="127">
        <f t="shared" si="1832"/>
        <v>31</v>
      </c>
      <c r="E656" s="201"/>
      <c r="F656" s="93"/>
      <c r="G656" s="203"/>
      <c r="H656"/>
      <c r="I656"/>
      <c r="J656"/>
      <c r="K656" s="66"/>
      <c r="L656" s="29" t="s">
        <v>359</v>
      </c>
      <c r="M656" s="30">
        <f t="shared" ref="M656" si="1981">HARMEAN($P650:$XX651)</f>
        <v>32.529939943931183</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f t="shared" si="1831"/>
        <v>31</v>
      </c>
      <c r="C657" s="128">
        <f t="shared" si="1832"/>
        <v>1</v>
      </c>
      <c r="D657" s="127">
        <f t="shared" si="1832"/>
        <v>31</v>
      </c>
      <c r="E657" s="201"/>
      <c r="F657" s="93"/>
      <c r="G657" s="203"/>
      <c r="H657" s="134">
        <f t="shared" ref="H657" si="1983">COUNT($P657:$XX657)</f>
        <v>3</v>
      </c>
      <c r="I657" s="132">
        <f t="shared" ref="I657" si="1984">_xlfn.STDEV.P($P656:$XX657)/AVERAGE($P656:$XX657)</f>
        <v>0.10664577801718118</v>
      </c>
      <c r="J657" s="7">
        <f t="shared" ref="J657" si="1985">IF(AND(H657&gt;2,
OR(L645="MÉDIA SANEADA",L645="MEDIANA SANEADA",
AND(L645="PREÇO ESTIMADO",NOT(AND(P647="Orçamento",COUNTA(P645:XX645)=COUNTIF(P647:XX647,"Orçamento")))))),
ROW(),0)</f>
        <v>657</v>
      </c>
      <c r="K657" s="66"/>
      <c r="L657" s="29" t="s">
        <v>41</v>
      </c>
      <c r="M657" s="30">
        <f t="shared" ref="M657" si="1986">IFERROR(_xlfn.QUARTILE.EXC($P651:$XX651,1),"")</f>
        <v>28</v>
      </c>
      <c r="N657" s="71"/>
      <c r="O657" s="27" t="str">
        <f t="shared" ref="O657" si="1987">"3 RODADA"</f>
        <v>3 RODADA</v>
      </c>
      <c r="P657" s="107">
        <f t="shared" ref="P657:AI657" si="1988">IF(P655="","",IF((_xlfn.STDEV.P($P654:$XX655)/AVERAGE($P654:$XX655))&lt;=25%,P655,IF(OR(P655&gt;(AVERAGE($P654:$XX655)+_xlfn.STDEV.P($P654:$XX655)),P655&lt;(AVERAGE($P654:$XX655)-_xlfn.STDEV.P($P654:$XX655))),"DESCARTADO",P655)))</f>
        <v>35.9</v>
      </c>
      <c r="Q657" s="107">
        <f t="shared" si="1988"/>
        <v>34.9</v>
      </c>
      <c r="R657" s="107">
        <f t="shared" si="1988"/>
        <v>28</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f t="shared" si="1831"/>
        <v>31</v>
      </c>
      <c r="C658" s="128">
        <f t="shared" si="1832"/>
        <v>1</v>
      </c>
      <c r="D658" s="127">
        <f t="shared" si="1832"/>
        <v>31</v>
      </c>
      <c r="E658" s="201"/>
      <c r="F658" s="93"/>
      <c r="G658" s="203"/>
      <c r="H658"/>
      <c r="I658"/>
      <c r="J658"/>
      <c r="K658" s="66"/>
      <c r="L658" s="29" t="s">
        <v>39</v>
      </c>
      <c r="M658" s="30">
        <f t="shared" ref="M658" si="1989">IFERROR(_xlfn.QUARTILE.EXC($P651:$XX651,3),"")</f>
        <v>35.9</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f t="shared" si="1831"/>
        <v>31</v>
      </c>
      <c r="C659" s="128">
        <f t="shared" si="1832"/>
        <v>1</v>
      </c>
      <c r="D659" s="127">
        <f t="shared" si="1832"/>
        <v>31</v>
      </c>
      <c r="E659" s="201"/>
      <c r="F659" s="93"/>
      <c r="G659" s="203"/>
      <c r="H659" s="134">
        <f t="shared" ref="H659" si="1991">COUNT($P659:$XX659)</f>
        <v>3</v>
      </c>
      <c r="I659" s="132">
        <f t="shared" ref="I659" si="1992">_xlfn.STDEV.P($P658:$XX659)/AVERAGE($P658:$XX659)</f>
        <v>0.10664577801718118</v>
      </c>
      <c r="J659" s="7">
        <f t="shared" ref="J659" si="1993">IF(AND(H659&gt;2,
OR(L645="MÉDIA SANEADA",L645="MEDIANA SANEADA",
AND(L645="PREÇO ESTIMADO",NOT(AND(P647="Orçamento",COUNTA(P645:XX645)=COUNTIF(P647:XX647,"Orçamento")))))),
ROW(),0)</f>
        <v>659</v>
      </c>
      <c r="K659" s="66"/>
      <c r="L659" s="29" t="s">
        <v>42</v>
      </c>
      <c r="M659" s="30">
        <f t="shared" ref="M659" si="1994">MIN($P651:$XX651)</f>
        <v>28</v>
      </c>
      <c r="N659" s="71"/>
      <c r="O659" s="27" t="str">
        <f t="shared" ref="O659" si="1995">"4 RODADA"</f>
        <v>4 RODADA</v>
      </c>
      <c r="P659" s="107">
        <f t="shared" ref="P659:AI659" si="1996">IF(P657="","",IF((_xlfn.STDEV.P($P656:$XX657)/AVERAGE($P656:$XX657))&lt;=25%,P657,IF(OR(P657&gt;(AVERAGE($P656:$XX657)+_xlfn.STDEV.P($P656:$XX657)),P657&lt;(AVERAGE($P656:$XX657)-_xlfn.STDEV.P($P656:$XX657))),"DESCARTADO",P657)))</f>
        <v>35.9</v>
      </c>
      <c r="Q659" s="107">
        <f t="shared" si="1996"/>
        <v>34.9</v>
      </c>
      <c r="R659" s="107">
        <f t="shared" si="1996"/>
        <v>28</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f t="shared" si="1831"/>
        <v>31</v>
      </c>
      <c r="C660" s="128">
        <f t="shared" si="1832"/>
        <v>1</v>
      </c>
      <c r="D660" s="127">
        <f t="shared" si="1832"/>
        <v>31</v>
      </c>
      <c r="E660" s="201"/>
      <c r="F660" s="93"/>
      <c r="G660" s="203"/>
      <c r="H660"/>
      <c r="I660"/>
      <c r="J660"/>
      <c r="K660" s="66"/>
      <c r="L660" s="29" t="s">
        <v>40</v>
      </c>
      <c r="M660" s="30">
        <f t="shared" ref="M660" si="1997">MAX($P651:$XX651)</f>
        <v>35.9</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f t="shared" si="1831"/>
        <v>31</v>
      </c>
      <c r="C661" s="128">
        <f t="shared" si="1832"/>
        <v>1</v>
      </c>
      <c r="D661" s="127">
        <f t="shared" si="1832"/>
        <v>31</v>
      </c>
      <c r="E661" s="201"/>
      <c r="F661" s="93"/>
      <c r="G661" s="203"/>
      <c r="H661" s="134">
        <f t="shared" ref="H661" si="1999">COUNT($P661:$XX661)</f>
        <v>3</v>
      </c>
      <c r="I661" s="132">
        <f t="shared" ref="I661" si="2000">_xlfn.STDEV.P($P660:$XX661)/AVERAGE($P660:$XX661)</f>
        <v>0.10664577801718118</v>
      </c>
      <c r="J661" s="7">
        <f t="shared" ref="J661" si="2001">IF(AND(H661&gt;2,
OR(L645="MÉDIA SANEADA",L645="MEDIANA SANEADA",
AND(L645="PREÇO ESTIMADO",NOT(AND(P647="Orçamento",COUNTA(P645:XX645)=COUNTIF(P647:XX647,"Orçamento")))))),
ROW(),0)</f>
        <v>661</v>
      </c>
      <c r="K661" s="66"/>
      <c r="N661" s="71"/>
      <c r="O661" s="27" t="str">
        <f t="shared" ref="O661" si="2002">"5 RODADA"</f>
        <v>5 RODADA</v>
      </c>
      <c r="P661" s="107">
        <f t="shared" ref="P661:AI661" si="2003">IF(P659="","",IF((_xlfn.STDEV.P($P658:$XX659)/AVERAGE($P658:$XX659))&lt;=25%,P659,IF(OR(P659&gt;(AVERAGE($P658:$XX659)+_xlfn.STDEV.P($P658:$XX659)),P659&lt;(AVERAGE($P658:$XX659)-_xlfn.STDEV.P($P658:$XX659))),"DESCARTADO",P659)))</f>
        <v>35.9</v>
      </c>
      <c r="Q661" s="107">
        <f t="shared" si="2003"/>
        <v>34.9</v>
      </c>
      <c r="R661" s="107">
        <f t="shared" si="2003"/>
        <v>28</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f t="shared" si="1831"/>
        <v>31</v>
      </c>
      <c r="C662" s="128">
        <f t="shared" si="1832"/>
        <v>1</v>
      </c>
      <c r="D662" s="127">
        <f t="shared" si="1832"/>
        <v>31</v>
      </c>
      <c r="E662" s="201"/>
      <c r="F662" s="93"/>
      <c r="G662" s="203"/>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f t="shared" si="1831"/>
        <v>31</v>
      </c>
      <c r="C663" s="128">
        <f t="shared" si="1832"/>
        <v>1</v>
      </c>
      <c r="D663" s="127">
        <f t="shared" si="1832"/>
        <v>31</v>
      </c>
      <c r="E663" s="201"/>
      <c r="F663" s="93"/>
      <c r="G663" s="203"/>
      <c r="H663" s="134">
        <f t="shared" ref="H663" si="2005">COUNT($P663:$XX663)</f>
        <v>3</v>
      </c>
      <c r="I663" s="132">
        <f t="shared" ref="I663" si="2006">_xlfn.STDEV.P($P662:$XX663)/AVERAGE($P662:$XX663)</f>
        <v>0.10664577801718118</v>
      </c>
      <c r="J663" s="7">
        <f t="shared" ref="J663" si="2007">IF(AND(H663&gt;2,
OR(L645="MÉDIA SANEADA",L645="MEDIANA SANEADA",
AND(L645="PREÇO ESTIMADO",NOT(AND(P647="Orçamento",COUNTA(P645:XX645)=COUNTIF(P647:XX647,"Orçamento")))))),
ROW(),0)</f>
        <v>663</v>
      </c>
      <c r="N663" s="71"/>
      <c r="O663" s="27" t="str">
        <f t="shared" ref="O663" si="2008">"6 RODADA"</f>
        <v>6 RODADA</v>
      </c>
      <c r="P663" s="107">
        <f t="shared" ref="P663:AI663" si="2009">IFERROR(IF(P661="","",IF((_xlfn.STDEV.P($P660:$XX661)/AVERAGE($P660:$XX661))&lt;=25%,P661,IF(OR(P661&gt;(AVERAGE($P660:$XX661)+_xlfn.STDEV.P($P660:$XX661)),P661&lt;(AVERAGE($P660:$XX661)-_xlfn.STDEV.P($P660:$XX661))),"DESCARTADO",P661))),)</f>
        <v>35.9</v>
      </c>
      <c r="Q663" s="107">
        <f t="shared" si="2009"/>
        <v>34.9</v>
      </c>
      <c r="R663" s="107">
        <f t="shared" si="2009"/>
        <v>28</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f t="shared" si="1831"/>
        <v>31</v>
      </c>
      <c r="C664" s="128">
        <f t="shared" si="1832"/>
        <v>1</v>
      </c>
      <c r="D664" s="127">
        <f t="shared" si="1832"/>
        <v>31</v>
      </c>
      <c r="E664" s="201"/>
      <c r="F664" s="136"/>
      <c r="G664" s="203"/>
      <c r="H664" s="206"/>
      <c r="I664" s="206"/>
      <c r="J664" s="207"/>
      <c r="K664" s="67"/>
      <c r="L664" s="1" t="s">
        <v>43</v>
      </c>
      <c r="M664" s="143">
        <f t="shared" ref="M664" si="2010">IFERROR(ROUND(M645*M647,2),"")</f>
        <v>131.72</v>
      </c>
      <c r="O664" s="27" t="s">
        <v>363</v>
      </c>
      <c r="P664" s="107">
        <f t="shared" ref="P664:R664" si="2011">INDEX(P651:P663,MATCH(MAX($J651:$J663),$J651:$J663,0))</f>
        <v>35.9</v>
      </c>
      <c r="Q664" s="107">
        <f t="shared" si="2011"/>
        <v>34.9</v>
      </c>
      <c r="R664" s="107">
        <f t="shared" si="2011"/>
        <v>28</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f t="shared" ref="B666" si="2012">LARGE(IFERROR(IF(B664+1&gt;$H$8,"",B664+1),""),1)</f>
        <v>32</v>
      </c>
      <c r="C666" s="127">
        <f>IF(_xlfn.ISFORMULA(E670),MAX(INDEX('BASE FORMAÇÃO'!A:A,B666+1),1),E670)</f>
        <v>1</v>
      </c>
      <c r="D666" s="127">
        <f t="shared" ref="D666" si="2013">IFERROR(IF(C666=C656,D656+1,1),1)</f>
        <v>32</v>
      </c>
      <c r="E666" s="38" t="s">
        <v>9</v>
      </c>
      <c r="F666" s="73"/>
      <c r="G666" s="38" t="s">
        <v>15</v>
      </c>
      <c r="H666" s="135">
        <f>INDEX('BASE FORMAÇÃO'!B:B,B666+1)</f>
        <v>0</v>
      </c>
      <c r="I666" s="181" t="s">
        <v>16</v>
      </c>
      <c r="J666" s="6">
        <f>INDEX('BASE FORMAÇÃO'!K:K,B666+1)</f>
        <v>0</v>
      </c>
      <c r="K666" s="65"/>
      <c r="L666" s="184" t="s">
        <v>10</v>
      </c>
      <c r="M666" s="186">
        <f t="shared" ref="M666" si="2014">IF(OR(ISBLANK($O$8),ISBLANK($O$7),ISBLANK($H$8),ISBLANK($O$6),ISBLANK($O$5),ISBLANK($H$5)),"",IFERROR(IF(VLOOKUP(L666,L672:M681,2,FALSE)&lt;1,ROUND(VLOOKUP(L666,L672:M681,2,FALSE),4),ROUND(VLOOKUP(L666,L672:M681,2,FALSE),2)),""))</f>
        <v>93.9</v>
      </c>
      <c r="N666" s="69"/>
      <c r="O666" s="27" t="s">
        <v>17</v>
      </c>
      <c r="P666" s="113">
        <v>71.91</v>
      </c>
      <c r="Q666" s="113">
        <v>94.9</v>
      </c>
      <c r="R666" s="113">
        <v>114.9</v>
      </c>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f t="shared" ref="B667:D667" si="2015">B666</f>
        <v>32</v>
      </c>
      <c r="C667" s="128">
        <f t="shared" si="2015"/>
        <v>1</v>
      </c>
      <c r="D667" s="127">
        <f t="shared" si="2015"/>
        <v>32</v>
      </c>
      <c r="E667" s="188">
        <f t="shared" ref="E667" si="2016">D666</f>
        <v>32</v>
      </c>
      <c r="F667" s="92"/>
      <c r="G667" s="190" t="s">
        <v>1</v>
      </c>
      <c r="H667" s="193" t="s">
        <v>558</v>
      </c>
      <c r="I667" s="194"/>
      <c r="J667" s="195"/>
      <c r="K667" s="66"/>
      <c r="L667" s="185"/>
      <c r="M667" s="187"/>
      <c r="N667" s="70"/>
      <c r="O667" s="27" t="s">
        <v>13</v>
      </c>
      <c r="P667" s="122">
        <v>46195</v>
      </c>
      <c r="Q667" s="122">
        <v>46195</v>
      </c>
      <c r="R667" s="122">
        <v>46195</v>
      </c>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f t="shared" ref="B668:D668" si="2017">B667</f>
        <v>32</v>
      </c>
      <c r="C668" s="128">
        <f t="shared" si="2017"/>
        <v>1</v>
      </c>
      <c r="D668" s="127">
        <f t="shared" si="2017"/>
        <v>32</v>
      </c>
      <c r="E668" s="189"/>
      <c r="F668" s="93"/>
      <c r="G668" s="191"/>
      <c r="H668" s="196"/>
      <c r="I668" s="196"/>
      <c r="J668" s="197"/>
      <c r="K668" s="64"/>
      <c r="L668" s="130" t="s">
        <v>44</v>
      </c>
      <c r="M668" s="131">
        <v>6</v>
      </c>
      <c r="N668" s="71"/>
      <c r="O668" s="27" t="s">
        <v>380</v>
      </c>
      <c r="P668" s="114" t="s">
        <v>302</v>
      </c>
      <c r="Q668" s="114" t="s">
        <v>302</v>
      </c>
      <c r="R668" s="114" t="s">
        <v>302</v>
      </c>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f t="shared" ref="B669:C669" si="2018">B668</f>
        <v>32</v>
      </c>
      <c r="C669" s="128">
        <f t="shared" si="2018"/>
        <v>1</v>
      </c>
      <c r="D669" s="127">
        <f t="shared" si="1832"/>
        <v>32</v>
      </c>
      <c r="E669" s="38" t="s">
        <v>313</v>
      </c>
      <c r="F669" s="93"/>
      <c r="G669" s="192"/>
      <c r="H669" s="198"/>
      <c r="I669" s="198"/>
      <c r="J669" s="199"/>
      <c r="K669" s="64"/>
      <c r="L669" s="1" t="s">
        <v>2</v>
      </c>
      <c r="M669" s="6" t="s">
        <v>288</v>
      </c>
      <c r="N669" s="71"/>
      <c r="O669" s="27" t="s">
        <v>381</v>
      </c>
      <c r="P669" s="182" t="s">
        <v>559</v>
      </c>
      <c r="Q669" s="182" t="s">
        <v>560</v>
      </c>
      <c r="R669" s="182" t="s">
        <v>561</v>
      </c>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f t="shared" ref="B670:C670" si="2019">B668</f>
        <v>32</v>
      </c>
      <c r="C670" s="128">
        <f t="shared" si="2019"/>
        <v>1</v>
      </c>
      <c r="D670" s="127">
        <f t="shared" si="1832"/>
        <v>32</v>
      </c>
      <c r="E670" s="200">
        <f t="shared" ref="E670" si="2020">C666</f>
        <v>1</v>
      </c>
      <c r="F670" s="93"/>
      <c r="G670" s="202" t="s">
        <v>304</v>
      </c>
      <c r="H670" s="204"/>
      <c r="I670" s="205"/>
      <c r="J670" s="205"/>
      <c r="K670" s="67"/>
      <c r="L670" s="28" t="s">
        <v>303</v>
      </c>
      <c r="M670" s="133">
        <f t="shared" ref="M670" si="2021">IFERROR(INDEX(I672:I684,MATCH(MAX(J672:J684),J672:J684,0)),"")</f>
        <v>0.18705127295316937</v>
      </c>
      <c r="N670" s="71"/>
      <c r="O670" s="27" t="s">
        <v>18</v>
      </c>
      <c r="P670" s="106">
        <f>IF(P666="","",
IF(OR(P668="Orçamento",P667="",MAX('Tabela de Apoio'!$A:$A)&lt;=P667),
P666,
(INDEX('Tabela de Apoio'!$B:$B,MATCH('MAPA DE PREÇOS'!$O$8,'Tabela de Apoio'!$A:$A,1))/INDEX('Tabela de Apoio'!$B:$B,MATCH('MAPA DE PREÇOS'!P667,'Tabela de Apoio'!$A:$A,1)-1))*P666))</f>
        <v>71.91</v>
      </c>
      <c r="Q670" s="106">
        <f>IF(Q666="","",
IF(OR(Q668="Orçamento",Q667="",MAX('Tabela de Apoio'!$A:$A)&lt;=Q667),
Q666,
(INDEX('Tabela de Apoio'!$B:$B,MATCH('MAPA DE PREÇOS'!$O$8,'Tabela de Apoio'!$A:$A,1))/INDEX('Tabela de Apoio'!$B:$B,MATCH('MAPA DE PREÇOS'!Q667,'Tabela de Apoio'!$A:$A,1)-1))*Q666))</f>
        <v>94.9</v>
      </c>
      <c r="R670" s="106">
        <f>IF(R666="","",
IF(OR(R668="Orçamento",R667="",MAX('Tabela de Apoio'!$A:$A)&lt;=R667),
R666,
(INDEX('Tabela de Apoio'!$B:$B,MATCH('MAPA DE PREÇOS'!$O$8,'Tabela de Apoio'!$A:$A,1))/INDEX('Tabela de Apoio'!$B:$B,MATCH('MAPA DE PREÇOS'!R667,'Tabela de Apoio'!$A:$A,1)-1))*R666))</f>
        <v>114.9</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f t="shared" ref="B671" si="2022">B670</f>
        <v>32</v>
      </c>
      <c r="C671" s="128">
        <f t="shared" ref="C671" si="2023">C670</f>
        <v>1</v>
      </c>
      <c r="D671" s="127">
        <f t="shared" si="1832"/>
        <v>32</v>
      </c>
      <c r="E671" s="201"/>
      <c r="F671" s="93"/>
      <c r="G671" s="203"/>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f t="shared" ref="B672:C672" si="2024">B671</f>
        <v>32</v>
      </c>
      <c r="C672" s="128">
        <f t="shared" si="2024"/>
        <v>1</v>
      </c>
      <c r="D672" s="127">
        <f t="shared" si="1832"/>
        <v>32</v>
      </c>
      <c r="E672" s="201"/>
      <c r="F672" s="93"/>
      <c r="G672" s="203"/>
      <c r="H672" s="134">
        <f t="shared" ref="H672" si="2025">COUNT($P672:$XX672)</f>
        <v>3</v>
      </c>
      <c r="I672" s="132">
        <f t="shared" ref="I672" si="2026">_xlfn.STDEV.P($P671:$XX672)/AVERAGE($P671:$XX672)</f>
        <v>0.18705127295316937</v>
      </c>
      <c r="J672" s="7">
        <f>ROW()</f>
        <v>672</v>
      </c>
      <c r="K672" s="67"/>
      <c r="L672" s="29" t="s">
        <v>10</v>
      </c>
      <c r="M672" s="30">
        <f t="shared" ref="M672" si="2027">IFERROR(
IF(COUNTA(P666:AI666)=COUNTIF(P668:XX668,"Orçamento"),MIN(M677,M674),
IF(M675&lt;&gt;"",M675,
IF(M676&lt;&gt;"",M676,
M674
))),"")</f>
        <v>93.90333333333335</v>
      </c>
      <c r="N672" s="71"/>
      <c r="O672" s="27" t="s">
        <v>376</v>
      </c>
      <c r="P672" s="106">
        <f t="shared" ref="P672:AI672" si="2028">IFERROR(IF(P670="",
            "",
            IF(COUNT($P670:$XX670)&lt;=4,
               P670,
               IF(OR(P670&gt;(QUARTILE($P670:$XX670,3)+(QUARTILE($P670:$XX670,3)-QUARTILE($P670:$XX670,1))),
                     P670&lt;(QUARTILE($P670:$XX670,1)-(QUARTILE($P670:$XX670,3)-QUARTILE($P670:$XX670,1)))
                  ),
               "DESCARTADO",P670)
             )
  ),P670)</f>
        <v>71.91</v>
      </c>
      <c r="Q672" s="106">
        <f t="shared" si="2028"/>
        <v>94.9</v>
      </c>
      <c r="R672" s="106">
        <f t="shared" si="2028"/>
        <v>114.9</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f t="shared" ref="B673:B727" si="2029">B672</f>
        <v>32</v>
      </c>
      <c r="C673" s="128">
        <f t="shared" ref="C673:D736" si="2030">C672</f>
        <v>1</v>
      </c>
      <c r="D673" s="127">
        <f t="shared" si="1832"/>
        <v>32</v>
      </c>
      <c r="E673" s="201"/>
      <c r="F673" s="93"/>
      <c r="G673" s="203"/>
      <c r="H673"/>
      <c r="I673"/>
      <c r="J673"/>
      <c r="K673" s="66"/>
      <c r="L673" s="29" t="s">
        <v>360</v>
      </c>
      <c r="M673" s="30">
        <f t="shared" ref="M673" si="2031">AVERAGE($P672:$XX672)</f>
        <v>93.90333333333335</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f t="shared" si="2029"/>
        <v>32</v>
      </c>
      <c r="C674" s="128">
        <f t="shared" si="2030"/>
        <v>1</v>
      </c>
      <c r="D674" s="127">
        <f t="shared" si="2030"/>
        <v>32</v>
      </c>
      <c r="E674" s="201"/>
      <c r="F674" s="93"/>
      <c r="G674" s="203"/>
      <c r="H674" s="134">
        <f t="shared" ref="H674" si="2033">COUNT($P674:$XX674)</f>
        <v>3</v>
      </c>
      <c r="I674" s="132">
        <f t="shared" ref="I674" si="2034">_xlfn.STDEV.P($P673:$XX674)/AVERAGE($P673:$XX674)</f>
        <v>0.18705127295316937</v>
      </c>
      <c r="J674" s="7">
        <f t="shared" ref="J674" si="2035">IF(AND(H674&gt;2,
OR(L666="MÉDIA SANEADA",L666="MEDIANA SANEADA",
AND(L666="PREÇO ESTIMADO",NOT(AND(P668="Orçamento",COUNTA(P666:XX666)=COUNTIF(P668:XX668,"Orçamento")))))),
ROW(),0)</f>
        <v>674</v>
      </c>
      <c r="K674" s="66"/>
      <c r="L674" s="29" t="s">
        <v>361</v>
      </c>
      <c r="M674" s="30">
        <f t="shared" ref="M674" si="2036">MEDIAN($P672:$XX672)</f>
        <v>94.9</v>
      </c>
      <c r="N674" s="71"/>
      <c r="O674" s="27" t="str">
        <f t="shared" ref="O674" si="2037">"1 RODADA"</f>
        <v>1 RODADA</v>
      </c>
      <c r="P674" s="107">
        <f t="shared" ref="P674:AI674" si="2038">IF(P672="","",IF((_xlfn.STDEV.P($P671:$XX672)/AVERAGE($P671:$XX672))&lt;=25%,P672,IF(OR(P672&gt;(AVERAGE($P671:$XX672)+_xlfn.STDEV.P($P671:$XX672)),P672&lt;(AVERAGE($P671:$XX672)-_xlfn.STDEV.P($P671:$XX672))),"DESCARTADO",P672)))</f>
        <v>71.91</v>
      </c>
      <c r="Q674" s="107">
        <f t="shared" si="2038"/>
        <v>94.9</v>
      </c>
      <c r="R674" s="107">
        <f t="shared" si="2038"/>
        <v>114.9</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f t="shared" si="2029"/>
        <v>32</v>
      </c>
      <c r="C675" s="128">
        <f t="shared" si="2030"/>
        <v>1</v>
      </c>
      <c r="D675" s="127">
        <f t="shared" si="2030"/>
        <v>32</v>
      </c>
      <c r="E675" s="201"/>
      <c r="F675" s="93"/>
      <c r="G675" s="203"/>
      <c r="H675"/>
      <c r="I675"/>
      <c r="J675"/>
      <c r="L675" s="29" t="s">
        <v>38</v>
      </c>
      <c r="M675" s="30">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93.90333333333335</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f t="shared" si="2029"/>
        <v>32</v>
      </c>
      <c r="C676" s="128">
        <f t="shared" si="2030"/>
        <v>1</v>
      </c>
      <c r="D676" s="127">
        <f t="shared" si="2030"/>
        <v>32</v>
      </c>
      <c r="E676" s="201"/>
      <c r="F676" s="93"/>
      <c r="G676" s="203"/>
      <c r="H676" s="134">
        <f t="shared" ref="H676" si="2041">COUNT($P676:$XX676)</f>
        <v>3</v>
      </c>
      <c r="I676" s="132">
        <f t="shared" ref="I676" si="2042">_xlfn.STDEV.P($P675:$XX676)/AVERAGE($P675:$XX676)</f>
        <v>0.18705127295316937</v>
      </c>
      <c r="J676" s="7">
        <f t="shared" ref="J676" si="2043">IF(AND(H676&gt;2,
OR(L666="MÉDIA SANEADA",L666="MEDIANA SANEADA",
AND(L666="PREÇO ESTIMADO",NOT(AND(P668="Orçamento",COUNTA(P666:XX666)=COUNTIF(P668:XX668,"Orçamento")))))),
ROW(),0)</f>
        <v>676</v>
      </c>
      <c r="K676" s="66"/>
      <c r="L676" s="29" t="s">
        <v>362</v>
      </c>
      <c r="M676" s="30">
        <f t="shared" ref="M676" si="2044" xml:space="preserve">
IF(H674&gt;2,MEDIAN(P673:XX674),
IF(H676&gt;2,MEDIAN(P675:XX676),
IF(H678&gt;2,MEDIAN(P677:XX678),
IF(H680&gt;2,MEDIAN(P679:XX680),
IF(H682&gt;2,MEDIAN(P681:XX682),
IF(H684&gt;2,MEDIAN(P683:XX684),
MEDIAN(P671:XX672)))))))</f>
        <v>94.9</v>
      </c>
      <c r="N676" s="71"/>
      <c r="O676" s="27" t="str">
        <f t="shared" ref="O676" si="2045">"2 RODADA"</f>
        <v>2 RODADA</v>
      </c>
      <c r="P676" s="107">
        <f t="shared" ref="P676:AI676" si="2046">IF(P674="","",IF((_xlfn.STDEV.P($P673:$XX674)/AVERAGE($P673:$XX674))&lt;=25%,P674,IF(OR(P674&gt;(AVERAGE($P673:$XX674)+_xlfn.STDEV.P($P673:$XX674)),P674&lt;(AVERAGE($P673:$XX674)-_xlfn.STDEV.P($P673:$XX674))),"DESCARTADO",P674)))</f>
        <v>71.91</v>
      </c>
      <c r="Q676" s="107">
        <f t="shared" si="2046"/>
        <v>94.9</v>
      </c>
      <c r="R676" s="107">
        <f t="shared" si="2046"/>
        <v>114.9</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f t="shared" si="2029"/>
        <v>32</v>
      </c>
      <c r="C677" s="128">
        <f t="shared" si="2030"/>
        <v>1</v>
      </c>
      <c r="D677" s="127">
        <f t="shared" si="2030"/>
        <v>32</v>
      </c>
      <c r="E677" s="201"/>
      <c r="F677" s="93"/>
      <c r="G677" s="203"/>
      <c r="H677"/>
      <c r="I677"/>
      <c r="J677"/>
      <c r="K677" s="66"/>
      <c r="L677" s="29" t="s">
        <v>359</v>
      </c>
      <c r="M677" s="30">
        <f t="shared" ref="M677" si="2047">HARMEAN($P671:$XX672)</f>
        <v>90.506201954019915</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f t="shared" si="2029"/>
        <v>32</v>
      </c>
      <c r="C678" s="128">
        <f t="shared" si="2030"/>
        <v>1</v>
      </c>
      <c r="D678" s="127">
        <f t="shared" si="2030"/>
        <v>32</v>
      </c>
      <c r="E678" s="201"/>
      <c r="F678" s="93"/>
      <c r="G678" s="203"/>
      <c r="H678" s="134">
        <f t="shared" ref="H678" si="2049">COUNT($P678:$XX678)</f>
        <v>3</v>
      </c>
      <c r="I678" s="132">
        <f t="shared" ref="I678" si="2050">_xlfn.STDEV.P($P677:$XX678)/AVERAGE($P677:$XX678)</f>
        <v>0.18705127295316937</v>
      </c>
      <c r="J678" s="7">
        <f t="shared" ref="J678" si="2051">IF(AND(H678&gt;2,
OR(L666="MÉDIA SANEADA",L666="MEDIANA SANEADA",
AND(L666="PREÇO ESTIMADO",NOT(AND(P668="Orçamento",COUNTA(P666:XX666)=COUNTIF(P668:XX668,"Orçamento")))))),
ROW(),0)</f>
        <v>678</v>
      </c>
      <c r="K678" s="66"/>
      <c r="L678" s="29" t="s">
        <v>41</v>
      </c>
      <c r="M678" s="30">
        <f t="shared" ref="M678" si="2052">IFERROR(_xlfn.QUARTILE.EXC($P672:$XX672,1),"")</f>
        <v>71.91</v>
      </c>
      <c r="N678" s="71"/>
      <c r="O678" s="27" t="str">
        <f t="shared" ref="O678" si="2053">"3 RODADA"</f>
        <v>3 RODADA</v>
      </c>
      <c r="P678" s="107">
        <f t="shared" ref="P678:AI678" si="2054">IF(P676="","",IF((_xlfn.STDEV.P($P675:$XX676)/AVERAGE($P675:$XX676))&lt;=25%,P676,IF(OR(P676&gt;(AVERAGE($P675:$XX676)+_xlfn.STDEV.P($P675:$XX676)),P676&lt;(AVERAGE($P675:$XX676)-_xlfn.STDEV.P($P675:$XX676))),"DESCARTADO",P676)))</f>
        <v>71.91</v>
      </c>
      <c r="Q678" s="107">
        <f t="shared" si="2054"/>
        <v>94.9</v>
      </c>
      <c r="R678" s="107">
        <f t="shared" si="2054"/>
        <v>114.9</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f t="shared" si="2029"/>
        <v>32</v>
      </c>
      <c r="C679" s="128">
        <f t="shared" si="2030"/>
        <v>1</v>
      </c>
      <c r="D679" s="127">
        <f t="shared" si="2030"/>
        <v>32</v>
      </c>
      <c r="E679" s="201"/>
      <c r="F679" s="93"/>
      <c r="G679" s="203"/>
      <c r="H679"/>
      <c r="I679"/>
      <c r="J679"/>
      <c r="K679" s="66"/>
      <c r="L679" s="29" t="s">
        <v>39</v>
      </c>
      <c r="M679" s="30">
        <f t="shared" ref="M679" si="2055">IFERROR(_xlfn.QUARTILE.EXC($P672:$XX672,3),"")</f>
        <v>114.9</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f t="shared" si="2029"/>
        <v>32</v>
      </c>
      <c r="C680" s="128">
        <f t="shared" si="2030"/>
        <v>1</v>
      </c>
      <c r="D680" s="127">
        <f t="shared" si="2030"/>
        <v>32</v>
      </c>
      <c r="E680" s="201"/>
      <c r="F680" s="93"/>
      <c r="G680" s="203"/>
      <c r="H680" s="134">
        <f t="shared" ref="H680" si="2057">COUNT($P680:$XX680)</f>
        <v>3</v>
      </c>
      <c r="I680" s="132">
        <f t="shared" ref="I680" si="2058">_xlfn.STDEV.P($P679:$XX680)/AVERAGE($P679:$XX680)</f>
        <v>0.18705127295316937</v>
      </c>
      <c r="J680" s="7">
        <f t="shared" ref="J680" si="2059">IF(AND(H680&gt;2,
OR(L666="MÉDIA SANEADA",L666="MEDIANA SANEADA",
AND(L666="PREÇO ESTIMADO",NOT(AND(P668="Orçamento",COUNTA(P666:XX666)=COUNTIF(P668:XX668,"Orçamento")))))),
ROW(),0)</f>
        <v>680</v>
      </c>
      <c r="K680" s="66"/>
      <c r="L680" s="29" t="s">
        <v>42</v>
      </c>
      <c r="M680" s="30">
        <f t="shared" ref="M680" si="2060">MIN($P672:$XX672)</f>
        <v>71.91</v>
      </c>
      <c r="N680" s="71"/>
      <c r="O680" s="27" t="str">
        <f t="shared" ref="O680" si="2061">"4 RODADA"</f>
        <v>4 RODADA</v>
      </c>
      <c r="P680" s="107">
        <f t="shared" ref="P680:AI680" si="2062">IF(P678="","",IF((_xlfn.STDEV.P($P677:$XX678)/AVERAGE($P677:$XX678))&lt;=25%,P678,IF(OR(P678&gt;(AVERAGE($P677:$XX678)+_xlfn.STDEV.P($P677:$XX678)),P678&lt;(AVERAGE($P677:$XX678)-_xlfn.STDEV.P($P677:$XX678))),"DESCARTADO",P678)))</f>
        <v>71.91</v>
      </c>
      <c r="Q680" s="107">
        <f t="shared" si="2062"/>
        <v>94.9</v>
      </c>
      <c r="R680" s="107">
        <f t="shared" si="2062"/>
        <v>114.9</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f t="shared" si="2029"/>
        <v>32</v>
      </c>
      <c r="C681" s="128">
        <f t="shared" si="2030"/>
        <v>1</v>
      </c>
      <c r="D681" s="127">
        <f t="shared" si="2030"/>
        <v>32</v>
      </c>
      <c r="E681" s="201"/>
      <c r="F681" s="93"/>
      <c r="G681" s="203"/>
      <c r="H681"/>
      <c r="I681"/>
      <c r="J681"/>
      <c r="K681" s="66"/>
      <c r="L681" s="29" t="s">
        <v>40</v>
      </c>
      <c r="M681" s="30">
        <f t="shared" ref="M681" si="2063">MAX($P672:$XX672)</f>
        <v>114.9</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f t="shared" si="2029"/>
        <v>32</v>
      </c>
      <c r="C682" s="128">
        <f t="shared" si="2030"/>
        <v>1</v>
      </c>
      <c r="D682" s="127">
        <f t="shared" si="2030"/>
        <v>32</v>
      </c>
      <c r="E682" s="201"/>
      <c r="F682" s="93"/>
      <c r="G682" s="203"/>
      <c r="H682" s="134">
        <f t="shared" ref="H682" si="2065">COUNT($P682:$XX682)</f>
        <v>3</v>
      </c>
      <c r="I682" s="132">
        <f t="shared" ref="I682" si="2066">_xlfn.STDEV.P($P681:$XX682)/AVERAGE($P681:$XX682)</f>
        <v>0.18705127295316937</v>
      </c>
      <c r="J682" s="7">
        <f t="shared" ref="J682" si="2067">IF(AND(H682&gt;2,
OR(L666="MÉDIA SANEADA",L666="MEDIANA SANEADA",
AND(L666="PREÇO ESTIMADO",NOT(AND(P668="Orçamento",COUNTA(P666:XX666)=COUNTIF(P668:XX668,"Orçamento")))))),
ROW(),0)</f>
        <v>682</v>
      </c>
      <c r="K682" s="66"/>
      <c r="N682" s="71"/>
      <c r="O682" s="27" t="str">
        <f t="shared" ref="O682" si="2068">"5 RODADA"</f>
        <v>5 RODADA</v>
      </c>
      <c r="P682" s="107">
        <f t="shared" ref="P682:AI682" si="2069">IF(P680="","",IF((_xlfn.STDEV.P($P679:$XX680)/AVERAGE($P679:$XX680))&lt;=25%,P680,IF(OR(P680&gt;(AVERAGE($P679:$XX680)+_xlfn.STDEV.P($P679:$XX680)),P680&lt;(AVERAGE($P679:$XX680)-_xlfn.STDEV.P($P679:$XX680))),"DESCARTADO",P680)))</f>
        <v>71.91</v>
      </c>
      <c r="Q682" s="107">
        <f t="shared" si="2069"/>
        <v>94.9</v>
      </c>
      <c r="R682" s="107">
        <f t="shared" si="2069"/>
        <v>114.9</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f t="shared" si="2029"/>
        <v>32</v>
      </c>
      <c r="C683" s="128">
        <f t="shared" si="2030"/>
        <v>1</v>
      </c>
      <c r="D683" s="127">
        <f t="shared" si="2030"/>
        <v>32</v>
      </c>
      <c r="E683" s="201"/>
      <c r="F683" s="93"/>
      <c r="G683" s="203"/>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f t="shared" si="2029"/>
        <v>32</v>
      </c>
      <c r="C684" s="128">
        <f t="shared" si="2030"/>
        <v>1</v>
      </c>
      <c r="D684" s="127">
        <f t="shared" si="2030"/>
        <v>32</v>
      </c>
      <c r="E684" s="201"/>
      <c r="F684" s="93"/>
      <c r="G684" s="203"/>
      <c r="H684" s="134">
        <f t="shared" ref="H684" si="2071">COUNT($P684:$XX684)</f>
        <v>3</v>
      </c>
      <c r="I684" s="132">
        <f t="shared" ref="I684" si="2072">_xlfn.STDEV.P($P683:$XX684)/AVERAGE($P683:$XX684)</f>
        <v>0.18705127295316937</v>
      </c>
      <c r="J684" s="7">
        <f t="shared" ref="J684" si="2073">IF(AND(H684&gt;2,
OR(L666="MÉDIA SANEADA",L666="MEDIANA SANEADA",
AND(L666="PREÇO ESTIMADO",NOT(AND(P668="Orçamento",COUNTA(P666:XX666)=COUNTIF(P668:XX668,"Orçamento")))))),
ROW(),0)</f>
        <v>684</v>
      </c>
      <c r="N684" s="71"/>
      <c r="O684" s="27" t="str">
        <f t="shared" ref="O684" si="2074">"6 RODADA"</f>
        <v>6 RODADA</v>
      </c>
      <c r="P684" s="107">
        <f t="shared" ref="P684:AI684" si="2075">IFERROR(IF(P682="","",IF((_xlfn.STDEV.P($P681:$XX682)/AVERAGE($P681:$XX682))&lt;=25%,P682,IF(OR(P682&gt;(AVERAGE($P681:$XX682)+_xlfn.STDEV.P($P681:$XX682)),P682&lt;(AVERAGE($P681:$XX682)-_xlfn.STDEV.P($P681:$XX682))),"DESCARTADO",P682))),)</f>
        <v>71.91</v>
      </c>
      <c r="Q684" s="107">
        <f t="shared" si="2075"/>
        <v>94.9</v>
      </c>
      <c r="R684" s="107">
        <f t="shared" si="2075"/>
        <v>114.9</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f t="shared" si="2029"/>
        <v>32</v>
      </c>
      <c r="C685" s="128">
        <f t="shared" si="2030"/>
        <v>1</v>
      </c>
      <c r="D685" s="127">
        <f t="shared" si="2030"/>
        <v>32</v>
      </c>
      <c r="E685" s="201"/>
      <c r="F685" s="136"/>
      <c r="G685" s="203"/>
      <c r="H685" s="206"/>
      <c r="I685" s="206"/>
      <c r="J685" s="207"/>
      <c r="K685" s="67"/>
      <c r="L685" s="1" t="s">
        <v>43</v>
      </c>
      <c r="M685" s="143">
        <f t="shared" ref="M685" si="2076">IFERROR(ROUND(M666*M668,2),"")</f>
        <v>563.4</v>
      </c>
      <c r="O685" s="27" t="s">
        <v>363</v>
      </c>
      <c r="P685" s="107">
        <f t="shared" ref="P685:AI706" si="2077">INDEX(P672:P684,MATCH(MAX($J672:$J684),$J672:$J684,0))</f>
        <v>71.91</v>
      </c>
      <c r="Q685" s="107">
        <f t="shared" si="2077"/>
        <v>94.9</v>
      </c>
      <c r="R685" s="107">
        <f t="shared" si="2077"/>
        <v>114.9</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f t="shared" ref="B687" si="2078">LARGE(IFERROR(IF(B685+1&gt;$H$8,"",B685+1),""),1)</f>
        <v>33</v>
      </c>
      <c r="C687" s="127">
        <f>IF(_xlfn.ISFORMULA(E691),MAX(INDEX('BASE FORMAÇÃO'!A:A,B687+1),1),E691)</f>
        <v>1</v>
      </c>
      <c r="D687" s="127">
        <f t="shared" ref="D687" si="2079">IFERROR(IF(C687=C677,D677+1,1),1)</f>
        <v>33</v>
      </c>
      <c r="E687" s="38" t="s">
        <v>9</v>
      </c>
      <c r="F687" s="73"/>
      <c r="G687" s="38" t="s">
        <v>15</v>
      </c>
      <c r="H687" s="135">
        <f>INDEX('BASE FORMAÇÃO'!B:B,B687+1)</f>
        <v>0</v>
      </c>
      <c r="I687" s="181" t="s">
        <v>16</v>
      </c>
      <c r="J687" s="6">
        <f>INDEX('BASE FORMAÇÃO'!K:K,B687+1)</f>
        <v>0</v>
      </c>
      <c r="K687" s="65"/>
      <c r="L687" s="184" t="s">
        <v>10</v>
      </c>
      <c r="M687" s="186">
        <f t="shared" ref="M687" si="2080">IF(OR(ISBLANK($O$8),ISBLANK($O$7),ISBLANK($H$8),ISBLANK($O$6),ISBLANK($O$5),ISBLANK($H$5)),"",IFERROR(IF(VLOOKUP(L687,L693:M702,2,FALSE)&lt;1,ROUND(VLOOKUP(L687,L693:M702,2,FALSE),4),ROUND(VLOOKUP(L687,L693:M702,2,FALSE),2)),""))</f>
        <v>63.68</v>
      </c>
      <c r="N687" s="69"/>
      <c r="O687" s="27" t="s">
        <v>17</v>
      </c>
      <c r="P687" s="113">
        <v>59.94</v>
      </c>
      <c r="Q687" s="113">
        <v>73.430000000000007</v>
      </c>
      <c r="R687" s="113">
        <v>57.66</v>
      </c>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f t="shared" ref="B688:D688" si="2081">B687</f>
        <v>33</v>
      </c>
      <c r="C688" s="128">
        <f t="shared" si="2081"/>
        <v>1</v>
      </c>
      <c r="D688" s="127">
        <f t="shared" si="2081"/>
        <v>33</v>
      </c>
      <c r="E688" s="188">
        <f t="shared" ref="E688" si="2082">D687</f>
        <v>33</v>
      </c>
      <c r="F688" s="92"/>
      <c r="G688" s="190" t="s">
        <v>1</v>
      </c>
      <c r="H688" s="193" t="s">
        <v>566</v>
      </c>
      <c r="I688" s="194"/>
      <c r="J688" s="195"/>
      <c r="K688" s="66"/>
      <c r="L688" s="185"/>
      <c r="M688" s="187"/>
      <c r="N688" s="70"/>
      <c r="O688" s="27" t="s">
        <v>13</v>
      </c>
      <c r="P688" s="122">
        <v>46195</v>
      </c>
      <c r="Q688" s="122">
        <v>46195</v>
      </c>
      <c r="R688" s="122">
        <v>46195</v>
      </c>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f t="shared" ref="B689:D689" si="2083">B688</f>
        <v>33</v>
      </c>
      <c r="C689" s="128">
        <f t="shared" si="2083"/>
        <v>1</v>
      </c>
      <c r="D689" s="127">
        <f t="shared" si="2083"/>
        <v>33</v>
      </c>
      <c r="E689" s="189"/>
      <c r="F689" s="93"/>
      <c r="G689" s="191"/>
      <c r="H689" s="196"/>
      <c r="I689" s="196"/>
      <c r="J689" s="197"/>
      <c r="K689" s="64"/>
      <c r="L689" s="130" t="s">
        <v>44</v>
      </c>
      <c r="M689" s="131">
        <v>3</v>
      </c>
      <c r="N689" s="71"/>
      <c r="O689" s="27" t="s">
        <v>380</v>
      </c>
      <c r="P689" s="114" t="s">
        <v>302</v>
      </c>
      <c r="Q689" s="114" t="s">
        <v>302</v>
      </c>
      <c r="R689" s="114" t="s">
        <v>302</v>
      </c>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f t="shared" ref="B690:C690" si="2084">B689</f>
        <v>33</v>
      </c>
      <c r="C690" s="128">
        <f t="shared" si="2084"/>
        <v>1</v>
      </c>
      <c r="D690" s="127">
        <f t="shared" si="2030"/>
        <v>33</v>
      </c>
      <c r="E690" s="38" t="s">
        <v>313</v>
      </c>
      <c r="F690" s="93"/>
      <c r="G690" s="192"/>
      <c r="H690" s="198"/>
      <c r="I690" s="198"/>
      <c r="J690" s="199"/>
      <c r="K690" s="64"/>
      <c r="L690" s="1" t="s">
        <v>2</v>
      </c>
      <c r="M690" s="6" t="s">
        <v>288</v>
      </c>
      <c r="N690" s="71"/>
      <c r="O690" s="27" t="s">
        <v>381</v>
      </c>
      <c r="P690" s="182" t="s">
        <v>563</v>
      </c>
      <c r="Q690" s="182" t="s">
        <v>564</v>
      </c>
      <c r="R690" s="182" t="s">
        <v>565</v>
      </c>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f t="shared" ref="B691:C691" si="2085">B689</f>
        <v>33</v>
      </c>
      <c r="C691" s="128">
        <f t="shared" si="2085"/>
        <v>1</v>
      </c>
      <c r="D691" s="127">
        <f t="shared" si="2030"/>
        <v>33</v>
      </c>
      <c r="E691" s="200">
        <f t="shared" ref="E691" si="2086">C687</f>
        <v>1</v>
      </c>
      <c r="F691" s="93"/>
      <c r="G691" s="202" t="s">
        <v>304</v>
      </c>
      <c r="H691" s="204"/>
      <c r="I691" s="205"/>
      <c r="J691" s="205"/>
      <c r="K691" s="67"/>
      <c r="L691" s="28" t="s">
        <v>303</v>
      </c>
      <c r="M691" s="133">
        <f t="shared" ref="M691" si="2087">IFERROR(INDEX(I693:I705,MATCH(MAX(J693:J705),J693:J705,0)),"")</f>
        <v>0.10928929162544847</v>
      </c>
      <c r="N691" s="71"/>
      <c r="O691" s="27" t="s">
        <v>18</v>
      </c>
      <c r="P691" s="106">
        <f>IF(P687="","",
IF(OR(P689="Orçamento",P688="",MAX('Tabela de Apoio'!$A:$A)&lt;=P688),
P687,
(INDEX('Tabela de Apoio'!$B:$B,MATCH('MAPA DE PREÇOS'!$O$8,'Tabela de Apoio'!$A:$A,1))/INDEX('Tabela de Apoio'!$B:$B,MATCH('MAPA DE PREÇOS'!P688,'Tabela de Apoio'!$A:$A,1)-1))*P687))</f>
        <v>59.94</v>
      </c>
      <c r="Q691" s="106">
        <f>IF(Q687="","",
IF(OR(Q689="Orçamento",Q688="",MAX('Tabela de Apoio'!$A:$A)&lt;=Q688),
Q687,
(INDEX('Tabela de Apoio'!$B:$B,MATCH('MAPA DE PREÇOS'!$O$8,'Tabela de Apoio'!$A:$A,1))/INDEX('Tabela de Apoio'!$B:$B,MATCH('MAPA DE PREÇOS'!Q688,'Tabela de Apoio'!$A:$A,1)-1))*Q687))</f>
        <v>73.430000000000007</v>
      </c>
      <c r="R691" s="106">
        <f>IF(R687="","",
IF(OR(R689="Orçamento",R688="",MAX('Tabela de Apoio'!$A:$A)&lt;=R688),
R687,
(INDEX('Tabela de Apoio'!$B:$B,MATCH('MAPA DE PREÇOS'!$O$8,'Tabela de Apoio'!$A:$A,1))/INDEX('Tabela de Apoio'!$B:$B,MATCH('MAPA DE PREÇOS'!R688,'Tabela de Apoio'!$A:$A,1)-1))*R687))</f>
        <v>57.66</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f t="shared" ref="B692" si="2088">B691</f>
        <v>33</v>
      </c>
      <c r="C692" s="128">
        <f t="shared" ref="C692" si="2089">C691</f>
        <v>1</v>
      </c>
      <c r="D692" s="127">
        <f t="shared" si="2030"/>
        <v>33</v>
      </c>
      <c r="E692" s="201"/>
      <c r="F692" s="93"/>
      <c r="G692" s="203"/>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f t="shared" ref="B693:C693" si="2090">B692</f>
        <v>33</v>
      </c>
      <c r="C693" s="128">
        <f t="shared" si="2090"/>
        <v>1</v>
      </c>
      <c r="D693" s="127">
        <f t="shared" si="2030"/>
        <v>33</v>
      </c>
      <c r="E693" s="201"/>
      <c r="F693" s="93"/>
      <c r="G693" s="203"/>
      <c r="H693" s="134">
        <f t="shared" ref="H693" si="2091">COUNT($P693:$XX693)</f>
        <v>3</v>
      </c>
      <c r="I693" s="132">
        <f t="shared" ref="I693" si="2092">_xlfn.STDEV.P($P692:$XX693)/AVERAGE($P692:$XX693)</f>
        <v>0.10928929162544847</v>
      </c>
      <c r="J693" s="7">
        <f>ROW()</f>
        <v>693</v>
      </c>
      <c r="K693" s="67"/>
      <c r="L693" s="29" t="s">
        <v>10</v>
      </c>
      <c r="M693" s="30">
        <f t="shared" ref="M693" si="2093">IFERROR(
IF(COUNTA(P687:AI687)=COUNTIF(P689:XX689,"Orçamento"),MIN(M698,M695),
IF(M696&lt;&gt;"",M696,
IF(M697&lt;&gt;"",M697,
M695
))),"")</f>
        <v>63.676666666666669</v>
      </c>
      <c r="N693" s="71"/>
      <c r="O693" s="27" t="s">
        <v>376</v>
      </c>
      <c r="P693" s="106">
        <f t="shared" ref="P693:AI693" si="2094">IFERROR(IF(P691="",
            "",
            IF(COUNT($P691:$XX691)&lt;=4,
               P691,
               IF(OR(P691&gt;(QUARTILE($P691:$XX691,3)+(QUARTILE($P691:$XX691,3)-QUARTILE($P691:$XX691,1))),
                     P691&lt;(QUARTILE($P691:$XX691,1)-(QUARTILE($P691:$XX691,3)-QUARTILE($P691:$XX691,1)))
                  ),
               "DESCARTADO",P691)
             )
  ),P691)</f>
        <v>59.94</v>
      </c>
      <c r="Q693" s="106">
        <f t="shared" si="2094"/>
        <v>73.430000000000007</v>
      </c>
      <c r="R693" s="106">
        <f t="shared" si="2094"/>
        <v>57.66</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f t="shared" ref="B694" si="2095">B693</f>
        <v>33</v>
      </c>
      <c r="C694" s="128">
        <f t="shared" ref="C694" si="2096">C693</f>
        <v>1</v>
      </c>
      <c r="D694" s="127">
        <f t="shared" si="2030"/>
        <v>33</v>
      </c>
      <c r="E694" s="201"/>
      <c r="F694" s="93"/>
      <c r="G694" s="203"/>
      <c r="H694"/>
      <c r="I694"/>
      <c r="J694"/>
      <c r="K694" s="66"/>
      <c r="L694" s="29" t="s">
        <v>360</v>
      </c>
      <c r="M694" s="30">
        <f t="shared" ref="M694" si="2097">AVERAGE($P693:$XX693)</f>
        <v>63.676666666666669</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f t="shared" si="2029"/>
        <v>33</v>
      </c>
      <c r="C695" s="128">
        <f t="shared" si="2030"/>
        <v>1</v>
      </c>
      <c r="D695" s="127">
        <f t="shared" si="2030"/>
        <v>33</v>
      </c>
      <c r="E695" s="201"/>
      <c r="F695" s="93"/>
      <c r="G695" s="203"/>
      <c r="H695" s="134">
        <f t="shared" ref="H695" si="2099">COUNT($P695:$XX695)</f>
        <v>3</v>
      </c>
      <c r="I695" s="132">
        <f t="shared" ref="I695" si="2100">_xlfn.STDEV.P($P694:$XX695)/AVERAGE($P694:$XX695)</f>
        <v>0.10928929162544847</v>
      </c>
      <c r="J695" s="7">
        <f t="shared" ref="J695" si="2101">IF(AND(H695&gt;2,
OR(L687="MÉDIA SANEADA",L687="MEDIANA SANEADA",
AND(L687="PREÇO ESTIMADO",NOT(AND(P689="Orçamento",COUNTA(P687:XX687)=COUNTIF(P689:XX689,"Orçamento")))))),
ROW(),0)</f>
        <v>695</v>
      </c>
      <c r="K695" s="66"/>
      <c r="L695" s="29" t="s">
        <v>361</v>
      </c>
      <c r="M695" s="30">
        <f t="shared" ref="M695" si="2102">MEDIAN($P693:$XX693)</f>
        <v>59.94</v>
      </c>
      <c r="N695" s="71"/>
      <c r="O695" s="27" t="str">
        <f t="shared" ref="O695" si="2103">"1 RODADA"</f>
        <v>1 RODADA</v>
      </c>
      <c r="P695" s="107">
        <f t="shared" ref="P695:AI695" si="2104">IF(P693="","",IF((_xlfn.STDEV.P($P692:$XX693)/AVERAGE($P692:$XX693))&lt;=25%,P693,IF(OR(P693&gt;(AVERAGE($P692:$XX693)+_xlfn.STDEV.P($P692:$XX693)),P693&lt;(AVERAGE($P692:$XX693)-_xlfn.STDEV.P($P692:$XX693))),"DESCARTADO",P693)))</f>
        <v>59.94</v>
      </c>
      <c r="Q695" s="107">
        <f t="shared" si="2104"/>
        <v>73.430000000000007</v>
      </c>
      <c r="R695" s="107">
        <f t="shared" si="2104"/>
        <v>57.66</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f t="shared" si="2029"/>
        <v>33</v>
      </c>
      <c r="C696" s="128">
        <f t="shared" si="2030"/>
        <v>1</v>
      </c>
      <c r="D696" s="127">
        <f t="shared" si="2030"/>
        <v>33</v>
      </c>
      <c r="E696" s="201"/>
      <c r="F696" s="93"/>
      <c r="G696" s="203"/>
      <c r="H696"/>
      <c r="I696"/>
      <c r="J696"/>
      <c r="L696" s="29" t="s">
        <v>38</v>
      </c>
      <c r="M696" s="30">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63.676666666666669</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f t="shared" si="2029"/>
        <v>33</v>
      </c>
      <c r="C697" s="128">
        <f t="shared" si="2030"/>
        <v>1</v>
      </c>
      <c r="D697" s="127">
        <f t="shared" si="2030"/>
        <v>33</v>
      </c>
      <c r="E697" s="201"/>
      <c r="F697" s="93"/>
      <c r="G697" s="203"/>
      <c r="H697" s="134">
        <f t="shared" ref="H697" si="2107">COUNT($P697:$XX697)</f>
        <v>3</v>
      </c>
      <c r="I697" s="132">
        <f t="shared" ref="I697" si="2108">_xlfn.STDEV.P($P696:$XX697)/AVERAGE($P696:$XX697)</f>
        <v>0.10928929162544847</v>
      </c>
      <c r="J697" s="7">
        <f t="shared" ref="J697" si="2109">IF(AND(H697&gt;2,
OR(L687="MÉDIA SANEADA",L687="MEDIANA SANEADA",
AND(L687="PREÇO ESTIMADO",NOT(AND(P689="Orçamento",COUNTA(P687:XX687)=COUNTIF(P689:XX689,"Orçamento")))))),
ROW(),0)</f>
        <v>697</v>
      </c>
      <c r="K697" s="66"/>
      <c r="L697" s="29" t="s">
        <v>362</v>
      </c>
      <c r="M697" s="30">
        <f t="shared" ref="M697" si="2110" xml:space="preserve">
IF(H695&gt;2,MEDIAN(P694:XX695),
IF(H697&gt;2,MEDIAN(P696:XX697),
IF(H699&gt;2,MEDIAN(P698:XX699),
IF(H701&gt;2,MEDIAN(P700:XX701),
IF(H703&gt;2,MEDIAN(P702:XX703),
IF(H705&gt;2,MEDIAN(P704:XX705),
MEDIAN(P692:XX693)))))))</f>
        <v>59.94</v>
      </c>
      <c r="N697" s="71"/>
      <c r="O697" s="27" t="str">
        <f t="shared" ref="O697" si="2111">"2 RODADA"</f>
        <v>2 RODADA</v>
      </c>
      <c r="P697" s="107">
        <f t="shared" ref="P697:AI697" si="2112">IF(P695="","",IF((_xlfn.STDEV.P($P694:$XX695)/AVERAGE($P694:$XX695))&lt;=25%,P695,IF(OR(P695&gt;(AVERAGE($P694:$XX695)+_xlfn.STDEV.P($P694:$XX695)),P695&lt;(AVERAGE($P694:$XX695)-_xlfn.STDEV.P($P694:$XX695))),"DESCARTADO",P695)))</f>
        <v>59.94</v>
      </c>
      <c r="Q697" s="107">
        <f t="shared" si="2112"/>
        <v>73.430000000000007</v>
      </c>
      <c r="R697" s="107">
        <f t="shared" si="2112"/>
        <v>57.66</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f t="shared" si="2029"/>
        <v>33</v>
      </c>
      <c r="C698" s="128">
        <f t="shared" si="2030"/>
        <v>1</v>
      </c>
      <c r="D698" s="127">
        <f t="shared" si="2030"/>
        <v>33</v>
      </c>
      <c r="E698" s="201"/>
      <c r="F698" s="93"/>
      <c r="G698" s="203"/>
      <c r="H698"/>
      <c r="I698"/>
      <c r="J698"/>
      <c r="K698" s="66"/>
      <c r="L698" s="29" t="s">
        <v>359</v>
      </c>
      <c r="M698" s="30">
        <f t="shared" ref="M698" si="2113">HARMEAN($P692:$XX693)</f>
        <v>62.965938039293761</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f t="shared" si="2029"/>
        <v>33</v>
      </c>
      <c r="C699" s="128">
        <f t="shared" si="2030"/>
        <v>1</v>
      </c>
      <c r="D699" s="127">
        <f t="shared" si="2030"/>
        <v>33</v>
      </c>
      <c r="E699" s="201"/>
      <c r="F699" s="93"/>
      <c r="G699" s="203"/>
      <c r="H699" s="134">
        <f t="shared" ref="H699" si="2115">COUNT($P699:$XX699)</f>
        <v>3</v>
      </c>
      <c r="I699" s="132">
        <f t="shared" ref="I699" si="2116">_xlfn.STDEV.P($P698:$XX699)/AVERAGE($P698:$XX699)</f>
        <v>0.10928929162544847</v>
      </c>
      <c r="J699" s="7">
        <f t="shared" ref="J699" si="2117">IF(AND(H699&gt;2,
OR(L687="MÉDIA SANEADA",L687="MEDIANA SANEADA",
AND(L687="PREÇO ESTIMADO",NOT(AND(P689="Orçamento",COUNTA(P687:XX687)=COUNTIF(P689:XX689,"Orçamento")))))),
ROW(),0)</f>
        <v>699</v>
      </c>
      <c r="K699" s="66"/>
      <c r="L699" s="29" t="s">
        <v>41</v>
      </c>
      <c r="M699" s="30">
        <f t="shared" ref="M699" si="2118">IFERROR(_xlfn.QUARTILE.EXC($P693:$XX693,1),"")</f>
        <v>57.66</v>
      </c>
      <c r="N699" s="71"/>
      <c r="O699" s="27" t="str">
        <f t="shared" ref="O699" si="2119">"3 RODADA"</f>
        <v>3 RODADA</v>
      </c>
      <c r="P699" s="107">
        <f t="shared" ref="P699:AI699" si="2120">IF(P697="","",IF((_xlfn.STDEV.P($P696:$XX697)/AVERAGE($P696:$XX697))&lt;=25%,P697,IF(OR(P697&gt;(AVERAGE($P696:$XX697)+_xlfn.STDEV.P($P696:$XX697)),P697&lt;(AVERAGE($P696:$XX697)-_xlfn.STDEV.P($P696:$XX697))),"DESCARTADO",P697)))</f>
        <v>59.94</v>
      </c>
      <c r="Q699" s="107">
        <f t="shared" si="2120"/>
        <v>73.430000000000007</v>
      </c>
      <c r="R699" s="107">
        <f t="shared" si="2120"/>
        <v>57.66</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f t="shared" si="2029"/>
        <v>33</v>
      </c>
      <c r="C700" s="128">
        <f t="shared" si="2030"/>
        <v>1</v>
      </c>
      <c r="D700" s="127">
        <f t="shared" si="2030"/>
        <v>33</v>
      </c>
      <c r="E700" s="201"/>
      <c r="F700" s="93"/>
      <c r="G700" s="203"/>
      <c r="H700"/>
      <c r="I700"/>
      <c r="J700"/>
      <c r="K700" s="66"/>
      <c r="L700" s="29" t="s">
        <v>39</v>
      </c>
      <c r="M700" s="30">
        <f t="shared" ref="M700" si="2121">IFERROR(_xlfn.QUARTILE.EXC($P693:$XX693,3),"")</f>
        <v>73.430000000000007</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f t="shared" si="2029"/>
        <v>33</v>
      </c>
      <c r="C701" s="128">
        <f t="shared" si="2030"/>
        <v>1</v>
      </c>
      <c r="D701" s="127">
        <f t="shared" si="2030"/>
        <v>33</v>
      </c>
      <c r="E701" s="201"/>
      <c r="F701" s="93"/>
      <c r="G701" s="203"/>
      <c r="H701" s="134">
        <f t="shared" ref="H701" si="2123">COUNT($P701:$XX701)</f>
        <v>3</v>
      </c>
      <c r="I701" s="132">
        <f t="shared" ref="I701" si="2124">_xlfn.STDEV.P($P700:$XX701)/AVERAGE($P700:$XX701)</f>
        <v>0.10928929162544847</v>
      </c>
      <c r="J701" s="7">
        <f t="shared" ref="J701" si="2125">IF(AND(H701&gt;2,
OR(L687="MÉDIA SANEADA",L687="MEDIANA SANEADA",
AND(L687="PREÇO ESTIMADO",NOT(AND(P689="Orçamento",COUNTA(P687:XX687)=COUNTIF(P689:XX689,"Orçamento")))))),
ROW(),0)</f>
        <v>701</v>
      </c>
      <c r="K701" s="66"/>
      <c r="L701" s="29" t="s">
        <v>42</v>
      </c>
      <c r="M701" s="30">
        <f t="shared" ref="M701" si="2126">MIN($P693:$XX693)</f>
        <v>57.66</v>
      </c>
      <c r="N701" s="71"/>
      <c r="O701" s="27" t="str">
        <f t="shared" ref="O701" si="2127">"4 RODADA"</f>
        <v>4 RODADA</v>
      </c>
      <c r="P701" s="107">
        <f t="shared" ref="P701:AI701" si="2128">IF(P699="","",IF((_xlfn.STDEV.P($P698:$XX699)/AVERAGE($P698:$XX699))&lt;=25%,P699,IF(OR(P699&gt;(AVERAGE($P698:$XX699)+_xlfn.STDEV.P($P698:$XX699)),P699&lt;(AVERAGE($P698:$XX699)-_xlfn.STDEV.P($P698:$XX699))),"DESCARTADO",P699)))</f>
        <v>59.94</v>
      </c>
      <c r="Q701" s="107">
        <f t="shared" si="2128"/>
        <v>73.430000000000007</v>
      </c>
      <c r="R701" s="107">
        <f t="shared" si="2128"/>
        <v>57.66</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f t="shared" si="2029"/>
        <v>33</v>
      </c>
      <c r="C702" s="128">
        <f t="shared" si="2030"/>
        <v>1</v>
      </c>
      <c r="D702" s="127">
        <f t="shared" si="2030"/>
        <v>33</v>
      </c>
      <c r="E702" s="201"/>
      <c r="F702" s="93"/>
      <c r="G702" s="203"/>
      <c r="H702"/>
      <c r="I702"/>
      <c r="J702"/>
      <c r="K702" s="66"/>
      <c r="L702" s="29" t="s">
        <v>40</v>
      </c>
      <c r="M702" s="30">
        <f t="shared" ref="M702" si="2129">MAX($P693:$XX693)</f>
        <v>73.430000000000007</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f t="shared" si="2029"/>
        <v>33</v>
      </c>
      <c r="C703" s="128">
        <f t="shared" si="2030"/>
        <v>1</v>
      </c>
      <c r="D703" s="127">
        <f t="shared" si="2030"/>
        <v>33</v>
      </c>
      <c r="E703" s="201"/>
      <c r="F703" s="93"/>
      <c r="G703" s="203"/>
      <c r="H703" s="134">
        <f t="shared" ref="H703" si="2131">COUNT($P703:$XX703)</f>
        <v>3</v>
      </c>
      <c r="I703" s="132">
        <f t="shared" ref="I703" si="2132">_xlfn.STDEV.P($P702:$XX703)/AVERAGE($P702:$XX703)</f>
        <v>0.10928929162544847</v>
      </c>
      <c r="J703" s="7">
        <f t="shared" ref="J703" si="2133">IF(AND(H703&gt;2,
OR(L687="MÉDIA SANEADA",L687="MEDIANA SANEADA",
AND(L687="PREÇO ESTIMADO",NOT(AND(P689="Orçamento",COUNTA(P687:XX687)=COUNTIF(P689:XX689,"Orçamento")))))),
ROW(),0)</f>
        <v>703</v>
      </c>
      <c r="K703" s="66"/>
      <c r="N703" s="71"/>
      <c r="O703" s="27" t="str">
        <f t="shared" ref="O703" si="2134">"5 RODADA"</f>
        <v>5 RODADA</v>
      </c>
      <c r="P703" s="107">
        <f t="shared" ref="P703:AI703" si="2135">IF(P701="","",IF((_xlfn.STDEV.P($P700:$XX701)/AVERAGE($P700:$XX701))&lt;=25%,P701,IF(OR(P701&gt;(AVERAGE($P700:$XX701)+_xlfn.STDEV.P($P700:$XX701)),P701&lt;(AVERAGE($P700:$XX701)-_xlfn.STDEV.P($P700:$XX701))),"DESCARTADO",P701)))</f>
        <v>59.94</v>
      </c>
      <c r="Q703" s="107">
        <f t="shared" si="2135"/>
        <v>73.430000000000007</v>
      </c>
      <c r="R703" s="107">
        <f t="shared" si="2135"/>
        <v>57.66</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f t="shared" si="2029"/>
        <v>33</v>
      </c>
      <c r="C704" s="128">
        <f t="shared" si="2030"/>
        <v>1</v>
      </c>
      <c r="D704" s="127">
        <f t="shared" si="2030"/>
        <v>33</v>
      </c>
      <c r="E704" s="201"/>
      <c r="F704" s="93"/>
      <c r="G704" s="203"/>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f t="shared" si="2029"/>
        <v>33</v>
      </c>
      <c r="C705" s="128">
        <f t="shared" si="2030"/>
        <v>1</v>
      </c>
      <c r="D705" s="127">
        <f t="shared" si="2030"/>
        <v>33</v>
      </c>
      <c r="E705" s="201"/>
      <c r="F705" s="93"/>
      <c r="G705" s="203"/>
      <c r="H705" s="134">
        <f t="shared" ref="H705" si="2137">COUNT($P705:$XX705)</f>
        <v>3</v>
      </c>
      <c r="I705" s="132">
        <f t="shared" ref="I705" si="2138">_xlfn.STDEV.P($P704:$XX705)/AVERAGE($P704:$XX705)</f>
        <v>0.10928929162544847</v>
      </c>
      <c r="J705" s="7">
        <f t="shared" ref="J705" si="2139">IF(AND(H705&gt;2,
OR(L687="MÉDIA SANEADA",L687="MEDIANA SANEADA",
AND(L687="PREÇO ESTIMADO",NOT(AND(P689="Orçamento",COUNTA(P687:XX687)=COUNTIF(P689:XX689,"Orçamento")))))),
ROW(),0)</f>
        <v>705</v>
      </c>
      <c r="N705" s="71"/>
      <c r="O705" s="27" t="str">
        <f t="shared" ref="O705" si="2140">"6 RODADA"</f>
        <v>6 RODADA</v>
      </c>
      <c r="P705" s="107">
        <f t="shared" ref="P705:AI705" si="2141">IFERROR(IF(P703="","",IF((_xlfn.STDEV.P($P702:$XX703)/AVERAGE($P702:$XX703))&lt;=25%,P703,IF(OR(P703&gt;(AVERAGE($P702:$XX703)+_xlfn.STDEV.P($P702:$XX703)),P703&lt;(AVERAGE($P702:$XX703)-_xlfn.STDEV.P($P702:$XX703))),"DESCARTADO",P703))),)</f>
        <v>59.94</v>
      </c>
      <c r="Q705" s="107">
        <f t="shared" si="2141"/>
        <v>73.430000000000007</v>
      </c>
      <c r="R705" s="107">
        <f t="shared" si="2141"/>
        <v>57.66</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f t="shared" si="2029"/>
        <v>33</v>
      </c>
      <c r="C706" s="128">
        <f t="shared" si="2030"/>
        <v>1</v>
      </c>
      <c r="D706" s="127">
        <f t="shared" si="2030"/>
        <v>33</v>
      </c>
      <c r="E706" s="201"/>
      <c r="F706" s="136"/>
      <c r="G706" s="203"/>
      <c r="H706" s="206"/>
      <c r="I706" s="206"/>
      <c r="J706" s="207"/>
      <c r="K706" s="67"/>
      <c r="L706" s="1" t="s">
        <v>43</v>
      </c>
      <c r="M706" s="143">
        <f t="shared" ref="M706" si="2142">IFERROR(ROUND(M687*M689,2),"")</f>
        <v>191.04</v>
      </c>
      <c r="O706" s="27" t="s">
        <v>363</v>
      </c>
      <c r="P706" s="107">
        <f t="shared" ref="P706:R706" si="2143">INDEX(P693:P705,MATCH(MAX($J693:$J705),$J693:$J705,0))</f>
        <v>59.94</v>
      </c>
      <c r="Q706" s="107">
        <f t="shared" si="2143"/>
        <v>73.430000000000007</v>
      </c>
      <c r="R706" s="107">
        <f t="shared" si="2143"/>
        <v>57.66</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f t="shared" ref="B708" si="2144">LARGE(IFERROR(IF(B706+1&gt;$H$8,"",B706+1),""),1)</f>
        <v>34</v>
      </c>
      <c r="C708" s="127">
        <f>IF(_xlfn.ISFORMULA(E712),MAX(INDEX('BASE FORMAÇÃO'!A:A,B708+1),1),E712)</f>
        <v>1</v>
      </c>
      <c r="D708" s="127">
        <f t="shared" ref="D708" si="2145">IFERROR(IF(C708=C698,D698+1,1),1)</f>
        <v>34</v>
      </c>
      <c r="E708" s="38" t="s">
        <v>9</v>
      </c>
      <c r="F708" s="73"/>
      <c r="G708" s="38" t="s">
        <v>15</v>
      </c>
      <c r="H708" s="135">
        <f>INDEX('BASE FORMAÇÃO'!B:B,B708+1)</f>
        <v>0</v>
      </c>
      <c r="I708" s="181" t="s">
        <v>16</v>
      </c>
      <c r="J708" s="6">
        <f>INDEX('BASE FORMAÇÃO'!K:K,B708+1)</f>
        <v>0</v>
      </c>
      <c r="K708" s="65"/>
      <c r="L708" s="184" t="s">
        <v>10</v>
      </c>
      <c r="M708" s="186">
        <f t="shared" ref="M708" si="2146">IF(OR(ISBLANK($O$8),ISBLANK($O$7),ISBLANK($H$8),ISBLANK($O$6),ISBLANK($O$5),ISBLANK($H$5)),"",IFERROR(IF(VLOOKUP(L708,L714:M723,2,FALSE)&lt;1,ROUND(VLOOKUP(L708,L714:M723,2,FALSE),4),ROUND(VLOOKUP(L708,L714:M723,2,FALSE),2)),""))</f>
        <v>21.47</v>
      </c>
      <c r="N708" s="69"/>
      <c r="O708" s="27" t="s">
        <v>17</v>
      </c>
      <c r="P708" s="113">
        <v>16.489999999999998</v>
      </c>
      <c r="Q708" s="113">
        <v>24.66</v>
      </c>
      <c r="R708" s="113">
        <v>23.27</v>
      </c>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f t="shared" ref="B709:D709" si="2147">B708</f>
        <v>34</v>
      </c>
      <c r="C709" s="128">
        <f t="shared" si="2147"/>
        <v>1</v>
      </c>
      <c r="D709" s="127">
        <f t="shared" si="2147"/>
        <v>34</v>
      </c>
      <c r="E709" s="188">
        <f t="shared" ref="E709" si="2148">D708</f>
        <v>34</v>
      </c>
      <c r="F709" s="92"/>
      <c r="G709" s="190" t="s">
        <v>1</v>
      </c>
      <c r="H709" s="193" t="s">
        <v>562</v>
      </c>
      <c r="I709" s="194"/>
      <c r="J709" s="195"/>
      <c r="K709" s="66"/>
      <c r="L709" s="185"/>
      <c r="M709" s="187"/>
      <c r="N709" s="70"/>
      <c r="O709" s="27" t="s">
        <v>13</v>
      </c>
      <c r="P709" s="122">
        <v>46195</v>
      </c>
      <c r="Q709" s="122">
        <v>46195</v>
      </c>
      <c r="R709" s="122">
        <v>46195</v>
      </c>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f t="shared" ref="B710:D710" si="2149">B709</f>
        <v>34</v>
      </c>
      <c r="C710" s="128">
        <f t="shared" si="2149"/>
        <v>1</v>
      </c>
      <c r="D710" s="127">
        <f t="shared" si="2149"/>
        <v>34</v>
      </c>
      <c r="E710" s="189"/>
      <c r="F710" s="93"/>
      <c r="G710" s="191"/>
      <c r="H710" s="196"/>
      <c r="I710" s="196"/>
      <c r="J710" s="197"/>
      <c r="K710" s="64"/>
      <c r="L710" s="130" t="s">
        <v>44</v>
      </c>
      <c r="M710" s="131">
        <v>3</v>
      </c>
      <c r="N710" s="71"/>
      <c r="O710" s="27" t="s">
        <v>380</v>
      </c>
      <c r="P710" s="114" t="s">
        <v>302</v>
      </c>
      <c r="Q710" s="114" t="s">
        <v>302</v>
      </c>
      <c r="R710" s="114" t="s">
        <v>302</v>
      </c>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f t="shared" ref="B711:C711" si="2150">B710</f>
        <v>34</v>
      </c>
      <c r="C711" s="128">
        <f t="shared" si="2150"/>
        <v>1</v>
      </c>
      <c r="D711" s="127">
        <f t="shared" si="2030"/>
        <v>34</v>
      </c>
      <c r="E711" s="38" t="s">
        <v>313</v>
      </c>
      <c r="F711" s="93"/>
      <c r="G711" s="192"/>
      <c r="H711" s="198"/>
      <c r="I711" s="198"/>
      <c r="J711" s="199"/>
      <c r="K711" s="64"/>
      <c r="L711" s="1" t="s">
        <v>2</v>
      </c>
      <c r="M711" s="6" t="s">
        <v>288</v>
      </c>
      <c r="N711" s="71"/>
      <c r="O711" s="27" t="s">
        <v>381</v>
      </c>
      <c r="P711" s="182" t="s">
        <v>567</v>
      </c>
      <c r="Q711" s="182" t="s">
        <v>568</v>
      </c>
      <c r="R711" s="182" t="s">
        <v>569</v>
      </c>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f t="shared" ref="B712:C712" si="2151">B710</f>
        <v>34</v>
      </c>
      <c r="C712" s="128">
        <f t="shared" si="2151"/>
        <v>1</v>
      </c>
      <c r="D712" s="127">
        <f t="shared" si="2030"/>
        <v>34</v>
      </c>
      <c r="E712" s="200">
        <f t="shared" ref="E712" si="2152">C708</f>
        <v>1</v>
      </c>
      <c r="F712" s="93"/>
      <c r="G712" s="202" t="s">
        <v>304</v>
      </c>
      <c r="H712" s="204"/>
      <c r="I712" s="205"/>
      <c r="J712" s="205"/>
      <c r="K712" s="67"/>
      <c r="L712" s="28" t="s">
        <v>303</v>
      </c>
      <c r="M712" s="133">
        <f t="shared" ref="M712" si="2153">IFERROR(INDEX(I714:I726,MATCH(MAX(J714:J726),J714:J726,0)),"")</f>
        <v>0.16621307058887361</v>
      </c>
      <c r="N712" s="71"/>
      <c r="O712" s="27" t="s">
        <v>18</v>
      </c>
      <c r="P712" s="106">
        <f>IF(P708="","",
IF(OR(P710="Orçamento",P709="",MAX('Tabela de Apoio'!$A:$A)&lt;=P709),
P708,
(INDEX('Tabela de Apoio'!$B:$B,MATCH('MAPA DE PREÇOS'!$O$8,'Tabela de Apoio'!$A:$A,1))/INDEX('Tabela de Apoio'!$B:$B,MATCH('MAPA DE PREÇOS'!P709,'Tabela de Apoio'!$A:$A,1)-1))*P708))</f>
        <v>16.489999999999998</v>
      </c>
      <c r="Q712" s="106">
        <f>IF(Q708="","",
IF(OR(Q710="Orçamento",Q709="",MAX('Tabela de Apoio'!$A:$A)&lt;=Q709),
Q708,
(INDEX('Tabela de Apoio'!$B:$B,MATCH('MAPA DE PREÇOS'!$O$8,'Tabela de Apoio'!$A:$A,1))/INDEX('Tabela de Apoio'!$B:$B,MATCH('MAPA DE PREÇOS'!Q709,'Tabela de Apoio'!$A:$A,1)-1))*Q708))</f>
        <v>24.66</v>
      </c>
      <c r="R712" s="106">
        <f>IF(R708="","",
IF(OR(R710="Orçamento",R709="",MAX('Tabela de Apoio'!$A:$A)&lt;=R709),
R708,
(INDEX('Tabela de Apoio'!$B:$B,MATCH('MAPA DE PREÇOS'!$O$8,'Tabela de Apoio'!$A:$A,1))/INDEX('Tabela de Apoio'!$B:$B,MATCH('MAPA DE PREÇOS'!R709,'Tabela de Apoio'!$A:$A,1)-1))*R708))</f>
        <v>23.27</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f t="shared" ref="B713" si="2154">B712</f>
        <v>34</v>
      </c>
      <c r="C713" s="128">
        <f t="shared" ref="C713" si="2155">C712</f>
        <v>1</v>
      </c>
      <c r="D713" s="127">
        <f t="shared" si="2030"/>
        <v>34</v>
      </c>
      <c r="E713" s="201"/>
      <c r="F713" s="93"/>
      <c r="G713" s="203"/>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f t="shared" ref="B714:C714" si="2156">B713</f>
        <v>34</v>
      </c>
      <c r="C714" s="128">
        <f t="shared" si="2156"/>
        <v>1</v>
      </c>
      <c r="D714" s="127">
        <f t="shared" si="2030"/>
        <v>34</v>
      </c>
      <c r="E714" s="201"/>
      <c r="F714" s="93"/>
      <c r="G714" s="203"/>
      <c r="H714" s="134">
        <f t="shared" ref="H714" si="2157">COUNT($P714:$XX714)</f>
        <v>3</v>
      </c>
      <c r="I714" s="132">
        <f t="shared" ref="I714" si="2158">_xlfn.STDEV.P($P713:$XX714)/AVERAGE($P713:$XX714)</f>
        <v>0.16621307058887361</v>
      </c>
      <c r="J714" s="7">
        <f>ROW()</f>
        <v>714</v>
      </c>
      <c r="K714" s="67"/>
      <c r="L714" s="29" t="s">
        <v>10</v>
      </c>
      <c r="M714" s="30">
        <f t="shared" ref="M714" si="2159">IFERROR(
IF(COUNTA(P708:AI708)=COUNTIF(P710:XX710,"Orçamento"),MIN(M719,M716),
IF(M717&lt;&gt;"",M717,
IF(M718&lt;&gt;"",M718,
M716
))),"")</f>
        <v>21.473333333333333</v>
      </c>
      <c r="N714" s="71"/>
      <c r="O714" s="27" t="s">
        <v>376</v>
      </c>
      <c r="P714" s="106">
        <f t="shared" ref="P714:AI714" si="2160">IFERROR(IF(P712="",
            "",
            IF(COUNT($P712:$XX712)&lt;=4,
               P712,
               IF(OR(P712&gt;(QUARTILE($P712:$XX712,3)+(QUARTILE($P712:$XX712,3)-QUARTILE($P712:$XX712,1))),
                     P712&lt;(QUARTILE($P712:$XX712,1)-(QUARTILE($P712:$XX712,3)-QUARTILE($P712:$XX712,1)))
                  ),
               "DESCARTADO",P712)
             )
  ),P712)</f>
        <v>16.489999999999998</v>
      </c>
      <c r="Q714" s="106">
        <f t="shared" si="2160"/>
        <v>24.66</v>
      </c>
      <c r="R714" s="106">
        <f t="shared" si="2160"/>
        <v>23.27</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f t="shared" ref="B715" si="2161">B714</f>
        <v>34</v>
      </c>
      <c r="C715" s="128">
        <f t="shared" ref="C715" si="2162">C714</f>
        <v>1</v>
      </c>
      <c r="D715" s="127">
        <f t="shared" si="2030"/>
        <v>34</v>
      </c>
      <c r="E715" s="201"/>
      <c r="F715" s="93"/>
      <c r="G715" s="203"/>
      <c r="H715"/>
      <c r="I715"/>
      <c r="J715"/>
      <c r="K715" s="66"/>
      <c r="L715" s="29" t="s">
        <v>360</v>
      </c>
      <c r="M715" s="30">
        <f t="shared" ref="M715" si="2163">AVERAGE($P714:$XX714)</f>
        <v>21.473333333333333</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f t="shared" si="2029"/>
        <v>34</v>
      </c>
      <c r="C716" s="128">
        <f t="shared" si="2030"/>
        <v>1</v>
      </c>
      <c r="D716" s="127">
        <f t="shared" si="2030"/>
        <v>34</v>
      </c>
      <c r="E716" s="201"/>
      <c r="F716" s="93"/>
      <c r="G716" s="203"/>
      <c r="H716" s="134">
        <f t="shared" ref="H716" si="2165">COUNT($P716:$XX716)</f>
        <v>3</v>
      </c>
      <c r="I716" s="132">
        <f t="shared" ref="I716" si="2166">_xlfn.STDEV.P($P715:$XX716)/AVERAGE($P715:$XX716)</f>
        <v>0.16621307058887361</v>
      </c>
      <c r="J716" s="7">
        <f t="shared" ref="J716" si="2167">IF(AND(H716&gt;2,
OR(L708="MÉDIA SANEADA",L708="MEDIANA SANEADA",
AND(L708="PREÇO ESTIMADO",NOT(AND(P710="Orçamento",COUNTA(P708:XX708)=COUNTIF(P710:XX710,"Orçamento")))))),
ROW(),0)</f>
        <v>716</v>
      </c>
      <c r="K716" s="66"/>
      <c r="L716" s="29" t="s">
        <v>361</v>
      </c>
      <c r="M716" s="30">
        <f t="shared" ref="M716" si="2168">MEDIAN($P714:$XX714)</f>
        <v>23.27</v>
      </c>
      <c r="N716" s="71"/>
      <c r="O716" s="27" t="str">
        <f t="shared" ref="O716" si="2169">"1 RODADA"</f>
        <v>1 RODADA</v>
      </c>
      <c r="P716" s="107">
        <f t="shared" ref="P716:AI716" si="2170">IF(P714="","",IF((_xlfn.STDEV.P($P713:$XX714)/AVERAGE($P713:$XX714))&lt;=25%,P714,IF(OR(P714&gt;(AVERAGE($P713:$XX714)+_xlfn.STDEV.P($P713:$XX714)),P714&lt;(AVERAGE($P713:$XX714)-_xlfn.STDEV.P($P713:$XX714))),"DESCARTADO",P714)))</f>
        <v>16.489999999999998</v>
      </c>
      <c r="Q716" s="107">
        <f t="shared" si="2170"/>
        <v>24.66</v>
      </c>
      <c r="R716" s="107">
        <f t="shared" si="2170"/>
        <v>23.27</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f t="shared" si="2029"/>
        <v>34</v>
      </c>
      <c r="C717" s="128">
        <f t="shared" si="2030"/>
        <v>1</v>
      </c>
      <c r="D717" s="127">
        <f t="shared" si="2030"/>
        <v>34</v>
      </c>
      <c r="E717" s="201"/>
      <c r="F717" s="93"/>
      <c r="G717" s="203"/>
      <c r="H717"/>
      <c r="I717"/>
      <c r="J717"/>
      <c r="L717" s="29" t="s">
        <v>38</v>
      </c>
      <c r="M717" s="30">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21.473333333333333</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f t="shared" si="2029"/>
        <v>34</v>
      </c>
      <c r="C718" s="128">
        <f t="shared" si="2030"/>
        <v>1</v>
      </c>
      <c r="D718" s="127">
        <f t="shared" si="2030"/>
        <v>34</v>
      </c>
      <c r="E718" s="201"/>
      <c r="F718" s="93"/>
      <c r="G718" s="203"/>
      <c r="H718" s="134">
        <f t="shared" ref="H718" si="2173">COUNT($P718:$XX718)</f>
        <v>3</v>
      </c>
      <c r="I718" s="132">
        <f t="shared" ref="I718" si="2174">_xlfn.STDEV.P($P717:$XX718)/AVERAGE($P717:$XX718)</f>
        <v>0.16621307058887361</v>
      </c>
      <c r="J718" s="7">
        <f t="shared" ref="J718" si="2175">IF(AND(H718&gt;2,
OR(L708="MÉDIA SANEADA",L708="MEDIANA SANEADA",
AND(L708="PREÇO ESTIMADO",NOT(AND(P710="Orçamento",COUNTA(P708:XX708)=COUNTIF(P710:XX710,"Orçamento")))))),
ROW(),0)</f>
        <v>718</v>
      </c>
      <c r="K718" s="66"/>
      <c r="L718" s="29" t="s">
        <v>362</v>
      </c>
      <c r="M718" s="30">
        <f t="shared" ref="M718" si="2176" xml:space="preserve">
IF(H716&gt;2,MEDIAN(P715:XX716),
IF(H718&gt;2,MEDIAN(P717:XX718),
IF(H720&gt;2,MEDIAN(P719:XX720),
IF(H722&gt;2,MEDIAN(P721:XX722),
IF(H724&gt;2,MEDIAN(P723:XX724),
IF(H726&gt;2,MEDIAN(P725:XX726),
MEDIAN(P713:XX714)))))))</f>
        <v>23.27</v>
      </c>
      <c r="N718" s="71"/>
      <c r="O718" s="27" t="str">
        <f t="shared" ref="O718" si="2177">"2 RODADA"</f>
        <v>2 RODADA</v>
      </c>
      <c r="P718" s="107">
        <f t="shared" ref="P718:AI718" si="2178">IF(P716="","",IF((_xlfn.STDEV.P($P715:$XX716)/AVERAGE($P715:$XX716))&lt;=25%,P716,IF(OR(P716&gt;(AVERAGE($P715:$XX716)+_xlfn.STDEV.P($P715:$XX716)),P716&lt;(AVERAGE($P715:$XX716)-_xlfn.STDEV.P($P715:$XX716))),"DESCARTADO",P716)))</f>
        <v>16.489999999999998</v>
      </c>
      <c r="Q718" s="107">
        <f t="shared" si="2178"/>
        <v>24.66</v>
      </c>
      <c r="R718" s="107">
        <f t="shared" si="2178"/>
        <v>23.27</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f t="shared" si="2029"/>
        <v>34</v>
      </c>
      <c r="C719" s="128">
        <f t="shared" si="2030"/>
        <v>1</v>
      </c>
      <c r="D719" s="127">
        <f t="shared" si="2030"/>
        <v>34</v>
      </c>
      <c r="E719" s="201"/>
      <c r="F719" s="93"/>
      <c r="G719" s="203"/>
      <c r="H719"/>
      <c r="I719"/>
      <c r="J719"/>
      <c r="K719" s="66"/>
      <c r="L719" s="29" t="s">
        <v>359</v>
      </c>
      <c r="M719" s="30">
        <f t="shared" ref="M719" si="2179">HARMEAN($P713:$XX714)</f>
        <v>20.809041635198373</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f t="shared" si="2029"/>
        <v>34</v>
      </c>
      <c r="C720" s="128">
        <f t="shared" si="2030"/>
        <v>1</v>
      </c>
      <c r="D720" s="127">
        <f t="shared" si="2030"/>
        <v>34</v>
      </c>
      <c r="E720" s="201"/>
      <c r="F720" s="93"/>
      <c r="G720" s="203"/>
      <c r="H720" s="134">
        <f t="shared" ref="H720" si="2181">COUNT($P720:$XX720)</f>
        <v>3</v>
      </c>
      <c r="I720" s="132">
        <f t="shared" ref="I720" si="2182">_xlfn.STDEV.P($P719:$XX720)/AVERAGE($P719:$XX720)</f>
        <v>0.16621307058887361</v>
      </c>
      <c r="J720" s="7">
        <f t="shared" ref="J720" si="2183">IF(AND(H720&gt;2,
OR(L708="MÉDIA SANEADA",L708="MEDIANA SANEADA",
AND(L708="PREÇO ESTIMADO",NOT(AND(P710="Orçamento",COUNTA(P708:XX708)=COUNTIF(P710:XX710,"Orçamento")))))),
ROW(),0)</f>
        <v>720</v>
      </c>
      <c r="K720" s="66"/>
      <c r="L720" s="29" t="s">
        <v>41</v>
      </c>
      <c r="M720" s="30">
        <f t="shared" ref="M720" si="2184">IFERROR(_xlfn.QUARTILE.EXC($P714:$XX714,1),"")</f>
        <v>16.489999999999998</v>
      </c>
      <c r="N720" s="71"/>
      <c r="O720" s="27" t="str">
        <f t="shared" ref="O720" si="2185">"3 RODADA"</f>
        <v>3 RODADA</v>
      </c>
      <c r="P720" s="107">
        <f t="shared" ref="P720:AI720" si="2186">IF(P718="","",IF((_xlfn.STDEV.P($P717:$XX718)/AVERAGE($P717:$XX718))&lt;=25%,P718,IF(OR(P718&gt;(AVERAGE($P717:$XX718)+_xlfn.STDEV.P($P717:$XX718)),P718&lt;(AVERAGE($P717:$XX718)-_xlfn.STDEV.P($P717:$XX718))),"DESCARTADO",P718)))</f>
        <v>16.489999999999998</v>
      </c>
      <c r="Q720" s="107">
        <f t="shared" si="2186"/>
        <v>24.66</v>
      </c>
      <c r="R720" s="107">
        <f t="shared" si="2186"/>
        <v>23.27</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f t="shared" si="2029"/>
        <v>34</v>
      </c>
      <c r="C721" s="128">
        <f t="shared" si="2030"/>
        <v>1</v>
      </c>
      <c r="D721" s="127">
        <f t="shared" si="2030"/>
        <v>34</v>
      </c>
      <c r="E721" s="201"/>
      <c r="F721" s="93"/>
      <c r="G721" s="203"/>
      <c r="H721"/>
      <c r="I721"/>
      <c r="J721"/>
      <c r="K721" s="66"/>
      <c r="L721" s="29" t="s">
        <v>39</v>
      </c>
      <c r="M721" s="30">
        <f t="shared" ref="M721" si="2187">IFERROR(_xlfn.QUARTILE.EXC($P714:$XX714,3),"")</f>
        <v>24.66</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f t="shared" si="2029"/>
        <v>34</v>
      </c>
      <c r="C722" s="128">
        <f t="shared" si="2030"/>
        <v>1</v>
      </c>
      <c r="D722" s="127">
        <f t="shared" si="2030"/>
        <v>34</v>
      </c>
      <c r="E722" s="201"/>
      <c r="F722" s="93"/>
      <c r="G722" s="203"/>
      <c r="H722" s="134">
        <f t="shared" ref="H722" si="2189">COUNT($P722:$XX722)</f>
        <v>3</v>
      </c>
      <c r="I722" s="132">
        <f t="shared" ref="I722" si="2190">_xlfn.STDEV.P($P721:$XX722)/AVERAGE($P721:$XX722)</f>
        <v>0.16621307058887361</v>
      </c>
      <c r="J722" s="7">
        <f t="shared" ref="J722" si="2191">IF(AND(H722&gt;2,
OR(L708="MÉDIA SANEADA",L708="MEDIANA SANEADA",
AND(L708="PREÇO ESTIMADO",NOT(AND(P710="Orçamento",COUNTA(P708:XX708)=COUNTIF(P710:XX710,"Orçamento")))))),
ROW(),0)</f>
        <v>722</v>
      </c>
      <c r="K722" s="66"/>
      <c r="L722" s="29" t="s">
        <v>42</v>
      </c>
      <c r="M722" s="30">
        <f t="shared" ref="M722" si="2192">MIN($P714:$XX714)</f>
        <v>16.489999999999998</v>
      </c>
      <c r="N722" s="71"/>
      <c r="O722" s="27" t="str">
        <f t="shared" ref="O722" si="2193">"4 RODADA"</f>
        <v>4 RODADA</v>
      </c>
      <c r="P722" s="107">
        <f t="shared" ref="P722:AI722" si="2194">IF(P720="","",IF((_xlfn.STDEV.P($P719:$XX720)/AVERAGE($P719:$XX720))&lt;=25%,P720,IF(OR(P720&gt;(AVERAGE($P719:$XX720)+_xlfn.STDEV.P($P719:$XX720)),P720&lt;(AVERAGE($P719:$XX720)-_xlfn.STDEV.P($P719:$XX720))),"DESCARTADO",P720)))</f>
        <v>16.489999999999998</v>
      </c>
      <c r="Q722" s="107">
        <f t="shared" si="2194"/>
        <v>24.66</v>
      </c>
      <c r="R722" s="107">
        <f t="shared" si="2194"/>
        <v>23.27</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f t="shared" si="2029"/>
        <v>34</v>
      </c>
      <c r="C723" s="128">
        <f t="shared" si="2030"/>
        <v>1</v>
      </c>
      <c r="D723" s="127">
        <f t="shared" si="2030"/>
        <v>34</v>
      </c>
      <c r="E723" s="201"/>
      <c r="F723" s="93"/>
      <c r="G723" s="203"/>
      <c r="H723"/>
      <c r="I723"/>
      <c r="J723"/>
      <c r="K723" s="66"/>
      <c r="L723" s="29" t="s">
        <v>40</v>
      </c>
      <c r="M723" s="30">
        <f t="shared" ref="M723" si="2195">MAX($P714:$XX714)</f>
        <v>24.66</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f t="shared" si="2029"/>
        <v>34</v>
      </c>
      <c r="C724" s="128">
        <f t="shared" si="2030"/>
        <v>1</v>
      </c>
      <c r="D724" s="127">
        <f t="shared" si="2030"/>
        <v>34</v>
      </c>
      <c r="E724" s="201"/>
      <c r="F724" s="93"/>
      <c r="G724" s="203"/>
      <c r="H724" s="134">
        <f t="shared" ref="H724" si="2197">COUNT($P724:$XX724)</f>
        <v>3</v>
      </c>
      <c r="I724" s="132">
        <f t="shared" ref="I724" si="2198">_xlfn.STDEV.P($P723:$XX724)/AVERAGE($P723:$XX724)</f>
        <v>0.16621307058887361</v>
      </c>
      <c r="J724" s="7">
        <f t="shared" ref="J724" si="2199">IF(AND(H724&gt;2,
OR(L708="MÉDIA SANEADA",L708="MEDIANA SANEADA",
AND(L708="PREÇO ESTIMADO",NOT(AND(P710="Orçamento",COUNTA(P708:XX708)=COUNTIF(P710:XX710,"Orçamento")))))),
ROW(),0)</f>
        <v>724</v>
      </c>
      <c r="K724" s="66"/>
      <c r="N724" s="71"/>
      <c r="O724" s="27" t="str">
        <f t="shared" ref="O724" si="2200">"5 RODADA"</f>
        <v>5 RODADA</v>
      </c>
      <c r="P724" s="107">
        <f t="shared" ref="P724:AI724" si="2201">IF(P722="","",IF((_xlfn.STDEV.P($P721:$XX722)/AVERAGE($P721:$XX722))&lt;=25%,P722,IF(OR(P722&gt;(AVERAGE($P721:$XX722)+_xlfn.STDEV.P($P721:$XX722)),P722&lt;(AVERAGE($P721:$XX722)-_xlfn.STDEV.P($P721:$XX722))),"DESCARTADO",P722)))</f>
        <v>16.489999999999998</v>
      </c>
      <c r="Q724" s="107">
        <f t="shared" si="2201"/>
        <v>24.66</v>
      </c>
      <c r="R724" s="107">
        <f t="shared" si="2201"/>
        <v>23.27</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f t="shared" si="2029"/>
        <v>34</v>
      </c>
      <c r="C725" s="128">
        <f t="shared" si="2030"/>
        <v>1</v>
      </c>
      <c r="D725" s="127">
        <f t="shared" si="2030"/>
        <v>34</v>
      </c>
      <c r="E725" s="201"/>
      <c r="F725" s="93"/>
      <c r="G725" s="203"/>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f t="shared" si="2029"/>
        <v>34</v>
      </c>
      <c r="C726" s="128">
        <f t="shared" si="2030"/>
        <v>1</v>
      </c>
      <c r="D726" s="127">
        <f t="shared" si="2030"/>
        <v>34</v>
      </c>
      <c r="E726" s="201"/>
      <c r="F726" s="93"/>
      <c r="G726" s="203"/>
      <c r="H726" s="134">
        <f t="shared" ref="H726" si="2203">COUNT($P726:$XX726)</f>
        <v>3</v>
      </c>
      <c r="I726" s="132">
        <f t="shared" ref="I726" si="2204">_xlfn.STDEV.P($P725:$XX726)/AVERAGE($P725:$XX726)</f>
        <v>0.16621307058887361</v>
      </c>
      <c r="J726" s="7">
        <f t="shared" ref="J726" si="2205">IF(AND(H726&gt;2,
OR(L708="MÉDIA SANEADA",L708="MEDIANA SANEADA",
AND(L708="PREÇO ESTIMADO",NOT(AND(P710="Orçamento",COUNTA(P708:XX708)=COUNTIF(P710:XX710,"Orçamento")))))),
ROW(),0)</f>
        <v>726</v>
      </c>
      <c r="N726" s="71"/>
      <c r="O726" s="27" t="str">
        <f t="shared" ref="O726" si="2206">"6 RODADA"</f>
        <v>6 RODADA</v>
      </c>
      <c r="P726" s="107">
        <f t="shared" ref="P726:AI726" si="2207">IFERROR(IF(P724="","",IF((_xlfn.STDEV.P($P723:$XX724)/AVERAGE($P723:$XX724))&lt;=25%,P724,IF(OR(P724&gt;(AVERAGE($P723:$XX724)+_xlfn.STDEV.P($P723:$XX724)),P724&lt;(AVERAGE($P723:$XX724)-_xlfn.STDEV.P($P723:$XX724))),"DESCARTADO",P724))),)</f>
        <v>16.489999999999998</v>
      </c>
      <c r="Q726" s="107">
        <f t="shared" si="2207"/>
        <v>24.66</v>
      </c>
      <c r="R726" s="107">
        <f t="shared" si="2207"/>
        <v>23.27</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f t="shared" si="2029"/>
        <v>34</v>
      </c>
      <c r="C727" s="128">
        <f t="shared" si="2030"/>
        <v>1</v>
      </c>
      <c r="D727" s="127">
        <f t="shared" si="2030"/>
        <v>34</v>
      </c>
      <c r="E727" s="201"/>
      <c r="F727" s="136"/>
      <c r="G727" s="203"/>
      <c r="H727" s="206"/>
      <c r="I727" s="206"/>
      <c r="J727" s="207"/>
      <c r="K727" s="67"/>
      <c r="L727" s="1" t="s">
        <v>43</v>
      </c>
      <c r="M727" s="143">
        <f t="shared" ref="M727" si="2208">IFERROR(ROUND(M708*M710,2),"")</f>
        <v>64.41</v>
      </c>
      <c r="O727" s="27" t="s">
        <v>363</v>
      </c>
      <c r="P727" s="107">
        <f t="shared" ref="P727:AI748" si="2209">INDEX(P714:P726,MATCH(MAX($J714:$J726),$J714:$J726,0))</f>
        <v>16.489999999999998</v>
      </c>
      <c r="Q727" s="107">
        <f t="shared" si="2209"/>
        <v>24.66</v>
      </c>
      <c r="R727" s="107">
        <f t="shared" si="2209"/>
        <v>23.27</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f t="shared" ref="B729" si="2210">LARGE(IFERROR(IF(B727+1&gt;$H$8,"",B727+1),""),1)</f>
        <v>35</v>
      </c>
      <c r="C729" s="127">
        <f>IF(_xlfn.ISFORMULA(E733),MAX(INDEX('BASE FORMAÇÃO'!A:A,B729+1),1),E733)</f>
        <v>1</v>
      </c>
      <c r="D729" s="127">
        <f t="shared" ref="D729" si="2211">IFERROR(IF(C729=C719,D719+1,1),1)</f>
        <v>35</v>
      </c>
      <c r="E729" s="38" t="s">
        <v>9</v>
      </c>
      <c r="F729" s="73"/>
      <c r="G729" s="38" t="s">
        <v>15</v>
      </c>
      <c r="H729" s="135">
        <f>INDEX('BASE FORMAÇÃO'!B:B,B729+1)</f>
        <v>0</v>
      </c>
      <c r="I729" s="181" t="s">
        <v>16</v>
      </c>
      <c r="J729" s="6">
        <f>INDEX('BASE FORMAÇÃO'!K:K,B729+1)</f>
        <v>0</v>
      </c>
      <c r="K729" s="65"/>
      <c r="L729" s="184" t="s">
        <v>10</v>
      </c>
      <c r="M729" s="186">
        <f t="shared" ref="M729" si="2212">IF(OR(ISBLANK($O$8),ISBLANK($O$7),ISBLANK($H$8),ISBLANK($O$6),ISBLANK($O$5),ISBLANK($H$5)),"",IFERROR(IF(VLOOKUP(L729,L735:M744,2,FALSE)&lt;1,ROUND(VLOOKUP(L729,L735:M744,2,FALSE),4),ROUND(VLOOKUP(L729,L735:M744,2,FALSE),2)),""))</f>
        <v>33.450000000000003</v>
      </c>
      <c r="N729" s="69"/>
      <c r="O729" s="27" t="s">
        <v>17</v>
      </c>
      <c r="P729" s="113">
        <v>37.630000000000003</v>
      </c>
      <c r="Q729" s="113">
        <v>33.25</v>
      </c>
      <c r="R729" s="113">
        <v>29.46</v>
      </c>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f t="shared" ref="B730:D730" si="2213">B729</f>
        <v>35</v>
      </c>
      <c r="C730" s="128">
        <f t="shared" si="2213"/>
        <v>1</v>
      </c>
      <c r="D730" s="127">
        <f t="shared" si="2213"/>
        <v>35</v>
      </c>
      <c r="E730" s="188">
        <f t="shared" ref="E730" si="2214">D729</f>
        <v>35</v>
      </c>
      <c r="F730" s="92"/>
      <c r="G730" s="190" t="s">
        <v>1</v>
      </c>
      <c r="H730" s="193" t="s">
        <v>570</v>
      </c>
      <c r="I730" s="194"/>
      <c r="J730" s="195"/>
      <c r="K730" s="66"/>
      <c r="L730" s="185"/>
      <c r="M730" s="187"/>
      <c r="N730" s="70"/>
      <c r="O730" s="27" t="s">
        <v>13</v>
      </c>
      <c r="P730" s="122">
        <v>46195</v>
      </c>
      <c r="Q730" s="122">
        <v>46195</v>
      </c>
      <c r="R730" s="122">
        <v>46195</v>
      </c>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f t="shared" ref="B731:D731" si="2215">B730</f>
        <v>35</v>
      </c>
      <c r="C731" s="128">
        <f t="shared" si="2215"/>
        <v>1</v>
      </c>
      <c r="D731" s="127">
        <f t="shared" si="2215"/>
        <v>35</v>
      </c>
      <c r="E731" s="189"/>
      <c r="F731" s="93"/>
      <c r="G731" s="191"/>
      <c r="H731" s="196"/>
      <c r="I731" s="196"/>
      <c r="J731" s="197"/>
      <c r="K731" s="64"/>
      <c r="L731" s="130" t="s">
        <v>44</v>
      </c>
      <c r="M731" s="131">
        <v>3</v>
      </c>
      <c r="N731" s="71"/>
      <c r="O731" s="27" t="s">
        <v>380</v>
      </c>
      <c r="P731" s="114" t="s">
        <v>302</v>
      </c>
      <c r="Q731" s="114" t="s">
        <v>302</v>
      </c>
      <c r="R731" s="114" t="s">
        <v>302</v>
      </c>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f t="shared" ref="B732:C732" si="2216">B731</f>
        <v>35</v>
      </c>
      <c r="C732" s="128">
        <f t="shared" si="2216"/>
        <v>1</v>
      </c>
      <c r="D732" s="127">
        <f t="shared" si="2030"/>
        <v>35</v>
      </c>
      <c r="E732" s="38" t="s">
        <v>313</v>
      </c>
      <c r="F732" s="93"/>
      <c r="G732" s="192"/>
      <c r="H732" s="198"/>
      <c r="I732" s="198"/>
      <c r="J732" s="199"/>
      <c r="K732" s="64"/>
      <c r="L732" s="1" t="s">
        <v>2</v>
      </c>
      <c r="M732" s="6" t="s">
        <v>288</v>
      </c>
      <c r="N732" s="71"/>
      <c r="O732" s="27" t="s">
        <v>381</v>
      </c>
      <c r="P732" s="182" t="s">
        <v>571</v>
      </c>
      <c r="Q732" s="182" t="s">
        <v>572</v>
      </c>
      <c r="R732" s="182" t="s">
        <v>573</v>
      </c>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f t="shared" ref="B733:C733" si="2217">B731</f>
        <v>35</v>
      </c>
      <c r="C733" s="128">
        <f t="shared" si="2217"/>
        <v>1</v>
      </c>
      <c r="D733" s="127">
        <f t="shared" si="2030"/>
        <v>35</v>
      </c>
      <c r="E733" s="200">
        <f t="shared" ref="E733" si="2218">C729</f>
        <v>1</v>
      </c>
      <c r="F733" s="93"/>
      <c r="G733" s="202" t="s">
        <v>304</v>
      </c>
      <c r="H733" s="204"/>
      <c r="I733" s="205"/>
      <c r="J733" s="205"/>
      <c r="K733" s="67"/>
      <c r="L733" s="28" t="s">
        <v>303</v>
      </c>
      <c r="M733" s="133">
        <f t="shared" ref="M733" si="2219">IFERROR(INDEX(I735:I747,MATCH(MAX(J735:J747),J735:J747,0)),"")</f>
        <v>9.9809238195779845E-2</v>
      </c>
      <c r="N733" s="71"/>
      <c r="O733" s="27" t="s">
        <v>18</v>
      </c>
      <c r="P733" s="106">
        <f>IF(P729="","",
IF(OR(P731="Orçamento",P730="",MAX('Tabela de Apoio'!$A:$A)&lt;=P730),
P729,
(INDEX('Tabela de Apoio'!$B:$B,MATCH('MAPA DE PREÇOS'!$O$8,'Tabela de Apoio'!$A:$A,1))/INDEX('Tabela de Apoio'!$B:$B,MATCH('MAPA DE PREÇOS'!P730,'Tabela de Apoio'!$A:$A,1)-1))*P729))</f>
        <v>37.630000000000003</v>
      </c>
      <c r="Q733" s="106">
        <f>IF(Q729="","",
IF(OR(Q731="Orçamento",Q730="",MAX('Tabela de Apoio'!$A:$A)&lt;=Q730),
Q729,
(INDEX('Tabela de Apoio'!$B:$B,MATCH('MAPA DE PREÇOS'!$O$8,'Tabela de Apoio'!$A:$A,1))/INDEX('Tabela de Apoio'!$B:$B,MATCH('MAPA DE PREÇOS'!Q730,'Tabela de Apoio'!$A:$A,1)-1))*Q729))</f>
        <v>33.25</v>
      </c>
      <c r="R733" s="106">
        <f>IF(R729="","",
IF(OR(R731="Orçamento",R730="",MAX('Tabela de Apoio'!$A:$A)&lt;=R730),
R729,
(INDEX('Tabela de Apoio'!$B:$B,MATCH('MAPA DE PREÇOS'!$O$8,'Tabela de Apoio'!$A:$A,1))/INDEX('Tabela de Apoio'!$B:$B,MATCH('MAPA DE PREÇOS'!R730,'Tabela de Apoio'!$A:$A,1)-1))*R729))</f>
        <v>29.46</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f t="shared" ref="B734" si="2220">B733</f>
        <v>35</v>
      </c>
      <c r="C734" s="128">
        <f t="shared" ref="C734" si="2221">C733</f>
        <v>1</v>
      </c>
      <c r="D734" s="127">
        <f t="shared" si="2030"/>
        <v>35</v>
      </c>
      <c r="E734" s="201"/>
      <c r="F734" s="93"/>
      <c r="G734" s="203"/>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f t="shared" ref="B735:C735" si="2222">B734</f>
        <v>35</v>
      </c>
      <c r="C735" s="128">
        <f t="shared" si="2222"/>
        <v>1</v>
      </c>
      <c r="D735" s="127">
        <f t="shared" si="2030"/>
        <v>35</v>
      </c>
      <c r="E735" s="201"/>
      <c r="F735" s="93"/>
      <c r="G735" s="203"/>
      <c r="H735" s="134">
        <f t="shared" ref="H735" si="2223">COUNT($P735:$XX735)</f>
        <v>3</v>
      </c>
      <c r="I735" s="132">
        <f t="shared" ref="I735" si="2224">_xlfn.STDEV.P($P734:$XX735)/AVERAGE($P734:$XX735)</f>
        <v>9.9809238195779845E-2</v>
      </c>
      <c r="J735" s="7">
        <f>ROW()</f>
        <v>735</v>
      </c>
      <c r="K735" s="67"/>
      <c r="L735" s="29" t="s">
        <v>10</v>
      </c>
      <c r="M735" s="30">
        <f t="shared" ref="M735" si="2225">IFERROR(
IF(COUNTA(P729:AI729)=COUNTIF(P731:XX731,"Orçamento"),MIN(M740,M737),
IF(M738&lt;&gt;"",M738,
IF(M739&lt;&gt;"",M739,
M737
))),"")</f>
        <v>33.446666666666665</v>
      </c>
      <c r="N735" s="71"/>
      <c r="O735" s="27" t="s">
        <v>376</v>
      </c>
      <c r="P735" s="106">
        <f t="shared" ref="P735:AI735" si="2226">IFERROR(IF(P733="",
            "",
            IF(COUNT($P733:$XX733)&lt;=4,
               P733,
               IF(OR(P733&gt;(QUARTILE($P733:$XX733,3)+(QUARTILE($P733:$XX733,3)-QUARTILE($P733:$XX733,1))),
                     P733&lt;(QUARTILE($P733:$XX733,1)-(QUARTILE($P733:$XX733,3)-QUARTILE($P733:$XX733,1)))
                  ),
               "DESCARTADO",P733)
             )
  ),P733)</f>
        <v>37.630000000000003</v>
      </c>
      <c r="Q735" s="106">
        <f t="shared" si="2226"/>
        <v>33.25</v>
      </c>
      <c r="R735" s="106">
        <f t="shared" si="2226"/>
        <v>29.46</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f t="shared" ref="B736:B790" si="2227">B735</f>
        <v>35</v>
      </c>
      <c r="C736" s="128">
        <f t="shared" ref="C736:D799" si="2228">C735</f>
        <v>1</v>
      </c>
      <c r="D736" s="127">
        <f t="shared" si="2030"/>
        <v>35</v>
      </c>
      <c r="E736" s="201"/>
      <c r="F736" s="93"/>
      <c r="G736" s="203"/>
      <c r="H736"/>
      <c r="I736"/>
      <c r="J736"/>
      <c r="K736" s="66"/>
      <c r="L736" s="29" t="s">
        <v>360</v>
      </c>
      <c r="M736" s="30">
        <f t="shared" ref="M736" si="2229">AVERAGE($P735:$XX735)</f>
        <v>33.446666666666665</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f t="shared" si="2227"/>
        <v>35</v>
      </c>
      <c r="C737" s="128">
        <f t="shared" si="2228"/>
        <v>1</v>
      </c>
      <c r="D737" s="127">
        <f t="shared" si="2228"/>
        <v>35</v>
      </c>
      <c r="E737" s="201"/>
      <c r="F737" s="93"/>
      <c r="G737" s="203"/>
      <c r="H737" s="134">
        <f t="shared" ref="H737" si="2231">COUNT($P737:$XX737)</f>
        <v>3</v>
      </c>
      <c r="I737" s="132">
        <f t="shared" ref="I737" si="2232">_xlfn.STDEV.P($P736:$XX737)/AVERAGE($P736:$XX737)</f>
        <v>9.9809238195779845E-2</v>
      </c>
      <c r="J737" s="7">
        <f t="shared" ref="J737" si="2233">IF(AND(H737&gt;2,
OR(L729="MÉDIA SANEADA",L729="MEDIANA SANEADA",
AND(L729="PREÇO ESTIMADO",NOT(AND(P731="Orçamento",COUNTA(P729:XX729)=COUNTIF(P731:XX731,"Orçamento")))))),
ROW(),0)</f>
        <v>737</v>
      </c>
      <c r="K737" s="66"/>
      <c r="L737" s="29" t="s">
        <v>361</v>
      </c>
      <c r="M737" s="30">
        <f t="shared" ref="M737" si="2234">MEDIAN($P735:$XX735)</f>
        <v>33.25</v>
      </c>
      <c r="N737" s="71"/>
      <c r="O737" s="27" t="str">
        <f t="shared" ref="O737" si="2235">"1 RODADA"</f>
        <v>1 RODADA</v>
      </c>
      <c r="P737" s="107">
        <f t="shared" ref="P737:AI737" si="2236">IF(P735="","",IF((_xlfn.STDEV.P($P734:$XX735)/AVERAGE($P734:$XX735))&lt;=25%,P735,IF(OR(P735&gt;(AVERAGE($P734:$XX735)+_xlfn.STDEV.P($P734:$XX735)),P735&lt;(AVERAGE($P734:$XX735)-_xlfn.STDEV.P($P734:$XX735))),"DESCARTADO",P735)))</f>
        <v>37.630000000000003</v>
      </c>
      <c r="Q737" s="107">
        <f t="shared" si="2236"/>
        <v>33.25</v>
      </c>
      <c r="R737" s="107">
        <f t="shared" si="2236"/>
        <v>29.46</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f t="shared" si="2227"/>
        <v>35</v>
      </c>
      <c r="C738" s="128">
        <f t="shared" si="2228"/>
        <v>1</v>
      </c>
      <c r="D738" s="127">
        <f t="shared" si="2228"/>
        <v>35</v>
      </c>
      <c r="E738" s="201"/>
      <c r="F738" s="93"/>
      <c r="G738" s="203"/>
      <c r="H738"/>
      <c r="I738"/>
      <c r="J738"/>
      <c r="L738" s="29" t="s">
        <v>38</v>
      </c>
      <c r="M738" s="30">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33.446666666666665</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f t="shared" si="2227"/>
        <v>35</v>
      </c>
      <c r="C739" s="128">
        <f t="shared" si="2228"/>
        <v>1</v>
      </c>
      <c r="D739" s="127">
        <f t="shared" si="2228"/>
        <v>35</v>
      </c>
      <c r="E739" s="201"/>
      <c r="F739" s="93"/>
      <c r="G739" s="203"/>
      <c r="H739" s="134">
        <f t="shared" ref="H739" si="2239">COUNT($P739:$XX739)</f>
        <v>3</v>
      </c>
      <c r="I739" s="132">
        <f t="shared" ref="I739" si="2240">_xlfn.STDEV.P($P738:$XX739)/AVERAGE($P738:$XX739)</f>
        <v>9.9809238195779845E-2</v>
      </c>
      <c r="J739" s="7">
        <f t="shared" ref="J739" si="2241">IF(AND(H739&gt;2,
OR(L729="MÉDIA SANEADA",L729="MEDIANA SANEADA",
AND(L729="PREÇO ESTIMADO",NOT(AND(P731="Orçamento",COUNTA(P729:XX729)=COUNTIF(P731:XX731,"Orçamento")))))),
ROW(),0)</f>
        <v>739</v>
      </c>
      <c r="K739" s="66"/>
      <c r="L739" s="29" t="s">
        <v>362</v>
      </c>
      <c r="M739" s="30">
        <f t="shared" ref="M739" si="2242" xml:space="preserve">
IF(H737&gt;2,MEDIAN(P736:XX737),
IF(H739&gt;2,MEDIAN(P738:XX739),
IF(H741&gt;2,MEDIAN(P740:XX741),
IF(H743&gt;2,MEDIAN(P742:XX743),
IF(H745&gt;2,MEDIAN(P744:XX745),
IF(H747&gt;2,MEDIAN(P746:XX747),
MEDIAN(P734:XX735)))))))</f>
        <v>33.25</v>
      </c>
      <c r="N739" s="71"/>
      <c r="O739" s="27" t="str">
        <f t="shared" ref="O739" si="2243">"2 RODADA"</f>
        <v>2 RODADA</v>
      </c>
      <c r="P739" s="107">
        <f t="shared" ref="P739:AI739" si="2244">IF(P737="","",IF((_xlfn.STDEV.P($P736:$XX737)/AVERAGE($P736:$XX737))&lt;=25%,P737,IF(OR(P737&gt;(AVERAGE($P736:$XX737)+_xlfn.STDEV.P($P736:$XX737)),P737&lt;(AVERAGE($P736:$XX737)-_xlfn.STDEV.P($P736:$XX737))),"DESCARTADO",P737)))</f>
        <v>37.630000000000003</v>
      </c>
      <c r="Q739" s="107">
        <f t="shared" si="2244"/>
        <v>33.25</v>
      </c>
      <c r="R739" s="107">
        <f t="shared" si="2244"/>
        <v>29.46</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f t="shared" si="2227"/>
        <v>35</v>
      </c>
      <c r="C740" s="128">
        <f t="shared" si="2228"/>
        <v>1</v>
      </c>
      <c r="D740" s="127">
        <f t="shared" si="2228"/>
        <v>35</v>
      </c>
      <c r="E740" s="201"/>
      <c r="F740" s="93"/>
      <c r="G740" s="203"/>
      <c r="H740"/>
      <c r="I740"/>
      <c r="J740"/>
      <c r="K740" s="66"/>
      <c r="L740" s="29" t="s">
        <v>359</v>
      </c>
      <c r="M740" s="30">
        <f t="shared" ref="M740" si="2245">HARMEAN($P734:$XX735)</f>
        <v>33.114753568411167</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f t="shared" si="2227"/>
        <v>35</v>
      </c>
      <c r="C741" s="128">
        <f t="shared" si="2228"/>
        <v>1</v>
      </c>
      <c r="D741" s="127">
        <f t="shared" si="2228"/>
        <v>35</v>
      </c>
      <c r="E741" s="201"/>
      <c r="F741" s="93"/>
      <c r="G741" s="203"/>
      <c r="H741" s="134">
        <f t="shared" ref="H741" si="2247">COUNT($P741:$XX741)</f>
        <v>3</v>
      </c>
      <c r="I741" s="132">
        <f t="shared" ref="I741" si="2248">_xlfn.STDEV.P($P740:$XX741)/AVERAGE($P740:$XX741)</f>
        <v>9.9809238195779845E-2</v>
      </c>
      <c r="J741" s="7">
        <f t="shared" ref="J741" si="2249">IF(AND(H741&gt;2,
OR(L729="MÉDIA SANEADA",L729="MEDIANA SANEADA",
AND(L729="PREÇO ESTIMADO",NOT(AND(P731="Orçamento",COUNTA(P729:XX729)=COUNTIF(P731:XX731,"Orçamento")))))),
ROW(),0)</f>
        <v>741</v>
      </c>
      <c r="K741" s="66"/>
      <c r="L741" s="29" t="s">
        <v>41</v>
      </c>
      <c r="M741" s="30">
        <f t="shared" ref="M741" si="2250">IFERROR(_xlfn.QUARTILE.EXC($P735:$XX735,1),"")</f>
        <v>29.46</v>
      </c>
      <c r="N741" s="71"/>
      <c r="O741" s="27" t="str">
        <f t="shared" ref="O741" si="2251">"3 RODADA"</f>
        <v>3 RODADA</v>
      </c>
      <c r="P741" s="107">
        <f t="shared" ref="P741:AI741" si="2252">IF(P739="","",IF((_xlfn.STDEV.P($P738:$XX739)/AVERAGE($P738:$XX739))&lt;=25%,P739,IF(OR(P739&gt;(AVERAGE($P738:$XX739)+_xlfn.STDEV.P($P738:$XX739)),P739&lt;(AVERAGE($P738:$XX739)-_xlfn.STDEV.P($P738:$XX739))),"DESCARTADO",P739)))</f>
        <v>37.630000000000003</v>
      </c>
      <c r="Q741" s="107">
        <f t="shared" si="2252"/>
        <v>33.25</v>
      </c>
      <c r="R741" s="107">
        <f t="shared" si="2252"/>
        <v>29.46</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f t="shared" si="2227"/>
        <v>35</v>
      </c>
      <c r="C742" s="128">
        <f t="shared" si="2228"/>
        <v>1</v>
      </c>
      <c r="D742" s="127">
        <f t="shared" si="2228"/>
        <v>35</v>
      </c>
      <c r="E742" s="201"/>
      <c r="F742" s="93"/>
      <c r="G742" s="203"/>
      <c r="H742"/>
      <c r="I742"/>
      <c r="J742"/>
      <c r="K742" s="66"/>
      <c r="L742" s="29" t="s">
        <v>39</v>
      </c>
      <c r="M742" s="30">
        <f t="shared" ref="M742" si="2253">IFERROR(_xlfn.QUARTILE.EXC($P735:$XX735,3),"")</f>
        <v>37.630000000000003</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f t="shared" si="2227"/>
        <v>35</v>
      </c>
      <c r="C743" s="128">
        <f t="shared" si="2228"/>
        <v>1</v>
      </c>
      <c r="D743" s="127">
        <f t="shared" si="2228"/>
        <v>35</v>
      </c>
      <c r="E743" s="201"/>
      <c r="F743" s="93"/>
      <c r="G743" s="203"/>
      <c r="H743" s="134">
        <f t="shared" ref="H743" si="2255">COUNT($P743:$XX743)</f>
        <v>3</v>
      </c>
      <c r="I743" s="132">
        <f t="shared" ref="I743" si="2256">_xlfn.STDEV.P($P742:$XX743)/AVERAGE($P742:$XX743)</f>
        <v>9.9809238195779845E-2</v>
      </c>
      <c r="J743" s="7">
        <f t="shared" ref="J743" si="2257">IF(AND(H743&gt;2,
OR(L729="MÉDIA SANEADA",L729="MEDIANA SANEADA",
AND(L729="PREÇO ESTIMADO",NOT(AND(P731="Orçamento",COUNTA(P729:XX729)=COUNTIF(P731:XX731,"Orçamento")))))),
ROW(),0)</f>
        <v>743</v>
      </c>
      <c r="K743" s="66"/>
      <c r="L743" s="29" t="s">
        <v>42</v>
      </c>
      <c r="M743" s="30">
        <f t="shared" ref="M743" si="2258">MIN($P735:$XX735)</f>
        <v>29.46</v>
      </c>
      <c r="N743" s="71"/>
      <c r="O743" s="27" t="str">
        <f t="shared" ref="O743" si="2259">"4 RODADA"</f>
        <v>4 RODADA</v>
      </c>
      <c r="P743" s="107">
        <f t="shared" ref="P743:AI743" si="2260">IF(P741="","",IF((_xlfn.STDEV.P($P740:$XX741)/AVERAGE($P740:$XX741))&lt;=25%,P741,IF(OR(P741&gt;(AVERAGE($P740:$XX741)+_xlfn.STDEV.P($P740:$XX741)),P741&lt;(AVERAGE($P740:$XX741)-_xlfn.STDEV.P($P740:$XX741))),"DESCARTADO",P741)))</f>
        <v>37.630000000000003</v>
      </c>
      <c r="Q743" s="107">
        <f t="shared" si="2260"/>
        <v>33.25</v>
      </c>
      <c r="R743" s="107">
        <f t="shared" si="2260"/>
        <v>29.46</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f t="shared" si="2227"/>
        <v>35</v>
      </c>
      <c r="C744" s="128">
        <f t="shared" si="2228"/>
        <v>1</v>
      </c>
      <c r="D744" s="127">
        <f t="shared" si="2228"/>
        <v>35</v>
      </c>
      <c r="E744" s="201"/>
      <c r="F744" s="93"/>
      <c r="G744" s="203"/>
      <c r="H744"/>
      <c r="I744"/>
      <c r="J744"/>
      <c r="K744" s="66"/>
      <c r="L744" s="29" t="s">
        <v>40</v>
      </c>
      <c r="M744" s="30">
        <f t="shared" ref="M744" si="2261">MAX($P735:$XX735)</f>
        <v>37.630000000000003</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f t="shared" si="2227"/>
        <v>35</v>
      </c>
      <c r="C745" s="128">
        <f t="shared" si="2228"/>
        <v>1</v>
      </c>
      <c r="D745" s="127">
        <f t="shared" si="2228"/>
        <v>35</v>
      </c>
      <c r="E745" s="201"/>
      <c r="F745" s="93"/>
      <c r="G745" s="203"/>
      <c r="H745" s="134">
        <f t="shared" ref="H745" si="2263">COUNT($P745:$XX745)</f>
        <v>3</v>
      </c>
      <c r="I745" s="132">
        <f t="shared" ref="I745" si="2264">_xlfn.STDEV.P($P744:$XX745)/AVERAGE($P744:$XX745)</f>
        <v>9.9809238195779845E-2</v>
      </c>
      <c r="J745" s="7">
        <f t="shared" ref="J745" si="2265">IF(AND(H745&gt;2,
OR(L729="MÉDIA SANEADA",L729="MEDIANA SANEADA",
AND(L729="PREÇO ESTIMADO",NOT(AND(P731="Orçamento",COUNTA(P729:XX729)=COUNTIF(P731:XX731,"Orçamento")))))),
ROW(),0)</f>
        <v>745</v>
      </c>
      <c r="K745" s="66"/>
      <c r="N745" s="71"/>
      <c r="O745" s="27" t="str">
        <f t="shared" ref="O745" si="2266">"5 RODADA"</f>
        <v>5 RODADA</v>
      </c>
      <c r="P745" s="107">
        <f t="shared" ref="P745:AI745" si="2267">IF(P743="","",IF((_xlfn.STDEV.P($P742:$XX743)/AVERAGE($P742:$XX743))&lt;=25%,P743,IF(OR(P743&gt;(AVERAGE($P742:$XX743)+_xlfn.STDEV.P($P742:$XX743)),P743&lt;(AVERAGE($P742:$XX743)-_xlfn.STDEV.P($P742:$XX743))),"DESCARTADO",P743)))</f>
        <v>37.630000000000003</v>
      </c>
      <c r="Q745" s="107">
        <f t="shared" si="2267"/>
        <v>33.25</v>
      </c>
      <c r="R745" s="107">
        <f t="shared" si="2267"/>
        <v>29.46</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f t="shared" si="2227"/>
        <v>35</v>
      </c>
      <c r="C746" s="128">
        <f t="shared" si="2228"/>
        <v>1</v>
      </c>
      <c r="D746" s="127">
        <f t="shared" si="2228"/>
        <v>35</v>
      </c>
      <c r="E746" s="201"/>
      <c r="F746" s="93"/>
      <c r="G746" s="203"/>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f t="shared" si="2227"/>
        <v>35</v>
      </c>
      <c r="C747" s="128">
        <f t="shared" si="2228"/>
        <v>1</v>
      </c>
      <c r="D747" s="127">
        <f t="shared" si="2228"/>
        <v>35</v>
      </c>
      <c r="E747" s="201"/>
      <c r="F747" s="93"/>
      <c r="G747" s="203"/>
      <c r="H747" s="134">
        <f t="shared" ref="H747" si="2269">COUNT($P747:$XX747)</f>
        <v>3</v>
      </c>
      <c r="I747" s="132">
        <f t="shared" ref="I747" si="2270">_xlfn.STDEV.P($P746:$XX747)/AVERAGE($P746:$XX747)</f>
        <v>9.9809238195779845E-2</v>
      </c>
      <c r="J747" s="7">
        <f t="shared" ref="J747" si="2271">IF(AND(H747&gt;2,
OR(L729="MÉDIA SANEADA",L729="MEDIANA SANEADA",
AND(L729="PREÇO ESTIMADO",NOT(AND(P731="Orçamento",COUNTA(P729:XX729)=COUNTIF(P731:XX731,"Orçamento")))))),
ROW(),0)</f>
        <v>747</v>
      </c>
      <c r="N747" s="71"/>
      <c r="O747" s="27" t="str">
        <f t="shared" ref="O747" si="2272">"6 RODADA"</f>
        <v>6 RODADA</v>
      </c>
      <c r="P747" s="107">
        <f t="shared" ref="P747:AI747" si="2273">IFERROR(IF(P745="","",IF((_xlfn.STDEV.P($P744:$XX745)/AVERAGE($P744:$XX745))&lt;=25%,P745,IF(OR(P745&gt;(AVERAGE($P744:$XX745)+_xlfn.STDEV.P($P744:$XX745)),P745&lt;(AVERAGE($P744:$XX745)-_xlfn.STDEV.P($P744:$XX745))),"DESCARTADO",P745))),)</f>
        <v>37.630000000000003</v>
      </c>
      <c r="Q747" s="107">
        <f t="shared" si="2273"/>
        <v>33.25</v>
      </c>
      <c r="R747" s="107">
        <f t="shared" si="2273"/>
        <v>29.46</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f t="shared" si="2227"/>
        <v>35</v>
      </c>
      <c r="C748" s="128">
        <f t="shared" si="2228"/>
        <v>1</v>
      </c>
      <c r="D748" s="127">
        <f t="shared" si="2228"/>
        <v>35</v>
      </c>
      <c r="E748" s="201"/>
      <c r="F748" s="136"/>
      <c r="G748" s="203"/>
      <c r="H748" s="206"/>
      <c r="I748" s="206"/>
      <c r="J748" s="207"/>
      <c r="K748" s="67"/>
      <c r="L748" s="1" t="s">
        <v>43</v>
      </c>
      <c r="M748" s="143">
        <f t="shared" ref="M748" si="2274">IFERROR(ROUND(M729*M731,2),"")</f>
        <v>100.35</v>
      </c>
      <c r="O748" s="27" t="s">
        <v>363</v>
      </c>
      <c r="P748" s="107">
        <f t="shared" ref="P748:R748" si="2275">INDEX(P735:P747,MATCH(MAX($J735:$J747),$J735:$J747,0))</f>
        <v>37.630000000000003</v>
      </c>
      <c r="Q748" s="107">
        <f t="shared" si="2275"/>
        <v>33.25</v>
      </c>
      <c r="R748" s="107">
        <f t="shared" si="2275"/>
        <v>29.46</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f t="shared" ref="B750" si="2276">LARGE(IFERROR(IF(B748+1&gt;$H$8,"",B748+1),""),1)</f>
        <v>36</v>
      </c>
      <c r="C750" s="127">
        <f>IF(_xlfn.ISFORMULA(E754),MAX(INDEX('BASE FORMAÇÃO'!A:A,B750+1),1),E754)</f>
        <v>1</v>
      </c>
      <c r="D750" s="127">
        <f t="shared" ref="D750" si="2277">IFERROR(IF(C750=C740,D740+1,1),1)</f>
        <v>36</v>
      </c>
      <c r="E750" s="38" t="s">
        <v>9</v>
      </c>
      <c r="F750" s="73"/>
      <c r="G750" s="38" t="s">
        <v>15</v>
      </c>
      <c r="H750" s="135">
        <f>INDEX('BASE FORMAÇÃO'!B:B,B750+1)</f>
        <v>0</v>
      </c>
      <c r="I750" s="181" t="s">
        <v>16</v>
      </c>
      <c r="J750" s="6">
        <f>INDEX('BASE FORMAÇÃO'!K:K,B750+1)</f>
        <v>0</v>
      </c>
      <c r="K750" s="65"/>
      <c r="L750" s="184" t="s">
        <v>10</v>
      </c>
      <c r="M750" s="186">
        <f t="shared" ref="M750" si="2278">IF(OR(ISBLANK($O$8),ISBLANK($O$7),ISBLANK($H$8),ISBLANK($O$6),ISBLANK($O$5),ISBLANK($H$5)),"",IFERROR(IF(VLOOKUP(L750,L756:M765,2,FALSE)&lt;1,ROUND(VLOOKUP(L750,L756:M765,2,FALSE),4),ROUND(VLOOKUP(L750,L756:M765,2,FALSE),2)),""))</f>
        <v>142.27000000000001</v>
      </c>
      <c r="N750" s="69"/>
      <c r="O750" s="27" t="s">
        <v>17</v>
      </c>
      <c r="P750" s="113">
        <v>146.9</v>
      </c>
      <c r="Q750" s="113">
        <v>124.9</v>
      </c>
      <c r="R750" s="113">
        <v>155</v>
      </c>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f t="shared" ref="B751:D751" si="2279">B750</f>
        <v>36</v>
      </c>
      <c r="C751" s="128">
        <f t="shared" si="2279"/>
        <v>1</v>
      </c>
      <c r="D751" s="127">
        <f t="shared" si="2279"/>
        <v>36</v>
      </c>
      <c r="E751" s="188">
        <f t="shared" ref="E751" si="2280">D750</f>
        <v>36</v>
      </c>
      <c r="F751" s="92"/>
      <c r="G751" s="190" t="s">
        <v>1</v>
      </c>
      <c r="H751" s="193" t="s">
        <v>574</v>
      </c>
      <c r="I751" s="194"/>
      <c r="J751" s="195"/>
      <c r="K751" s="66"/>
      <c r="L751" s="185"/>
      <c r="M751" s="187"/>
      <c r="N751" s="70"/>
      <c r="O751" s="27" t="s">
        <v>13</v>
      </c>
      <c r="P751" s="122">
        <v>46195</v>
      </c>
      <c r="Q751" s="122">
        <v>46195</v>
      </c>
      <c r="R751" s="122">
        <v>46195</v>
      </c>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f t="shared" ref="B752:D752" si="2281">B751</f>
        <v>36</v>
      </c>
      <c r="C752" s="128">
        <f t="shared" si="2281"/>
        <v>1</v>
      </c>
      <c r="D752" s="127">
        <f t="shared" si="2281"/>
        <v>36</v>
      </c>
      <c r="E752" s="189"/>
      <c r="F752" s="93"/>
      <c r="G752" s="191"/>
      <c r="H752" s="196"/>
      <c r="I752" s="196"/>
      <c r="J752" s="197"/>
      <c r="K752" s="64"/>
      <c r="L752" s="130" t="s">
        <v>44</v>
      </c>
      <c r="M752" s="131">
        <v>4</v>
      </c>
      <c r="N752" s="71"/>
      <c r="O752" s="27" t="s">
        <v>380</v>
      </c>
      <c r="P752" s="114" t="s">
        <v>302</v>
      </c>
      <c r="Q752" s="114" t="s">
        <v>302</v>
      </c>
      <c r="R752" s="114" t="s">
        <v>302</v>
      </c>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f t="shared" ref="B753:C753" si="2282">B752</f>
        <v>36</v>
      </c>
      <c r="C753" s="128">
        <f t="shared" si="2282"/>
        <v>1</v>
      </c>
      <c r="D753" s="127">
        <f t="shared" si="2228"/>
        <v>36</v>
      </c>
      <c r="E753" s="38" t="s">
        <v>313</v>
      </c>
      <c r="F753" s="93"/>
      <c r="G753" s="192"/>
      <c r="H753" s="198"/>
      <c r="I753" s="198"/>
      <c r="J753" s="199"/>
      <c r="K753" s="64"/>
      <c r="L753" s="1" t="s">
        <v>2</v>
      </c>
      <c r="M753" s="6" t="s">
        <v>288</v>
      </c>
      <c r="N753" s="71"/>
      <c r="O753" s="27" t="s">
        <v>381</v>
      </c>
      <c r="P753" s="182" t="s">
        <v>575</v>
      </c>
      <c r="Q753" s="182" t="s">
        <v>576</v>
      </c>
      <c r="R753" s="182" t="s">
        <v>577</v>
      </c>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f t="shared" ref="B754:C754" si="2283">B752</f>
        <v>36</v>
      </c>
      <c r="C754" s="128">
        <f t="shared" si="2283"/>
        <v>1</v>
      </c>
      <c r="D754" s="127">
        <f t="shared" si="2228"/>
        <v>36</v>
      </c>
      <c r="E754" s="200">
        <f t="shared" ref="E754" si="2284">C750</f>
        <v>1</v>
      </c>
      <c r="F754" s="93"/>
      <c r="G754" s="202" t="s">
        <v>304</v>
      </c>
      <c r="H754" s="204"/>
      <c r="I754" s="205"/>
      <c r="J754" s="205"/>
      <c r="K754" s="67"/>
      <c r="L754" s="28" t="s">
        <v>303</v>
      </c>
      <c r="M754" s="133">
        <f t="shared" ref="M754" si="2285">IFERROR(INDEX(I756:I768,MATCH(MAX(J756:J768),J756:J768,0)),"")</f>
        <v>8.9392193952136559E-2</v>
      </c>
      <c r="N754" s="71"/>
      <c r="O754" s="27" t="s">
        <v>18</v>
      </c>
      <c r="P754" s="106">
        <f>IF(P750="","",
IF(OR(P752="Orçamento",P751="",MAX('Tabela de Apoio'!$A:$A)&lt;=P751),
P750,
(INDEX('Tabela de Apoio'!$B:$B,MATCH('MAPA DE PREÇOS'!$O$8,'Tabela de Apoio'!$A:$A,1))/INDEX('Tabela de Apoio'!$B:$B,MATCH('MAPA DE PREÇOS'!P751,'Tabela de Apoio'!$A:$A,1)-1))*P750))</f>
        <v>146.9</v>
      </c>
      <c r="Q754" s="106">
        <f>IF(Q750="","",
IF(OR(Q752="Orçamento",Q751="",MAX('Tabela de Apoio'!$A:$A)&lt;=Q751),
Q750,
(INDEX('Tabela de Apoio'!$B:$B,MATCH('MAPA DE PREÇOS'!$O$8,'Tabela de Apoio'!$A:$A,1))/INDEX('Tabela de Apoio'!$B:$B,MATCH('MAPA DE PREÇOS'!Q751,'Tabela de Apoio'!$A:$A,1)-1))*Q750))</f>
        <v>124.9</v>
      </c>
      <c r="R754" s="106">
        <f>IF(R750="","",
IF(OR(R752="Orçamento",R751="",MAX('Tabela de Apoio'!$A:$A)&lt;=R751),
R750,
(INDEX('Tabela de Apoio'!$B:$B,MATCH('MAPA DE PREÇOS'!$O$8,'Tabela de Apoio'!$A:$A,1))/INDEX('Tabela de Apoio'!$B:$B,MATCH('MAPA DE PREÇOS'!R751,'Tabela de Apoio'!$A:$A,1)-1))*R750))</f>
        <v>155</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f t="shared" ref="B755" si="2286">B754</f>
        <v>36</v>
      </c>
      <c r="C755" s="128">
        <f t="shared" ref="C755" si="2287">C754</f>
        <v>1</v>
      </c>
      <c r="D755" s="127">
        <f t="shared" si="2228"/>
        <v>36</v>
      </c>
      <c r="E755" s="201"/>
      <c r="F755" s="93"/>
      <c r="G755" s="203"/>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f t="shared" ref="B756:C756" si="2288">B755</f>
        <v>36</v>
      </c>
      <c r="C756" s="128">
        <f t="shared" si="2288"/>
        <v>1</v>
      </c>
      <c r="D756" s="127">
        <f t="shared" si="2228"/>
        <v>36</v>
      </c>
      <c r="E756" s="201"/>
      <c r="F756" s="93"/>
      <c r="G756" s="203"/>
      <c r="H756" s="134">
        <f t="shared" ref="H756" si="2289">COUNT($P756:$XX756)</f>
        <v>3</v>
      </c>
      <c r="I756" s="132">
        <f t="shared" ref="I756" si="2290">_xlfn.STDEV.P($P755:$XX756)/AVERAGE($P755:$XX756)</f>
        <v>8.9392193952136559E-2</v>
      </c>
      <c r="J756" s="7">
        <f>ROW()</f>
        <v>756</v>
      </c>
      <c r="K756" s="67"/>
      <c r="L756" s="29" t="s">
        <v>10</v>
      </c>
      <c r="M756" s="30">
        <f t="shared" ref="M756" si="2291">IFERROR(
IF(COUNTA(P750:AI750)=COUNTIF(P752:XX752,"Orçamento"),MIN(M761,M758),
IF(M759&lt;&gt;"",M759,
IF(M760&lt;&gt;"",M760,
M758
))),"")</f>
        <v>142.26666666666668</v>
      </c>
      <c r="N756" s="71"/>
      <c r="O756" s="27" t="s">
        <v>376</v>
      </c>
      <c r="P756" s="106">
        <f t="shared" ref="P756:AI756" si="2292">IFERROR(IF(P754="",
            "",
            IF(COUNT($P754:$XX754)&lt;=4,
               P754,
               IF(OR(P754&gt;(QUARTILE($P754:$XX754,3)+(QUARTILE($P754:$XX754,3)-QUARTILE($P754:$XX754,1))),
                     P754&lt;(QUARTILE($P754:$XX754,1)-(QUARTILE($P754:$XX754,3)-QUARTILE($P754:$XX754,1)))
                  ),
               "DESCARTADO",P754)
             )
  ),P754)</f>
        <v>146.9</v>
      </c>
      <c r="Q756" s="106">
        <f t="shared" si="2292"/>
        <v>124.9</v>
      </c>
      <c r="R756" s="106">
        <f t="shared" si="2292"/>
        <v>155</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f t="shared" ref="B757" si="2293">B756</f>
        <v>36</v>
      </c>
      <c r="C757" s="128">
        <f t="shared" ref="C757" si="2294">C756</f>
        <v>1</v>
      </c>
      <c r="D757" s="127">
        <f t="shared" si="2228"/>
        <v>36</v>
      </c>
      <c r="E757" s="201"/>
      <c r="F757" s="93"/>
      <c r="G757" s="203"/>
      <c r="H757"/>
      <c r="I757"/>
      <c r="J757"/>
      <c r="K757" s="66"/>
      <c r="L757" s="29" t="s">
        <v>360</v>
      </c>
      <c r="M757" s="30">
        <f t="shared" ref="M757" si="2295">AVERAGE($P756:$XX756)</f>
        <v>142.26666666666668</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f t="shared" si="2227"/>
        <v>36</v>
      </c>
      <c r="C758" s="128">
        <f t="shared" si="2228"/>
        <v>1</v>
      </c>
      <c r="D758" s="127">
        <f t="shared" si="2228"/>
        <v>36</v>
      </c>
      <c r="E758" s="201"/>
      <c r="F758" s="93"/>
      <c r="G758" s="203"/>
      <c r="H758" s="134">
        <f t="shared" ref="H758" si="2297">COUNT($P758:$XX758)</f>
        <v>3</v>
      </c>
      <c r="I758" s="132">
        <f t="shared" ref="I758" si="2298">_xlfn.STDEV.P($P757:$XX758)/AVERAGE($P757:$XX758)</f>
        <v>8.9392193952136559E-2</v>
      </c>
      <c r="J758" s="7">
        <f t="shared" ref="J758" si="2299">IF(AND(H758&gt;2,
OR(L750="MÉDIA SANEADA",L750="MEDIANA SANEADA",
AND(L750="PREÇO ESTIMADO",NOT(AND(P752="Orçamento",COUNTA(P750:XX750)=COUNTIF(P752:XX752,"Orçamento")))))),
ROW(),0)</f>
        <v>758</v>
      </c>
      <c r="K758" s="66"/>
      <c r="L758" s="29" t="s">
        <v>361</v>
      </c>
      <c r="M758" s="30">
        <f t="shared" ref="M758" si="2300">MEDIAN($P756:$XX756)</f>
        <v>146.9</v>
      </c>
      <c r="N758" s="71"/>
      <c r="O758" s="27" t="str">
        <f t="shared" ref="O758" si="2301">"1 RODADA"</f>
        <v>1 RODADA</v>
      </c>
      <c r="P758" s="107">
        <f t="shared" ref="P758:AI758" si="2302">IF(P756="","",IF((_xlfn.STDEV.P($P755:$XX756)/AVERAGE($P755:$XX756))&lt;=25%,P756,IF(OR(P756&gt;(AVERAGE($P755:$XX756)+_xlfn.STDEV.P($P755:$XX756)),P756&lt;(AVERAGE($P755:$XX756)-_xlfn.STDEV.P($P755:$XX756))),"DESCARTADO",P756)))</f>
        <v>146.9</v>
      </c>
      <c r="Q758" s="107">
        <f t="shared" si="2302"/>
        <v>124.9</v>
      </c>
      <c r="R758" s="107">
        <f t="shared" si="2302"/>
        <v>155</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f t="shared" si="2227"/>
        <v>36</v>
      </c>
      <c r="C759" s="128">
        <f t="shared" si="2228"/>
        <v>1</v>
      </c>
      <c r="D759" s="127">
        <f t="shared" si="2228"/>
        <v>36</v>
      </c>
      <c r="E759" s="201"/>
      <c r="F759" s="93"/>
      <c r="G759" s="203"/>
      <c r="H759"/>
      <c r="I759"/>
      <c r="J759"/>
      <c r="L759" s="29" t="s">
        <v>38</v>
      </c>
      <c r="M759" s="30">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142.26666666666668</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f t="shared" si="2227"/>
        <v>36</v>
      </c>
      <c r="C760" s="128">
        <f t="shared" si="2228"/>
        <v>1</v>
      </c>
      <c r="D760" s="127">
        <f t="shared" si="2228"/>
        <v>36</v>
      </c>
      <c r="E760" s="201"/>
      <c r="F760" s="93"/>
      <c r="G760" s="203"/>
      <c r="H760" s="134">
        <f t="shared" ref="H760" si="2305">COUNT($P760:$XX760)</f>
        <v>3</v>
      </c>
      <c r="I760" s="132">
        <f t="shared" ref="I760" si="2306">_xlfn.STDEV.P($P759:$XX760)/AVERAGE($P759:$XX760)</f>
        <v>8.9392193952136559E-2</v>
      </c>
      <c r="J760" s="7">
        <f t="shared" ref="J760" si="2307">IF(AND(H760&gt;2,
OR(L750="MÉDIA SANEADA",L750="MEDIANA SANEADA",
AND(L750="PREÇO ESTIMADO",NOT(AND(P752="Orçamento",COUNTA(P750:XX750)=COUNTIF(P752:XX752,"Orçamento")))))),
ROW(),0)</f>
        <v>760</v>
      </c>
      <c r="K760" s="66"/>
      <c r="L760" s="29" t="s">
        <v>362</v>
      </c>
      <c r="M760" s="30">
        <f t="shared" ref="M760" si="2308" xml:space="preserve">
IF(H758&gt;2,MEDIAN(P757:XX758),
IF(H760&gt;2,MEDIAN(P759:XX760),
IF(H762&gt;2,MEDIAN(P761:XX762),
IF(H764&gt;2,MEDIAN(P763:XX764),
IF(H766&gt;2,MEDIAN(P765:XX766),
IF(H768&gt;2,MEDIAN(P767:XX768),
MEDIAN(P755:XX756)))))))</f>
        <v>146.9</v>
      </c>
      <c r="N760" s="71"/>
      <c r="O760" s="27" t="str">
        <f t="shared" ref="O760" si="2309">"2 RODADA"</f>
        <v>2 RODADA</v>
      </c>
      <c r="P760" s="107">
        <f t="shared" ref="P760:AI760" si="2310">IF(P758="","",IF((_xlfn.STDEV.P($P757:$XX758)/AVERAGE($P757:$XX758))&lt;=25%,P758,IF(OR(P758&gt;(AVERAGE($P757:$XX758)+_xlfn.STDEV.P($P757:$XX758)),P758&lt;(AVERAGE($P757:$XX758)-_xlfn.STDEV.P($P757:$XX758))),"DESCARTADO",P758)))</f>
        <v>146.9</v>
      </c>
      <c r="Q760" s="107">
        <f t="shared" si="2310"/>
        <v>124.9</v>
      </c>
      <c r="R760" s="107">
        <f t="shared" si="2310"/>
        <v>155</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f t="shared" si="2227"/>
        <v>36</v>
      </c>
      <c r="C761" s="128">
        <f t="shared" si="2228"/>
        <v>1</v>
      </c>
      <c r="D761" s="127">
        <f t="shared" si="2228"/>
        <v>36</v>
      </c>
      <c r="E761" s="201"/>
      <c r="F761" s="93"/>
      <c r="G761" s="203"/>
      <c r="H761"/>
      <c r="I761"/>
      <c r="J761"/>
      <c r="K761" s="66"/>
      <c r="L761" s="29" t="s">
        <v>359</v>
      </c>
      <c r="M761" s="30">
        <f t="shared" ref="M761" si="2311">HARMEAN($P755:$XX756)</f>
        <v>141.07443249734899</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f t="shared" si="2227"/>
        <v>36</v>
      </c>
      <c r="C762" s="128">
        <f t="shared" si="2228"/>
        <v>1</v>
      </c>
      <c r="D762" s="127">
        <f t="shared" si="2228"/>
        <v>36</v>
      </c>
      <c r="E762" s="201"/>
      <c r="F762" s="93"/>
      <c r="G762" s="203"/>
      <c r="H762" s="134">
        <f t="shared" ref="H762" si="2313">COUNT($P762:$XX762)</f>
        <v>3</v>
      </c>
      <c r="I762" s="132">
        <f t="shared" ref="I762" si="2314">_xlfn.STDEV.P($P761:$XX762)/AVERAGE($P761:$XX762)</f>
        <v>8.9392193952136559E-2</v>
      </c>
      <c r="J762" s="7">
        <f t="shared" ref="J762" si="2315">IF(AND(H762&gt;2,
OR(L750="MÉDIA SANEADA",L750="MEDIANA SANEADA",
AND(L750="PREÇO ESTIMADO",NOT(AND(P752="Orçamento",COUNTA(P750:XX750)=COUNTIF(P752:XX752,"Orçamento")))))),
ROW(),0)</f>
        <v>762</v>
      </c>
      <c r="K762" s="66"/>
      <c r="L762" s="29" t="s">
        <v>41</v>
      </c>
      <c r="M762" s="30">
        <f t="shared" ref="M762" si="2316">IFERROR(_xlfn.QUARTILE.EXC($P756:$XX756,1),"")</f>
        <v>124.9</v>
      </c>
      <c r="N762" s="71"/>
      <c r="O762" s="27" t="str">
        <f t="shared" ref="O762" si="2317">"3 RODADA"</f>
        <v>3 RODADA</v>
      </c>
      <c r="P762" s="107">
        <f t="shared" ref="P762:AI762" si="2318">IF(P760="","",IF((_xlfn.STDEV.P($P759:$XX760)/AVERAGE($P759:$XX760))&lt;=25%,P760,IF(OR(P760&gt;(AVERAGE($P759:$XX760)+_xlfn.STDEV.P($P759:$XX760)),P760&lt;(AVERAGE($P759:$XX760)-_xlfn.STDEV.P($P759:$XX760))),"DESCARTADO",P760)))</f>
        <v>146.9</v>
      </c>
      <c r="Q762" s="107">
        <f t="shared" si="2318"/>
        <v>124.9</v>
      </c>
      <c r="R762" s="107">
        <f t="shared" si="2318"/>
        <v>155</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f t="shared" si="2227"/>
        <v>36</v>
      </c>
      <c r="C763" s="128">
        <f t="shared" si="2228"/>
        <v>1</v>
      </c>
      <c r="D763" s="127">
        <f t="shared" si="2228"/>
        <v>36</v>
      </c>
      <c r="E763" s="201"/>
      <c r="F763" s="93"/>
      <c r="G763" s="203"/>
      <c r="H763"/>
      <c r="I763"/>
      <c r="J763"/>
      <c r="K763" s="66"/>
      <c r="L763" s="29" t="s">
        <v>39</v>
      </c>
      <c r="M763" s="30">
        <f t="shared" ref="M763" si="2319">IFERROR(_xlfn.QUARTILE.EXC($P756:$XX756,3),"")</f>
        <v>155</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f t="shared" si="2227"/>
        <v>36</v>
      </c>
      <c r="C764" s="128">
        <f t="shared" si="2228"/>
        <v>1</v>
      </c>
      <c r="D764" s="127">
        <f t="shared" si="2228"/>
        <v>36</v>
      </c>
      <c r="E764" s="201"/>
      <c r="F764" s="93"/>
      <c r="G764" s="203"/>
      <c r="H764" s="134">
        <f t="shared" ref="H764" si="2321">COUNT($P764:$XX764)</f>
        <v>3</v>
      </c>
      <c r="I764" s="132">
        <f t="shared" ref="I764" si="2322">_xlfn.STDEV.P($P763:$XX764)/AVERAGE($P763:$XX764)</f>
        <v>8.9392193952136559E-2</v>
      </c>
      <c r="J764" s="7">
        <f t="shared" ref="J764" si="2323">IF(AND(H764&gt;2,
OR(L750="MÉDIA SANEADA",L750="MEDIANA SANEADA",
AND(L750="PREÇO ESTIMADO",NOT(AND(P752="Orçamento",COUNTA(P750:XX750)=COUNTIF(P752:XX752,"Orçamento")))))),
ROW(),0)</f>
        <v>764</v>
      </c>
      <c r="K764" s="66"/>
      <c r="L764" s="29" t="s">
        <v>42</v>
      </c>
      <c r="M764" s="30">
        <f t="shared" ref="M764" si="2324">MIN($P756:$XX756)</f>
        <v>124.9</v>
      </c>
      <c r="N764" s="71"/>
      <c r="O764" s="27" t="str">
        <f t="shared" ref="O764" si="2325">"4 RODADA"</f>
        <v>4 RODADA</v>
      </c>
      <c r="P764" s="107">
        <f t="shared" ref="P764:AI764" si="2326">IF(P762="","",IF((_xlfn.STDEV.P($P761:$XX762)/AVERAGE($P761:$XX762))&lt;=25%,P762,IF(OR(P762&gt;(AVERAGE($P761:$XX762)+_xlfn.STDEV.P($P761:$XX762)),P762&lt;(AVERAGE($P761:$XX762)-_xlfn.STDEV.P($P761:$XX762))),"DESCARTADO",P762)))</f>
        <v>146.9</v>
      </c>
      <c r="Q764" s="107">
        <f t="shared" si="2326"/>
        <v>124.9</v>
      </c>
      <c r="R764" s="107">
        <f t="shared" si="2326"/>
        <v>155</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f t="shared" si="2227"/>
        <v>36</v>
      </c>
      <c r="C765" s="128">
        <f t="shared" si="2228"/>
        <v>1</v>
      </c>
      <c r="D765" s="127">
        <f t="shared" si="2228"/>
        <v>36</v>
      </c>
      <c r="E765" s="201"/>
      <c r="F765" s="93"/>
      <c r="G765" s="203"/>
      <c r="H765"/>
      <c r="I765"/>
      <c r="J765"/>
      <c r="K765" s="66"/>
      <c r="L765" s="29" t="s">
        <v>40</v>
      </c>
      <c r="M765" s="30">
        <f t="shared" ref="M765" si="2327">MAX($P756:$XX756)</f>
        <v>155</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f t="shared" si="2227"/>
        <v>36</v>
      </c>
      <c r="C766" s="128">
        <f t="shared" si="2228"/>
        <v>1</v>
      </c>
      <c r="D766" s="127">
        <f t="shared" si="2228"/>
        <v>36</v>
      </c>
      <c r="E766" s="201"/>
      <c r="F766" s="93"/>
      <c r="G766" s="203"/>
      <c r="H766" s="134">
        <f t="shared" ref="H766" si="2329">COUNT($P766:$XX766)</f>
        <v>3</v>
      </c>
      <c r="I766" s="132">
        <f t="shared" ref="I766" si="2330">_xlfn.STDEV.P($P765:$XX766)/AVERAGE($P765:$XX766)</f>
        <v>8.9392193952136559E-2</v>
      </c>
      <c r="J766" s="7">
        <f t="shared" ref="J766" si="2331">IF(AND(H766&gt;2,
OR(L750="MÉDIA SANEADA",L750="MEDIANA SANEADA",
AND(L750="PREÇO ESTIMADO",NOT(AND(P752="Orçamento",COUNTA(P750:XX750)=COUNTIF(P752:XX752,"Orçamento")))))),
ROW(),0)</f>
        <v>766</v>
      </c>
      <c r="K766" s="66"/>
      <c r="N766" s="71"/>
      <c r="O766" s="27" t="str">
        <f t="shared" ref="O766" si="2332">"5 RODADA"</f>
        <v>5 RODADA</v>
      </c>
      <c r="P766" s="107">
        <f t="shared" ref="P766:AI766" si="2333">IF(P764="","",IF((_xlfn.STDEV.P($P763:$XX764)/AVERAGE($P763:$XX764))&lt;=25%,P764,IF(OR(P764&gt;(AVERAGE($P763:$XX764)+_xlfn.STDEV.P($P763:$XX764)),P764&lt;(AVERAGE($P763:$XX764)-_xlfn.STDEV.P($P763:$XX764))),"DESCARTADO",P764)))</f>
        <v>146.9</v>
      </c>
      <c r="Q766" s="107">
        <f t="shared" si="2333"/>
        <v>124.9</v>
      </c>
      <c r="R766" s="107">
        <f t="shared" si="2333"/>
        <v>155</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f t="shared" si="2227"/>
        <v>36</v>
      </c>
      <c r="C767" s="128">
        <f t="shared" si="2228"/>
        <v>1</v>
      </c>
      <c r="D767" s="127">
        <f t="shared" si="2228"/>
        <v>36</v>
      </c>
      <c r="E767" s="201"/>
      <c r="F767" s="93"/>
      <c r="G767" s="203"/>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f t="shared" si="2227"/>
        <v>36</v>
      </c>
      <c r="C768" s="128">
        <f t="shared" si="2228"/>
        <v>1</v>
      </c>
      <c r="D768" s="127">
        <f t="shared" si="2228"/>
        <v>36</v>
      </c>
      <c r="E768" s="201"/>
      <c r="F768" s="93"/>
      <c r="G768" s="203"/>
      <c r="H768" s="134">
        <f t="shared" ref="H768" si="2335">COUNT($P768:$XX768)</f>
        <v>3</v>
      </c>
      <c r="I768" s="132">
        <f t="shared" ref="I768" si="2336">_xlfn.STDEV.P($P767:$XX768)/AVERAGE($P767:$XX768)</f>
        <v>8.9392193952136559E-2</v>
      </c>
      <c r="J768" s="7">
        <f t="shared" ref="J768" si="2337">IF(AND(H768&gt;2,
OR(L750="MÉDIA SANEADA",L750="MEDIANA SANEADA",
AND(L750="PREÇO ESTIMADO",NOT(AND(P752="Orçamento",COUNTA(P750:XX750)=COUNTIF(P752:XX752,"Orçamento")))))),
ROW(),0)</f>
        <v>768</v>
      </c>
      <c r="N768" s="71"/>
      <c r="O768" s="27" t="str">
        <f t="shared" ref="O768" si="2338">"6 RODADA"</f>
        <v>6 RODADA</v>
      </c>
      <c r="P768" s="107">
        <f t="shared" ref="P768:AI768" si="2339">IFERROR(IF(P766="","",IF((_xlfn.STDEV.P($P765:$XX766)/AVERAGE($P765:$XX766))&lt;=25%,P766,IF(OR(P766&gt;(AVERAGE($P765:$XX766)+_xlfn.STDEV.P($P765:$XX766)),P766&lt;(AVERAGE($P765:$XX766)-_xlfn.STDEV.P($P765:$XX766))),"DESCARTADO",P766))),)</f>
        <v>146.9</v>
      </c>
      <c r="Q768" s="107">
        <f t="shared" si="2339"/>
        <v>124.9</v>
      </c>
      <c r="R768" s="107">
        <f t="shared" si="2339"/>
        <v>155</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f t="shared" si="2227"/>
        <v>36</v>
      </c>
      <c r="C769" s="128">
        <f t="shared" si="2228"/>
        <v>1</v>
      </c>
      <c r="D769" s="127">
        <f t="shared" si="2228"/>
        <v>36</v>
      </c>
      <c r="E769" s="201"/>
      <c r="F769" s="136"/>
      <c r="G769" s="203"/>
      <c r="H769" s="206"/>
      <c r="I769" s="206"/>
      <c r="J769" s="207"/>
      <c r="K769" s="67"/>
      <c r="L769" s="1" t="s">
        <v>43</v>
      </c>
      <c r="M769" s="143">
        <f t="shared" ref="M769" si="2340">IFERROR(ROUND(M750*M752,2),"")</f>
        <v>569.08000000000004</v>
      </c>
      <c r="O769" s="27" t="s">
        <v>363</v>
      </c>
      <c r="P769" s="107">
        <f t="shared" ref="P769:AI790" si="2341">INDEX(P756:P768,MATCH(MAX($J756:$J768),$J756:$J768,0))</f>
        <v>146.9</v>
      </c>
      <c r="Q769" s="107">
        <f t="shared" si="2341"/>
        <v>124.9</v>
      </c>
      <c r="R769" s="107">
        <f t="shared" si="2341"/>
        <v>155</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f t="shared" ref="B771" si="2342">LARGE(IFERROR(IF(B769+1&gt;$H$8,"",B769+1),""),1)</f>
        <v>37</v>
      </c>
      <c r="C771" s="127">
        <f>IF(_xlfn.ISFORMULA(E775),MAX(INDEX('BASE FORMAÇÃO'!A:A,B771+1),1),E775)</f>
        <v>1</v>
      </c>
      <c r="D771" s="127">
        <f t="shared" ref="D771" si="2343">IFERROR(IF(C771=C761,D761+1,1),1)</f>
        <v>37</v>
      </c>
      <c r="E771" s="38" t="s">
        <v>9</v>
      </c>
      <c r="F771" s="73"/>
      <c r="G771" s="38" t="s">
        <v>15</v>
      </c>
      <c r="H771" s="135">
        <f>INDEX('BASE FORMAÇÃO'!B:B,B771+1)</f>
        <v>0</v>
      </c>
      <c r="I771" s="181" t="s">
        <v>16</v>
      </c>
      <c r="J771" s="6">
        <f>INDEX('BASE FORMAÇÃO'!K:K,B771+1)</f>
        <v>0</v>
      </c>
      <c r="K771" s="65"/>
      <c r="L771" s="184" t="s">
        <v>10</v>
      </c>
      <c r="M771" s="186">
        <f t="shared" ref="M771" si="2344">IF(OR(ISBLANK($O$8),ISBLANK($O$7),ISBLANK($H$8),ISBLANK($O$6),ISBLANK($O$5),ISBLANK($H$5)),"",IFERROR(IF(VLOOKUP(L771,L777:M786,2,FALSE)&lt;1,ROUND(VLOOKUP(L771,L777:M786,2,FALSE),4),ROUND(VLOOKUP(L771,L777:M786,2,FALSE),2)),""))</f>
        <v>98.58</v>
      </c>
      <c r="N771" s="69"/>
      <c r="O771" s="27" t="s">
        <v>17</v>
      </c>
      <c r="P771" s="113">
        <v>114.89</v>
      </c>
      <c r="Q771" s="113">
        <v>75.900000000000006</v>
      </c>
      <c r="R771" s="113">
        <v>104.95</v>
      </c>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f t="shared" ref="B772:D772" si="2345">B771</f>
        <v>37</v>
      </c>
      <c r="C772" s="128">
        <f t="shared" si="2345"/>
        <v>1</v>
      </c>
      <c r="D772" s="127">
        <f t="shared" si="2345"/>
        <v>37</v>
      </c>
      <c r="E772" s="188">
        <f t="shared" ref="E772" si="2346">D771</f>
        <v>37</v>
      </c>
      <c r="F772" s="92"/>
      <c r="G772" s="190" t="s">
        <v>1</v>
      </c>
      <c r="H772" s="193" t="s">
        <v>578</v>
      </c>
      <c r="I772" s="194"/>
      <c r="J772" s="195"/>
      <c r="K772" s="66"/>
      <c r="L772" s="185"/>
      <c r="M772" s="187"/>
      <c r="N772" s="70"/>
      <c r="O772" s="27" t="s">
        <v>13</v>
      </c>
      <c r="P772" s="122">
        <v>46195</v>
      </c>
      <c r="Q772" s="122">
        <v>46195</v>
      </c>
      <c r="R772" s="122">
        <v>46195</v>
      </c>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f t="shared" ref="B773:D773" si="2347">B772</f>
        <v>37</v>
      </c>
      <c r="C773" s="128">
        <f t="shared" si="2347"/>
        <v>1</v>
      </c>
      <c r="D773" s="127">
        <f t="shared" si="2347"/>
        <v>37</v>
      </c>
      <c r="E773" s="189"/>
      <c r="F773" s="93"/>
      <c r="G773" s="191"/>
      <c r="H773" s="196"/>
      <c r="I773" s="196"/>
      <c r="J773" s="197"/>
      <c r="K773" s="64"/>
      <c r="L773" s="130" t="s">
        <v>44</v>
      </c>
      <c r="M773" s="131">
        <v>4</v>
      </c>
      <c r="N773" s="71"/>
      <c r="O773" s="27" t="s">
        <v>380</v>
      </c>
      <c r="P773" s="114" t="s">
        <v>302</v>
      </c>
      <c r="Q773" s="114" t="s">
        <v>302</v>
      </c>
      <c r="R773" s="114" t="s">
        <v>302</v>
      </c>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f t="shared" ref="B774:C774" si="2348">B773</f>
        <v>37</v>
      </c>
      <c r="C774" s="128">
        <f t="shared" si="2348"/>
        <v>1</v>
      </c>
      <c r="D774" s="127">
        <f t="shared" si="2228"/>
        <v>37</v>
      </c>
      <c r="E774" s="38" t="s">
        <v>313</v>
      </c>
      <c r="F774" s="93"/>
      <c r="G774" s="192"/>
      <c r="H774" s="198"/>
      <c r="I774" s="198"/>
      <c r="J774" s="199"/>
      <c r="K774" s="64"/>
      <c r="L774" s="1" t="s">
        <v>2</v>
      </c>
      <c r="M774" s="6" t="s">
        <v>288</v>
      </c>
      <c r="N774" s="71"/>
      <c r="O774" s="27" t="s">
        <v>381</v>
      </c>
      <c r="P774" s="182" t="s">
        <v>579</v>
      </c>
      <c r="Q774" s="182" t="s">
        <v>580</v>
      </c>
      <c r="R774" s="182" t="s">
        <v>581</v>
      </c>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f t="shared" ref="B775:C775" si="2349">B773</f>
        <v>37</v>
      </c>
      <c r="C775" s="128">
        <f t="shared" si="2349"/>
        <v>1</v>
      </c>
      <c r="D775" s="127">
        <f t="shared" si="2228"/>
        <v>37</v>
      </c>
      <c r="E775" s="200">
        <f t="shared" ref="E775" si="2350">C771</f>
        <v>1</v>
      </c>
      <c r="F775" s="93"/>
      <c r="G775" s="202" t="s">
        <v>304</v>
      </c>
      <c r="H775" s="204"/>
      <c r="I775" s="205"/>
      <c r="J775" s="205"/>
      <c r="K775" s="67"/>
      <c r="L775" s="28" t="s">
        <v>303</v>
      </c>
      <c r="M775" s="133">
        <f t="shared" ref="M775" si="2351">IFERROR(INDEX(I777:I789,MATCH(MAX(J777:J789),J777:J789,0)),"")</f>
        <v>0.16780914738136124</v>
      </c>
      <c r="N775" s="71"/>
      <c r="O775" s="27" t="s">
        <v>18</v>
      </c>
      <c r="P775" s="106">
        <f>IF(P771="","",
IF(OR(P773="Orçamento",P772="",MAX('Tabela de Apoio'!$A:$A)&lt;=P772),
P771,
(INDEX('Tabela de Apoio'!$B:$B,MATCH('MAPA DE PREÇOS'!$O$8,'Tabela de Apoio'!$A:$A,1))/INDEX('Tabela de Apoio'!$B:$B,MATCH('MAPA DE PREÇOS'!P772,'Tabela de Apoio'!$A:$A,1)-1))*P771))</f>
        <v>114.89</v>
      </c>
      <c r="Q775" s="106">
        <f>IF(Q771="","",
IF(OR(Q773="Orçamento",Q772="",MAX('Tabela de Apoio'!$A:$A)&lt;=Q772),
Q771,
(INDEX('Tabela de Apoio'!$B:$B,MATCH('MAPA DE PREÇOS'!$O$8,'Tabela de Apoio'!$A:$A,1))/INDEX('Tabela de Apoio'!$B:$B,MATCH('MAPA DE PREÇOS'!Q772,'Tabela de Apoio'!$A:$A,1)-1))*Q771))</f>
        <v>75.900000000000006</v>
      </c>
      <c r="R775" s="106">
        <f>IF(R771="","",
IF(OR(R773="Orçamento",R772="",MAX('Tabela de Apoio'!$A:$A)&lt;=R772),
R771,
(INDEX('Tabela de Apoio'!$B:$B,MATCH('MAPA DE PREÇOS'!$O$8,'Tabela de Apoio'!$A:$A,1))/INDEX('Tabela de Apoio'!$B:$B,MATCH('MAPA DE PREÇOS'!R772,'Tabela de Apoio'!$A:$A,1)-1))*R771))</f>
        <v>104.95</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f t="shared" ref="B776" si="2352">B775</f>
        <v>37</v>
      </c>
      <c r="C776" s="128">
        <f t="shared" ref="C776" si="2353">C775</f>
        <v>1</v>
      </c>
      <c r="D776" s="127">
        <f t="shared" si="2228"/>
        <v>37</v>
      </c>
      <c r="E776" s="201"/>
      <c r="F776" s="93"/>
      <c r="G776" s="203"/>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f t="shared" ref="B777:C777" si="2354">B776</f>
        <v>37</v>
      </c>
      <c r="C777" s="128">
        <f t="shared" si="2354"/>
        <v>1</v>
      </c>
      <c r="D777" s="127">
        <f t="shared" si="2228"/>
        <v>37</v>
      </c>
      <c r="E777" s="201"/>
      <c r="F777" s="93"/>
      <c r="G777" s="203"/>
      <c r="H777" s="134">
        <f t="shared" ref="H777" si="2355">COUNT($P777:$XX777)</f>
        <v>3</v>
      </c>
      <c r="I777" s="132">
        <f t="shared" ref="I777" si="2356">_xlfn.STDEV.P($P776:$XX777)/AVERAGE($P776:$XX777)</f>
        <v>0.16780914738136124</v>
      </c>
      <c r="J777" s="7">
        <f>ROW()</f>
        <v>777</v>
      </c>
      <c r="K777" s="67"/>
      <c r="L777" s="29" t="s">
        <v>10</v>
      </c>
      <c r="M777" s="30">
        <f t="shared" ref="M777" si="2357">IFERROR(
IF(COUNTA(P771:AI771)=COUNTIF(P773:XX773,"Orçamento"),MIN(M782,M779),
IF(M780&lt;&gt;"",M780,
IF(M781&lt;&gt;"",M781,
M779
))),"")</f>
        <v>98.58</v>
      </c>
      <c r="N777" s="71"/>
      <c r="O777" s="27" t="s">
        <v>376</v>
      </c>
      <c r="P777" s="106">
        <f t="shared" ref="P777:AI777" si="2358">IFERROR(IF(P775="",
            "",
            IF(COUNT($P775:$XX775)&lt;=4,
               P775,
               IF(OR(P775&gt;(QUARTILE($P775:$XX775,3)+(QUARTILE($P775:$XX775,3)-QUARTILE($P775:$XX775,1))),
                     P775&lt;(QUARTILE($P775:$XX775,1)-(QUARTILE($P775:$XX775,3)-QUARTILE($P775:$XX775,1)))
                  ),
               "DESCARTADO",P775)
             )
  ),P775)</f>
        <v>114.89</v>
      </c>
      <c r="Q777" s="106">
        <f t="shared" si="2358"/>
        <v>75.900000000000006</v>
      </c>
      <c r="R777" s="106">
        <f t="shared" si="2358"/>
        <v>104.95</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f t="shared" ref="B778" si="2359">B777</f>
        <v>37</v>
      </c>
      <c r="C778" s="128">
        <f t="shared" ref="C778" si="2360">C777</f>
        <v>1</v>
      </c>
      <c r="D778" s="127">
        <f t="shared" si="2228"/>
        <v>37</v>
      </c>
      <c r="E778" s="201"/>
      <c r="F778" s="93"/>
      <c r="G778" s="203"/>
      <c r="H778"/>
      <c r="I778"/>
      <c r="J778"/>
      <c r="K778" s="66"/>
      <c r="L778" s="29" t="s">
        <v>360</v>
      </c>
      <c r="M778" s="30">
        <f t="shared" ref="M778" si="2361">AVERAGE($P777:$XX777)</f>
        <v>98.58</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f t="shared" si="2227"/>
        <v>37</v>
      </c>
      <c r="C779" s="128">
        <f t="shared" si="2228"/>
        <v>1</v>
      </c>
      <c r="D779" s="127">
        <f t="shared" si="2228"/>
        <v>37</v>
      </c>
      <c r="E779" s="201"/>
      <c r="F779" s="93"/>
      <c r="G779" s="203"/>
      <c r="H779" s="134">
        <f t="shared" ref="H779" si="2363">COUNT($P779:$XX779)</f>
        <v>3</v>
      </c>
      <c r="I779" s="132">
        <f t="shared" ref="I779" si="2364">_xlfn.STDEV.P($P778:$XX779)/AVERAGE($P778:$XX779)</f>
        <v>0.16780914738136124</v>
      </c>
      <c r="J779" s="7">
        <f t="shared" ref="J779" si="2365">IF(AND(H779&gt;2,
OR(L771="MÉDIA SANEADA",L771="MEDIANA SANEADA",
AND(L771="PREÇO ESTIMADO",NOT(AND(P773="Orçamento",COUNTA(P771:XX771)=COUNTIF(P773:XX773,"Orçamento")))))),
ROW(),0)</f>
        <v>779</v>
      </c>
      <c r="K779" s="66"/>
      <c r="L779" s="29" t="s">
        <v>361</v>
      </c>
      <c r="M779" s="30">
        <f t="shared" ref="M779" si="2366">MEDIAN($P777:$XX777)</f>
        <v>104.95</v>
      </c>
      <c r="N779" s="71"/>
      <c r="O779" s="27" t="str">
        <f t="shared" ref="O779" si="2367">"1 RODADA"</f>
        <v>1 RODADA</v>
      </c>
      <c r="P779" s="107">
        <f t="shared" ref="P779:AI779" si="2368">IF(P777="","",IF((_xlfn.STDEV.P($P776:$XX777)/AVERAGE($P776:$XX777))&lt;=25%,P777,IF(OR(P777&gt;(AVERAGE($P776:$XX777)+_xlfn.STDEV.P($P776:$XX777)),P777&lt;(AVERAGE($P776:$XX777)-_xlfn.STDEV.P($P776:$XX777))),"DESCARTADO",P777)))</f>
        <v>114.89</v>
      </c>
      <c r="Q779" s="107">
        <f t="shared" si="2368"/>
        <v>75.900000000000006</v>
      </c>
      <c r="R779" s="107">
        <f t="shared" si="2368"/>
        <v>104.95</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f t="shared" si="2227"/>
        <v>37</v>
      </c>
      <c r="C780" s="128">
        <f t="shared" si="2228"/>
        <v>1</v>
      </c>
      <c r="D780" s="127">
        <f t="shared" si="2228"/>
        <v>37</v>
      </c>
      <c r="E780" s="201"/>
      <c r="F780" s="93"/>
      <c r="G780" s="203"/>
      <c r="H780"/>
      <c r="I780"/>
      <c r="J780"/>
      <c r="L780" s="29" t="s">
        <v>38</v>
      </c>
      <c r="M780" s="30">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98.58</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f t="shared" si="2227"/>
        <v>37</v>
      </c>
      <c r="C781" s="128">
        <f t="shared" si="2228"/>
        <v>1</v>
      </c>
      <c r="D781" s="127">
        <f t="shared" si="2228"/>
        <v>37</v>
      </c>
      <c r="E781" s="201"/>
      <c r="F781" s="93"/>
      <c r="G781" s="203"/>
      <c r="H781" s="134">
        <f t="shared" ref="H781" si="2371">COUNT($P781:$XX781)</f>
        <v>3</v>
      </c>
      <c r="I781" s="132">
        <f t="shared" ref="I781" si="2372">_xlfn.STDEV.P($P780:$XX781)/AVERAGE($P780:$XX781)</f>
        <v>0.16780914738136124</v>
      </c>
      <c r="J781" s="7">
        <f t="shared" ref="J781" si="2373">IF(AND(H781&gt;2,
OR(L771="MÉDIA SANEADA",L771="MEDIANA SANEADA",
AND(L771="PREÇO ESTIMADO",NOT(AND(P773="Orçamento",COUNTA(P771:XX771)=COUNTIF(P773:XX773,"Orçamento")))))),
ROW(),0)</f>
        <v>781</v>
      </c>
      <c r="K781" s="66"/>
      <c r="L781" s="29" t="s">
        <v>362</v>
      </c>
      <c r="M781" s="30">
        <f t="shared" ref="M781" si="2374" xml:space="preserve">
IF(H779&gt;2,MEDIAN(P778:XX779),
IF(H781&gt;2,MEDIAN(P780:XX781),
IF(H783&gt;2,MEDIAN(P782:XX783),
IF(H785&gt;2,MEDIAN(P784:XX785),
IF(H787&gt;2,MEDIAN(P786:XX787),
IF(H789&gt;2,MEDIAN(P788:XX789),
MEDIAN(P776:XX777)))))))</f>
        <v>104.95</v>
      </c>
      <c r="N781" s="71"/>
      <c r="O781" s="27" t="str">
        <f t="shared" ref="O781" si="2375">"2 RODADA"</f>
        <v>2 RODADA</v>
      </c>
      <c r="P781" s="107">
        <f t="shared" ref="P781:AI781" si="2376">IF(P779="","",IF((_xlfn.STDEV.P($P778:$XX779)/AVERAGE($P778:$XX779))&lt;=25%,P779,IF(OR(P779&gt;(AVERAGE($P778:$XX779)+_xlfn.STDEV.P($P778:$XX779)),P779&lt;(AVERAGE($P778:$XX779)-_xlfn.STDEV.P($P778:$XX779))),"DESCARTADO",P779)))</f>
        <v>114.89</v>
      </c>
      <c r="Q781" s="107">
        <f t="shared" si="2376"/>
        <v>75.900000000000006</v>
      </c>
      <c r="R781" s="107">
        <f t="shared" si="2376"/>
        <v>104.95</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f t="shared" si="2227"/>
        <v>37</v>
      </c>
      <c r="C782" s="128">
        <f t="shared" si="2228"/>
        <v>1</v>
      </c>
      <c r="D782" s="127">
        <f t="shared" si="2228"/>
        <v>37</v>
      </c>
      <c r="E782" s="201"/>
      <c r="F782" s="93"/>
      <c r="G782" s="203"/>
      <c r="H782"/>
      <c r="I782"/>
      <c r="J782"/>
      <c r="K782" s="66"/>
      <c r="L782" s="29" t="s">
        <v>359</v>
      </c>
      <c r="M782" s="30">
        <f t="shared" ref="M782" si="2377">HARMEAN($P776:$XX777)</f>
        <v>95.518418702219634</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f t="shared" si="2227"/>
        <v>37</v>
      </c>
      <c r="C783" s="128">
        <f t="shared" si="2228"/>
        <v>1</v>
      </c>
      <c r="D783" s="127">
        <f t="shared" si="2228"/>
        <v>37</v>
      </c>
      <c r="E783" s="201"/>
      <c r="F783" s="93"/>
      <c r="G783" s="203"/>
      <c r="H783" s="134">
        <f t="shared" ref="H783" si="2379">COUNT($P783:$XX783)</f>
        <v>3</v>
      </c>
      <c r="I783" s="132">
        <f t="shared" ref="I783" si="2380">_xlfn.STDEV.P($P782:$XX783)/AVERAGE($P782:$XX783)</f>
        <v>0.16780914738136124</v>
      </c>
      <c r="J783" s="7">
        <f t="shared" ref="J783" si="2381">IF(AND(H783&gt;2,
OR(L771="MÉDIA SANEADA",L771="MEDIANA SANEADA",
AND(L771="PREÇO ESTIMADO",NOT(AND(P773="Orçamento",COUNTA(P771:XX771)=COUNTIF(P773:XX773,"Orçamento")))))),
ROW(),0)</f>
        <v>783</v>
      </c>
      <c r="K783" s="66"/>
      <c r="L783" s="29" t="s">
        <v>41</v>
      </c>
      <c r="M783" s="30">
        <f t="shared" ref="M783" si="2382">IFERROR(_xlfn.QUARTILE.EXC($P777:$XX777,1),"")</f>
        <v>75.900000000000006</v>
      </c>
      <c r="N783" s="71"/>
      <c r="O783" s="27" t="str">
        <f t="shared" ref="O783" si="2383">"3 RODADA"</f>
        <v>3 RODADA</v>
      </c>
      <c r="P783" s="107">
        <f t="shared" ref="P783:AI783" si="2384">IF(P781="","",IF((_xlfn.STDEV.P($P780:$XX781)/AVERAGE($P780:$XX781))&lt;=25%,P781,IF(OR(P781&gt;(AVERAGE($P780:$XX781)+_xlfn.STDEV.P($P780:$XX781)),P781&lt;(AVERAGE($P780:$XX781)-_xlfn.STDEV.P($P780:$XX781))),"DESCARTADO",P781)))</f>
        <v>114.89</v>
      </c>
      <c r="Q783" s="107">
        <f t="shared" si="2384"/>
        <v>75.900000000000006</v>
      </c>
      <c r="R783" s="107">
        <f t="shared" si="2384"/>
        <v>104.95</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f t="shared" si="2227"/>
        <v>37</v>
      </c>
      <c r="C784" s="128">
        <f t="shared" si="2228"/>
        <v>1</v>
      </c>
      <c r="D784" s="127">
        <f t="shared" si="2228"/>
        <v>37</v>
      </c>
      <c r="E784" s="201"/>
      <c r="F784" s="93"/>
      <c r="G784" s="203"/>
      <c r="H784"/>
      <c r="I784"/>
      <c r="J784"/>
      <c r="K784" s="66"/>
      <c r="L784" s="29" t="s">
        <v>39</v>
      </c>
      <c r="M784" s="30">
        <f t="shared" ref="M784" si="2385">IFERROR(_xlfn.QUARTILE.EXC($P777:$XX777,3),"")</f>
        <v>114.89</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f t="shared" si="2227"/>
        <v>37</v>
      </c>
      <c r="C785" s="128">
        <f t="shared" si="2228"/>
        <v>1</v>
      </c>
      <c r="D785" s="127">
        <f t="shared" si="2228"/>
        <v>37</v>
      </c>
      <c r="E785" s="201"/>
      <c r="F785" s="93"/>
      <c r="G785" s="203"/>
      <c r="H785" s="134">
        <f t="shared" ref="H785" si="2387">COUNT($P785:$XX785)</f>
        <v>3</v>
      </c>
      <c r="I785" s="132">
        <f t="shared" ref="I785" si="2388">_xlfn.STDEV.P($P784:$XX785)/AVERAGE($P784:$XX785)</f>
        <v>0.16780914738136124</v>
      </c>
      <c r="J785" s="7">
        <f t="shared" ref="J785" si="2389">IF(AND(H785&gt;2,
OR(L771="MÉDIA SANEADA",L771="MEDIANA SANEADA",
AND(L771="PREÇO ESTIMADO",NOT(AND(P773="Orçamento",COUNTA(P771:XX771)=COUNTIF(P773:XX773,"Orçamento")))))),
ROW(),0)</f>
        <v>785</v>
      </c>
      <c r="K785" s="66"/>
      <c r="L785" s="29" t="s">
        <v>42</v>
      </c>
      <c r="M785" s="30">
        <f t="shared" ref="M785" si="2390">MIN($P777:$XX777)</f>
        <v>75.900000000000006</v>
      </c>
      <c r="N785" s="71"/>
      <c r="O785" s="27" t="str">
        <f t="shared" ref="O785" si="2391">"4 RODADA"</f>
        <v>4 RODADA</v>
      </c>
      <c r="P785" s="107">
        <f t="shared" ref="P785:AI785" si="2392">IF(P783="","",IF((_xlfn.STDEV.P($P782:$XX783)/AVERAGE($P782:$XX783))&lt;=25%,P783,IF(OR(P783&gt;(AVERAGE($P782:$XX783)+_xlfn.STDEV.P($P782:$XX783)),P783&lt;(AVERAGE($P782:$XX783)-_xlfn.STDEV.P($P782:$XX783))),"DESCARTADO",P783)))</f>
        <v>114.89</v>
      </c>
      <c r="Q785" s="107">
        <f t="shared" si="2392"/>
        <v>75.900000000000006</v>
      </c>
      <c r="R785" s="107">
        <f t="shared" si="2392"/>
        <v>104.95</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f t="shared" si="2227"/>
        <v>37</v>
      </c>
      <c r="C786" s="128">
        <f t="shared" si="2228"/>
        <v>1</v>
      </c>
      <c r="D786" s="127">
        <f t="shared" si="2228"/>
        <v>37</v>
      </c>
      <c r="E786" s="201"/>
      <c r="F786" s="93"/>
      <c r="G786" s="203"/>
      <c r="H786"/>
      <c r="I786"/>
      <c r="J786"/>
      <c r="K786" s="66"/>
      <c r="L786" s="29" t="s">
        <v>40</v>
      </c>
      <c r="M786" s="30">
        <f t="shared" ref="M786" si="2393">MAX($P777:$XX777)</f>
        <v>114.89</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f t="shared" si="2227"/>
        <v>37</v>
      </c>
      <c r="C787" s="128">
        <f t="shared" si="2228"/>
        <v>1</v>
      </c>
      <c r="D787" s="127">
        <f t="shared" si="2228"/>
        <v>37</v>
      </c>
      <c r="E787" s="201"/>
      <c r="F787" s="93"/>
      <c r="G787" s="203"/>
      <c r="H787" s="134">
        <f t="shared" ref="H787" si="2395">COUNT($P787:$XX787)</f>
        <v>3</v>
      </c>
      <c r="I787" s="132">
        <f t="shared" ref="I787" si="2396">_xlfn.STDEV.P($P786:$XX787)/AVERAGE($P786:$XX787)</f>
        <v>0.16780914738136124</v>
      </c>
      <c r="J787" s="7">
        <f t="shared" ref="J787" si="2397">IF(AND(H787&gt;2,
OR(L771="MÉDIA SANEADA",L771="MEDIANA SANEADA",
AND(L771="PREÇO ESTIMADO",NOT(AND(P773="Orçamento",COUNTA(P771:XX771)=COUNTIF(P773:XX773,"Orçamento")))))),
ROW(),0)</f>
        <v>787</v>
      </c>
      <c r="K787" s="66"/>
      <c r="N787" s="71"/>
      <c r="O787" s="27" t="str">
        <f t="shared" ref="O787" si="2398">"5 RODADA"</f>
        <v>5 RODADA</v>
      </c>
      <c r="P787" s="107">
        <f t="shared" ref="P787:AI787" si="2399">IF(P785="","",IF((_xlfn.STDEV.P($P784:$XX785)/AVERAGE($P784:$XX785))&lt;=25%,P785,IF(OR(P785&gt;(AVERAGE($P784:$XX785)+_xlfn.STDEV.P($P784:$XX785)),P785&lt;(AVERAGE($P784:$XX785)-_xlfn.STDEV.P($P784:$XX785))),"DESCARTADO",P785)))</f>
        <v>114.89</v>
      </c>
      <c r="Q787" s="107">
        <f t="shared" si="2399"/>
        <v>75.900000000000006</v>
      </c>
      <c r="R787" s="107">
        <f t="shared" si="2399"/>
        <v>104.95</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f t="shared" si="2227"/>
        <v>37</v>
      </c>
      <c r="C788" s="128">
        <f t="shared" si="2228"/>
        <v>1</v>
      </c>
      <c r="D788" s="127">
        <f t="shared" si="2228"/>
        <v>37</v>
      </c>
      <c r="E788" s="201"/>
      <c r="F788" s="93"/>
      <c r="G788" s="203"/>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f t="shared" si="2227"/>
        <v>37</v>
      </c>
      <c r="C789" s="128">
        <f t="shared" si="2228"/>
        <v>1</v>
      </c>
      <c r="D789" s="127">
        <f t="shared" si="2228"/>
        <v>37</v>
      </c>
      <c r="E789" s="201"/>
      <c r="F789" s="93"/>
      <c r="G789" s="203"/>
      <c r="H789" s="134">
        <f t="shared" ref="H789" si="2401">COUNT($P789:$XX789)</f>
        <v>3</v>
      </c>
      <c r="I789" s="132">
        <f t="shared" ref="I789" si="2402">_xlfn.STDEV.P($P788:$XX789)/AVERAGE($P788:$XX789)</f>
        <v>0.16780914738136124</v>
      </c>
      <c r="J789" s="7">
        <f t="shared" ref="J789" si="2403">IF(AND(H789&gt;2,
OR(L771="MÉDIA SANEADA",L771="MEDIANA SANEADA",
AND(L771="PREÇO ESTIMADO",NOT(AND(P773="Orçamento",COUNTA(P771:XX771)=COUNTIF(P773:XX773,"Orçamento")))))),
ROW(),0)</f>
        <v>789</v>
      </c>
      <c r="N789" s="71"/>
      <c r="O789" s="27" t="str">
        <f t="shared" ref="O789" si="2404">"6 RODADA"</f>
        <v>6 RODADA</v>
      </c>
      <c r="P789" s="107">
        <f t="shared" ref="P789:AI789" si="2405">IFERROR(IF(P787="","",IF((_xlfn.STDEV.P($P786:$XX787)/AVERAGE($P786:$XX787))&lt;=25%,P787,IF(OR(P787&gt;(AVERAGE($P786:$XX787)+_xlfn.STDEV.P($P786:$XX787)),P787&lt;(AVERAGE($P786:$XX787)-_xlfn.STDEV.P($P786:$XX787))),"DESCARTADO",P787))),)</f>
        <v>114.89</v>
      </c>
      <c r="Q789" s="107">
        <f t="shared" si="2405"/>
        <v>75.900000000000006</v>
      </c>
      <c r="R789" s="107">
        <f t="shared" si="2405"/>
        <v>104.95</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f t="shared" si="2227"/>
        <v>37</v>
      </c>
      <c r="C790" s="128">
        <f t="shared" si="2228"/>
        <v>1</v>
      </c>
      <c r="D790" s="127">
        <f t="shared" si="2228"/>
        <v>37</v>
      </c>
      <c r="E790" s="201"/>
      <c r="F790" s="136"/>
      <c r="G790" s="203"/>
      <c r="H790" s="206"/>
      <c r="I790" s="206"/>
      <c r="J790" s="207"/>
      <c r="K790" s="67"/>
      <c r="L790" s="1" t="s">
        <v>43</v>
      </c>
      <c r="M790" s="143">
        <f t="shared" ref="M790" si="2406">IFERROR(ROUND(M771*M773,2),"")</f>
        <v>394.32</v>
      </c>
      <c r="O790" s="27" t="s">
        <v>363</v>
      </c>
      <c r="P790" s="107">
        <f t="shared" ref="P790:R790" si="2407">INDEX(P777:P789,MATCH(MAX($J777:$J789),$J777:$J789,0))</f>
        <v>114.89</v>
      </c>
      <c r="Q790" s="107">
        <f t="shared" si="2407"/>
        <v>75.900000000000006</v>
      </c>
      <c r="R790" s="107">
        <f t="shared" si="2407"/>
        <v>104.95</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f t="shared" ref="B792" si="2408">LARGE(IFERROR(IF(B790+1&gt;$H$8,"",B790+1),""),1)</f>
        <v>38</v>
      </c>
      <c r="C792" s="127">
        <f>IF(_xlfn.ISFORMULA(E796),MAX(INDEX('BASE FORMAÇÃO'!A:A,B792+1),1),E796)</f>
        <v>1</v>
      </c>
      <c r="D792" s="127">
        <f t="shared" ref="D792" si="2409">IFERROR(IF(C792=C782,D782+1,1),1)</f>
        <v>38</v>
      </c>
      <c r="E792" s="38" t="s">
        <v>9</v>
      </c>
      <c r="F792" s="73"/>
      <c r="G792" s="38" t="s">
        <v>15</v>
      </c>
      <c r="H792" s="135">
        <f>INDEX('BASE FORMAÇÃO'!B:B,B792+1)</f>
        <v>0</v>
      </c>
      <c r="I792" s="181" t="s">
        <v>16</v>
      </c>
      <c r="J792" s="6">
        <f>INDEX('BASE FORMAÇÃO'!K:K,B792+1)</f>
        <v>0</v>
      </c>
      <c r="K792" s="65"/>
      <c r="L792" s="184" t="s">
        <v>10</v>
      </c>
      <c r="M792" s="186">
        <f t="shared" ref="M792" si="2410">IF(OR(ISBLANK($O$8),ISBLANK($O$7),ISBLANK($H$8),ISBLANK($O$6),ISBLANK($O$5),ISBLANK($H$5)),"",IFERROR(IF(VLOOKUP(L792,L798:M807,2,FALSE)&lt;1,ROUND(VLOOKUP(L792,L798:M807,2,FALSE),4),ROUND(VLOOKUP(L792,L798:M807,2,FALSE),2)),""))</f>
        <v>48.1</v>
      </c>
      <c r="N792" s="69"/>
      <c r="O792" s="27" t="s">
        <v>17</v>
      </c>
      <c r="P792" s="113">
        <v>45.5</v>
      </c>
      <c r="Q792" s="113">
        <v>52.9</v>
      </c>
      <c r="R792" s="113">
        <v>45.9</v>
      </c>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f t="shared" ref="B793:D793" si="2411">B792</f>
        <v>38</v>
      </c>
      <c r="C793" s="128">
        <f t="shared" si="2411"/>
        <v>1</v>
      </c>
      <c r="D793" s="127">
        <f t="shared" si="2411"/>
        <v>38</v>
      </c>
      <c r="E793" s="188">
        <f t="shared" ref="E793" si="2412">D792</f>
        <v>38</v>
      </c>
      <c r="F793" s="92"/>
      <c r="G793" s="190" t="s">
        <v>1</v>
      </c>
      <c r="H793" s="193" t="s">
        <v>582</v>
      </c>
      <c r="I793" s="194"/>
      <c r="J793" s="195"/>
      <c r="K793" s="66"/>
      <c r="L793" s="185"/>
      <c r="M793" s="187"/>
      <c r="N793" s="70"/>
      <c r="O793" s="27" t="s">
        <v>13</v>
      </c>
      <c r="P793" s="122">
        <v>46195</v>
      </c>
      <c r="Q793" s="122">
        <v>46195</v>
      </c>
      <c r="R793" s="122">
        <v>46195</v>
      </c>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f t="shared" ref="B794:D794" si="2413">B793</f>
        <v>38</v>
      </c>
      <c r="C794" s="128">
        <f t="shared" si="2413"/>
        <v>1</v>
      </c>
      <c r="D794" s="127">
        <f t="shared" si="2413"/>
        <v>38</v>
      </c>
      <c r="E794" s="189"/>
      <c r="F794" s="93"/>
      <c r="G794" s="191"/>
      <c r="H794" s="196"/>
      <c r="I794" s="196"/>
      <c r="J794" s="197"/>
      <c r="K794" s="64"/>
      <c r="L794" s="130" t="s">
        <v>44</v>
      </c>
      <c r="M794" s="131">
        <v>3</v>
      </c>
      <c r="N794" s="71"/>
      <c r="O794" s="27" t="s">
        <v>380</v>
      </c>
      <c r="P794" s="114" t="s">
        <v>302</v>
      </c>
      <c r="Q794" s="114" t="s">
        <v>302</v>
      </c>
      <c r="R794" s="114" t="s">
        <v>302</v>
      </c>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f t="shared" ref="B795:C795" si="2414">B794</f>
        <v>38</v>
      </c>
      <c r="C795" s="128">
        <f t="shared" si="2414"/>
        <v>1</v>
      </c>
      <c r="D795" s="127">
        <f t="shared" si="2228"/>
        <v>38</v>
      </c>
      <c r="E795" s="38" t="s">
        <v>313</v>
      </c>
      <c r="F795" s="93"/>
      <c r="G795" s="192"/>
      <c r="H795" s="198"/>
      <c r="I795" s="198"/>
      <c r="J795" s="199"/>
      <c r="K795" s="64"/>
      <c r="L795" s="1" t="s">
        <v>2</v>
      </c>
      <c r="M795" s="6" t="s">
        <v>288</v>
      </c>
      <c r="N795" s="71"/>
      <c r="O795" s="27" t="s">
        <v>381</v>
      </c>
      <c r="P795" s="182" t="s">
        <v>583</v>
      </c>
      <c r="Q795" s="182" t="s">
        <v>584</v>
      </c>
      <c r="R795" s="182" t="s">
        <v>585</v>
      </c>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f t="shared" ref="B796:C796" si="2415">B794</f>
        <v>38</v>
      </c>
      <c r="C796" s="128">
        <f t="shared" si="2415"/>
        <v>1</v>
      </c>
      <c r="D796" s="127">
        <f t="shared" si="2228"/>
        <v>38</v>
      </c>
      <c r="E796" s="200">
        <f t="shared" ref="E796" si="2416">C792</f>
        <v>1</v>
      </c>
      <c r="F796" s="93"/>
      <c r="G796" s="202" t="s">
        <v>304</v>
      </c>
      <c r="H796" s="204"/>
      <c r="I796" s="205"/>
      <c r="J796" s="205"/>
      <c r="K796" s="67"/>
      <c r="L796" s="28" t="s">
        <v>303</v>
      </c>
      <c r="M796" s="133">
        <f t="shared" ref="M796" si="2417">IFERROR(INDEX(I798:I810,MATCH(MAX(J798:J810),J798:J810,0)),"")</f>
        <v>7.0645294178099283E-2</v>
      </c>
      <c r="N796" s="71"/>
      <c r="O796" s="27" t="s">
        <v>18</v>
      </c>
      <c r="P796" s="106">
        <f>IF(P792="","",
IF(OR(P794="Orçamento",P793="",MAX('Tabela de Apoio'!$A:$A)&lt;=P793),
P792,
(INDEX('Tabela de Apoio'!$B:$B,MATCH('MAPA DE PREÇOS'!$O$8,'Tabela de Apoio'!$A:$A,1))/INDEX('Tabela de Apoio'!$B:$B,MATCH('MAPA DE PREÇOS'!P793,'Tabela de Apoio'!$A:$A,1)-1))*P792))</f>
        <v>45.5</v>
      </c>
      <c r="Q796" s="106">
        <f>IF(Q792="","",
IF(OR(Q794="Orçamento",Q793="",MAX('Tabela de Apoio'!$A:$A)&lt;=Q793),
Q792,
(INDEX('Tabela de Apoio'!$B:$B,MATCH('MAPA DE PREÇOS'!$O$8,'Tabela de Apoio'!$A:$A,1))/INDEX('Tabela de Apoio'!$B:$B,MATCH('MAPA DE PREÇOS'!Q793,'Tabela de Apoio'!$A:$A,1)-1))*Q792))</f>
        <v>52.9</v>
      </c>
      <c r="R796" s="106">
        <f>IF(R792="","",
IF(OR(R794="Orçamento",R793="",MAX('Tabela de Apoio'!$A:$A)&lt;=R793),
R792,
(INDEX('Tabela de Apoio'!$B:$B,MATCH('MAPA DE PREÇOS'!$O$8,'Tabela de Apoio'!$A:$A,1))/INDEX('Tabela de Apoio'!$B:$B,MATCH('MAPA DE PREÇOS'!R793,'Tabela de Apoio'!$A:$A,1)-1))*R792))</f>
        <v>45.9</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f t="shared" ref="B797" si="2418">B796</f>
        <v>38</v>
      </c>
      <c r="C797" s="128">
        <f t="shared" ref="C797" si="2419">C796</f>
        <v>1</v>
      </c>
      <c r="D797" s="127">
        <f t="shared" si="2228"/>
        <v>38</v>
      </c>
      <c r="E797" s="201"/>
      <c r="F797" s="93"/>
      <c r="G797" s="203"/>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f t="shared" ref="B798:C798" si="2420">B797</f>
        <v>38</v>
      </c>
      <c r="C798" s="128">
        <f t="shared" si="2420"/>
        <v>1</v>
      </c>
      <c r="D798" s="127">
        <f t="shared" si="2228"/>
        <v>38</v>
      </c>
      <c r="E798" s="201"/>
      <c r="F798" s="93"/>
      <c r="G798" s="203"/>
      <c r="H798" s="134">
        <f t="shared" ref="H798" si="2421">COUNT($P798:$XX798)</f>
        <v>3</v>
      </c>
      <c r="I798" s="132">
        <f t="shared" ref="I798" si="2422">_xlfn.STDEV.P($P797:$XX798)/AVERAGE($P797:$XX798)</f>
        <v>7.0645294178099283E-2</v>
      </c>
      <c r="J798" s="7">
        <f>ROW()</f>
        <v>798</v>
      </c>
      <c r="K798" s="67"/>
      <c r="L798" s="29" t="s">
        <v>10</v>
      </c>
      <c r="M798" s="30">
        <f t="shared" ref="M798" si="2423">IFERROR(
IF(COUNTA(P792:AI792)=COUNTIF(P794:XX794,"Orçamento"),MIN(M803,M800),
IF(M801&lt;&gt;"",M801,
IF(M802&lt;&gt;"",M802,
M800
))),"")</f>
        <v>48.1</v>
      </c>
      <c r="N798" s="71"/>
      <c r="O798" s="27" t="s">
        <v>376</v>
      </c>
      <c r="P798" s="106">
        <f t="shared" ref="P798:AI798" si="2424">IFERROR(IF(P796="",
            "",
            IF(COUNT($P796:$XX796)&lt;=4,
               P796,
               IF(OR(P796&gt;(QUARTILE($P796:$XX796,3)+(QUARTILE($P796:$XX796,3)-QUARTILE($P796:$XX796,1))),
                     P796&lt;(QUARTILE($P796:$XX796,1)-(QUARTILE($P796:$XX796,3)-QUARTILE($P796:$XX796,1)))
                  ),
               "DESCARTADO",P796)
             )
  ),P796)</f>
        <v>45.5</v>
      </c>
      <c r="Q798" s="106">
        <f t="shared" si="2424"/>
        <v>52.9</v>
      </c>
      <c r="R798" s="106">
        <f t="shared" si="2424"/>
        <v>45.9</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f t="shared" ref="B799:B853" si="2425">B798</f>
        <v>38</v>
      </c>
      <c r="C799" s="128">
        <f t="shared" ref="C799:D862" si="2426">C798</f>
        <v>1</v>
      </c>
      <c r="D799" s="127">
        <f t="shared" si="2228"/>
        <v>38</v>
      </c>
      <c r="E799" s="201"/>
      <c r="F799" s="93"/>
      <c r="G799" s="203"/>
      <c r="H799"/>
      <c r="I799"/>
      <c r="J799"/>
      <c r="K799" s="66"/>
      <c r="L799" s="29" t="s">
        <v>360</v>
      </c>
      <c r="M799" s="30">
        <f t="shared" ref="M799" si="2427">AVERAGE($P798:$XX798)</f>
        <v>48.1</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f t="shared" si="2425"/>
        <v>38</v>
      </c>
      <c r="C800" s="128">
        <f t="shared" si="2426"/>
        <v>1</v>
      </c>
      <c r="D800" s="127">
        <f t="shared" si="2426"/>
        <v>38</v>
      </c>
      <c r="E800" s="201"/>
      <c r="F800" s="93"/>
      <c r="G800" s="203"/>
      <c r="H800" s="134">
        <f t="shared" ref="H800" si="2429">COUNT($P800:$XX800)</f>
        <v>3</v>
      </c>
      <c r="I800" s="132">
        <f t="shared" ref="I800" si="2430">_xlfn.STDEV.P($P799:$XX800)/AVERAGE($P799:$XX800)</f>
        <v>7.0645294178099283E-2</v>
      </c>
      <c r="J800" s="7">
        <f t="shared" ref="J800" si="2431">IF(AND(H800&gt;2,
OR(L792="MÉDIA SANEADA",L792="MEDIANA SANEADA",
AND(L792="PREÇO ESTIMADO",NOT(AND(P794="Orçamento",COUNTA(P792:XX792)=COUNTIF(P794:XX794,"Orçamento")))))),
ROW(),0)</f>
        <v>800</v>
      </c>
      <c r="K800" s="66"/>
      <c r="L800" s="29" t="s">
        <v>361</v>
      </c>
      <c r="M800" s="30">
        <f t="shared" ref="M800" si="2432">MEDIAN($P798:$XX798)</f>
        <v>45.9</v>
      </c>
      <c r="N800" s="71"/>
      <c r="O800" s="27" t="str">
        <f t="shared" ref="O800" si="2433">"1 RODADA"</f>
        <v>1 RODADA</v>
      </c>
      <c r="P800" s="107">
        <f t="shared" ref="P800:AI800" si="2434">IF(P798="","",IF((_xlfn.STDEV.P($P797:$XX798)/AVERAGE($P797:$XX798))&lt;=25%,P798,IF(OR(P798&gt;(AVERAGE($P797:$XX798)+_xlfn.STDEV.P($P797:$XX798)),P798&lt;(AVERAGE($P797:$XX798)-_xlfn.STDEV.P($P797:$XX798))),"DESCARTADO",P798)))</f>
        <v>45.5</v>
      </c>
      <c r="Q800" s="107">
        <f t="shared" si="2434"/>
        <v>52.9</v>
      </c>
      <c r="R800" s="107">
        <f t="shared" si="2434"/>
        <v>45.9</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f t="shared" si="2425"/>
        <v>38</v>
      </c>
      <c r="C801" s="128">
        <f t="shared" si="2426"/>
        <v>1</v>
      </c>
      <c r="D801" s="127">
        <f t="shared" si="2426"/>
        <v>38</v>
      </c>
      <c r="E801" s="201"/>
      <c r="F801" s="93"/>
      <c r="G801" s="203"/>
      <c r="H801"/>
      <c r="I801"/>
      <c r="J801"/>
      <c r="L801" s="29" t="s">
        <v>38</v>
      </c>
      <c r="M801" s="30">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48.1</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f t="shared" si="2425"/>
        <v>38</v>
      </c>
      <c r="C802" s="128">
        <f t="shared" si="2426"/>
        <v>1</v>
      </c>
      <c r="D802" s="127">
        <f t="shared" si="2426"/>
        <v>38</v>
      </c>
      <c r="E802" s="201"/>
      <c r="F802" s="93"/>
      <c r="G802" s="203"/>
      <c r="H802" s="134">
        <f t="shared" ref="H802" si="2437">COUNT($P802:$XX802)</f>
        <v>3</v>
      </c>
      <c r="I802" s="132">
        <f t="shared" ref="I802" si="2438">_xlfn.STDEV.P($P801:$XX802)/AVERAGE($P801:$XX802)</f>
        <v>7.0645294178099283E-2</v>
      </c>
      <c r="J802" s="7">
        <f t="shared" ref="J802" si="2439">IF(AND(H802&gt;2,
OR(L792="MÉDIA SANEADA",L792="MEDIANA SANEADA",
AND(L792="PREÇO ESTIMADO",NOT(AND(P794="Orçamento",COUNTA(P792:XX792)=COUNTIF(P794:XX794,"Orçamento")))))),
ROW(),0)</f>
        <v>802</v>
      </c>
      <c r="K802" s="66"/>
      <c r="L802" s="29" t="s">
        <v>362</v>
      </c>
      <c r="M802" s="30">
        <f t="shared" ref="M802" si="2440" xml:space="preserve">
IF(H800&gt;2,MEDIAN(P799:XX800),
IF(H802&gt;2,MEDIAN(P801:XX802),
IF(H804&gt;2,MEDIAN(P803:XX804),
IF(H806&gt;2,MEDIAN(P805:XX806),
IF(H808&gt;2,MEDIAN(P807:XX808),
IF(H810&gt;2,MEDIAN(P809:XX810),
MEDIAN(P797:XX798)))))))</f>
        <v>45.9</v>
      </c>
      <c r="N802" s="71"/>
      <c r="O802" s="27" t="str">
        <f t="shared" ref="O802" si="2441">"2 RODADA"</f>
        <v>2 RODADA</v>
      </c>
      <c r="P802" s="107">
        <f t="shared" ref="P802:AI802" si="2442">IF(P800="","",IF((_xlfn.STDEV.P($P799:$XX800)/AVERAGE($P799:$XX800))&lt;=25%,P800,IF(OR(P800&gt;(AVERAGE($P799:$XX800)+_xlfn.STDEV.P($P799:$XX800)),P800&lt;(AVERAGE($P799:$XX800)-_xlfn.STDEV.P($P799:$XX800))),"DESCARTADO",P800)))</f>
        <v>45.5</v>
      </c>
      <c r="Q802" s="107">
        <f t="shared" si="2442"/>
        <v>52.9</v>
      </c>
      <c r="R802" s="107">
        <f t="shared" si="2442"/>
        <v>45.9</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f t="shared" si="2425"/>
        <v>38</v>
      </c>
      <c r="C803" s="128">
        <f t="shared" si="2426"/>
        <v>1</v>
      </c>
      <c r="D803" s="127">
        <f t="shared" si="2426"/>
        <v>38</v>
      </c>
      <c r="E803" s="201"/>
      <c r="F803" s="93"/>
      <c r="G803" s="203"/>
      <c r="H803"/>
      <c r="I803"/>
      <c r="J803"/>
      <c r="K803" s="66"/>
      <c r="L803" s="29" t="s">
        <v>359</v>
      </c>
      <c r="M803" s="30">
        <f t="shared" ref="M803" si="2443">HARMEAN($P797:$XX798)</f>
        <v>47.871240887931123</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f t="shared" si="2425"/>
        <v>38</v>
      </c>
      <c r="C804" s="128">
        <f t="shared" si="2426"/>
        <v>1</v>
      </c>
      <c r="D804" s="127">
        <f t="shared" si="2426"/>
        <v>38</v>
      </c>
      <c r="E804" s="201"/>
      <c r="F804" s="93"/>
      <c r="G804" s="203"/>
      <c r="H804" s="134">
        <f t="shared" ref="H804" si="2445">COUNT($P804:$XX804)</f>
        <v>3</v>
      </c>
      <c r="I804" s="132">
        <f t="shared" ref="I804" si="2446">_xlfn.STDEV.P($P803:$XX804)/AVERAGE($P803:$XX804)</f>
        <v>7.0645294178099283E-2</v>
      </c>
      <c r="J804" s="7">
        <f t="shared" ref="J804" si="2447">IF(AND(H804&gt;2,
OR(L792="MÉDIA SANEADA",L792="MEDIANA SANEADA",
AND(L792="PREÇO ESTIMADO",NOT(AND(P794="Orçamento",COUNTA(P792:XX792)=COUNTIF(P794:XX794,"Orçamento")))))),
ROW(),0)</f>
        <v>804</v>
      </c>
      <c r="K804" s="66"/>
      <c r="L804" s="29" t="s">
        <v>41</v>
      </c>
      <c r="M804" s="30">
        <f t="shared" ref="M804" si="2448">IFERROR(_xlfn.QUARTILE.EXC($P798:$XX798,1),"")</f>
        <v>45.5</v>
      </c>
      <c r="N804" s="71"/>
      <c r="O804" s="27" t="str">
        <f t="shared" ref="O804" si="2449">"3 RODADA"</f>
        <v>3 RODADA</v>
      </c>
      <c r="P804" s="107">
        <f t="shared" ref="P804:AI804" si="2450">IF(P802="","",IF((_xlfn.STDEV.P($P801:$XX802)/AVERAGE($P801:$XX802))&lt;=25%,P802,IF(OR(P802&gt;(AVERAGE($P801:$XX802)+_xlfn.STDEV.P($P801:$XX802)),P802&lt;(AVERAGE($P801:$XX802)-_xlfn.STDEV.P($P801:$XX802))),"DESCARTADO",P802)))</f>
        <v>45.5</v>
      </c>
      <c r="Q804" s="107">
        <f t="shared" si="2450"/>
        <v>52.9</v>
      </c>
      <c r="R804" s="107">
        <f t="shared" si="2450"/>
        <v>45.9</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f t="shared" si="2425"/>
        <v>38</v>
      </c>
      <c r="C805" s="128">
        <f t="shared" si="2426"/>
        <v>1</v>
      </c>
      <c r="D805" s="127">
        <f t="shared" si="2426"/>
        <v>38</v>
      </c>
      <c r="E805" s="201"/>
      <c r="F805" s="93"/>
      <c r="G805" s="203"/>
      <c r="H805"/>
      <c r="I805"/>
      <c r="J805"/>
      <c r="K805" s="66"/>
      <c r="L805" s="29" t="s">
        <v>39</v>
      </c>
      <c r="M805" s="30">
        <f t="shared" ref="M805" si="2451">IFERROR(_xlfn.QUARTILE.EXC($P798:$XX798,3),"")</f>
        <v>52.9</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f t="shared" si="2425"/>
        <v>38</v>
      </c>
      <c r="C806" s="128">
        <f t="shared" si="2426"/>
        <v>1</v>
      </c>
      <c r="D806" s="127">
        <f t="shared" si="2426"/>
        <v>38</v>
      </c>
      <c r="E806" s="201"/>
      <c r="F806" s="93"/>
      <c r="G806" s="203"/>
      <c r="H806" s="134">
        <f t="shared" ref="H806" si="2453">COUNT($P806:$XX806)</f>
        <v>3</v>
      </c>
      <c r="I806" s="132">
        <f t="shared" ref="I806" si="2454">_xlfn.STDEV.P($P805:$XX806)/AVERAGE($P805:$XX806)</f>
        <v>7.0645294178099283E-2</v>
      </c>
      <c r="J806" s="7">
        <f t="shared" ref="J806" si="2455">IF(AND(H806&gt;2,
OR(L792="MÉDIA SANEADA",L792="MEDIANA SANEADA",
AND(L792="PREÇO ESTIMADO",NOT(AND(P794="Orçamento",COUNTA(P792:XX792)=COUNTIF(P794:XX794,"Orçamento")))))),
ROW(),0)</f>
        <v>806</v>
      </c>
      <c r="K806" s="66"/>
      <c r="L806" s="29" t="s">
        <v>42</v>
      </c>
      <c r="M806" s="30">
        <f t="shared" ref="M806" si="2456">MIN($P798:$XX798)</f>
        <v>45.5</v>
      </c>
      <c r="N806" s="71"/>
      <c r="O806" s="27" t="str">
        <f t="shared" ref="O806" si="2457">"4 RODADA"</f>
        <v>4 RODADA</v>
      </c>
      <c r="P806" s="107">
        <f t="shared" ref="P806:AI806" si="2458">IF(P804="","",IF((_xlfn.STDEV.P($P803:$XX804)/AVERAGE($P803:$XX804))&lt;=25%,P804,IF(OR(P804&gt;(AVERAGE($P803:$XX804)+_xlfn.STDEV.P($P803:$XX804)),P804&lt;(AVERAGE($P803:$XX804)-_xlfn.STDEV.P($P803:$XX804))),"DESCARTADO",P804)))</f>
        <v>45.5</v>
      </c>
      <c r="Q806" s="107">
        <f t="shared" si="2458"/>
        <v>52.9</v>
      </c>
      <c r="R806" s="107">
        <f t="shared" si="2458"/>
        <v>45.9</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f t="shared" si="2425"/>
        <v>38</v>
      </c>
      <c r="C807" s="128">
        <f t="shared" si="2426"/>
        <v>1</v>
      </c>
      <c r="D807" s="127">
        <f t="shared" si="2426"/>
        <v>38</v>
      </c>
      <c r="E807" s="201"/>
      <c r="F807" s="93"/>
      <c r="G807" s="203"/>
      <c r="H807"/>
      <c r="I807"/>
      <c r="J807"/>
      <c r="K807" s="66"/>
      <c r="L807" s="29" t="s">
        <v>40</v>
      </c>
      <c r="M807" s="30">
        <f t="shared" ref="M807" si="2459">MAX($P798:$XX798)</f>
        <v>52.9</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f t="shared" si="2425"/>
        <v>38</v>
      </c>
      <c r="C808" s="128">
        <f t="shared" si="2426"/>
        <v>1</v>
      </c>
      <c r="D808" s="127">
        <f t="shared" si="2426"/>
        <v>38</v>
      </c>
      <c r="E808" s="201"/>
      <c r="F808" s="93"/>
      <c r="G808" s="203"/>
      <c r="H808" s="134">
        <f t="shared" ref="H808" si="2461">COUNT($P808:$XX808)</f>
        <v>3</v>
      </c>
      <c r="I808" s="132">
        <f t="shared" ref="I808" si="2462">_xlfn.STDEV.P($P807:$XX808)/AVERAGE($P807:$XX808)</f>
        <v>7.0645294178099283E-2</v>
      </c>
      <c r="J808" s="7">
        <f t="shared" ref="J808" si="2463">IF(AND(H808&gt;2,
OR(L792="MÉDIA SANEADA",L792="MEDIANA SANEADA",
AND(L792="PREÇO ESTIMADO",NOT(AND(P794="Orçamento",COUNTA(P792:XX792)=COUNTIF(P794:XX794,"Orçamento")))))),
ROW(),0)</f>
        <v>808</v>
      </c>
      <c r="K808" s="66"/>
      <c r="N808" s="71"/>
      <c r="O808" s="27" t="str">
        <f t="shared" ref="O808" si="2464">"5 RODADA"</f>
        <v>5 RODADA</v>
      </c>
      <c r="P808" s="107">
        <f t="shared" ref="P808:AI808" si="2465">IF(P806="","",IF((_xlfn.STDEV.P($P805:$XX806)/AVERAGE($P805:$XX806))&lt;=25%,P806,IF(OR(P806&gt;(AVERAGE($P805:$XX806)+_xlfn.STDEV.P($P805:$XX806)),P806&lt;(AVERAGE($P805:$XX806)-_xlfn.STDEV.P($P805:$XX806))),"DESCARTADO",P806)))</f>
        <v>45.5</v>
      </c>
      <c r="Q808" s="107">
        <f t="shared" si="2465"/>
        <v>52.9</v>
      </c>
      <c r="R808" s="107">
        <f t="shared" si="2465"/>
        <v>45.9</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f t="shared" si="2425"/>
        <v>38</v>
      </c>
      <c r="C809" s="128">
        <f t="shared" si="2426"/>
        <v>1</v>
      </c>
      <c r="D809" s="127">
        <f t="shared" si="2426"/>
        <v>38</v>
      </c>
      <c r="E809" s="201"/>
      <c r="F809" s="93"/>
      <c r="G809" s="203"/>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f t="shared" si="2425"/>
        <v>38</v>
      </c>
      <c r="C810" s="128">
        <f t="shared" si="2426"/>
        <v>1</v>
      </c>
      <c r="D810" s="127">
        <f t="shared" si="2426"/>
        <v>38</v>
      </c>
      <c r="E810" s="201"/>
      <c r="F810" s="93"/>
      <c r="G810" s="203"/>
      <c r="H810" s="134">
        <f t="shared" ref="H810" si="2467">COUNT($P810:$XX810)</f>
        <v>3</v>
      </c>
      <c r="I810" s="132">
        <f t="shared" ref="I810" si="2468">_xlfn.STDEV.P($P809:$XX810)/AVERAGE($P809:$XX810)</f>
        <v>7.0645294178099283E-2</v>
      </c>
      <c r="J810" s="7">
        <f t="shared" ref="J810" si="2469">IF(AND(H810&gt;2,
OR(L792="MÉDIA SANEADA",L792="MEDIANA SANEADA",
AND(L792="PREÇO ESTIMADO",NOT(AND(P794="Orçamento",COUNTA(P792:XX792)=COUNTIF(P794:XX794,"Orçamento")))))),
ROW(),0)</f>
        <v>810</v>
      </c>
      <c r="N810" s="71"/>
      <c r="O810" s="27" t="str">
        <f t="shared" ref="O810" si="2470">"6 RODADA"</f>
        <v>6 RODADA</v>
      </c>
      <c r="P810" s="107">
        <f t="shared" ref="P810:AI810" si="2471">IFERROR(IF(P808="","",IF((_xlfn.STDEV.P($P807:$XX808)/AVERAGE($P807:$XX808))&lt;=25%,P808,IF(OR(P808&gt;(AVERAGE($P807:$XX808)+_xlfn.STDEV.P($P807:$XX808)),P808&lt;(AVERAGE($P807:$XX808)-_xlfn.STDEV.P($P807:$XX808))),"DESCARTADO",P808))),)</f>
        <v>45.5</v>
      </c>
      <c r="Q810" s="107">
        <f t="shared" si="2471"/>
        <v>52.9</v>
      </c>
      <c r="R810" s="107">
        <f t="shared" si="2471"/>
        <v>45.9</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f t="shared" si="2425"/>
        <v>38</v>
      </c>
      <c r="C811" s="128">
        <f t="shared" si="2426"/>
        <v>1</v>
      </c>
      <c r="D811" s="127">
        <f t="shared" si="2426"/>
        <v>38</v>
      </c>
      <c r="E811" s="201"/>
      <c r="F811" s="136"/>
      <c r="G811" s="203"/>
      <c r="H811" s="206"/>
      <c r="I811" s="206"/>
      <c r="J811" s="207"/>
      <c r="K811" s="67"/>
      <c r="L811" s="1" t="s">
        <v>43</v>
      </c>
      <c r="M811" s="143">
        <f t="shared" ref="M811" si="2472">IFERROR(ROUND(M792*M794,2),"")</f>
        <v>144.30000000000001</v>
      </c>
      <c r="O811" s="27" t="s">
        <v>363</v>
      </c>
      <c r="P811" s="107">
        <f t="shared" ref="P811:AI832" si="2473">INDEX(P798:P810,MATCH(MAX($J798:$J810),$J798:$J810,0))</f>
        <v>45.5</v>
      </c>
      <c r="Q811" s="107">
        <f t="shared" si="2473"/>
        <v>52.9</v>
      </c>
      <c r="R811" s="107">
        <f t="shared" si="2473"/>
        <v>45.9</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f t="shared" ref="B813" si="2474">LARGE(IFERROR(IF(B811+1&gt;$H$8,"",B811+1),""),1)</f>
        <v>39</v>
      </c>
      <c r="C813" s="127">
        <f>IF(_xlfn.ISFORMULA(E817),MAX(INDEX('BASE FORMAÇÃO'!A:A,B813+1),1),E817)</f>
        <v>1</v>
      </c>
      <c r="D813" s="127">
        <f t="shared" ref="D813" si="2475">IFERROR(IF(C813=C803,D803+1,1),1)</f>
        <v>39</v>
      </c>
      <c r="E813" s="38" t="s">
        <v>9</v>
      </c>
      <c r="F813" s="73"/>
      <c r="G813" s="38" t="s">
        <v>15</v>
      </c>
      <c r="H813" s="135">
        <f>INDEX('BASE FORMAÇÃO'!B:B,B813+1)</f>
        <v>0</v>
      </c>
      <c r="I813" s="181" t="s">
        <v>16</v>
      </c>
      <c r="J813" s="6">
        <f>INDEX('BASE FORMAÇÃO'!K:K,B813+1)</f>
        <v>0</v>
      </c>
      <c r="K813" s="65"/>
      <c r="L813" s="184" t="s">
        <v>10</v>
      </c>
      <c r="M813" s="186">
        <f t="shared" ref="M813" si="2476">IF(OR(ISBLANK($O$8),ISBLANK($O$7),ISBLANK($H$8),ISBLANK($O$6),ISBLANK($O$5),ISBLANK($H$5)),"",IFERROR(IF(VLOOKUP(L813,L819:M828,2,FALSE)&lt;1,ROUND(VLOOKUP(L813,L819:M828,2,FALSE),4),ROUND(VLOOKUP(L813,L819:M828,2,FALSE),2)),""))</f>
        <v>330.66</v>
      </c>
      <c r="N813" s="69"/>
      <c r="O813" s="27" t="s">
        <v>17</v>
      </c>
      <c r="P813" s="113">
        <v>362.1</v>
      </c>
      <c r="Q813" s="113">
        <v>314.89999999999998</v>
      </c>
      <c r="R813" s="113">
        <v>314.99</v>
      </c>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f t="shared" ref="B814:D814" si="2477">B813</f>
        <v>39</v>
      </c>
      <c r="C814" s="128">
        <f t="shared" si="2477"/>
        <v>1</v>
      </c>
      <c r="D814" s="127">
        <f t="shared" si="2477"/>
        <v>39</v>
      </c>
      <c r="E814" s="188">
        <f t="shared" ref="E814" si="2478">D813</f>
        <v>39</v>
      </c>
      <c r="F814" s="92"/>
      <c r="G814" s="190" t="s">
        <v>1</v>
      </c>
      <c r="H814" s="193" t="s">
        <v>586</v>
      </c>
      <c r="I814" s="194"/>
      <c r="J814" s="195"/>
      <c r="K814" s="66"/>
      <c r="L814" s="185"/>
      <c r="M814" s="187"/>
      <c r="N814" s="70"/>
      <c r="O814" s="27" t="s">
        <v>13</v>
      </c>
      <c r="P814" s="122">
        <v>46195</v>
      </c>
      <c r="Q814" s="122">
        <v>46195</v>
      </c>
      <c r="R814" s="122">
        <v>46195</v>
      </c>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f t="shared" ref="B815:D815" si="2479">B814</f>
        <v>39</v>
      </c>
      <c r="C815" s="128">
        <f t="shared" si="2479"/>
        <v>1</v>
      </c>
      <c r="D815" s="127">
        <f t="shared" si="2479"/>
        <v>39</v>
      </c>
      <c r="E815" s="189"/>
      <c r="F815" s="93"/>
      <c r="G815" s="191"/>
      <c r="H815" s="196"/>
      <c r="I815" s="196"/>
      <c r="J815" s="197"/>
      <c r="K815" s="64"/>
      <c r="L815" s="130" t="s">
        <v>44</v>
      </c>
      <c r="M815" s="131">
        <v>3</v>
      </c>
      <c r="N815" s="71"/>
      <c r="O815" s="27" t="s">
        <v>380</v>
      </c>
      <c r="P815" s="114" t="s">
        <v>302</v>
      </c>
      <c r="Q815" s="114" t="s">
        <v>302</v>
      </c>
      <c r="R815" s="114" t="s">
        <v>302</v>
      </c>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f t="shared" ref="B816:C816" si="2480">B815</f>
        <v>39</v>
      </c>
      <c r="C816" s="128">
        <f t="shared" si="2480"/>
        <v>1</v>
      </c>
      <c r="D816" s="127">
        <f t="shared" si="2426"/>
        <v>39</v>
      </c>
      <c r="E816" s="38" t="s">
        <v>313</v>
      </c>
      <c r="F816" s="93"/>
      <c r="G816" s="192"/>
      <c r="H816" s="198"/>
      <c r="I816" s="198"/>
      <c r="J816" s="199"/>
      <c r="K816" s="64"/>
      <c r="L816" s="1" t="s">
        <v>2</v>
      </c>
      <c r="M816" s="6" t="s">
        <v>288</v>
      </c>
      <c r="N816" s="71"/>
      <c r="O816" s="27" t="s">
        <v>381</v>
      </c>
      <c r="P816" s="182" t="s">
        <v>587</v>
      </c>
      <c r="Q816" s="182" t="s">
        <v>588</v>
      </c>
      <c r="R816" s="182" t="s">
        <v>589</v>
      </c>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f t="shared" ref="B817:C817" si="2481">B815</f>
        <v>39</v>
      </c>
      <c r="C817" s="128">
        <f t="shared" si="2481"/>
        <v>1</v>
      </c>
      <c r="D817" s="127">
        <f t="shared" si="2426"/>
        <v>39</v>
      </c>
      <c r="E817" s="200">
        <f t="shared" ref="E817" si="2482">C813</f>
        <v>1</v>
      </c>
      <c r="F817" s="93"/>
      <c r="G817" s="202" t="s">
        <v>304</v>
      </c>
      <c r="H817" s="204"/>
      <c r="I817" s="205"/>
      <c r="J817" s="205"/>
      <c r="K817" s="67"/>
      <c r="L817" s="28" t="s">
        <v>303</v>
      </c>
      <c r="M817" s="133">
        <f t="shared" ref="M817" si="2483">IFERROR(INDEX(I819:I831,MATCH(MAX(J819:J831),J819:J831,0)),"")</f>
        <v>6.7225810371604439E-2</v>
      </c>
      <c r="N817" s="71"/>
      <c r="O817" s="27" t="s">
        <v>18</v>
      </c>
      <c r="P817" s="106">
        <f>IF(P813="","",
IF(OR(P815="Orçamento",P814="",MAX('Tabela de Apoio'!$A:$A)&lt;=P814),
P813,
(INDEX('Tabela de Apoio'!$B:$B,MATCH('MAPA DE PREÇOS'!$O$8,'Tabela de Apoio'!$A:$A,1))/INDEX('Tabela de Apoio'!$B:$B,MATCH('MAPA DE PREÇOS'!P814,'Tabela de Apoio'!$A:$A,1)-1))*P813))</f>
        <v>362.1</v>
      </c>
      <c r="Q817" s="106">
        <f>IF(Q813="","",
IF(OR(Q815="Orçamento",Q814="",MAX('Tabela de Apoio'!$A:$A)&lt;=Q814),
Q813,
(INDEX('Tabela de Apoio'!$B:$B,MATCH('MAPA DE PREÇOS'!$O$8,'Tabela de Apoio'!$A:$A,1))/INDEX('Tabela de Apoio'!$B:$B,MATCH('MAPA DE PREÇOS'!Q814,'Tabela de Apoio'!$A:$A,1)-1))*Q813))</f>
        <v>314.89999999999998</v>
      </c>
      <c r="R817" s="106">
        <f>IF(R813="","",
IF(OR(R815="Orçamento",R814="",MAX('Tabela de Apoio'!$A:$A)&lt;=R814),
R813,
(INDEX('Tabela de Apoio'!$B:$B,MATCH('MAPA DE PREÇOS'!$O$8,'Tabela de Apoio'!$A:$A,1))/INDEX('Tabela de Apoio'!$B:$B,MATCH('MAPA DE PREÇOS'!R814,'Tabela de Apoio'!$A:$A,1)-1))*R813))</f>
        <v>314.99</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f t="shared" ref="B818" si="2484">B817</f>
        <v>39</v>
      </c>
      <c r="C818" s="128">
        <f t="shared" ref="C818" si="2485">C817</f>
        <v>1</v>
      </c>
      <c r="D818" s="127">
        <f t="shared" si="2426"/>
        <v>39</v>
      </c>
      <c r="E818" s="201"/>
      <c r="F818" s="93"/>
      <c r="G818" s="203"/>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f t="shared" ref="B819:C819" si="2486">B818</f>
        <v>39</v>
      </c>
      <c r="C819" s="128">
        <f t="shared" si="2486"/>
        <v>1</v>
      </c>
      <c r="D819" s="127">
        <f t="shared" si="2426"/>
        <v>39</v>
      </c>
      <c r="E819" s="201"/>
      <c r="F819" s="93"/>
      <c r="G819" s="203"/>
      <c r="H819" s="134">
        <f t="shared" ref="H819" si="2487">COUNT($P819:$XX819)</f>
        <v>3</v>
      </c>
      <c r="I819" s="132">
        <f t="shared" ref="I819" si="2488">_xlfn.STDEV.P($P818:$XX819)/AVERAGE($P818:$XX819)</f>
        <v>6.7225810371604439E-2</v>
      </c>
      <c r="J819" s="7">
        <f>ROW()</f>
        <v>819</v>
      </c>
      <c r="K819" s="67"/>
      <c r="L819" s="29" t="s">
        <v>10</v>
      </c>
      <c r="M819" s="30">
        <f t="shared" ref="M819" si="2489">IFERROR(
IF(COUNTA(P813:AI813)=COUNTIF(P815:XX815,"Orçamento"),MIN(M824,M821),
IF(M822&lt;&gt;"",M822,
IF(M823&lt;&gt;"",M823,
M821
))),"")</f>
        <v>330.66333333333336</v>
      </c>
      <c r="N819" s="71"/>
      <c r="O819" s="27" t="s">
        <v>376</v>
      </c>
      <c r="P819" s="106">
        <f t="shared" ref="P819:AI819" si="2490">IFERROR(IF(P817="",
            "",
            IF(COUNT($P817:$XX817)&lt;=4,
               P817,
               IF(OR(P817&gt;(QUARTILE($P817:$XX817,3)+(QUARTILE($P817:$XX817,3)-QUARTILE($P817:$XX817,1))),
                     P817&lt;(QUARTILE($P817:$XX817,1)-(QUARTILE($P817:$XX817,3)-QUARTILE($P817:$XX817,1)))
                  ),
               "DESCARTADO",P817)
             )
  ),P817)</f>
        <v>362.1</v>
      </c>
      <c r="Q819" s="106">
        <f t="shared" si="2490"/>
        <v>314.89999999999998</v>
      </c>
      <c r="R819" s="106">
        <f t="shared" si="2490"/>
        <v>314.99</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f t="shared" ref="B820" si="2491">B819</f>
        <v>39</v>
      </c>
      <c r="C820" s="128">
        <f t="shared" ref="C820" si="2492">C819</f>
        <v>1</v>
      </c>
      <c r="D820" s="127">
        <f t="shared" si="2426"/>
        <v>39</v>
      </c>
      <c r="E820" s="201"/>
      <c r="F820" s="93"/>
      <c r="G820" s="203"/>
      <c r="H820"/>
      <c r="I820"/>
      <c r="J820"/>
      <c r="K820" s="66"/>
      <c r="L820" s="29" t="s">
        <v>360</v>
      </c>
      <c r="M820" s="30">
        <f t="shared" ref="M820" si="2493">AVERAGE($P819:$XX819)</f>
        <v>330.66333333333336</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f t="shared" si="2425"/>
        <v>39</v>
      </c>
      <c r="C821" s="128">
        <f t="shared" si="2426"/>
        <v>1</v>
      </c>
      <c r="D821" s="127">
        <f t="shared" si="2426"/>
        <v>39</v>
      </c>
      <c r="E821" s="201"/>
      <c r="F821" s="93"/>
      <c r="G821" s="203"/>
      <c r="H821" s="134">
        <f t="shared" ref="H821" si="2495">COUNT($P821:$XX821)</f>
        <v>3</v>
      </c>
      <c r="I821" s="132">
        <f t="shared" ref="I821" si="2496">_xlfn.STDEV.P($P820:$XX821)/AVERAGE($P820:$XX821)</f>
        <v>6.7225810371604439E-2</v>
      </c>
      <c r="J821" s="7">
        <f t="shared" ref="J821" si="2497">IF(AND(H821&gt;2,
OR(L813="MÉDIA SANEADA",L813="MEDIANA SANEADA",
AND(L813="PREÇO ESTIMADO",NOT(AND(P815="Orçamento",COUNTA(P813:XX813)=COUNTIF(P815:XX815,"Orçamento")))))),
ROW(),0)</f>
        <v>821</v>
      </c>
      <c r="K821" s="66"/>
      <c r="L821" s="29" t="s">
        <v>361</v>
      </c>
      <c r="M821" s="30">
        <f t="shared" ref="M821" si="2498">MEDIAN($P819:$XX819)</f>
        <v>314.99</v>
      </c>
      <c r="N821" s="71"/>
      <c r="O821" s="27" t="str">
        <f t="shared" ref="O821" si="2499">"1 RODADA"</f>
        <v>1 RODADA</v>
      </c>
      <c r="P821" s="107">
        <f t="shared" ref="P821:AI821" si="2500">IF(P819="","",IF((_xlfn.STDEV.P($P818:$XX819)/AVERAGE($P818:$XX819))&lt;=25%,P819,IF(OR(P819&gt;(AVERAGE($P818:$XX819)+_xlfn.STDEV.P($P818:$XX819)),P819&lt;(AVERAGE($P818:$XX819)-_xlfn.STDEV.P($P818:$XX819))),"DESCARTADO",P819)))</f>
        <v>362.1</v>
      </c>
      <c r="Q821" s="107">
        <f t="shared" si="2500"/>
        <v>314.89999999999998</v>
      </c>
      <c r="R821" s="107">
        <f t="shared" si="2500"/>
        <v>314.99</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f t="shared" si="2425"/>
        <v>39</v>
      </c>
      <c r="C822" s="128">
        <f t="shared" si="2426"/>
        <v>1</v>
      </c>
      <c r="D822" s="127">
        <f t="shared" si="2426"/>
        <v>39</v>
      </c>
      <c r="E822" s="201"/>
      <c r="F822" s="93"/>
      <c r="G822" s="203"/>
      <c r="H822"/>
      <c r="I822"/>
      <c r="J822"/>
      <c r="L822" s="29" t="s">
        <v>38</v>
      </c>
      <c r="M822" s="30">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330.66333333333336</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f t="shared" si="2425"/>
        <v>39</v>
      </c>
      <c r="C823" s="128">
        <f t="shared" si="2426"/>
        <v>1</v>
      </c>
      <c r="D823" s="127">
        <f t="shared" si="2426"/>
        <v>39</v>
      </c>
      <c r="E823" s="201"/>
      <c r="F823" s="93"/>
      <c r="G823" s="203"/>
      <c r="H823" s="134">
        <f t="shared" ref="H823" si="2503">COUNT($P823:$XX823)</f>
        <v>3</v>
      </c>
      <c r="I823" s="132">
        <f t="shared" ref="I823" si="2504">_xlfn.STDEV.P($P822:$XX823)/AVERAGE($P822:$XX823)</f>
        <v>6.7225810371604439E-2</v>
      </c>
      <c r="J823" s="7">
        <f t="shared" ref="J823" si="2505">IF(AND(H823&gt;2,
OR(L813="MÉDIA SANEADA",L813="MEDIANA SANEADA",
AND(L813="PREÇO ESTIMADO",NOT(AND(P815="Orçamento",COUNTA(P813:XX813)=COUNTIF(P815:XX815,"Orçamento")))))),
ROW(),0)</f>
        <v>823</v>
      </c>
      <c r="K823" s="66"/>
      <c r="L823" s="29" t="s">
        <v>362</v>
      </c>
      <c r="M823" s="30">
        <f t="shared" ref="M823" si="2506" xml:space="preserve">
IF(H821&gt;2,MEDIAN(P820:XX821),
IF(H823&gt;2,MEDIAN(P822:XX823),
IF(H825&gt;2,MEDIAN(P824:XX825),
IF(H827&gt;2,MEDIAN(P826:XX827),
IF(H829&gt;2,MEDIAN(P828:XX829),
IF(H831&gt;2,MEDIAN(P830:XX831),
MEDIAN(P818:XX819)))))))</f>
        <v>314.99</v>
      </c>
      <c r="N823" s="71"/>
      <c r="O823" s="27" t="str">
        <f t="shared" ref="O823" si="2507">"2 RODADA"</f>
        <v>2 RODADA</v>
      </c>
      <c r="P823" s="107">
        <f t="shared" ref="P823:AI823" si="2508">IF(P821="","",IF((_xlfn.STDEV.P($P820:$XX821)/AVERAGE($P820:$XX821))&lt;=25%,P821,IF(OR(P821&gt;(AVERAGE($P820:$XX821)+_xlfn.STDEV.P($P820:$XX821)),P821&lt;(AVERAGE($P820:$XX821)-_xlfn.STDEV.P($P820:$XX821))),"DESCARTADO",P821)))</f>
        <v>362.1</v>
      </c>
      <c r="Q823" s="107">
        <f t="shared" si="2508"/>
        <v>314.89999999999998</v>
      </c>
      <c r="R823" s="107">
        <f t="shared" si="2508"/>
        <v>314.99</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f t="shared" si="2425"/>
        <v>39</v>
      </c>
      <c r="C824" s="128">
        <f t="shared" si="2426"/>
        <v>1</v>
      </c>
      <c r="D824" s="127">
        <f t="shared" si="2426"/>
        <v>39</v>
      </c>
      <c r="E824" s="201"/>
      <c r="F824" s="93"/>
      <c r="G824" s="203"/>
      <c r="H824"/>
      <c r="I824"/>
      <c r="J824"/>
      <c r="K824" s="66"/>
      <c r="L824" s="29" t="s">
        <v>359</v>
      </c>
      <c r="M824" s="30">
        <f t="shared" ref="M824" si="2509">HARMEAN($P818:$XX819)</f>
        <v>329.2367750721171</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f t="shared" si="2425"/>
        <v>39</v>
      </c>
      <c r="C825" s="128">
        <f t="shared" si="2426"/>
        <v>1</v>
      </c>
      <c r="D825" s="127">
        <f t="shared" si="2426"/>
        <v>39</v>
      </c>
      <c r="E825" s="201"/>
      <c r="F825" s="93"/>
      <c r="G825" s="203"/>
      <c r="H825" s="134">
        <f t="shared" ref="H825" si="2511">COUNT($P825:$XX825)</f>
        <v>3</v>
      </c>
      <c r="I825" s="132">
        <f t="shared" ref="I825" si="2512">_xlfn.STDEV.P($P824:$XX825)/AVERAGE($P824:$XX825)</f>
        <v>6.7225810371604439E-2</v>
      </c>
      <c r="J825" s="7">
        <f t="shared" ref="J825" si="2513">IF(AND(H825&gt;2,
OR(L813="MÉDIA SANEADA",L813="MEDIANA SANEADA",
AND(L813="PREÇO ESTIMADO",NOT(AND(P815="Orçamento",COUNTA(P813:XX813)=COUNTIF(P815:XX815,"Orçamento")))))),
ROW(),0)</f>
        <v>825</v>
      </c>
      <c r="K825" s="66"/>
      <c r="L825" s="29" t="s">
        <v>41</v>
      </c>
      <c r="M825" s="30">
        <f t="shared" ref="M825" si="2514">IFERROR(_xlfn.QUARTILE.EXC($P819:$XX819,1),"")</f>
        <v>314.89999999999998</v>
      </c>
      <c r="N825" s="71"/>
      <c r="O825" s="27" t="str">
        <f t="shared" ref="O825" si="2515">"3 RODADA"</f>
        <v>3 RODADA</v>
      </c>
      <c r="P825" s="107">
        <f t="shared" ref="P825:AI825" si="2516">IF(P823="","",IF((_xlfn.STDEV.P($P822:$XX823)/AVERAGE($P822:$XX823))&lt;=25%,P823,IF(OR(P823&gt;(AVERAGE($P822:$XX823)+_xlfn.STDEV.P($P822:$XX823)),P823&lt;(AVERAGE($P822:$XX823)-_xlfn.STDEV.P($P822:$XX823))),"DESCARTADO",P823)))</f>
        <v>362.1</v>
      </c>
      <c r="Q825" s="107">
        <f t="shared" si="2516"/>
        <v>314.89999999999998</v>
      </c>
      <c r="R825" s="107">
        <f t="shared" si="2516"/>
        <v>314.99</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f t="shared" si="2425"/>
        <v>39</v>
      </c>
      <c r="C826" s="128">
        <f t="shared" si="2426"/>
        <v>1</v>
      </c>
      <c r="D826" s="127">
        <f t="shared" si="2426"/>
        <v>39</v>
      </c>
      <c r="E826" s="201"/>
      <c r="F826" s="93"/>
      <c r="G826" s="203"/>
      <c r="H826"/>
      <c r="I826"/>
      <c r="J826"/>
      <c r="K826" s="66"/>
      <c r="L826" s="29" t="s">
        <v>39</v>
      </c>
      <c r="M826" s="30">
        <f t="shared" ref="M826" si="2517">IFERROR(_xlfn.QUARTILE.EXC($P819:$XX819,3),"")</f>
        <v>362.1</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f t="shared" si="2425"/>
        <v>39</v>
      </c>
      <c r="C827" s="128">
        <f t="shared" si="2426"/>
        <v>1</v>
      </c>
      <c r="D827" s="127">
        <f t="shared" si="2426"/>
        <v>39</v>
      </c>
      <c r="E827" s="201"/>
      <c r="F827" s="93"/>
      <c r="G827" s="203"/>
      <c r="H827" s="134">
        <f t="shared" ref="H827" si="2519">COUNT($P827:$XX827)</f>
        <v>3</v>
      </c>
      <c r="I827" s="132">
        <f t="shared" ref="I827" si="2520">_xlfn.STDEV.P($P826:$XX827)/AVERAGE($P826:$XX827)</f>
        <v>6.7225810371604439E-2</v>
      </c>
      <c r="J827" s="7">
        <f t="shared" ref="J827" si="2521">IF(AND(H827&gt;2,
OR(L813="MÉDIA SANEADA",L813="MEDIANA SANEADA",
AND(L813="PREÇO ESTIMADO",NOT(AND(P815="Orçamento",COUNTA(P813:XX813)=COUNTIF(P815:XX815,"Orçamento")))))),
ROW(),0)</f>
        <v>827</v>
      </c>
      <c r="K827" s="66"/>
      <c r="L827" s="29" t="s">
        <v>42</v>
      </c>
      <c r="M827" s="30">
        <f t="shared" ref="M827" si="2522">MIN($P819:$XX819)</f>
        <v>314.89999999999998</v>
      </c>
      <c r="N827" s="71"/>
      <c r="O827" s="27" t="str">
        <f t="shared" ref="O827" si="2523">"4 RODADA"</f>
        <v>4 RODADA</v>
      </c>
      <c r="P827" s="107">
        <f t="shared" ref="P827:AI827" si="2524">IF(P825="","",IF((_xlfn.STDEV.P($P824:$XX825)/AVERAGE($P824:$XX825))&lt;=25%,P825,IF(OR(P825&gt;(AVERAGE($P824:$XX825)+_xlfn.STDEV.P($P824:$XX825)),P825&lt;(AVERAGE($P824:$XX825)-_xlfn.STDEV.P($P824:$XX825))),"DESCARTADO",P825)))</f>
        <v>362.1</v>
      </c>
      <c r="Q827" s="107">
        <f t="shared" si="2524"/>
        <v>314.89999999999998</v>
      </c>
      <c r="R827" s="107">
        <f t="shared" si="2524"/>
        <v>314.99</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f t="shared" si="2425"/>
        <v>39</v>
      </c>
      <c r="C828" s="128">
        <f t="shared" si="2426"/>
        <v>1</v>
      </c>
      <c r="D828" s="127">
        <f t="shared" si="2426"/>
        <v>39</v>
      </c>
      <c r="E828" s="201"/>
      <c r="F828" s="93"/>
      <c r="G828" s="203"/>
      <c r="H828"/>
      <c r="I828"/>
      <c r="J828"/>
      <c r="K828" s="66"/>
      <c r="L828" s="29" t="s">
        <v>40</v>
      </c>
      <c r="M828" s="30">
        <f t="shared" ref="M828" si="2525">MAX($P819:$XX819)</f>
        <v>362.1</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f t="shared" si="2425"/>
        <v>39</v>
      </c>
      <c r="C829" s="128">
        <f t="shared" si="2426"/>
        <v>1</v>
      </c>
      <c r="D829" s="127">
        <f t="shared" si="2426"/>
        <v>39</v>
      </c>
      <c r="E829" s="201"/>
      <c r="F829" s="93"/>
      <c r="G829" s="203"/>
      <c r="H829" s="134">
        <f t="shared" ref="H829" si="2527">COUNT($P829:$XX829)</f>
        <v>3</v>
      </c>
      <c r="I829" s="132">
        <f t="shared" ref="I829" si="2528">_xlfn.STDEV.P($P828:$XX829)/AVERAGE($P828:$XX829)</f>
        <v>6.7225810371604439E-2</v>
      </c>
      <c r="J829" s="7">
        <f t="shared" ref="J829" si="2529">IF(AND(H829&gt;2,
OR(L813="MÉDIA SANEADA",L813="MEDIANA SANEADA",
AND(L813="PREÇO ESTIMADO",NOT(AND(P815="Orçamento",COUNTA(P813:XX813)=COUNTIF(P815:XX815,"Orçamento")))))),
ROW(),0)</f>
        <v>829</v>
      </c>
      <c r="K829" s="66"/>
      <c r="N829" s="71"/>
      <c r="O829" s="27" t="str">
        <f t="shared" ref="O829" si="2530">"5 RODADA"</f>
        <v>5 RODADA</v>
      </c>
      <c r="P829" s="107">
        <f t="shared" ref="P829:AI829" si="2531">IF(P827="","",IF((_xlfn.STDEV.P($P826:$XX827)/AVERAGE($P826:$XX827))&lt;=25%,P827,IF(OR(P827&gt;(AVERAGE($P826:$XX827)+_xlfn.STDEV.P($P826:$XX827)),P827&lt;(AVERAGE($P826:$XX827)-_xlfn.STDEV.P($P826:$XX827))),"DESCARTADO",P827)))</f>
        <v>362.1</v>
      </c>
      <c r="Q829" s="107">
        <f t="shared" si="2531"/>
        <v>314.89999999999998</v>
      </c>
      <c r="R829" s="107">
        <f t="shared" si="2531"/>
        <v>314.99</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f t="shared" si="2425"/>
        <v>39</v>
      </c>
      <c r="C830" s="128">
        <f t="shared" si="2426"/>
        <v>1</v>
      </c>
      <c r="D830" s="127">
        <f t="shared" si="2426"/>
        <v>39</v>
      </c>
      <c r="E830" s="201"/>
      <c r="F830" s="93"/>
      <c r="G830" s="203"/>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f t="shared" si="2425"/>
        <v>39</v>
      </c>
      <c r="C831" s="128">
        <f t="shared" si="2426"/>
        <v>1</v>
      </c>
      <c r="D831" s="127">
        <f t="shared" si="2426"/>
        <v>39</v>
      </c>
      <c r="E831" s="201"/>
      <c r="F831" s="93"/>
      <c r="G831" s="203"/>
      <c r="H831" s="134">
        <f t="shared" ref="H831" si="2533">COUNT($P831:$XX831)</f>
        <v>3</v>
      </c>
      <c r="I831" s="132">
        <f t="shared" ref="I831" si="2534">_xlfn.STDEV.P($P830:$XX831)/AVERAGE($P830:$XX831)</f>
        <v>6.7225810371604439E-2</v>
      </c>
      <c r="J831" s="7">
        <f t="shared" ref="J831" si="2535">IF(AND(H831&gt;2,
OR(L813="MÉDIA SANEADA",L813="MEDIANA SANEADA",
AND(L813="PREÇO ESTIMADO",NOT(AND(P815="Orçamento",COUNTA(P813:XX813)=COUNTIF(P815:XX815,"Orçamento")))))),
ROW(),0)</f>
        <v>831</v>
      </c>
      <c r="N831" s="71"/>
      <c r="O831" s="27" t="str">
        <f t="shared" ref="O831" si="2536">"6 RODADA"</f>
        <v>6 RODADA</v>
      </c>
      <c r="P831" s="107">
        <f t="shared" ref="P831:AI831" si="2537">IFERROR(IF(P829="","",IF((_xlfn.STDEV.P($P828:$XX829)/AVERAGE($P828:$XX829))&lt;=25%,P829,IF(OR(P829&gt;(AVERAGE($P828:$XX829)+_xlfn.STDEV.P($P828:$XX829)),P829&lt;(AVERAGE($P828:$XX829)-_xlfn.STDEV.P($P828:$XX829))),"DESCARTADO",P829))),)</f>
        <v>362.1</v>
      </c>
      <c r="Q831" s="107">
        <f t="shared" si="2537"/>
        <v>314.89999999999998</v>
      </c>
      <c r="R831" s="107">
        <f t="shared" si="2537"/>
        <v>314.99</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f t="shared" si="2425"/>
        <v>39</v>
      </c>
      <c r="C832" s="128">
        <f t="shared" si="2426"/>
        <v>1</v>
      </c>
      <c r="D832" s="127">
        <f t="shared" si="2426"/>
        <v>39</v>
      </c>
      <c r="E832" s="201"/>
      <c r="F832" s="136"/>
      <c r="G832" s="203"/>
      <c r="H832" s="206"/>
      <c r="I832" s="206"/>
      <c r="J832" s="207"/>
      <c r="K832" s="67"/>
      <c r="L832" s="1" t="s">
        <v>43</v>
      </c>
      <c r="M832" s="143">
        <f t="shared" ref="M832" si="2538">IFERROR(ROUND(M813*M815,2),"")</f>
        <v>991.98</v>
      </c>
      <c r="O832" s="27" t="s">
        <v>363</v>
      </c>
      <c r="P832" s="107">
        <f t="shared" ref="P832:R832" si="2539">INDEX(P819:P831,MATCH(MAX($J819:$J831),$J819:$J831,0))</f>
        <v>362.1</v>
      </c>
      <c r="Q832" s="107">
        <f t="shared" si="2539"/>
        <v>314.89999999999998</v>
      </c>
      <c r="R832" s="107">
        <f t="shared" si="2539"/>
        <v>314.99</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f t="shared" ref="B834" si="2540">LARGE(IFERROR(IF(B832+1&gt;$H$8,"",B832+1),""),1)</f>
        <v>40</v>
      </c>
      <c r="C834" s="127">
        <f>IF(_xlfn.ISFORMULA(E838),MAX(INDEX('BASE FORMAÇÃO'!A:A,B834+1),1),E838)</f>
        <v>1</v>
      </c>
      <c r="D834" s="127">
        <f t="shared" ref="D834" si="2541">IFERROR(IF(C834=C824,D824+1,1),1)</f>
        <v>40</v>
      </c>
      <c r="E834" s="38" t="s">
        <v>9</v>
      </c>
      <c r="F834" s="73"/>
      <c r="G834" s="38" t="s">
        <v>15</v>
      </c>
      <c r="H834" s="135">
        <f>INDEX('BASE FORMAÇÃO'!B:B,B834+1)</f>
        <v>0</v>
      </c>
      <c r="I834" s="181" t="s">
        <v>16</v>
      </c>
      <c r="J834" s="6">
        <f>INDEX('BASE FORMAÇÃO'!K:K,B834+1)</f>
        <v>0</v>
      </c>
      <c r="K834" s="65"/>
      <c r="L834" s="184" t="s">
        <v>10</v>
      </c>
      <c r="M834" s="186">
        <f t="shared" ref="M834" si="2542">IF(OR(ISBLANK($O$8),ISBLANK($O$7),ISBLANK($H$8),ISBLANK($O$6),ISBLANK($O$5),ISBLANK($H$5)),"",IFERROR(IF(VLOOKUP(L834,L840:M849,2,FALSE)&lt;1,ROUND(VLOOKUP(L834,L840:M849,2,FALSE),4),ROUND(VLOOKUP(L834,L840:M849,2,FALSE),2)),""))</f>
        <v>406.66</v>
      </c>
      <c r="N834" s="69"/>
      <c r="O834" s="27" t="s">
        <v>17</v>
      </c>
      <c r="P834" s="113">
        <v>399.99</v>
      </c>
      <c r="Q834" s="113">
        <v>399.99</v>
      </c>
      <c r="R834" s="113">
        <v>419.99</v>
      </c>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f t="shared" ref="B835:D835" si="2543">B834</f>
        <v>40</v>
      </c>
      <c r="C835" s="128">
        <f t="shared" si="2543"/>
        <v>1</v>
      </c>
      <c r="D835" s="127">
        <f t="shared" si="2543"/>
        <v>40</v>
      </c>
      <c r="E835" s="188">
        <f t="shared" ref="E835" si="2544">D834</f>
        <v>40</v>
      </c>
      <c r="F835" s="92"/>
      <c r="G835" s="190" t="s">
        <v>1</v>
      </c>
      <c r="H835" s="193" t="s">
        <v>590</v>
      </c>
      <c r="I835" s="194"/>
      <c r="J835" s="195"/>
      <c r="K835" s="66"/>
      <c r="L835" s="185"/>
      <c r="M835" s="187"/>
      <c r="N835" s="70"/>
      <c r="O835" s="27" t="s">
        <v>13</v>
      </c>
      <c r="P835" s="122">
        <v>46195</v>
      </c>
      <c r="Q835" s="122">
        <v>46195</v>
      </c>
      <c r="R835" s="122">
        <v>46195</v>
      </c>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f t="shared" ref="B836:D836" si="2545">B835</f>
        <v>40</v>
      </c>
      <c r="C836" s="128">
        <f t="shared" si="2545"/>
        <v>1</v>
      </c>
      <c r="D836" s="127">
        <f t="shared" si="2545"/>
        <v>40</v>
      </c>
      <c r="E836" s="189"/>
      <c r="F836" s="93"/>
      <c r="G836" s="191"/>
      <c r="H836" s="196"/>
      <c r="I836" s="196"/>
      <c r="J836" s="197"/>
      <c r="K836" s="64"/>
      <c r="L836" s="130" t="s">
        <v>44</v>
      </c>
      <c r="M836" s="131">
        <v>3</v>
      </c>
      <c r="N836" s="71"/>
      <c r="O836" s="27" t="s">
        <v>380</v>
      </c>
      <c r="P836" s="114" t="s">
        <v>302</v>
      </c>
      <c r="Q836" s="114" t="s">
        <v>302</v>
      </c>
      <c r="R836" s="114" t="s">
        <v>302</v>
      </c>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f t="shared" ref="B837:C837" si="2546">B836</f>
        <v>40</v>
      </c>
      <c r="C837" s="128">
        <f t="shared" si="2546"/>
        <v>1</v>
      </c>
      <c r="D837" s="127">
        <f t="shared" si="2426"/>
        <v>40</v>
      </c>
      <c r="E837" s="38" t="s">
        <v>313</v>
      </c>
      <c r="F837" s="93"/>
      <c r="G837" s="192"/>
      <c r="H837" s="198"/>
      <c r="I837" s="198"/>
      <c r="J837" s="199"/>
      <c r="K837" s="64"/>
      <c r="L837" s="1" t="s">
        <v>2</v>
      </c>
      <c r="M837" s="6" t="s">
        <v>288</v>
      </c>
      <c r="N837" s="71"/>
      <c r="O837" s="27" t="s">
        <v>381</v>
      </c>
      <c r="P837" s="182" t="s">
        <v>591</v>
      </c>
      <c r="Q837" s="182" t="s">
        <v>592</v>
      </c>
      <c r="R837" s="182" t="s">
        <v>593</v>
      </c>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f t="shared" ref="B838:C838" si="2547">B836</f>
        <v>40</v>
      </c>
      <c r="C838" s="128">
        <f t="shared" si="2547"/>
        <v>1</v>
      </c>
      <c r="D838" s="127">
        <f t="shared" si="2426"/>
        <v>40</v>
      </c>
      <c r="E838" s="200">
        <f t="shared" ref="E838" si="2548">C834</f>
        <v>1</v>
      </c>
      <c r="F838" s="93"/>
      <c r="G838" s="202" t="s">
        <v>304</v>
      </c>
      <c r="H838" s="204"/>
      <c r="I838" s="205"/>
      <c r="J838" s="205"/>
      <c r="K838" s="67"/>
      <c r="L838" s="28" t="s">
        <v>303</v>
      </c>
      <c r="M838" s="133">
        <f t="shared" ref="M838" si="2549">IFERROR(INDEX(I840:I852,MATCH(MAX(J840:J852),J840:J852,0)),"")</f>
        <v>2.3184398999534329E-2</v>
      </c>
      <c r="N838" s="71"/>
      <c r="O838" s="27" t="s">
        <v>18</v>
      </c>
      <c r="P838" s="106">
        <f>IF(P834="","",
IF(OR(P836="Orçamento",P835="",MAX('Tabela de Apoio'!$A:$A)&lt;=P835),
P834,
(INDEX('Tabela de Apoio'!$B:$B,MATCH('MAPA DE PREÇOS'!$O$8,'Tabela de Apoio'!$A:$A,1))/INDEX('Tabela de Apoio'!$B:$B,MATCH('MAPA DE PREÇOS'!P835,'Tabela de Apoio'!$A:$A,1)-1))*P834))</f>
        <v>399.99</v>
      </c>
      <c r="Q838" s="106">
        <f>IF(Q834="","",
IF(OR(Q836="Orçamento",Q835="",MAX('Tabela de Apoio'!$A:$A)&lt;=Q835),
Q834,
(INDEX('Tabela de Apoio'!$B:$B,MATCH('MAPA DE PREÇOS'!$O$8,'Tabela de Apoio'!$A:$A,1))/INDEX('Tabela de Apoio'!$B:$B,MATCH('MAPA DE PREÇOS'!Q835,'Tabela de Apoio'!$A:$A,1)-1))*Q834))</f>
        <v>399.99</v>
      </c>
      <c r="R838" s="106">
        <f>IF(R834="","",
IF(OR(R836="Orçamento",R835="",MAX('Tabela de Apoio'!$A:$A)&lt;=R835),
R834,
(INDEX('Tabela de Apoio'!$B:$B,MATCH('MAPA DE PREÇOS'!$O$8,'Tabela de Apoio'!$A:$A,1))/INDEX('Tabela de Apoio'!$B:$B,MATCH('MAPA DE PREÇOS'!R835,'Tabela de Apoio'!$A:$A,1)-1))*R834))</f>
        <v>419.99</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f t="shared" ref="B839" si="2550">B838</f>
        <v>40</v>
      </c>
      <c r="C839" s="128">
        <f t="shared" ref="C839" si="2551">C838</f>
        <v>1</v>
      </c>
      <c r="D839" s="127">
        <f t="shared" si="2426"/>
        <v>40</v>
      </c>
      <c r="E839" s="201"/>
      <c r="F839" s="93"/>
      <c r="G839" s="203"/>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f t="shared" ref="B840:C840" si="2552">B839</f>
        <v>40</v>
      </c>
      <c r="C840" s="128">
        <f t="shared" si="2552"/>
        <v>1</v>
      </c>
      <c r="D840" s="127">
        <f t="shared" si="2426"/>
        <v>40</v>
      </c>
      <c r="E840" s="201"/>
      <c r="F840" s="93"/>
      <c r="G840" s="203"/>
      <c r="H840" s="134">
        <f t="shared" ref="H840" si="2553">COUNT($P840:$XX840)</f>
        <v>3</v>
      </c>
      <c r="I840" s="132">
        <f t="shared" ref="I840" si="2554">_xlfn.STDEV.P($P839:$XX840)/AVERAGE($P839:$XX840)</f>
        <v>2.3184398999534329E-2</v>
      </c>
      <c r="J840" s="7">
        <f>ROW()</f>
        <v>840</v>
      </c>
      <c r="K840" s="67"/>
      <c r="L840" s="29" t="s">
        <v>10</v>
      </c>
      <c r="M840" s="30">
        <f t="shared" ref="M840" si="2555">IFERROR(
IF(COUNTA(P834:AI834)=COUNTIF(P836:XX836,"Orçamento"),MIN(M845,M842),
IF(M843&lt;&gt;"",M843,
IF(M844&lt;&gt;"",M844,
M842
))),"")</f>
        <v>406.65666666666669</v>
      </c>
      <c r="N840" s="71"/>
      <c r="O840" s="27" t="s">
        <v>376</v>
      </c>
      <c r="P840" s="106">
        <f t="shared" ref="P840:AI840" si="2556">IFERROR(IF(P838="",
            "",
            IF(COUNT($P838:$XX838)&lt;=4,
               P838,
               IF(OR(P838&gt;(QUARTILE($P838:$XX838,3)+(QUARTILE($P838:$XX838,3)-QUARTILE($P838:$XX838,1))),
                     P838&lt;(QUARTILE($P838:$XX838,1)-(QUARTILE($P838:$XX838,3)-QUARTILE($P838:$XX838,1)))
                  ),
               "DESCARTADO",P838)
             )
  ),P838)</f>
        <v>399.99</v>
      </c>
      <c r="Q840" s="106">
        <f t="shared" si="2556"/>
        <v>399.99</v>
      </c>
      <c r="R840" s="106">
        <f t="shared" si="2556"/>
        <v>419.99</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f t="shared" ref="B841" si="2557">B840</f>
        <v>40</v>
      </c>
      <c r="C841" s="128">
        <f t="shared" ref="C841" si="2558">C840</f>
        <v>1</v>
      </c>
      <c r="D841" s="127">
        <f t="shared" si="2426"/>
        <v>40</v>
      </c>
      <c r="E841" s="201"/>
      <c r="F841" s="93"/>
      <c r="G841" s="203"/>
      <c r="H841"/>
      <c r="I841"/>
      <c r="J841"/>
      <c r="K841" s="66"/>
      <c r="L841" s="29" t="s">
        <v>360</v>
      </c>
      <c r="M841" s="30">
        <f t="shared" ref="M841" si="2559">AVERAGE($P840:$XX840)</f>
        <v>406.65666666666669</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f t="shared" si="2425"/>
        <v>40</v>
      </c>
      <c r="C842" s="128">
        <f t="shared" si="2426"/>
        <v>1</v>
      </c>
      <c r="D842" s="127">
        <f t="shared" si="2426"/>
        <v>40</v>
      </c>
      <c r="E842" s="201"/>
      <c r="F842" s="93"/>
      <c r="G842" s="203"/>
      <c r="H842" s="134">
        <f t="shared" ref="H842" si="2561">COUNT($P842:$XX842)</f>
        <v>3</v>
      </c>
      <c r="I842" s="132">
        <f t="shared" ref="I842" si="2562">_xlfn.STDEV.P($P841:$XX842)/AVERAGE($P841:$XX842)</f>
        <v>2.3184398999534329E-2</v>
      </c>
      <c r="J842" s="7">
        <f t="shared" ref="J842" si="2563">IF(AND(H842&gt;2,
OR(L834="MÉDIA SANEADA",L834="MEDIANA SANEADA",
AND(L834="PREÇO ESTIMADO",NOT(AND(P836="Orçamento",COUNTA(P834:XX834)=COUNTIF(P836:XX836,"Orçamento")))))),
ROW(),0)</f>
        <v>842</v>
      </c>
      <c r="K842" s="66"/>
      <c r="L842" s="29" t="s">
        <v>361</v>
      </c>
      <c r="M842" s="30">
        <f t="shared" ref="M842" si="2564">MEDIAN($P840:$XX840)</f>
        <v>399.99</v>
      </c>
      <c r="N842" s="71"/>
      <c r="O842" s="27" t="str">
        <f t="shared" ref="O842" si="2565">"1 RODADA"</f>
        <v>1 RODADA</v>
      </c>
      <c r="P842" s="107">
        <f t="shared" ref="P842:AI842" si="2566">IF(P840="","",IF((_xlfn.STDEV.P($P839:$XX840)/AVERAGE($P839:$XX840))&lt;=25%,P840,IF(OR(P840&gt;(AVERAGE($P839:$XX840)+_xlfn.STDEV.P($P839:$XX840)),P840&lt;(AVERAGE($P839:$XX840)-_xlfn.STDEV.P($P839:$XX840))),"DESCARTADO",P840)))</f>
        <v>399.99</v>
      </c>
      <c r="Q842" s="107">
        <f t="shared" si="2566"/>
        <v>399.99</v>
      </c>
      <c r="R842" s="107">
        <f t="shared" si="2566"/>
        <v>419.99</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f t="shared" si="2425"/>
        <v>40</v>
      </c>
      <c r="C843" s="128">
        <f t="shared" si="2426"/>
        <v>1</v>
      </c>
      <c r="D843" s="127">
        <f t="shared" si="2426"/>
        <v>40</v>
      </c>
      <c r="E843" s="201"/>
      <c r="F843" s="93"/>
      <c r="G843" s="203"/>
      <c r="H843"/>
      <c r="I843"/>
      <c r="J843"/>
      <c r="L843" s="29" t="s">
        <v>38</v>
      </c>
      <c r="M843" s="30">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406.65666666666669</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f t="shared" si="2425"/>
        <v>40</v>
      </c>
      <c r="C844" s="128">
        <f t="shared" si="2426"/>
        <v>1</v>
      </c>
      <c r="D844" s="127">
        <f t="shared" si="2426"/>
        <v>40</v>
      </c>
      <c r="E844" s="201"/>
      <c r="F844" s="93"/>
      <c r="G844" s="203"/>
      <c r="H844" s="134">
        <f t="shared" ref="H844" si="2569">COUNT($P844:$XX844)</f>
        <v>3</v>
      </c>
      <c r="I844" s="132">
        <f t="shared" ref="I844" si="2570">_xlfn.STDEV.P($P843:$XX844)/AVERAGE($P843:$XX844)</f>
        <v>2.3184398999534329E-2</v>
      </c>
      <c r="J844" s="7">
        <f t="shared" ref="J844" si="2571">IF(AND(H844&gt;2,
OR(L834="MÉDIA SANEADA",L834="MEDIANA SANEADA",
AND(L834="PREÇO ESTIMADO",NOT(AND(P836="Orçamento",COUNTA(P834:XX834)=COUNTIF(P836:XX836,"Orçamento")))))),
ROW(),0)</f>
        <v>844</v>
      </c>
      <c r="K844" s="66"/>
      <c r="L844" s="29" t="s">
        <v>362</v>
      </c>
      <c r="M844" s="30">
        <f t="shared" ref="M844" si="2572" xml:space="preserve">
IF(H842&gt;2,MEDIAN(P841:XX842),
IF(H844&gt;2,MEDIAN(P843:XX844),
IF(H846&gt;2,MEDIAN(P845:XX846),
IF(H848&gt;2,MEDIAN(P847:XX848),
IF(H850&gt;2,MEDIAN(P849:XX850),
IF(H852&gt;2,MEDIAN(P851:XX852),
MEDIAN(P839:XX840)))))))</f>
        <v>399.99</v>
      </c>
      <c r="N844" s="71"/>
      <c r="O844" s="27" t="str">
        <f t="shared" ref="O844" si="2573">"2 RODADA"</f>
        <v>2 RODADA</v>
      </c>
      <c r="P844" s="107">
        <f t="shared" ref="P844:AI844" si="2574">IF(P842="","",IF((_xlfn.STDEV.P($P841:$XX842)/AVERAGE($P841:$XX842))&lt;=25%,P842,IF(OR(P842&gt;(AVERAGE($P841:$XX842)+_xlfn.STDEV.P($P841:$XX842)),P842&lt;(AVERAGE($P841:$XX842)-_xlfn.STDEV.P($P841:$XX842))),"DESCARTADO",P842)))</f>
        <v>399.99</v>
      </c>
      <c r="Q844" s="107">
        <f t="shared" si="2574"/>
        <v>399.99</v>
      </c>
      <c r="R844" s="107">
        <f t="shared" si="2574"/>
        <v>419.99</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f t="shared" si="2425"/>
        <v>40</v>
      </c>
      <c r="C845" s="128">
        <f t="shared" si="2426"/>
        <v>1</v>
      </c>
      <c r="D845" s="127">
        <f t="shared" si="2426"/>
        <v>40</v>
      </c>
      <c r="E845" s="201"/>
      <c r="F845" s="93"/>
      <c r="G845" s="203"/>
      <c r="H845"/>
      <c r="I845"/>
      <c r="J845"/>
      <c r="K845" s="66"/>
      <c r="L845" s="29" t="s">
        <v>359</v>
      </c>
      <c r="M845" s="30">
        <f t="shared" ref="M845" si="2575">HARMEAN($P839:$XX840)</f>
        <v>406.4416077001863</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f t="shared" si="2425"/>
        <v>40</v>
      </c>
      <c r="C846" s="128">
        <f t="shared" si="2426"/>
        <v>1</v>
      </c>
      <c r="D846" s="127">
        <f t="shared" si="2426"/>
        <v>40</v>
      </c>
      <c r="E846" s="201"/>
      <c r="F846" s="93"/>
      <c r="G846" s="203"/>
      <c r="H846" s="134">
        <f t="shared" ref="H846" si="2577">COUNT($P846:$XX846)</f>
        <v>3</v>
      </c>
      <c r="I846" s="132">
        <f t="shared" ref="I846" si="2578">_xlfn.STDEV.P($P845:$XX846)/AVERAGE($P845:$XX846)</f>
        <v>2.3184398999534329E-2</v>
      </c>
      <c r="J846" s="7">
        <f t="shared" ref="J846" si="2579">IF(AND(H846&gt;2,
OR(L834="MÉDIA SANEADA",L834="MEDIANA SANEADA",
AND(L834="PREÇO ESTIMADO",NOT(AND(P836="Orçamento",COUNTA(P834:XX834)=COUNTIF(P836:XX836,"Orçamento")))))),
ROW(),0)</f>
        <v>846</v>
      </c>
      <c r="K846" s="66"/>
      <c r="L846" s="29" t="s">
        <v>41</v>
      </c>
      <c r="M846" s="30">
        <f t="shared" ref="M846" si="2580">IFERROR(_xlfn.QUARTILE.EXC($P840:$XX840,1),"")</f>
        <v>399.99</v>
      </c>
      <c r="N846" s="71"/>
      <c r="O846" s="27" t="str">
        <f t="shared" ref="O846" si="2581">"3 RODADA"</f>
        <v>3 RODADA</v>
      </c>
      <c r="P846" s="107">
        <f t="shared" ref="P846:AI846" si="2582">IF(P844="","",IF((_xlfn.STDEV.P($P843:$XX844)/AVERAGE($P843:$XX844))&lt;=25%,P844,IF(OR(P844&gt;(AVERAGE($P843:$XX844)+_xlfn.STDEV.P($P843:$XX844)),P844&lt;(AVERAGE($P843:$XX844)-_xlfn.STDEV.P($P843:$XX844))),"DESCARTADO",P844)))</f>
        <v>399.99</v>
      </c>
      <c r="Q846" s="107">
        <f t="shared" si="2582"/>
        <v>399.99</v>
      </c>
      <c r="R846" s="107">
        <f t="shared" si="2582"/>
        <v>419.99</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f t="shared" si="2425"/>
        <v>40</v>
      </c>
      <c r="C847" s="128">
        <f t="shared" si="2426"/>
        <v>1</v>
      </c>
      <c r="D847" s="127">
        <f t="shared" si="2426"/>
        <v>40</v>
      </c>
      <c r="E847" s="201"/>
      <c r="F847" s="93"/>
      <c r="G847" s="203"/>
      <c r="H847"/>
      <c r="I847"/>
      <c r="J847"/>
      <c r="K847" s="66"/>
      <c r="L847" s="29" t="s">
        <v>39</v>
      </c>
      <c r="M847" s="30">
        <f t="shared" ref="M847" si="2583">IFERROR(_xlfn.QUARTILE.EXC($P840:$XX840,3),"")</f>
        <v>419.99</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f t="shared" si="2425"/>
        <v>40</v>
      </c>
      <c r="C848" s="128">
        <f t="shared" si="2426"/>
        <v>1</v>
      </c>
      <c r="D848" s="127">
        <f t="shared" si="2426"/>
        <v>40</v>
      </c>
      <c r="E848" s="201"/>
      <c r="F848" s="93"/>
      <c r="G848" s="203"/>
      <c r="H848" s="134">
        <f t="shared" ref="H848" si="2585">COUNT($P848:$XX848)</f>
        <v>3</v>
      </c>
      <c r="I848" s="132">
        <f t="shared" ref="I848" si="2586">_xlfn.STDEV.P($P847:$XX848)/AVERAGE($P847:$XX848)</f>
        <v>2.3184398999534329E-2</v>
      </c>
      <c r="J848" s="7">
        <f t="shared" ref="J848" si="2587">IF(AND(H848&gt;2,
OR(L834="MÉDIA SANEADA",L834="MEDIANA SANEADA",
AND(L834="PREÇO ESTIMADO",NOT(AND(P836="Orçamento",COUNTA(P834:XX834)=COUNTIF(P836:XX836,"Orçamento")))))),
ROW(),0)</f>
        <v>848</v>
      </c>
      <c r="K848" s="66"/>
      <c r="L848" s="29" t="s">
        <v>42</v>
      </c>
      <c r="M848" s="30">
        <f t="shared" ref="M848" si="2588">MIN($P840:$XX840)</f>
        <v>399.99</v>
      </c>
      <c r="N848" s="71"/>
      <c r="O848" s="27" t="str">
        <f t="shared" ref="O848" si="2589">"4 RODADA"</f>
        <v>4 RODADA</v>
      </c>
      <c r="P848" s="107">
        <f t="shared" ref="P848:AI848" si="2590">IF(P846="","",IF((_xlfn.STDEV.P($P845:$XX846)/AVERAGE($P845:$XX846))&lt;=25%,P846,IF(OR(P846&gt;(AVERAGE($P845:$XX846)+_xlfn.STDEV.P($P845:$XX846)),P846&lt;(AVERAGE($P845:$XX846)-_xlfn.STDEV.P($P845:$XX846))),"DESCARTADO",P846)))</f>
        <v>399.99</v>
      </c>
      <c r="Q848" s="107">
        <f t="shared" si="2590"/>
        <v>399.99</v>
      </c>
      <c r="R848" s="107">
        <f t="shared" si="2590"/>
        <v>419.99</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f t="shared" si="2425"/>
        <v>40</v>
      </c>
      <c r="C849" s="128">
        <f t="shared" si="2426"/>
        <v>1</v>
      </c>
      <c r="D849" s="127">
        <f t="shared" si="2426"/>
        <v>40</v>
      </c>
      <c r="E849" s="201"/>
      <c r="F849" s="93"/>
      <c r="G849" s="203"/>
      <c r="H849"/>
      <c r="I849"/>
      <c r="J849"/>
      <c r="K849" s="66"/>
      <c r="L849" s="29" t="s">
        <v>40</v>
      </c>
      <c r="M849" s="30">
        <f t="shared" ref="M849" si="2591">MAX($P840:$XX840)</f>
        <v>419.99</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f t="shared" si="2425"/>
        <v>40</v>
      </c>
      <c r="C850" s="128">
        <f t="shared" si="2426"/>
        <v>1</v>
      </c>
      <c r="D850" s="127">
        <f t="shared" si="2426"/>
        <v>40</v>
      </c>
      <c r="E850" s="201"/>
      <c r="F850" s="93"/>
      <c r="G850" s="203"/>
      <c r="H850" s="134">
        <f t="shared" ref="H850" si="2593">COUNT($P850:$XX850)</f>
        <v>3</v>
      </c>
      <c r="I850" s="132">
        <f t="shared" ref="I850" si="2594">_xlfn.STDEV.P($P849:$XX850)/AVERAGE($P849:$XX850)</f>
        <v>2.3184398999534329E-2</v>
      </c>
      <c r="J850" s="7">
        <f t="shared" ref="J850" si="2595">IF(AND(H850&gt;2,
OR(L834="MÉDIA SANEADA",L834="MEDIANA SANEADA",
AND(L834="PREÇO ESTIMADO",NOT(AND(P836="Orçamento",COUNTA(P834:XX834)=COUNTIF(P836:XX836,"Orçamento")))))),
ROW(),0)</f>
        <v>850</v>
      </c>
      <c r="K850" s="66"/>
      <c r="N850" s="71"/>
      <c r="O850" s="27" t="str">
        <f t="shared" ref="O850" si="2596">"5 RODADA"</f>
        <v>5 RODADA</v>
      </c>
      <c r="P850" s="107">
        <f t="shared" ref="P850:AI850" si="2597">IF(P848="","",IF((_xlfn.STDEV.P($P847:$XX848)/AVERAGE($P847:$XX848))&lt;=25%,P848,IF(OR(P848&gt;(AVERAGE($P847:$XX848)+_xlfn.STDEV.P($P847:$XX848)),P848&lt;(AVERAGE($P847:$XX848)-_xlfn.STDEV.P($P847:$XX848))),"DESCARTADO",P848)))</f>
        <v>399.99</v>
      </c>
      <c r="Q850" s="107">
        <f t="shared" si="2597"/>
        <v>399.99</v>
      </c>
      <c r="R850" s="107">
        <f t="shared" si="2597"/>
        <v>419.99</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f t="shared" si="2425"/>
        <v>40</v>
      </c>
      <c r="C851" s="128">
        <f t="shared" si="2426"/>
        <v>1</v>
      </c>
      <c r="D851" s="127">
        <f t="shared" si="2426"/>
        <v>40</v>
      </c>
      <c r="E851" s="201"/>
      <c r="F851" s="93"/>
      <c r="G851" s="203"/>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f t="shared" si="2425"/>
        <v>40</v>
      </c>
      <c r="C852" s="128">
        <f t="shared" si="2426"/>
        <v>1</v>
      </c>
      <c r="D852" s="127">
        <f t="shared" si="2426"/>
        <v>40</v>
      </c>
      <c r="E852" s="201"/>
      <c r="F852" s="93"/>
      <c r="G852" s="203"/>
      <c r="H852" s="134">
        <f t="shared" ref="H852" si="2599">COUNT($P852:$XX852)</f>
        <v>3</v>
      </c>
      <c r="I852" s="132">
        <f t="shared" ref="I852" si="2600">_xlfn.STDEV.P($P851:$XX852)/AVERAGE($P851:$XX852)</f>
        <v>2.3184398999534329E-2</v>
      </c>
      <c r="J852" s="7">
        <f t="shared" ref="J852" si="2601">IF(AND(H852&gt;2,
OR(L834="MÉDIA SANEADA",L834="MEDIANA SANEADA",
AND(L834="PREÇO ESTIMADO",NOT(AND(P836="Orçamento",COUNTA(P834:XX834)=COUNTIF(P836:XX836,"Orçamento")))))),
ROW(),0)</f>
        <v>852</v>
      </c>
      <c r="N852" s="71"/>
      <c r="O852" s="27" t="str">
        <f t="shared" ref="O852" si="2602">"6 RODADA"</f>
        <v>6 RODADA</v>
      </c>
      <c r="P852" s="107">
        <f t="shared" ref="P852:AI852" si="2603">IFERROR(IF(P850="","",IF((_xlfn.STDEV.P($P849:$XX850)/AVERAGE($P849:$XX850))&lt;=25%,P850,IF(OR(P850&gt;(AVERAGE($P849:$XX850)+_xlfn.STDEV.P($P849:$XX850)),P850&lt;(AVERAGE($P849:$XX850)-_xlfn.STDEV.P($P849:$XX850))),"DESCARTADO",P850))),)</f>
        <v>399.99</v>
      </c>
      <c r="Q852" s="107">
        <f t="shared" si="2603"/>
        <v>399.99</v>
      </c>
      <c r="R852" s="107">
        <f t="shared" si="2603"/>
        <v>419.99</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f t="shared" si="2425"/>
        <v>40</v>
      </c>
      <c r="C853" s="128">
        <f t="shared" si="2426"/>
        <v>1</v>
      </c>
      <c r="D853" s="127">
        <f t="shared" si="2426"/>
        <v>40</v>
      </c>
      <c r="E853" s="201"/>
      <c r="F853" s="136"/>
      <c r="G853" s="203"/>
      <c r="H853" s="206"/>
      <c r="I853" s="206"/>
      <c r="J853" s="207"/>
      <c r="K853" s="67"/>
      <c r="L853" s="1" t="s">
        <v>43</v>
      </c>
      <c r="M853" s="143">
        <f t="shared" ref="M853" si="2604">IFERROR(ROUND(M834*M836,2),"")</f>
        <v>1219.98</v>
      </c>
      <c r="O853" s="27" t="s">
        <v>363</v>
      </c>
      <c r="P853" s="107">
        <f t="shared" ref="P853:AI874" si="2605">INDEX(P840:P852,MATCH(MAX($J840:$J852),$J840:$J852,0))</f>
        <v>399.99</v>
      </c>
      <c r="Q853" s="107">
        <f t="shared" si="2605"/>
        <v>399.99</v>
      </c>
      <c r="R853" s="107">
        <f t="shared" si="2605"/>
        <v>419.99</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f t="shared" ref="B855" si="2606">LARGE(IFERROR(IF(B853+1&gt;$H$8,"",B853+1),""),1)</f>
        <v>41</v>
      </c>
      <c r="C855" s="127">
        <f>IF(_xlfn.ISFORMULA(E859),MAX(INDEX('BASE FORMAÇÃO'!A:A,B855+1),1),E859)</f>
        <v>1</v>
      </c>
      <c r="D855" s="127">
        <f t="shared" ref="D855" si="2607">IFERROR(IF(C855=C845,D845+1,1),1)</f>
        <v>41</v>
      </c>
      <c r="E855" s="38" t="s">
        <v>9</v>
      </c>
      <c r="F855" s="73"/>
      <c r="G855" s="38" t="s">
        <v>15</v>
      </c>
      <c r="H855" s="135">
        <f>INDEX('BASE FORMAÇÃO'!B:B,B855+1)</f>
        <v>0</v>
      </c>
      <c r="I855" s="181" t="s">
        <v>16</v>
      </c>
      <c r="J855" s="6">
        <f>INDEX('BASE FORMAÇÃO'!K:K,B855+1)</f>
        <v>0</v>
      </c>
      <c r="K855" s="65"/>
      <c r="L855" s="184" t="s">
        <v>10</v>
      </c>
      <c r="M855" s="186">
        <f t="shared" ref="M855" si="2608">IF(OR(ISBLANK($O$8),ISBLANK($O$7),ISBLANK($H$8),ISBLANK($O$6),ISBLANK($O$5),ISBLANK($H$5)),"",IFERROR(IF(VLOOKUP(L855,L861:M870,2,FALSE)&lt;1,ROUND(VLOOKUP(L855,L861:M870,2,FALSE),4),ROUND(VLOOKUP(L855,L861:M870,2,FALSE),2)),""))</f>
        <v>134.80000000000001</v>
      </c>
      <c r="N855" s="69"/>
      <c r="O855" s="27" t="s">
        <v>17</v>
      </c>
      <c r="P855" s="113">
        <v>139.6</v>
      </c>
      <c r="Q855" s="113">
        <v>134.81</v>
      </c>
      <c r="R855" s="113">
        <v>129.99</v>
      </c>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f t="shared" ref="B856:D856" si="2609">B855</f>
        <v>41</v>
      </c>
      <c r="C856" s="128">
        <f t="shared" si="2609"/>
        <v>1</v>
      </c>
      <c r="D856" s="127">
        <f t="shared" si="2609"/>
        <v>41</v>
      </c>
      <c r="E856" s="188">
        <f t="shared" ref="E856" si="2610">D855</f>
        <v>41</v>
      </c>
      <c r="F856" s="92"/>
      <c r="G856" s="190" t="s">
        <v>1</v>
      </c>
      <c r="H856" s="193" t="s">
        <v>594</v>
      </c>
      <c r="I856" s="194"/>
      <c r="J856" s="195"/>
      <c r="K856" s="66"/>
      <c r="L856" s="185"/>
      <c r="M856" s="187"/>
      <c r="N856" s="70"/>
      <c r="O856" s="27" t="s">
        <v>13</v>
      </c>
      <c r="P856" s="122">
        <v>46195</v>
      </c>
      <c r="Q856" s="122">
        <v>46195</v>
      </c>
      <c r="R856" s="122">
        <v>46195</v>
      </c>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f t="shared" ref="B857:D857" si="2611">B856</f>
        <v>41</v>
      </c>
      <c r="C857" s="128">
        <f t="shared" si="2611"/>
        <v>1</v>
      </c>
      <c r="D857" s="127">
        <f t="shared" si="2611"/>
        <v>41</v>
      </c>
      <c r="E857" s="189"/>
      <c r="F857" s="93"/>
      <c r="G857" s="191"/>
      <c r="H857" s="196"/>
      <c r="I857" s="196"/>
      <c r="J857" s="197"/>
      <c r="K857" s="64"/>
      <c r="L857" s="130" t="s">
        <v>44</v>
      </c>
      <c r="M857" s="131">
        <v>2</v>
      </c>
      <c r="N857" s="71"/>
      <c r="O857" s="27" t="s">
        <v>380</v>
      </c>
      <c r="P857" s="114" t="s">
        <v>302</v>
      </c>
      <c r="Q857" s="114" t="s">
        <v>302</v>
      </c>
      <c r="R857" s="114" t="s">
        <v>302</v>
      </c>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f t="shared" ref="B858:C858" si="2612">B857</f>
        <v>41</v>
      </c>
      <c r="C858" s="128">
        <f t="shared" si="2612"/>
        <v>1</v>
      </c>
      <c r="D858" s="127">
        <f t="shared" si="2426"/>
        <v>41</v>
      </c>
      <c r="E858" s="38" t="s">
        <v>313</v>
      </c>
      <c r="F858" s="93"/>
      <c r="G858" s="192"/>
      <c r="H858" s="198"/>
      <c r="I858" s="198"/>
      <c r="J858" s="199"/>
      <c r="K858" s="64"/>
      <c r="L858" s="1" t="s">
        <v>2</v>
      </c>
      <c r="M858" s="6" t="s">
        <v>288</v>
      </c>
      <c r="N858" s="71"/>
      <c r="O858" s="27" t="s">
        <v>381</v>
      </c>
      <c r="P858" s="182" t="s">
        <v>595</v>
      </c>
      <c r="Q858" s="182" t="s">
        <v>596</v>
      </c>
      <c r="R858" s="182" t="s">
        <v>597</v>
      </c>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f t="shared" ref="B859:C859" si="2613">B857</f>
        <v>41</v>
      </c>
      <c r="C859" s="128">
        <f t="shared" si="2613"/>
        <v>1</v>
      </c>
      <c r="D859" s="127">
        <f t="shared" si="2426"/>
        <v>41</v>
      </c>
      <c r="E859" s="200">
        <f t="shared" ref="E859" si="2614">C855</f>
        <v>1</v>
      </c>
      <c r="F859" s="93"/>
      <c r="G859" s="202" t="s">
        <v>304</v>
      </c>
      <c r="H859" s="204"/>
      <c r="I859" s="205"/>
      <c r="J859" s="205"/>
      <c r="K859" s="67"/>
      <c r="L859" s="28" t="s">
        <v>303</v>
      </c>
      <c r="M859" s="133">
        <f t="shared" ref="M859" si="2615">IFERROR(INDEX(I861:I873,MATCH(MAX(J861:J873),J861:J873,0)),"")</f>
        <v>2.9104394982153781E-2</v>
      </c>
      <c r="N859" s="71"/>
      <c r="O859" s="27" t="s">
        <v>18</v>
      </c>
      <c r="P859" s="106">
        <f>IF(P855="","",
IF(OR(P857="Orçamento",P856="",MAX('Tabela de Apoio'!$A:$A)&lt;=P856),
P855,
(INDEX('Tabela de Apoio'!$B:$B,MATCH('MAPA DE PREÇOS'!$O$8,'Tabela de Apoio'!$A:$A,1))/INDEX('Tabela de Apoio'!$B:$B,MATCH('MAPA DE PREÇOS'!P856,'Tabela de Apoio'!$A:$A,1)-1))*P855))</f>
        <v>139.6</v>
      </c>
      <c r="Q859" s="106">
        <f>IF(Q855="","",
IF(OR(Q857="Orçamento",Q856="",MAX('Tabela de Apoio'!$A:$A)&lt;=Q856),
Q855,
(INDEX('Tabela de Apoio'!$B:$B,MATCH('MAPA DE PREÇOS'!$O$8,'Tabela de Apoio'!$A:$A,1))/INDEX('Tabela de Apoio'!$B:$B,MATCH('MAPA DE PREÇOS'!Q856,'Tabela de Apoio'!$A:$A,1)-1))*Q855))</f>
        <v>134.81</v>
      </c>
      <c r="R859" s="106">
        <f>IF(R855="","",
IF(OR(R857="Orçamento",R856="",MAX('Tabela de Apoio'!$A:$A)&lt;=R856),
R855,
(INDEX('Tabela de Apoio'!$B:$B,MATCH('MAPA DE PREÇOS'!$O$8,'Tabela de Apoio'!$A:$A,1))/INDEX('Tabela de Apoio'!$B:$B,MATCH('MAPA DE PREÇOS'!R856,'Tabela de Apoio'!$A:$A,1)-1))*R855))</f>
        <v>129.99</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f t="shared" ref="B860" si="2616">B859</f>
        <v>41</v>
      </c>
      <c r="C860" s="128">
        <f t="shared" ref="C860" si="2617">C859</f>
        <v>1</v>
      </c>
      <c r="D860" s="127">
        <f t="shared" si="2426"/>
        <v>41</v>
      </c>
      <c r="E860" s="201"/>
      <c r="F860" s="93"/>
      <c r="G860" s="203"/>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f t="shared" ref="B861:C861" si="2618">B860</f>
        <v>41</v>
      </c>
      <c r="C861" s="128">
        <f t="shared" si="2618"/>
        <v>1</v>
      </c>
      <c r="D861" s="127">
        <f t="shared" si="2426"/>
        <v>41</v>
      </c>
      <c r="E861" s="201"/>
      <c r="F861" s="93"/>
      <c r="G861" s="203"/>
      <c r="H861" s="134">
        <f t="shared" ref="H861" si="2619">COUNT($P861:$XX861)</f>
        <v>3</v>
      </c>
      <c r="I861" s="132">
        <f t="shared" ref="I861" si="2620">_xlfn.STDEV.P($P860:$XX861)/AVERAGE($P860:$XX861)</f>
        <v>2.9104394982153781E-2</v>
      </c>
      <c r="J861" s="7">
        <f>ROW()</f>
        <v>861</v>
      </c>
      <c r="K861" s="67"/>
      <c r="L861" s="29" t="s">
        <v>10</v>
      </c>
      <c r="M861" s="30">
        <f t="shared" ref="M861" si="2621">IFERROR(
IF(COUNTA(P855:AI855)=COUNTIF(P857:XX857,"Orçamento"),MIN(M866,M863),
IF(M864&lt;&gt;"",M864,
IF(M865&lt;&gt;"",M865,
M863
))),"")</f>
        <v>134.79999999999998</v>
      </c>
      <c r="N861" s="71"/>
      <c r="O861" s="27" t="s">
        <v>376</v>
      </c>
      <c r="P861" s="106">
        <f t="shared" ref="P861:AI861" si="2622">IFERROR(IF(P859="",
            "",
            IF(COUNT($P859:$XX859)&lt;=4,
               P859,
               IF(OR(P859&gt;(QUARTILE($P859:$XX859,3)+(QUARTILE($P859:$XX859,3)-QUARTILE($P859:$XX859,1))),
                     P859&lt;(QUARTILE($P859:$XX859,1)-(QUARTILE($P859:$XX859,3)-QUARTILE($P859:$XX859,1)))
                  ),
               "DESCARTADO",P859)
             )
  ),P859)</f>
        <v>139.6</v>
      </c>
      <c r="Q861" s="106">
        <f t="shared" si="2622"/>
        <v>134.81</v>
      </c>
      <c r="R861" s="106">
        <f t="shared" si="2622"/>
        <v>129.99</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f t="shared" ref="B862:B916" si="2623">B861</f>
        <v>41</v>
      </c>
      <c r="C862" s="128">
        <f t="shared" ref="C862:D925" si="2624">C861</f>
        <v>1</v>
      </c>
      <c r="D862" s="127">
        <f t="shared" si="2426"/>
        <v>41</v>
      </c>
      <c r="E862" s="201"/>
      <c r="F862" s="93"/>
      <c r="G862" s="203"/>
      <c r="H862"/>
      <c r="I862"/>
      <c r="J862"/>
      <c r="K862" s="66"/>
      <c r="L862" s="29" t="s">
        <v>360</v>
      </c>
      <c r="M862" s="30">
        <f t="shared" ref="M862" si="2625">AVERAGE($P861:$XX861)</f>
        <v>134.79999999999998</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f t="shared" si="2623"/>
        <v>41</v>
      </c>
      <c r="C863" s="128">
        <f t="shared" si="2624"/>
        <v>1</v>
      </c>
      <c r="D863" s="127">
        <f t="shared" si="2624"/>
        <v>41</v>
      </c>
      <c r="E863" s="201"/>
      <c r="F863" s="93"/>
      <c r="G863" s="203"/>
      <c r="H863" s="134">
        <f t="shared" ref="H863" si="2627">COUNT($P863:$XX863)</f>
        <v>3</v>
      </c>
      <c r="I863" s="132">
        <f t="shared" ref="I863" si="2628">_xlfn.STDEV.P($P862:$XX863)/AVERAGE($P862:$XX863)</f>
        <v>2.9104394982153781E-2</v>
      </c>
      <c r="J863" s="7">
        <f t="shared" ref="J863" si="2629">IF(AND(H863&gt;2,
OR(L855="MÉDIA SANEADA",L855="MEDIANA SANEADA",
AND(L855="PREÇO ESTIMADO",NOT(AND(P857="Orçamento",COUNTA(P855:XX855)=COUNTIF(P857:XX857,"Orçamento")))))),
ROW(),0)</f>
        <v>863</v>
      </c>
      <c r="K863" s="66"/>
      <c r="L863" s="29" t="s">
        <v>361</v>
      </c>
      <c r="M863" s="30">
        <f t="shared" ref="M863" si="2630">MEDIAN($P861:$XX861)</f>
        <v>134.81</v>
      </c>
      <c r="N863" s="71"/>
      <c r="O863" s="27" t="str">
        <f t="shared" ref="O863" si="2631">"1 RODADA"</f>
        <v>1 RODADA</v>
      </c>
      <c r="P863" s="107">
        <f t="shared" ref="P863:AI863" si="2632">IF(P861="","",IF((_xlfn.STDEV.P($P860:$XX861)/AVERAGE($P860:$XX861))&lt;=25%,P861,IF(OR(P861&gt;(AVERAGE($P860:$XX861)+_xlfn.STDEV.P($P860:$XX861)),P861&lt;(AVERAGE($P860:$XX861)-_xlfn.STDEV.P($P860:$XX861))),"DESCARTADO",P861)))</f>
        <v>139.6</v>
      </c>
      <c r="Q863" s="107">
        <f t="shared" si="2632"/>
        <v>134.81</v>
      </c>
      <c r="R863" s="107">
        <f t="shared" si="2632"/>
        <v>129.99</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f t="shared" si="2623"/>
        <v>41</v>
      </c>
      <c r="C864" s="128">
        <f t="shared" si="2624"/>
        <v>1</v>
      </c>
      <c r="D864" s="127">
        <f t="shared" si="2624"/>
        <v>41</v>
      </c>
      <c r="E864" s="201"/>
      <c r="F864" s="93"/>
      <c r="G864" s="203"/>
      <c r="H864"/>
      <c r="I864"/>
      <c r="J864"/>
      <c r="L864" s="29" t="s">
        <v>38</v>
      </c>
      <c r="M864" s="30">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134.79999999999998</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f t="shared" si="2623"/>
        <v>41</v>
      </c>
      <c r="C865" s="128">
        <f t="shared" si="2624"/>
        <v>1</v>
      </c>
      <c r="D865" s="127">
        <f t="shared" si="2624"/>
        <v>41</v>
      </c>
      <c r="E865" s="201"/>
      <c r="F865" s="93"/>
      <c r="G865" s="203"/>
      <c r="H865" s="134">
        <f t="shared" ref="H865" si="2635">COUNT($P865:$XX865)</f>
        <v>3</v>
      </c>
      <c r="I865" s="132">
        <f t="shared" ref="I865" si="2636">_xlfn.STDEV.P($P864:$XX865)/AVERAGE($P864:$XX865)</f>
        <v>2.9104394982153781E-2</v>
      </c>
      <c r="J865" s="7">
        <f t="shared" ref="J865" si="2637">IF(AND(H865&gt;2,
OR(L855="MÉDIA SANEADA",L855="MEDIANA SANEADA",
AND(L855="PREÇO ESTIMADO",NOT(AND(P857="Orçamento",COUNTA(P855:XX855)=COUNTIF(P857:XX857,"Orçamento")))))),
ROW(),0)</f>
        <v>865</v>
      </c>
      <c r="K865" s="66"/>
      <c r="L865" s="29" t="s">
        <v>362</v>
      </c>
      <c r="M865" s="30">
        <f t="shared" ref="M865" si="2638" xml:space="preserve">
IF(H863&gt;2,MEDIAN(P862:XX863),
IF(H865&gt;2,MEDIAN(P864:XX865),
IF(H867&gt;2,MEDIAN(P866:XX867),
IF(H869&gt;2,MEDIAN(P868:XX869),
IF(H871&gt;2,MEDIAN(P870:XX871),
IF(H873&gt;2,MEDIAN(P872:XX873),
MEDIAN(P860:XX861)))))))</f>
        <v>134.81</v>
      </c>
      <c r="N865" s="71"/>
      <c r="O865" s="27" t="str">
        <f t="shared" ref="O865" si="2639">"2 RODADA"</f>
        <v>2 RODADA</v>
      </c>
      <c r="P865" s="107">
        <f t="shared" ref="P865:AI865" si="2640">IF(P863="","",IF((_xlfn.STDEV.P($P862:$XX863)/AVERAGE($P862:$XX863))&lt;=25%,P863,IF(OR(P863&gt;(AVERAGE($P862:$XX863)+_xlfn.STDEV.P($P862:$XX863)),P863&lt;(AVERAGE($P862:$XX863)-_xlfn.STDEV.P($P862:$XX863))),"DESCARTADO",P863)))</f>
        <v>139.6</v>
      </c>
      <c r="Q865" s="107">
        <f t="shared" si="2640"/>
        <v>134.81</v>
      </c>
      <c r="R865" s="107">
        <f t="shared" si="2640"/>
        <v>129.99</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f t="shared" si="2623"/>
        <v>41</v>
      </c>
      <c r="C866" s="128">
        <f t="shared" si="2624"/>
        <v>1</v>
      </c>
      <c r="D866" s="127">
        <f t="shared" si="2624"/>
        <v>41</v>
      </c>
      <c r="E866" s="201"/>
      <c r="F866" s="93"/>
      <c r="G866" s="203"/>
      <c r="H866"/>
      <c r="I866"/>
      <c r="J866"/>
      <c r="K866" s="66"/>
      <c r="L866" s="29" t="s">
        <v>359</v>
      </c>
      <c r="M866" s="30">
        <f t="shared" ref="M866" si="2641">HARMEAN($P860:$XX861)</f>
        <v>134.68575443649172</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f t="shared" si="2623"/>
        <v>41</v>
      </c>
      <c r="C867" s="128">
        <f t="shared" si="2624"/>
        <v>1</v>
      </c>
      <c r="D867" s="127">
        <f t="shared" si="2624"/>
        <v>41</v>
      </c>
      <c r="E867" s="201"/>
      <c r="F867" s="93"/>
      <c r="G867" s="203"/>
      <c r="H867" s="134">
        <f t="shared" ref="H867" si="2643">COUNT($P867:$XX867)</f>
        <v>3</v>
      </c>
      <c r="I867" s="132">
        <f t="shared" ref="I867" si="2644">_xlfn.STDEV.P($P866:$XX867)/AVERAGE($P866:$XX867)</f>
        <v>2.9104394982153781E-2</v>
      </c>
      <c r="J867" s="7">
        <f t="shared" ref="J867" si="2645">IF(AND(H867&gt;2,
OR(L855="MÉDIA SANEADA",L855="MEDIANA SANEADA",
AND(L855="PREÇO ESTIMADO",NOT(AND(P857="Orçamento",COUNTA(P855:XX855)=COUNTIF(P857:XX857,"Orçamento")))))),
ROW(),0)</f>
        <v>867</v>
      </c>
      <c r="K867" s="66"/>
      <c r="L867" s="29" t="s">
        <v>41</v>
      </c>
      <c r="M867" s="30">
        <f t="shared" ref="M867" si="2646">IFERROR(_xlfn.QUARTILE.EXC($P861:$XX861,1),"")</f>
        <v>129.99</v>
      </c>
      <c r="N867" s="71"/>
      <c r="O867" s="27" t="str">
        <f t="shared" ref="O867" si="2647">"3 RODADA"</f>
        <v>3 RODADA</v>
      </c>
      <c r="P867" s="107">
        <f t="shared" ref="P867:AI867" si="2648">IF(P865="","",IF((_xlfn.STDEV.P($P864:$XX865)/AVERAGE($P864:$XX865))&lt;=25%,P865,IF(OR(P865&gt;(AVERAGE($P864:$XX865)+_xlfn.STDEV.P($P864:$XX865)),P865&lt;(AVERAGE($P864:$XX865)-_xlfn.STDEV.P($P864:$XX865))),"DESCARTADO",P865)))</f>
        <v>139.6</v>
      </c>
      <c r="Q867" s="107">
        <f t="shared" si="2648"/>
        <v>134.81</v>
      </c>
      <c r="R867" s="107">
        <f t="shared" si="2648"/>
        <v>129.99</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f t="shared" si="2623"/>
        <v>41</v>
      </c>
      <c r="C868" s="128">
        <f t="shared" si="2624"/>
        <v>1</v>
      </c>
      <c r="D868" s="127">
        <f t="shared" si="2624"/>
        <v>41</v>
      </c>
      <c r="E868" s="201"/>
      <c r="F868" s="93"/>
      <c r="G868" s="203"/>
      <c r="H868"/>
      <c r="I868"/>
      <c r="J868"/>
      <c r="K868" s="66"/>
      <c r="L868" s="29" t="s">
        <v>39</v>
      </c>
      <c r="M868" s="30">
        <f t="shared" ref="M868" si="2649">IFERROR(_xlfn.QUARTILE.EXC($P861:$XX861,3),"")</f>
        <v>139.6</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f t="shared" si="2623"/>
        <v>41</v>
      </c>
      <c r="C869" s="128">
        <f t="shared" si="2624"/>
        <v>1</v>
      </c>
      <c r="D869" s="127">
        <f t="shared" si="2624"/>
        <v>41</v>
      </c>
      <c r="E869" s="201"/>
      <c r="F869" s="93"/>
      <c r="G869" s="203"/>
      <c r="H869" s="134">
        <f t="shared" ref="H869" si="2651">COUNT($P869:$XX869)</f>
        <v>3</v>
      </c>
      <c r="I869" s="132">
        <f t="shared" ref="I869" si="2652">_xlfn.STDEV.P($P868:$XX869)/AVERAGE($P868:$XX869)</f>
        <v>2.9104394982153781E-2</v>
      </c>
      <c r="J869" s="7">
        <f t="shared" ref="J869" si="2653">IF(AND(H869&gt;2,
OR(L855="MÉDIA SANEADA",L855="MEDIANA SANEADA",
AND(L855="PREÇO ESTIMADO",NOT(AND(P857="Orçamento",COUNTA(P855:XX855)=COUNTIF(P857:XX857,"Orçamento")))))),
ROW(),0)</f>
        <v>869</v>
      </c>
      <c r="K869" s="66"/>
      <c r="L869" s="29" t="s">
        <v>42</v>
      </c>
      <c r="M869" s="30">
        <f t="shared" ref="M869" si="2654">MIN($P861:$XX861)</f>
        <v>129.99</v>
      </c>
      <c r="N869" s="71"/>
      <c r="O869" s="27" t="str">
        <f t="shared" ref="O869" si="2655">"4 RODADA"</f>
        <v>4 RODADA</v>
      </c>
      <c r="P869" s="107">
        <f t="shared" ref="P869:AI869" si="2656">IF(P867="","",IF((_xlfn.STDEV.P($P866:$XX867)/AVERAGE($P866:$XX867))&lt;=25%,P867,IF(OR(P867&gt;(AVERAGE($P866:$XX867)+_xlfn.STDEV.P($P866:$XX867)),P867&lt;(AVERAGE($P866:$XX867)-_xlfn.STDEV.P($P866:$XX867))),"DESCARTADO",P867)))</f>
        <v>139.6</v>
      </c>
      <c r="Q869" s="107">
        <f t="shared" si="2656"/>
        <v>134.81</v>
      </c>
      <c r="R869" s="107">
        <f t="shared" si="2656"/>
        <v>129.99</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f t="shared" si="2623"/>
        <v>41</v>
      </c>
      <c r="C870" s="128">
        <f t="shared" si="2624"/>
        <v>1</v>
      </c>
      <c r="D870" s="127">
        <f t="shared" si="2624"/>
        <v>41</v>
      </c>
      <c r="E870" s="201"/>
      <c r="F870" s="93"/>
      <c r="G870" s="203"/>
      <c r="H870"/>
      <c r="I870"/>
      <c r="J870"/>
      <c r="K870" s="66"/>
      <c r="L870" s="29" t="s">
        <v>40</v>
      </c>
      <c r="M870" s="30">
        <f t="shared" ref="M870" si="2657">MAX($P861:$XX861)</f>
        <v>139.6</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f t="shared" si="2623"/>
        <v>41</v>
      </c>
      <c r="C871" s="128">
        <f t="shared" si="2624"/>
        <v>1</v>
      </c>
      <c r="D871" s="127">
        <f t="shared" si="2624"/>
        <v>41</v>
      </c>
      <c r="E871" s="201"/>
      <c r="F871" s="93"/>
      <c r="G871" s="203"/>
      <c r="H871" s="134">
        <f t="shared" ref="H871" si="2659">COUNT($P871:$XX871)</f>
        <v>3</v>
      </c>
      <c r="I871" s="132">
        <f t="shared" ref="I871" si="2660">_xlfn.STDEV.P($P870:$XX871)/AVERAGE($P870:$XX871)</f>
        <v>2.9104394982153781E-2</v>
      </c>
      <c r="J871" s="7">
        <f t="shared" ref="J871" si="2661">IF(AND(H871&gt;2,
OR(L855="MÉDIA SANEADA",L855="MEDIANA SANEADA",
AND(L855="PREÇO ESTIMADO",NOT(AND(P857="Orçamento",COUNTA(P855:XX855)=COUNTIF(P857:XX857,"Orçamento")))))),
ROW(),0)</f>
        <v>871</v>
      </c>
      <c r="K871" s="66"/>
      <c r="N871" s="71"/>
      <c r="O871" s="27" t="str">
        <f t="shared" ref="O871" si="2662">"5 RODADA"</f>
        <v>5 RODADA</v>
      </c>
      <c r="P871" s="107">
        <f t="shared" ref="P871:AI871" si="2663">IF(P869="","",IF((_xlfn.STDEV.P($P868:$XX869)/AVERAGE($P868:$XX869))&lt;=25%,P869,IF(OR(P869&gt;(AVERAGE($P868:$XX869)+_xlfn.STDEV.P($P868:$XX869)),P869&lt;(AVERAGE($P868:$XX869)-_xlfn.STDEV.P($P868:$XX869))),"DESCARTADO",P869)))</f>
        <v>139.6</v>
      </c>
      <c r="Q871" s="107">
        <f t="shared" si="2663"/>
        <v>134.81</v>
      </c>
      <c r="R871" s="107">
        <f t="shared" si="2663"/>
        <v>129.99</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f t="shared" si="2623"/>
        <v>41</v>
      </c>
      <c r="C872" s="128">
        <f t="shared" si="2624"/>
        <v>1</v>
      </c>
      <c r="D872" s="127">
        <f t="shared" si="2624"/>
        <v>41</v>
      </c>
      <c r="E872" s="201"/>
      <c r="F872" s="93"/>
      <c r="G872" s="203"/>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f t="shared" si="2623"/>
        <v>41</v>
      </c>
      <c r="C873" s="128">
        <f t="shared" si="2624"/>
        <v>1</v>
      </c>
      <c r="D873" s="127">
        <f t="shared" si="2624"/>
        <v>41</v>
      </c>
      <c r="E873" s="201"/>
      <c r="F873" s="93"/>
      <c r="G873" s="203"/>
      <c r="H873" s="134">
        <f t="shared" ref="H873" si="2665">COUNT($P873:$XX873)</f>
        <v>3</v>
      </c>
      <c r="I873" s="132">
        <f t="shared" ref="I873" si="2666">_xlfn.STDEV.P($P872:$XX873)/AVERAGE($P872:$XX873)</f>
        <v>2.9104394982153781E-2</v>
      </c>
      <c r="J873" s="7">
        <f t="shared" ref="J873" si="2667">IF(AND(H873&gt;2,
OR(L855="MÉDIA SANEADA",L855="MEDIANA SANEADA",
AND(L855="PREÇO ESTIMADO",NOT(AND(P857="Orçamento",COUNTA(P855:XX855)=COUNTIF(P857:XX857,"Orçamento")))))),
ROW(),0)</f>
        <v>873</v>
      </c>
      <c r="N873" s="71"/>
      <c r="O873" s="27" t="str">
        <f t="shared" ref="O873" si="2668">"6 RODADA"</f>
        <v>6 RODADA</v>
      </c>
      <c r="P873" s="107">
        <f t="shared" ref="P873:AI873" si="2669">IFERROR(IF(P871="","",IF((_xlfn.STDEV.P($P870:$XX871)/AVERAGE($P870:$XX871))&lt;=25%,P871,IF(OR(P871&gt;(AVERAGE($P870:$XX871)+_xlfn.STDEV.P($P870:$XX871)),P871&lt;(AVERAGE($P870:$XX871)-_xlfn.STDEV.P($P870:$XX871))),"DESCARTADO",P871))),)</f>
        <v>139.6</v>
      </c>
      <c r="Q873" s="107">
        <f t="shared" si="2669"/>
        <v>134.81</v>
      </c>
      <c r="R873" s="107">
        <f t="shared" si="2669"/>
        <v>129.99</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f t="shared" si="2623"/>
        <v>41</v>
      </c>
      <c r="C874" s="128">
        <f t="shared" si="2624"/>
        <v>1</v>
      </c>
      <c r="D874" s="127">
        <f t="shared" si="2624"/>
        <v>41</v>
      </c>
      <c r="E874" s="201"/>
      <c r="F874" s="136"/>
      <c r="G874" s="203"/>
      <c r="H874" s="206"/>
      <c r="I874" s="206"/>
      <c r="J874" s="207"/>
      <c r="K874" s="67"/>
      <c r="L874" s="1" t="s">
        <v>43</v>
      </c>
      <c r="M874" s="143">
        <f t="shared" ref="M874" si="2670">IFERROR(ROUND(M855*M857,2),"")</f>
        <v>269.60000000000002</v>
      </c>
      <c r="O874" s="27" t="s">
        <v>363</v>
      </c>
      <c r="P874" s="107">
        <f t="shared" ref="P874:R874" si="2671">INDEX(P861:P873,MATCH(MAX($J861:$J873),$J861:$J873,0))</f>
        <v>139.6</v>
      </c>
      <c r="Q874" s="107">
        <f t="shared" si="2671"/>
        <v>134.81</v>
      </c>
      <c r="R874" s="107">
        <f t="shared" si="2671"/>
        <v>129.99</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f t="shared" ref="B876" si="2672">LARGE(IFERROR(IF(B874+1&gt;$H$8,"",B874+1),""),1)</f>
        <v>42</v>
      </c>
      <c r="C876" s="127">
        <f>IF(_xlfn.ISFORMULA(E880),MAX(INDEX('BASE FORMAÇÃO'!A:A,B876+1),1),E880)</f>
        <v>1</v>
      </c>
      <c r="D876" s="127">
        <f t="shared" ref="D876" si="2673">IFERROR(IF(C876=C866,D866+1,1),1)</f>
        <v>42</v>
      </c>
      <c r="E876" s="38" t="s">
        <v>9</v>
      </c>
      <c r="F876" s="73"/>
      <c r="G876" s="38" t="s">
        <v>15</v>
      </c>
      <c r="H876" s="135">
        <f>INDEX('BASE FORMAÇÃO'!B:B,B876+1)</f>
        <v>0</v>
      </c>
      <c r="I876" s="181" t="s">
        <v>16</v>
      </c>
      <c r="J876" s="6">
        <f>INDEX('BASE FORMAÇÃO'!K:K,B876+1)</f>
        <v>0</v>
      </c>
      <c r="K876" s="65"/>
      <c r="L876" s="184" t="s">
        <v>10</v>
      </c>
      <c r="M876" s="186">
        <f t="shared" ref="M876" si="2674">IF(OR(ISBLANK($O$8),ISBLANK($O$7),ISBLANK($H$8),ISBLANK($O$6),ISBLANK($O$5),ISBLANK($H$5)),"",IFERROR(IF(VLOOKUP(L876,L882:M891,2,FALSE)&lt;1,ROUND(VLOOKUP(L876,L882:M891,2,FALSE),4),ROUND(VLOOKUP(L876,L882:M891,2,FALSE),2)),""))</f>
        <v>55.93</v>
      </c>
      <c r="N876" s="69"/>
      <c r="O876" s="27" t="s">
        <v>17</v>
      </c>
      <c r="P876" s="113">
        <v>59.9</v>
      </c>
      <c r="Q876" s="113">
        <v>52.98</v>
      </c>
      <c r="R876" s="113">
        <v>54.9</v>
      </c>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f t="shared" ref="B877:D877" si="2675">B876</f>
        <v>42</v>
      </c>
      <c r="C877" s="128">
        <f t="shared" si="2675"/>
        <v>1</v>
      </c>
      <c r="D877" s="127">
        <f t="shared" si="2675"/>
        <v>42</v>
      </c>
      <c r="E877" s="188">
        <f t="shared" ref="E877" si="2676">D876</f>
        <v>42</v>
      </c>
      <c r="F877" s="92"/>
      <c r="G877" s="190" t="s">
        <v>1</v>
      </c>
      <c r="H877" s="193" t="s">
        <v>598</v>
      </c>
      <c r="I877" s="194"/>
      <c r="J877" s="195"/>
      <c r="K877" s="66"/>
      <c r="L877" s="185"/>
      <c r="M877" s="187"/>
      <c r="N877" s="70"/>
      <c r="O877" s="27" t="s">
        <v>13</v>
      </c>
      <c r="P877" s="122">
        <v>46195</v>
      </c>
      <c r="Q877" s="122">
        <v>46195</v>
      </c>
      <c r="R877" s="122">
        <v>46195</v>
      </c>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f t="shared" ref="B878:D878" si="2677">B877</f>
        <v>42</v>
      </c>
      <c r="C878" s="128">
        <f t="shared" si="2677"/>
        <v>1</v>
      </c>
      <c r="D878" s="127">
        <f t="shared" si="2677"/>
        <v>42</v>
      </c>
      <c r="E878" s="189"/>
      <c r="F878" s="93"/>
      <c r="G878" s="191"/>
      <c r="H878" s="196"/>
      <c r="I878" s="196"/>
      <c r="J878" s="197"/>
      <c r="K878" s="64"/>
      <c r="L878" s="130" t="s">
        <v>44</v>
      </c>
      <c r="M878" s="131">
        <v>4</v>
      </c>
      <c r="N878" s="71"/>
      <c r="O878" s="27" t="s">
        <v>380</v>
      </c>
      <c r="P878" s="114" t="s">
        <v>302</v>
      </c>
      <c r="Q878" s="114" t="s">
        <v>302</v>
      </c>
      <c r="R878" s="114" t="s">
        <v>302</v>
      </c>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f t="shared" ref="B879:C879" si="2678">B878</f>
        <v>42</v>
      </c>
      <c r="C879" s="128">
        <f t="shared" si="2678"/>
        <v>1</v>
      </c>
      <c r="D879" s="127">
        <f t="shared" si="2624"/>
        <v>42</v>
      </c>
      <c r="E879" s="38" t="s">
        <v>313</v>
      </c>
      <c r="F879" s="93"/>
      <c r="G879" s="192"/>
      <c r="H879" s="198"/>
      <c r="I879" s="198"/>
      <c r="J879" s="199"/>
      <c r="K879" s="64"/>
      <c r="L879" s="1" t="s">
        <v>2</v>
      </c>
      <c r="M879" s="6" t="s">
        <v>288</v>
      </c>
      <c r="N879" s="71"/>
      <c r="O879" s="27" t="s">
        <v>381</v>
      </c>
      <c r="P879" s="182" t="s">
        <v>599</v>
      </c>
      <c r="Q879" s="182" t="s">
        <v>600</v>
      </c>
      <c r="R879" s="182" t="s">
        <v>601</v>
      </c>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f t="shared" ref="B880:C880" si="2679">B878</f>
        <v>42</v>
      </c>
      <c r="C880" s="128">
        <f t="shared" si="2679"/>
        <v>1</v>
      </c>
      <c r="D880" s="127">
        <f t="shared" si="2624"/>
        <v>42</v>
      </c>
      <c r="E880" s="200">
        <f t="shared" ref="E880" si="2680">C876</f>
        <v>1</v>
      </c>
      <c r="F880" s="93"/>
      <c r="G880" s="202" t="s">
        <v>304</v>
      </c>
      <c r="H880" s="204"/>
      <c r="I880" s="205"/>
      <c r="J880" s="205"/>
      <c r="K880" s="67"/>
      <c r="L880" s="28" t="s">
        <v>303</v>
      </c>
      <c r="M880" s="133">
        <f t="shared" ref="M880" si="2681">IFERROR(INDEX(I882:I894,MATCH(MAX(J882:J894),J882:J894,0)),"")</f>
        <v>5.2155135007954975E-2</v>
      </c>
      <c r="N880" s="71"/>
      <c r="O880" s="27" t="s">
        <v>18</v>
      </c>
      <c r="P880" s="106">
        <f>IF(P876="","",
IF(OR(P878="Orçamento",P877="",MAX('Tabela de Apoio'!$A:$A)&lt;=P877),
P876,
(INDEX('Tabela de Apoio'!$B:$B,MATCH('MAPA DE PREÇOS'!$O$8,'Tabela de Apoio'!$A:$A,1))/INDEX('Tabela de Apoio'!$B:$B,MATCH('MAPA DE PREÇOS'!P877,'Tabela de Apoio'!$A:$A,1)-1))*P876))</f>
        <v>59.9</v>
      </c>
      <c r="Q880" s="106">
        <f>IF(Q876="","",
IF(OR(Q878="Orçamento",Q877="",MAX('Tabela de Apoio'!$A:$A)&lt;=Q877),
Q876,
(INDEX('Tabela de Apoio'!$B:$B,MATCH('MAPA DE PREÇOS'!$O$8,'Tabela de Apoio'!$A:$A,1))/INDEX('Tabela de Apoio'!$B:$B,MATCH('MAPA DE PREÇOS'!Q877,'Tabela de Apoio'!$A:$A,1)-1))*Q876))</f>
        <v>52.98</v>
      </c>
      <c r="R880" s="106">
        <f>IF(R876="","",
IF(OR(R878="Orçamento",R877="",MAX('Tabela de Apoio'!$A:$A)&lt;=R877),
R876,
(INDEX('Tabela de Apoio'!$B:$B,MATCH('MAPA DE PREÇOS'!$O$8,'Tabela de Apoio'!$A:$A,1))/INDEX('Tabela de Apoio'!$B:$B,MATCH('MAPA DE PREÇOS'!R877,'Tabela de Apoio'!$A:$A,1)-1))*R876))</f>
        <v>54.9</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f t="shared" ref="B881" si="2682">B880</f>
        <v>42</v>
      </c>
      <c r="C881" s="128">
        <f t="shared" ref="C881" si="2683">C880</f>
        <v>1</v>
      </c>
      <c r="D881" s="127">
        <f t="shared" si="2624"/>
        <v>42</v>
      </c>
      <c r="E881" s="201"/>
      <c r="F881" s="93"/>
      <c r="G881" s="203"/>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f t="shared" ref="B882:C882" si="2684">B881</f>
        <v>42</v>
      </c>
      <c r="C882" s="128">
        <f t="shared" si="2684"/>
        <v>1</v>
      </c>
      <c r="D882" s="127">
        <f t="shared" si="2624"/>
        <v>42</v>
      </c>
      <c r="E882" s="201"/>
      <c r="F882" s="93"/>
      <c r="G882" s="203"/>
      <c r="H882" s="134">
        <f t="shared" ref="H882" si="2685">COUNT($P882:$XX882)</f>
        <v>3</v>
      </c>
      <c r="I882" s="132">
        <f t="shared" ref="I882" si="2686">_xlfn.STDEV.P($P881:$XX882)/AVERAGE($P881:$XX882)</f>
        <v>5.2155135007954975E-2</v>
      </c>
      <c r="J882" s="7">
        <f>ROW()</f>
        <v>882</v>
      </c>
      <c r="K882" s="67"/>
      <c r="L882" s="29" t="s">
        <v>10</v>
      </c>
      <c r="M882" s="30">
        <f t="shared" ref="M882" si="2687">IFERROR(
IF(COUNTA(P876:AI876)=COUNTIF(P878:XX878,"Orçamento"),MIN(M887,M884),
IF(M885&lt;&gt;"",M885,
IF(M886&lt;&gt;"",M886,
M884
))),"")</f>
        <v>55.926666666666669</v>
      </c>
      <c r="N882" s="71"/>
      <c r="O882" s="27" t="s">
        <v>376</v>
      </c>
      <c r="P882" s="106">
        <f t="shared" ref="P882:AI882" si="2688">IFERROR(IF(P880="",
            "",
            IF(COUNT($P880:$XX880)&lt;=4,
               P880,
               IF(OR(P880&gt;(QUARTILE($P880:$XX880,3)+(QUARTILE($P880:$XX880,3)-QUARTILE($P880:$XX880,1))),
                     P880&lt;(QUARTILE($P880:$XX880,1)-(QUARTILE($P880:$XX880,3)-QUARTILE($P880:$XX880,1)))
                  ),
               "DESCARTADO",P880)
             )
  ),P880)</f>
        <v>59.9</v>
      </c>
      <c r="Q882" s="106">
        <f t="shared" si="2688"/>
        <v>52.98</v>
      </c>
      <c r="R882" s="106">
        <f t="shared" si="2688"/>
        <v>54.9</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f t="shared" ref="B883" si="2689">B882</f>
        <v>42</v>
      </c>
      <c r="C883" s="128">
        <f t="shared" ref="C883" si="2690">C882</f>
        <v>1</v>
      </c>
      <c r="D883" s="127">
        <f t="shared" si="2624"/>
        <v>42</v>
      </c>
      <c r="E883" s="201"/>
      <c r="F883" s="93"/>
      <c r="G883" s="203"/>
      <c r="H883"/>
      <c r="I883"/>
      <c r="J883"/>
      <c r="K883" s="66"/>
      <c r="L883" s="29" t="s">
        <v>360</v>
      </c>
      <c r="M883" s="30">
        <f t="shared" ref="M883" si="2691">AVERAGE($P882:$XX882)</f>
        <v>55.926666666666669</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f t="shared" si="2623"/>
        <v>42</v>
      </c>
      <c r="C884" s="128">
        <f t="shared" si="2624"/>
        <v>1</v>
      </c>
      <c r="D884" s="127">
        <f t="shared" si="2624"/>
        <v>42</v>
      </c>
      <c r="E884" s="201"/>
      <c r="F884" s="93"/>
      <c r="G884" s="203"/>
      <c r="H884" s="134">
        <f t="shared" ref="H884" si="2693">COUNT($P884:$XX884)</f>
        <v>3</v>
      </c>
      <c r="I884" s="132">
        <f t="shared" ref="I884" si="2694">_xlfn.STDEV.P($P883:$XX884)/AVERAGE($P883:$XX884)</f>
        <v>5.2155135007954975E-2</v>
      </c>
      <c r="J884" s="7">
        <f t="shared" ref="J884" si="2695">IF(AND(H884&gt;2,
OR(L876="MÉDIA SANEADA",L876="MEDIANA SANEADA",
AND(L876="PREÇO ESTIMADO",NOT(AND(P878="Orçamento",COUNTA(P876:XX876)=COUNTIF(P878:XX878,"Orçamento")))))),
ROW(),0)</f>
        <v>884</v>
      </c>
      <c r="K884" s="66"/>
      <c r="L884" s="29" t="s">
        <v>361</v>
      </c>
      <c r="M884" s="30">
        <f t="shared" ref="M884" si="2696">MEDIAN($P882:$XX882)</f>
        <v>54.9</v>
      </c>
      <c r="N884" s="71"/>
      <c r="O884" s="27" t="str">
        <f t="shared" ref="O884" si="2697">"1 RODADA"</f>
        <v>1 RODADA</v>
      </c>
      <c r="P884" s="107">
        <f t="shared" ref="P884:AI884" si="2698">IF(P882="","",IF((_xlfn.STDEV.P($P881:$XX882)/AVERAGE($P881:$XX882))&lt;=25%,P882,IF(OR(P882&gt;(AVERAGE($P881:$XX882)+_xlfn.STDEV.P($P881:$XX882)),P882&lt;(AVERAGE($P881:$XX882)-_xlfn.STDEV.P($P881:$XX882))),"DESCARTADO",P882)))</f>
        <v>59.9</v>
      </c>
      <c r="Q884" s="107">
        <f t="shared" si="2698"/>
        <v>52.98</v>
      </c>
      <c r="R884" s="107">
        <f t="shared" si="2698"/>
        <v>54.9</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f t="shared" si="2623"/>
        <v>42</v>
      </c>
      <c r="C885" s="128">
        <f t="shared" si="2624"/>
        <v>1</v>
      </c>
      <c r="D885" s="127">
        <f t="shared" si="2624"/>
        <v>42</v>
      </c>
      <c r="E885" s="201"/>
      <c r="F885" s="93"/>
      <c r="G885" s="203"/>
      <c r="H885"/>
      <c r="I885"/>
      <c r="J885"/>
      <c r="L885" s="29" t="s">
        <v>38</v>
      </c>
      <c r="M885" s="30">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55.926666666666669</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f t="shared" si="2623"/>
        <v>42</v>
      </c>
      <c r="C886" s="128">
        <f t="shared" si="2624"/>
        <v>1</v>
      </c>
      <c r="D886" s="127">
        <f t="shared" si="2624"/>
        <v>42</v>
      </c>
      <c r="E886" s="201"/>
      <c r="F886" s="93"/>
      <c r="G886" s="203"/>
      <c r="H886" s="134">
        <f t="shared" ref="H886" si="2701">COUNT($P886:$XX886)</f>
        <v>3</v>
      </c>
      <c r="I886" s="132">
        <f t="shared" ref="I886" si="2702">_xlfn.STDEV.P($P885:$XX886)/AVERAGE($P885:$XX886)</f>
        <v>5.2155135007954975E-2</v>
      </c>
      <c r="J886" s="7">
        <f t="shared" ref="J886" si="2703">IF(AND(H886&gt;2,
OR(L876="MÉDIA SANEADA",L876="MEDIANA SANEADA",
AND(L876="PREÇO ESTIMADO",NOT(AND(P878="Orçamento",COUNTA(P876:XX876)=COUNTIF(P878:XX878,"Orçamento")))))),
ROW(),0)</f>
        <v>886</v>
      </c>
      <c r="K886" s="66"/>
      <c r="L886" s="29" t="s">
        <v>362</v>
      </c>
      <c r="M886" s="30">
        <f t="shared" ref="M886" si="2704" xml:space="preserve">
IF(H884&gt;2,MEDIAN(P883:XX884),
IF(H886&gt;2,MEDIAN(P885:XX886),
IF(H888&gt;2,MEDIAN(P887:XX888),
IF(H890&gt;2,MEDIAN(P889:XX890),
IF(H892&gt;2,MEDIAN(P891:XX892),
IF(H894&gt;2,MEDIAN(P893:XX894),
MEDIAN(P881:XX882)))))))</f>
        <v>54.9</v>
      </c>
      <c r="N886" s="71"/>
      <c r="O886" s="27" t="str">
        <f t="shared" ref="O886" si="2705">"2 RODADA"</f>
        <v>2 RODADA</v>
      </c>
      <c r="P886" s="107">
        <f t="shared" ref="P886:AI886" si="2706">IF(P884="","",IF((_xlfn.STDEV.P($P883:$XX884)/AVERAGE($P883:$XX884))&lt;=25%,P884,IF(OR(P884&gt;(AVERAGE($P883:$XX884)+_xlfn.STDEV.P($P883:$XX884)),P884&lt;(AVERAGE($P883:$XX884)-_xlfn.STDEV.P($P883:$XX884))),"DESCARTADO",P884)))</f>
        <v>59.9</v>
      </c>
      <c r="Q886" s="107">
        <f t="shared" si="2706"/>
        <v>52.98</v>
      </c>
      <c r="R886" s="107">
        <f t="shared" si="2706"/>
        <v>54.9</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f t="shared" si="2623"/>
        <v>42</v>
      </c>
      <c r="C887" s="128">
        <f t="shared" si="2624"/>
        <v>1</v>
      </c>
      <c r="D887" s="127">
        <f t="shared" si="2624"/>
        <v>42</v>
      </c>
      <c r="E887" s="201"/>
      <c r="F887" s="93"/>
      <c r="G887" s="203"/>
      <c r="H887"/>
      <c r="I887"/>
      <c r="J887"/>
      <c r="K887" s="66"/>
      <c r="L887" s="29" t="s">
        <v>359</v>
      </c>
      <c r="M887" s="30">
        <f t="shared" ref="M887" si="2707">HARMEAN($P881:$XX882)</f>
        <v>55.778178398982178</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f t="shared" si="2623"/>
        <v>42</v>
      </c>
      <c r="C888" s="128">
        <f t="shared" si="2624"/>
        <v>1</v>
      </c>
      <c r="D888" s="127">
        <f t="shared" si="2624"/>
        <v>42</v>
      </c>
      <c r="E888" s="201"/>
      <c r="F888" s="93"/>
      <c r="G888" s="203"/>
      <c r="H888" s="134">
        <f t="shared" ref="H888" si="2709">COUNT($P888:$XX888)</f>
        <v>3</v>
      </c>
      <c r="I888" s="132">
        <f t="shared" ref="I888" si="2710">_xlfn.STDEV.P($P887:$XX888)/AVERAGE($P887:$XX888)</f>
        <v>5.2155135007954975E-2</v>
      </c>
      <c r="J888" s="7">
        <f t="shared" ref="J888" si="2711">IF(AND(H888&gt;2,
OR(L876="MÉDIA SANEADA",L876="MEDIANA SANEADA",
AND(L876="PREÇO ESTIMADO",NOT(AND(P878="Orçamento",COUNTA(P876:XX876)=COUNTIF(P878:XX878,"Orçamento")))))),
ROW(),0)</f>
        <v>888</v>
      </c>
      <c r="K888" s="66"/>
      <c r="L888" s="29" t="s">
        <v>41</v>
      </c>
      <c r="M888" s="30">
        <f t="shared" ref="M888" si="2712">IFERROR(_xlfn.QUARTILE.EXC($P882:$XX882,1),"")</f>
        <v>52.98</v>
      </c>
      <c r="N888" s="71"/>
      <c r="O888" s="27" t="str">
        <f t="shared" ref="O888" si="2713">"3 RODADA"</f>
        <v>3 RODADA</v>
      </c>
      <c r="P888" s="107">
        <f t="shared" ref="P888:AI888" si="2714">IF(P886="","",IF((_xlfn.STDEV.P($P885:$XX886)/AVERAGE($P885:$XX886))&lt;=25%,P886,IF(OR(P886&gt;(AVERAGE($P885:$XX886)+_xlfn.STDEV.P($P885:$XX886)),P886&lt;(AVERAGE($P885:$XX886)-_xlfn.STDEV.P($P885:$XX886))),"DESCARTADO",P886)))</f>
        <v>59.9</v>
      </c>
      <c r="Q888" s="107">
        <f t="shared" si="2714"/>
        <v>52.98</v>
      </c>
      <c r="R888" s="107">
        <f t="shared" si="2714"/>
        <v>54.9</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f t="shared" si="2623"/>
        <v>42</v>
      </c>
      <c r="C889" s="128">
        <f t="shared" si="2624"/>
        <v>1</v>
      </c>
      <c r="D889" s="127">
        <f t="shared" si="2624"/>
        <v>42</v>
      </c>
      <c r="E889" s="201"/>
      <c r="F889" s="93"/>
      <c r="G889" s="203"/>
      <c r="H889"/>
      <c r="I889"/>
      <c r="J889"/>
      <c r="K889" s="66"/>
      <c r="L889" s="29" t="s">
        <v>39</v>
      </c>
      <c r="M889" s="30">
        <f t="shared" ref="M889" si="2715">IFERROR(_xlfn.QUARTILE.EXC($P882:$XX882,3),"")</f>
        <v>59.9</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f t="shared" si="2623"/>
        <v>42</v>
      </c>
      <c r="C890" s="128">
        <f t="shared" si="2624"/>
        <v>1</v>
      </c>
      <c r="D890" s="127">
        <f t="shared" si="2624"/>
        <v>42</v>
      </c>
      <c r="E890" s="201"/>
      <c r="F890" s="93"/>
      <c r="G890" s="203"/>
      <c r="H890" s="134">
        <f t="shared" ref="H890" si="2717">COUNT($P890:$XX890)</f>
        <v>3</v>
      </c>
      <c r="I890" s="132">
        <f t="shared" ref="I890" si="2718">_xlfn.STDEV.P($P889:$XX890)/AVERAGE($P889:$XX890)</f>
        <v>5.2155135007954975E-2</v>
      </c>
      <c r="J890" s="7">
        <f t="shared" ref="J890" si="2719">IF(AND(H890&gt;2,
OR(L876="MÉDIA SANEADA",L876="MEDIANA SANEADA",
AND(L876="PREÇO ESTIMADO",NOT(AND(P878="Orçamento",COUNTA(P876:XX876)=COUNTIF(P878:XX878,"Orçamento")))))),
ROW(),0)</f>
        <v>890</v>
      </c>
      <c r="K890" s="66"/>
      <c r="L890" s="29" t="s">
        <v>42</v>
      </c>
      <c r="M890" s="30">
        <f t="shared" ref="M890" si="2720">MIN($P882:$XX882)</f>
        <v>52.98</v>
      </c>
      <c r="N890" s="71"/>
      <c r="O890" s="27" t="str">
        <f t="shared" ref="O890" si="2721">"4 RODADA"</f>
        <v>4 RODADA</v>
      </c>
      <c r="P890" s="107">
        <f t="shared" ref="P890:AI890" si="2722">IF(P888="","",IF((_xlfn.STDEV.P($P887:$XX888)/AVERAGE($P887:$XX888))&lt;=25%,P888,IF(OR(P888&gt;(AVERAGE($P887:$XX888)+_xlfn.STDEV.P($P887:$XX888)),P888&lt;(AVERAGE($P887:$XX888)-_xlfn.STDEV.P($P887:$XX888))),"DESCARTADO",P888)))</f>
        <v>59.9</v>
      </c>
      <c r="Q890" s="107">
        <f t="shared" si="2722"/>
        <v>52.98</v>
      </c>
      <c r="R890" s="107">
        <f t="shared" si="2722"/>
        <v>54.9</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f t="shared" si="2623"/>
        <v>42</v>
      </c>
      <c r="C891" s="128">
        <f t="shared" si="2624"/>
        <v>1</v>
      </c>
      <c r="D891" s="127">
        <f t="shared" si="2624"/>
        <v>42</v>
      </c>
      <c r="E891" s="201"/>
      <c r="F891" s="93"/>
      <c r="G891" s="203"/>
      <c r="H891"/>
      <c r="I891"/>
      <c r="J891"/>
      <c r="K891" s="66"/>
      <c r="L891" s="29" t="s">
        <v>40</v>
      </c>
      <c r="M891" s="30">
        <f t="shared" ref="M891" si="2723">MAX($P882:$XX882)</f>
        <v>59.9</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f t="shared" si="2623"/>
        <v>42</v>
      </c>
      <c r="C892" s="128">
        <f t="shared" si="2624"/>
        <v>1</v>
      </c>
      <c r="D892" s="127">
        <f t="shared" si="2624"/>
        <v>42</v>
      </c>
      <c r="E892" s="201"/>
      <c r="F892" s="93"/>
      <c r="G892" s="203"/>
      <c r="H892" s="134">
        <f t="shared" ref="H892" si="2725">COUNT($P892:$XX892)</f>
        <v>3</v>
      </c>
      <c r="I892" s="132">
        <f t="shared" ref="I892" si="2726">_xlfn.STDEV.P($P891:$XX892)/AVERAGE($P891:$XX892)</f>
        <v>5.2155135007954975E-2</v>
      </c>
      <c r="J892" s="7">
        <f t="shared" ref="J892" si="2727">IF(AND(H892&gt;2,
OR(L876="MÉDIA SANEADA",L876="MEDIANA SANEADA",
AND(L876="PREÇO ESTIMADO",NOT(AND(P878="Orçamento",COUNTA(P876:XX876)=COUNTIF(P878:XX878,"Orçamento")))))),
ROW(),0)</f>
        <v>892</v>
      </c>
      <c r="K892" s="66"/>
      <c r="N892" s="71"/>
      <c r="O892" s="27" t="str">
        <f t="shared" ref="O892" si="2728">"5 RODADA"</f>
        <v>5 RODADA</v>
      </c>
      <c r="P892" s="107">
        <f t="shared" ref="P892:AI892" si="2729">IF(P890="","",IF((_xlfn.STDEV.P($P889:$XX890)/AVERAGE($P889:$XX890))&lt;=25%,P890,IF(OR(P890&gt;(AVERAGE($P889:$XX890)+_xlfn.STDEV.P($P889:$XX890)),P890&lt;(AVERAGE($P889:$XX890)-_xlfn.STDEV.P($P889:$XX890))),"DESCARTADO",P890)))</f>
        <v>59.9</v>
      </c>
      <c r="Q892" s="107">
        <f t="shared" si="2729"/>
        <v>52.98</v>
      </c>
      <c r="R892" s="107">
        <f t="shared" si="2729"/>
        <v>54.9</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f t="shared" si="2623"/>
        <v>42</v>
      </c>
      <c r="C893" s="128">
        <f t="shared" si="2624"/>
        <v>1</v>
      </c>
      <c r="D893" s="127">
        <f t="shared" si="2624"/>
        <v>42</v>
      </c>
      <c r="E893" s="201"/>
      <c r="F893" s="93"/>
      <c r="G893" s="203"/>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f t="shared" si="2623"/>
        <v>42</v>
      </c>
      <c r="C894" s="128">
        <f t="shared" si="2624"/>
        <v>1</v>
      </c>
      <c r="D894" s="127">
        <f t="shared" si="2624"/>
        <v>42</v>
      </c>
      <c r="E894" s="201"/>
      <c r="F894" s="93"/>
      <c r="G894" s="203"/>
      <c r="H894" s="134">
        <f t="shared" ref="H894" si="2731">COUNT($P894:$XX894)</f>
        <v>3</v>
      </c>
      <c r="I894" s="132">
        <f t="shared" ref="I894" si="2732">_xlfn.STDEV.P($P893:$XX894)/AVERAGE($P893:$XX894)</f>
        <v>5.2155135007954975E-2</v>
      </c>
      <c r="J894" s="7">
        <f t="shared" ref="J894" si="2733">IF(AND(H894&gt;2,
OR(L876="MÉDIA SANEADA",L876="MEDIANA SANEADA",
AND(L876="PREÇO ESTIMADO",NOT(AND(P878="Orçamento",COUNTA(P876:XX876)=COUNTIF(P878:XX878,"Orçamento")))))),
ROW(),0)</f>
        <v>894</v>
      </c>
      <c r="N894" s="71"/>
      <c r="O894" s="27" t="str">
        <f t="shared" ref="O894" si="2734">"6 RODADA"</f>
        <v>6 RODADA</v>
      </c>
      <c r="P894" s="107">
        <f t="shared" ref="P894:AI894" si="2735">IFERROR(IF(P892="","",IF((_xlfn.STDEV.P($P891:$XX892)/AVERAGE($P891:$XX892))&lt;=25%,P892,IF(OR(P892&gt;(AVERAGE($P891:$XX892)+_xlfn.STDEV.P($P891:$XX892)),P892&lt;(AVERAGE($P891:$XX892)-_xlfn.STDEV.P($P891:$XX892))),"DESCARTADO",P892))),)</f>
        <v>59.9</v>
      </c>
      <c r="Q894" s="107">
        <f t="shared" si="2735"/>
        <v>52.98</v>
      </c>
      <c r="R894" s="107">
        <f t="shared" si="2735"/>
        <v>54.9</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f t="shared" si="2623"/>
        <v>42</v>
      </c>
      <c r="C895" s="128">
        <f t="shared" si="2624"/>
        <v>1</v>
      </c>
      <c r="D895" s="127">
        <f t="shared" si="2624"/>
        <v>42</v>
      </c>
      <c r="E895" s="201"/>
      <c r="F895" s="136"/>
      <c r="G895" s="203"/>
      <c r="H895" s="206"/>
      <c r="I895" s="206"/>
      <c r="J895" s="207"/>
      <c r="K895" s="67"/>
      <c r="L895" s="1" t="s">
        <v>43</v>
      </c>
      <c r="M895" s="143">
        <f t="shared" ref="M895" si="2736">IFERROR(ROUND(M876*M878,2),"")</f>
        <v>223.72</v>
      </c>
      <c r="O895" s="27" t="s">
        <v>363</v>
      </c>
      <c r="P895" s="107">
        <f t="shared" ref="P895:AI916" si="2737">INDEX(P882:P894,MATCH(MAX($J882:$J894),$J882:$J894,0))</f>
        <v>59.9</v>
      </c>
      <c r="Q895" s="107">
        <f t="shared" si="2737"/>
        <v>52.98</v>
      </c>
      <c r="R895" s="107">
        <f t="shared" si="2737"/>
        <v>54.9</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f t="shared" ref="B897" si="2738">LARGE(IFERROR(IF(B895+1&gt;$H$8,"",B895+1),""),1)</f>
        <v>43</v>
      </c>
      <c r="C897" s="127">
        <f>IF(_xlfn.ISFORMULA(E901),MAX(INDEX('BASE FORMAÇÃO'!A:A,B897+1),1),E901)</f>
        <v>1</v>
      </c>
      <c r="D897" s="127">
        <f t="shared" ref="D897" si="2739">IFERROR(IF(C897=C887,D887+1,1),1)</f>
        <v>43</v>
      </c>
      <c r="E897" s="38" t="s">
        <v>9</v>
      </c>
      <c r="F897" s="73"/>
      <c r="G897" s="38" t="s">
        <v>15</v>
      </c>
      <c r="H897" s="135">
        <f>INDEX('BASE FORMAÇÃO'!B:B,B897+1)</f>
        <v>0</v>
      </c>
      <c r="I897" s="181" t="s">
        <v>16</v>
      </c>
      <c r="J897" s="6">
        <f>INDEX('BASE FORMAÇÃO'!K:K,B897+1)</f>
        <v>0</v>
      </c>
      <c r="K897" s="65"/>
      <c r="L897" s="184" t="s">
        <v>10</v>
      </c>
      <c r="M897" s="186">
        <f t="shared" ref="M897" si="2740">IF(OR(ISBLANK($O$8),ISBLANK($O$7),ISBLANK($H$8),ISBLANK($O$6),ISBLANK($O$5),ISBLANK($H$5)),"",IFERROR(IF(VLOOKUP(L897,L903:M912,2,FALSE)&lt;1,ROUND(VLOOKUP(L897,L903:M912,2,FALSE),4),ROUND(VLOOKUP(L897,L903:M912,2,FALSE),2)),""))</f>
        <v>44.28</v>
      </c>
      <c r="N897" s="69"/>
      <c r="O897" s="27" t="s">
        <v>17</v>
      </c>
      <c r="P897" s="113">
        <v>43.6</v>
      </c>
      <c r="Q897" s="113">
        <v>49.25</v>
      </c>
      <c r="R897" s="113">
        <v>39.99</v>
      </c>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f t="shared" ref="B898:D898" si="2741">B897</f>
        <v>43</v>
      </c>
      <c r="C898" s="128">
        <f t="shared" si="2741"/>
        <v>1</v>
      </c>
      <c r="D898" s="127">
        <f t="shared" si="2741"/>
        <v>43</v>
      </c>
      <c r="E898" s="188">
        <f t="shared" ref="E898" si="2742">D897</f>
        <v>43</v>
      </c>
      <c r="F898" s="92"/>
      <c r="G898" s="190" t="s">
        <v>1</v>
      </c>
      <c r="H898" s="193" t="s">
        <v>602</v>
      </c>
      <c r="I898" s="194"/>
      <c r="J898" s="195"/>
      <c r="K898" s="66"/>
      <c r="L898" s="185"/>
      <c r="M898" s="187"/>
      <c r="N898" s="70"/>
      <c r="O898" s="27" t="s">
        <v>13</v>
      </c>
      <c r="P898" s="122">
        <v>46195</v>
      </c>
      <c r="Q898" s="122">
        <v>46195</v>
      </c>
      <c r="R898" s="122">
        <v>46195</v>
      </c>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f t="shared" ref="B899:D899" si="2743">B898</f>
        <v>43</v>
      </c>
      <c r="C899" s="128">
        <f t="shared" si="2743"/>
        <v>1</v>
      </c>
      <c r="D899" s="127">
        <f t="shared" si="2743"/>
        <v>43</v>
      </c>
      <c r="E899" s="189"/>
      <c r="F899" s="93"/>
      <c r="G899" s="191"/>
      <c r="H899" s="196"/>
      <c r="I899" s="196"/>
      <c r="J899" s="197"/>
      <c r="K899" s="64"/>
      <c r="L899" s="130" t="s">
        <v>44</v>
      </c>
      <c r="M899" s="131">
        <v>2</v>
      </c>
      <c r="N899" s="71"/>
      <c r="O899" s="27" t="s">
        <v>380</v>
      </c>
      <c r="P899" s="114" t="s">
        <v>302</v>
      </c>
      <c r="Q899" s="114" t="s">
        <v>302</v>
      </c>
      <c r="R899" s="114" t="s">
        <v>302</v>
      </c>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f t="shared" ref="B900:C900" si="2744">B899</f>
        <v>43</v>
      </c>
      <c r="C900" s="128">
        <f t="shared" si="2744"/>
        <v>1</v>
      </c>
      <c r="D900" s="127">
        <f t="shared" si="2624"/>
        <v>43</v>
      </c>
      <c r="E900" s="38" t="s">
        <v>313</v>
      </c>
      <c r="F900" s="93"/>
      <c r="G900" s="192"/>
      <c r="H900" s="198"/>
      <c r="I900" s="198"/>
      <c r="J900" s="199"/>
      <c r="K900" s="64"/>
      <c r="L900" s="1" t="s">
        <v>2</v>
      </c>
      <c r="M900" s="6" t="s">
        <v>288</v>
      </c>
      <c r="N900" s="71"/>
      <c r="O900" s="27" t="s">
        <v>381</v>
      </c>
      <c r="P900" s="182" t="s">
        <v>603</v>
      </c>
      <c r="Q900" s="182" t="s">
        <v>604</v>
      </c>
      <c r="R900" s="182" t="s">
        <v>605</v>
      </c>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f t="shared" ref="B901:C901" si="2745">B899</f>
        <v>43</v>
      </c>
      <c r="C901" s="128">
        <f t="shared" si="2745"/>
        <v>1</v>
      </c>
      <c r="D901" s="127">
        <f t="shared" si="2624"/>
        <v>43</v>
      </c>
      <c r="E901" s="200">
        <f t="shared" ref="E901" si="2746">C897</f>
        <v>1</v>
      </c>
      <c r="F901" s="93"/>
      <c r="G901" s="202" t="s">
        <v>304</v>
      </c>
      <c r="H901" s="204"/>
      <c r="I901" s="205"/>
      <c r="J901" s="205"/>
      <c r="K901" s="67"/>
      <c r="L901" s="28" t="s">
        <v>303</v>
      </c>
      <c r="M901" s="133">
        <f t="shared" ref="M901" si="2747">IFERROR(INDEX(I903:I915,MATCH(MAX(J903:J915),J903:J915,0)),"")</f>
        <v>8.606222739310182E-2</v>
      </c>
      <c r="N901" s="71"/>
      <c r="O901" s="27" t="s">
        <v>18</v>
      </c>
      <c r="P901" s="106">
        <f>IF(P897="","",
IF(OR(P899="Orçamento",P898="",MAX('Tabela de Apoio'!$A:$A)&lt;=P898),
P897,
(INDEX('Tabela de Apoio'!$B:$B,MATCH('MAPA DE PREÇOS'!$O$8,'Tabela de Apoio'!$A:$A,1))/INDEX('Tabela de Apoio'!$B:$B,MATCH('MAPA DE PREÇOS'!P898,'Tabela de Apoio'!$A:$A,1)-1))*P897))</f>
        <v>43.6</v>
      </c>
      <c r="Q901" s="106">
        <f>IF(Q897="","",
IF(OR(Q899="Orçamento",Q898="",MAX('Tabela de Apoio'!$A:$A)&lt;=Q898),
Q897,
(INDEX('Tabela de Apoio'!$B:$B,MATCH('MAPA DE PREÇOS'!$O$8,'Tabela de Apoio'!$A:$A,1))/INDEX('Tabela de Apoio'!$B:$B,MATCH('MAPA DE PREÇOS'!Q898,'Tabela de Apoio'!$A:$A,1)-1))*Q897))</f>
        <v>49.25</v>
      </c>
      <c r="R901" s="106">
        <f>IF(R897="","",
IF(OR(R899="Orçamento",R898="",MAX('Tabela de Apoio'!$A:$A)&lt;=R898),
R897,
(INDEX('Tabela de Apoio'!$B:$B,MATCH('MAPA DE PREÇOS'!$O$8,'Tabela de Apoio'!$A:$A,1))/INDEX('Tabela de Apoio'!$B:$B,MATCH('MAPA DE PREÇOS'!R898,'Tabela de Apoio'!$A:$A,1)-1))*R897))</f>
        <v>39.99</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f t="shared" ref="B902" si="2748">B901</f>
        <v>43</v>
      </c>
      <c r="C902" s="128">
        <f t="shared" ref="C902" si="2749">C901</f>
        <v>1</v>
      </c>
      <c r="D902" s="127">
        <f t="shared" si="2624"/>
        <v>43</v>
      </c>
      <c r="E902" s="201"/>
      <c r="F902" s="93"/>
      <c r="G902" s="203"/>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f t="shared" ref="B903:C903" si="2750">B902</f>
        <v>43</v>
      </c>
      <c r="C903" s="128">
        <f t="shared" si="2750"/>
        <v>1</v>
      </c>
      <c r="D903" s="127">
        <f t="shared" si="2624"/>
        <v>43</v>
      </c>
      <c r="E903" s="201"/>
      <c r="F903" s="93"/>
      <c r="G903" s="203"/>
      <c r="H903" s="134">
        <f t="shared" ref="H903" si="2751">COUNT($P903:$XX903)</f>
        <v>3</v>
      </c>
      <c r="I903" s="132">
        <f t="shared" ref="I903" si="2752">_xlfn.STDEV.P($P902:$XX903)/AVERAGE($P902:$XX903)</f>
        <v>8.606222739310182E-2</v>
      </c>
      <c r="J903" s="7">
        <f>ROW()</f>
        <v>903</v>
      </c>
      <c r="K903" s="67"/>
      <c r="L903" s="29" t="s">
        <v>10</v>
      </c>
      <c r="M903" s="30">
        <f t="shared" ref="M903" si="2753">IFERROR(
IF(COUNTA(P897:AI897)=COUNTIF(P899:XX899,"Orçamento"),MIN(M908,M905),
IF(M906&lt;&gt;"",M906,
IF(M907&lt;&gt;"",M907,
M905
))),"")</f>
        <v>44.28</v>
      </c>
      <c r="N903" s="71"/>
      <c r="O903" s="27" t="s">
        <v>376</v>
      </c>
      <c r="P903" s="106">
        <f t="shared" ref="P903:AI903" si="2754">IFERROR(IF(P901="",
            "",
            IF(COUNT($P901:$XX901)&lt;=4,
               P901,
               IF(OR(P901&gt;(QUARTILE($P901:$XX901,3)+(QUARTILE($P901:$XX901,3)-QUARTILE($P901:$XX901,1))),
                     P901&lt;(QUARTILE($P901:$XX901,1)-(QUARTILE($P901:$XX901,3)-QUARTILE($P901:$XX901,1)))
                  ),
               "DESCARTADO",P901)
             )
  ),P901)</f>
        <v>43.6</v>
      </c>
      <c r="Q903" s="106">
        <f t="shared" si="2754"/>
        <v>49.25</v>
      </c>
      <c r="R903" s="106">
        <f t="shared" si="2754"/>
        <v>39.99</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f t="shared" ref="B904" si="2755">B903</f>
        <v>43</v>
      </c>
      <c r="C904" s="128">
        <f t="shared" ref="C904" si="2756">C903</f>
        <v>1</v>
      </c>
      <c r="D904" s="127">
        <f t="shared" si="2624"/>
        <v>43</v>
      </c>
      <c r="E904" s="201"/>
      <c r="F904" s="93"/>
      <c r="G904" s="203"/>
      <c r="H904"/>
      <c r="I904"/>
      <c r="J904"/>
      <c r="K904" s="66"/>
      <c r="L904" s="29" t="s">
        <v>360</v>
      </c>
      <c r="M904" s="30">
        <f t="shared" ref="M904" si="2757">AVERAGE($P903:$XX903)</f>
        <v>44.28</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f t="shared" si="2623"/>
        <v>43</v>
      </c>
      <c r="C905" s="128">
        <f t="shared" si="2624"/>
        <v>1</v>
      </c>
      <c r="D905" s="127">
        <f t="shared" si="2624"/>
        <v>43</v>
      </c>
      <c r="E905" s="201"/>
      <c r="F905" s="93"/>
      <c r="G905" s="203"/>
      <c r="H905" s="134">
        <f t="shared" ref="H905" si="2759">COUNT($P905:$XX905)</f>
        <v>3</v>
      </c>
      <c r="I905" s="132">
        <f t="shared" ref="I905" si="2760">_xlfn.STDEV.P($P904:$XX905)/AVERAGE($P904:$XX905)</f>
        <v>8.606222739310182E-2</v>
      </c>
      <c r="J905" s="7">
        <f t="shared" ref="J905" si="2761">IF(AND(H905&gt;2,
OR(L897="MÉDIA SANEADA",L897="MEDIANA SANEADA",
AND(L897="PREÇO ESTIMADO",NOT(AND(P899="Orçamento",COUNTA(P897:XX897)=COUNTIF(P899:XX899,"Orçamento")))))),
ROW(),0)</f>
        <v>905</v>
      </c>
      <c r="K905" s="66"/>
      <c r="L905" s="29" t="s">
        <v>361</v>
      </c>
      <c r="M905" s="30">
        <f t="shared" ref="M905" si="2762">MEDIAN($P903:$XX903)</f>
        <v>43.6</v>
      </c>
      <c r="N905" s="71"/>
      <c r="O905" s="27" t="str">
        <f t="shared" ref="O905" si="2763">"1 RODADA"</f>
        <v>1 RODADA</v>
      </c>
      <c r="P905" s="107">
        <f t="shared" ref="P905:AI905" si="2764">IF(P903="","",IF((_xlfn.STDEV.P($P902:$XX903)/AVERAGE($P902:$XX903))&lt;=25%,P903,IF(OR(P903&gt;(AVERAGE($P902:$XX903)+_xlfn.STDEV.P($P902:$XX903)),P903&lt;(AVERAGE($P902:$XX903)-_xlfn.STDEV.P($P902:$XX903))),"DESCARTADO",P903)))</f>
        <v>43.6</v>
      </c>
      <c r="Q905" s="107">
        <f t="shared" si="2764"/>
        <v>49.25</v>
      </c>
      <c r="R905" s="107">
        <f t="shared" si="2764"/>
        <v>39.99</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f t="shared" si="2623"/>
        <v>43</v>
      </c>
      <c r="C906" s="128">
        <f t="shared" si="2624"/>
        <v>1</v>
      </c>
      <c r="D906" s="127">
        <f t="shared" si="2624"/>
        <v>43</v>
      </c>
      <c r="E906" s="201"/>
      <c r="F906" s="93"/>
      <c r="G906" s="203"/>
      <c r="H906"/>
      <c r="I906"/>
      <c r="J906"/>
      <c r="L906" s="29" t="s">
        <v>38</v>
      </c>
      <c r="M906" s="30">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44.28</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f t="shared" si="2623"/>
        <v>43</v>
      </c>
      <c r="C907" s="128">
        <f t="shared" si="2624"/>
        <v>1</v>
      </c>
      <c r="D907" s="127">
        <f t="shared" si="2624"/>
        <v>43</v>
      </c>
      <c r="E907" s="201"/>
      <c r="F907" s="93"/>
      <c r="G907" s="203"/>
      <c r="H907" s="134">
        <f t="shared" ref="H907" si="2767">COUNT($P907:$XX907)</f>
        <v>3</v>
      </c>
      <c r="I907" s="132">
        <f t="shared" ref="I907" si="2768">_xlfn.STDEV.P($P906:$XX907)/AVERAGE($P906:$XX907)</f>
        <v>8.606222739310182E-2</v>
      </c>
      <c r="J907" s="7">
        <f t="shared" ref="J907" si="2769">IF(AND(H907&gt;2,
OR(L897="MÉDIA SANEADA",L897="MEDIANA SANEADA",
AND(L897="PREÇO ESTIMADO",NOT(AND(P899="Orçamento",COUNTA(P897:XX897)=COUNTIF(P899:XX899,"Orçamento")))))),
ROW(),0)</f>
        <v>907</v>
      </c>
      <c r="K907" s="66"/>
      <c r="L907" s="29" t="s">
        <v>362</v>
      </c>
      <c r="M907" s="30">
        <f t="shared" ref="M907" si="2770" xml:space="preserve">
IF(H905&gt;2,MEDIAN(P904:XX905),
IF(H907&gt;2,MEDIAN(P906:XX907),
IF(H909&gt;2,MEDIAN(P908:XX909),
IF(H911&gt;2,MEDIAN(P910:XX911),
IF(H913&gt;2,MEDIAN(P912:XX913),
IF(H915&gt;2,MEDIAN(P914:XX915),
MEDIAN(P902:XX903)))))))</f>
        <v>43.6</v>
      </c>
      <c r="N907" s="71"/>
      <c r="O907" s="27" t="str">
        <f t="shared" ref="O907" si="2771">"2 RODADA"</f>
        <v>2 RODADA</v>
      </c>
      <c r="P907" s="107">
        <f t="shared" ref="P907:AI907" si="2772">IF(P905="","",IF((_xlfn.STDEV.P($P904:$XX905)/AVERAGE($P904:$XX905))&lt;=25%,P905,IF(OR(P905&gt;(AVERAGE($P904:$XX905)+_xlfn.STDEV.P($P904:$XX905)),P905&lt;(AVERAGE($P904:$XX905)-_xlfn.STDEV.P($P904:$XX905))),"DESCARTADO",P905)))</f>
        <v>43.6</v>
      </c>
      <c r="Q907" s="107">
        <f t="shared" si="2772"/>
        <v>49.25</v>
      </c>
      <c r="R907" s="107">
        <f t="shared" si="2772"/>
        <v>39.99</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f t="shared" si="2623"/>
        <v>43</v>
      </c>
      <c r="C908" s="128">
        <f t="shared" si="2624"/>
        <v>1</v>
      </c>
      <c r="D908" s="127">
        <f t="shared" si="2624"/>
        <v>43</v>
      </c>
      <c r="E908" s="201"/>
      <c r="F908" s="93"/>
      <c r="G908" s="203"/>
      <c r="H908"/>
      <c r="I908"/>
      <c r="J908"/>
      <c r="K908" s="66"/>
      <c r="L908" s="29" t="s">
        <v>359</v>
      </c>
      <c r="M908" s="30">
        <f t="shared" ref="M908" si="2773">HARMEAN($P902:$XX903)</f>
        <v>43.958233876470118</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f t="shared" si="2623"/>
        <v>43</v>
      </c>
      <c r="C909" s="128">
        <f t="shared" si="2624"/>
        <v>1</v>
      </c>
      <c r="D909" s="127">
        <f t="shared" si="2624"/>
        <v>43</v>
      </c>
      <c r="E909" s="201"/>
      <c r="F909" s="93"/>
      <c r="G909" s="203"/>
      <c r="H909" s="134">
        <f t="shared" ref="H909" si="2775">COUNT($P909:$XX909)</f>
        <v>3</v>
      </c>
      <c r="I909" s="132">
        <f t="shared" ref="I909" si="2776">_xlfn.STDEV.P($P908:$XX909)/AVERAGE($P908:$XX909)</f>
        <v>8.606222739310182E-2</v>
      </c>
      <c r="J909" s="7">
        <f t="shared" ref="J909" si="2777">IF(AND(H909&gt;2,
OR(L897="MÉDIA SANEADA",L897="MEDIANA SANEADA",
AND(L897="PREÇO ESTIMADO",NOT(AND(P899="Orçamento",COUNTA(P897:XX897)=COUNTIF(P899:XX899,"Orçamento")))))),
ROW(),0)</f>
        <v>909</v>
      </c>
      <c r="K909" s="66"/>
      <c r="L909" s="29" t="s">
        <v>41</v>
      </c>
      <c r="M909" s="30">
        <f t="shared" ref="M909" si="2778">IFERROR(_xlfn.QUARTILE.EXC($P903:$XX903,1),"")</f>
        <v>39.99</v>
      </c>
      <c r="N909" s="71"/>
      <c r="O909" s="27" t="str">
        <f t="shared" ref="O909" si="2779">"3 RODADA"</f>
        <v>3 RODADA</v>
      </c>
      <c r="P909" s="107">
        <f t="shared" ref="P909:AI909" si="2780">IF(P907="","",IF((_xlfn.STDEV.P($P906:$XX907)/AVERAGE($P906:$XX907))&lt;=25%,P907,IF(OR(P907&gt;(AVERAGE($P906:$XX907)+_xlfn.STDEV.P($P906:$XX907)),P907&lt;(AVERAGE($P906:$XX907)-_xlfn.STDEV.P($P906:$XX907))),"DESCARTADO",P907)))</f>
        <v>43.6</v>
      </c>
      <c r="Q909" s="107">
        <f t="shared" si="2780"/>
        <v>49.25</v>
      </c>
      <c r="R909" s="107">
        <f t="shared" si="2780"/>
        <v>39.99</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f t="shared" si="2623"/>
        <v>43</v>
      </c>
      <c r="C910" s="128">
        <f t="shared" si="2624"/>
        <v>1</v>
      </c>
      <c r="D910" s="127">
        <f t="shared" si="2624"/>
        <v>43</v>
      </c>
      <c r="E910" s="201"/>
      <c r="F910" s="93"/>
      <c r="G910" s="203"/>
      <c r="H910"/>
      <c r="I910"/>
      <c r="J910"/>
      <c r="K910" s="66"/>
      <c r="L910" s="29" t="s">
        <v>39</v>
      </c>
      <c r="M910" s="30">
        <f t="shared" ref="M910" si="2781">IFERROR(_xlfn.QUARTILE.EXC($P903:$XX903,3),"")</f>
        <v>49.25</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f t="shared" si="2623"/>
        <v>43</v>
      </c>
      <c r="C911" s="128">
        <f t="shared" si="2624"/>
        <v>1</v>
      </c>
      <c r="D911" s="127">
        <f t="shared" si="2624"/>
        <v>43</v>
      </c>
      <c r="E911" s="201"/>
      <c r="F911" s="93"/>
      <c r="G911" s="203"/>
      <c r="H911" s="134">
        <f t="shared" ref="H911" si="2783">COUNT($P911:$XX911)</f>
        <v>3</v>
      </c>
      <c r="I911" s="132">
        <f t="shared" ref="I911" si="2784">_xlfn.STDEV.P($P910:$XX911)/AVERAGE($P910:$XX911)</f>
        <v>8.606222739310182E-2</v>
      </c>
      <c r="J911" s="7">
        <f t="shared" ref="J911" si="2785">IF(AND(H911&gt;2,
OR(L897="MÉDIA SANEADA",L897="MEDIANA SANEADA",
AND(L897="PREÇO ESTIMADO",NOT(AND(P899="Orçamento",COUNTA(P897:XX897)=COUNTIF(P899:XX899,"Orçamento")))))),
ROW(),0)</f>
        <v>911</v>
      </c>
      <c r="K911" s="66"/>
      <c r="L911" s="29" t="s">
        <v>42</v>
      </c>
      <c r="M911" s="30">
        <f t="shared" ref="M911" si="2786">MIN($P903:$XX903)</f>
        <v>39.99</v>
      </c>
      <c r="N911" s="71"/>
      <c r="O911" s="27" t="str">
        <f t="shared" ref="O911" si="2787">"4 RODADA"</f>
        <v>4 RODADA</v>
      </c>
      <c r="P911" s="107">
        <f t="shared" ref="P911:AI911" si="2788">IF(P909="","",IF((_xlfn.STDEV.P($P908:$XX909)/AVERAGE($P908:$XX909))&lt;=25%,P909,IF(OR(P909&gt;(AVERAGE($P908:$XX909)+_xlfn.STDEV.P($P908:$XX909)),P909&lt;(AVERAGE($P908:$XX909)-_xlfn.STDEV.P($P908:$XX909))),"DESCARTADO",P909)))</f>
        <v>43.6</v>
      </c>
      <c r="Q911" s="107">
        <f t="shared" si="2788"/>
        <v>49.25</v>
      </c>
      <c r="R911" s="107">
        <f t="shared" si="2788"/>
        <v>39.99</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f t="shared" si="2623"/>
        <v>43</v>
      </c>
      <c r="C912" s="128">
        <f t="shared" si="2624"/>
        <v>1</v>
      </c>
      <c r="D912" s="127">
        <f t="shared" si="2624"/>
        <v>43</v>
      </c>
      <c r="E912" s="201"/>
      <c r="F912" s="93"/>
      <c r="G912" s="203"/>
      <c r="H912"/>
      <c r="I912"/>
      <c r="J912"/>
      <c r="K912" s="66"/>
      <c r="L912" s="29" t="s">
        <v>40</v>
      </c>
      <c r="M912" s="30">
        <f t="shared" ref="M912" si="2789">MAX($P903:$XX903)</f>
        <v>49.25</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f t="shared" si="2623"/>
        <v>43</v>
      </c>
      <c r="C913" s="128">
        <f t="shared" si="2624"/>
        <v>1</v>
      </c>
      <c r="D913" s="127">
        <f t="shared" si="2624"/>
        <v>43</v>
      </c>
      <c r="E913" s="201"/>
      <c r="F913" s="93"/>
      <c r="G913" s="203"/>
      <c r="H913" s="134">
        <f t="shared" ref="H913" si="2791">COUNT($P913:$XX913)</f>
        <v>3</v>
      </c>
      <c r="I913" s="132">
        <f t="shared" ref="I913" si="2792">_xlfn.STDEV.P($P912:$XX913)/AVERAGE($P912:$XX913)</f>
        <v>8.606222739310182E-2</v>
      </c>
      <c r="J913" s="7">
        <f t="shared" ref="J913" si="2793">IF(AND(H913&gt;2,
OR(L897="MÉDIA SANEADA",L897="MEDIANA SANEADA",
AND(L897="PREÇO ESTIMADO",NOT(AND(P899="Orçamento",COUNTA(P897:XX897)=COUNTIF(P899:XX899,"Orçamento")))))),
ROW(),0)</f>
        <v>913</v>
      </c>
      <c r="K913" s="66"/>
      <c r="N913" s="71"/>
      <c r="O913" s="27" t="str">
        <f t="shared" ref="O913" si="2794">"5 RODADA"</f>
        <v>5 RODADA</v>
      </c>
      <c r="P913" s="107">
        <f t="shared" ref="P913:AI913" si="2795">IF(P911="","",IF((_xlfn.STDEV.P($P910:$XX911)/AVERAGE($P910:$XX911))&lt;=25%,P911,IF(OR(P911&gt;(AVERAGE($P910:$XX911)+_xlfn.STDEV.P($P910:$XX911)),P911&lt;(AVERAGE($P910:$XX911)-_xlfn.STDEV.P($P910:$XX911))),"DESCARTADO",P911)))</f>
        <v>43.6</v>
      </c>
      <c r="Q913" s="107">
        <f t="shared" si="2795"/>
        <v>49.25</v>
      </c>
      <c r="R913" s="107">
        <f t="shared" si="2795"/>
        <v>39.99</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f t="shared" si="2623"/>
        <v>43</v>
      </c>
      <c r="C914" s="128">
        <f t="shared" si="2624"/>
        <v>1</v>
      </c>
      <c r="D914" s="127">
        <f t="shared" si="2624"/>
        <v>43</v>
      </c>
      <c r="E914" s="201"/>
      <c r="F914" s="93"/>
      <c r="G914" s="203"/>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f t="shared" si="2623"/>
        <v>43</v>
      </c>
      <c r="C915" s="128">
        <f t="shared" si="2624"/>
        <v>1</v>
      </c>
      <c r="D915" s="127">
        <f t="shared" si="2624"/>
        <v>43</v>
      </c>
      <c r="E915" s="201"/>
      <c r="F915" s="93"/>
      <c r="G915" s="203"/>
      <c r="H915" s="134">
        <f t="shared" ref="H915" si="2797">COUNT($P915:$XX915)</f>
        <v>3</v>
      </c>
      <c r="I915" s="132">
        <f t="shared" ref="I915" si="2798">_xlfn.STDEV.P($P914:$XX915)/AVERAGE($P914:$XX915)</f>
        <v>8.606222739310182E-2</v>
      </c>
      <c r="J915" s="7">
        <f t="shared" ref="J915" si="2799">IF(AND(H915&gt;2,
OR(L897="MÉDIA SANEADA",L897="MEDIANA SANEADA",
AND(L897="PREÇO ESTIMADO",NOT(AND(P899="Orçamento",COUNTA(P897:XX897)=COUNTIF(P899:XX899,"Orçamento")))))),
ROW(),0)</f>
        <v>915</v>
      </c>
      <c r="N915" s="71"/>
      <c r="O915" s="27" t="str">
        <f t="shared" ref="O915" si="2800">"6 RODADA"</f>
        <v>6 RODADA</v>
      </c>
      <c r="P915" s="107">
        <f t="shared" ref="P915:AI915" si="2801">IFERROR(IF(P913="","",IF((_xlfn.STDEV.P($P912:$XX913)/AVERAGE($P912:$XX913))&lt;=25%,P913,IF(OR(P913&gt;(AVERAGE($P912:$XX913)+_xlfn.STDEV.P($P912:$XX913)),P913&lt;(AVERAGE($P912:$XX913)-_xlfn.STDEV.P($P912:$XX913))),"DESCARTADO",P913))),)</f>
        <v>43.6</v>
      </c>
      <c r="Q915" s="107">
        <f t="shared" si="2801"/>
        <v>49.25</v>
      </c>
      <c r="R915" s="107">
        <f t="shared" si="2801"/>
        <v>39.99</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f t="shared" si="2623"/>
        <v>43</v>
      </c>
      <c r="C916" s="128">
        <f t="shared" si="2624"/>
        <v>1</v>
      </c>
      <c r="D916" s="127">
        <f t="shared" si="2624"/>
        <v>43</v>
      </c>
      <c r="E916" s="201"/>
      <c r="F916" s="136"/>
      <c r="G916" s="203"/>
      <c r="H916" s="206"/>
      <c r="I916" s="206"/>
      <c r="J916" s="207"/>
      <c r="K916" s="67"/>
      <c r="L916" s="1" t="s">
        <v>43</v>
      </c>
      <c r="M916" s="143">
        <f t="shared" ref="M916" si="2802">IFERROR(ROUND(M897*M899,2),"")</f>
        <v>88.56</v>
      </c>
      <c r="O916" s="27" t="s">
        <v>363</v>
      </c>
      <c r="P916" s="107">
        <f t="shared" ref="P916:R916" si="2803">INDEX(P903:P915,MATCH(MAX($J903:$J915),$J903:$J915,0))</f>
        <v>43.6</v>
      </c>
      <c r="Q916" s="107">
        <f t="shared" si="2803"/>
        <v>49.25</v>
      </c>
      <c r="R916" s="107">
        <f t="shared" si="2803"/>
        <v>39.99</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f t="shared" ref="B918" si="2804">LARGE(IFERROR(IF(B916+1&gt;$H$8,"",B916+1),""),1)</f>
        <v>44</v>
      </c>
      <c r="C918" s="127">
        <f>IF(_xlfn.ISFORMULA(E922),MAX(INDEX('BASE FORMAÇÃO'!A:A,B918+1),1),E922)</f>
        <v>1</v>
      </c>
      <c r="D918" s="127">
        <f t="shared" ref="D918" si="2805">IFERROR(IF(C918=C908,D908+1,1),1)</f>
        <v>44</v>
      </c>
      <c r="E918" s="38" t="s">
        <v>9</v>
      </c>
      <c r="F918" s="73"/>
      <c r="G918" s="38" t="s">
        <v>15</v>
      </c>
      <c r="H918" s="135">
        <f>INDEX('BASE FORMAÇÃO'!B:B,B918+1)</f>
        <v>0</v>
      </c>
      <c r="I918" s="181" t="s">
        <v>16</v>
      </c>
      <c r="J918" s="6">
        <f>INDEX('BASE FORMAÇÃO'!K:K,B918+1)</f>
        <v>0</v>
      </c>
      <c r="K918" s="65"/>
      <c r="L918" s="184" t="s">
        <v>10</v>
      </c>
      <c r="M918" s="186">
        <f t="shared" ref="M918" si="2806">IF(OR(ISBLANK($O$8),ISBLANK($O$7),ISBLANK($H$8),ISBLANK($O$6),ISBLANK($O$5),ISBLANK($H$5)),"",IFERROR(IF(VLOOKUP(L918,L924:M933,2,FALSE)&lt;1,ROUND(VLOOKUP(L918,L924:M933,2,FALSE),4),ROUND(VLOOKUP(L918,L924:M933,2,FALSE),2)),""))</f>
        <v>225.1</v>
      </c>
      <c r="N918" s="69"/>
      <c r="O918" s="27" t="s">
        <v>17</v>
      </c>
      <c r="P918" s="113">
        <v>213.99</v>
      </c>
      <c r="Q918" s="113">
        <v>249.9</v>
      </c>
      <c r="R918" s="113">
        <v>211.41</v>
      </c>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f t="shared" ref="B919:D919" si="2807">B918</f>
        <v>44</v>
      </c>
      <c r="C919" s="128">
        <f t="shared" si="2807"/>
        <v>1</v>
      </c>
      <c r="D919" s="127">
        <f t="shared" si="2807"/>
        <v>44</v>
      </c>
      <c r="E919" s="188">
        <f t="shared" ref="E919" si="2808">D918</f>
        <v>44</v>
      </c>
      <c r="F919" s="92"/>
      <c r="G919" s="190" t="s">
        <v>1</v>
      </c>
      <c r="H919" s="193" t="s">
        <v>606</v>
      </c>
      <c r="I919" s="194"/>
      <c r="J919" s="195"/>
      <c r="K919" s="66"/>
      <c r="L919" s="185"/>
      <c r="M919" s="187"/>
      <c r="N919" s="70"/>
      <c r="O919" s="27" t="s">
        <v>13</v>
      </c>
      <c r="P919" s="122">
        <v>46195</v>
      </c>
      <c r="Q919" s="122">
        <v>46195</v>
      </c>
      <c r="R919" s="122">
        <v>46195</v>
      </c>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f t="shared" ref="B920:D920" si="2809">B919</f>
        <v>44</v>
      </c>
      <c r="C920" s="128">
        <f t="shared" si="2809"/>
        <v>1</v>
      </c>
      <c r="D920" s="127">
        <f t="shared" si="2809"/>
        <v>44</v>
      </c>
      <c r="E920" s="189"/>
      <c r="F920" s="93"/>
      <c r="G920" s="191"/>
      <c r="H920" s="196"/>
      <c r="I920" s="196"/>
      <c r="J920" s="197"/>
      <c r="K920" s="64"/>
      <c r="L920" s="130" t="s">
        <v>44</v>
      </c>
      <c r="M920" s="131">
        <v>3</v>
      </c>
      <c r="N920" s="71"/>
      <c r="O920" s="27" t="s">
        <v>380</v>
      </c>
      <c r="P920" s="114" t="s">
        <v>302</v>
      </c>
      <c r="Q920" s="114" t="s">
        <v>302</v>
      </c>
      <c r="R920" s="114" t="s">
        <v>302</v>
      </c>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f t="shared" ref="B921:C921" si="2810">B920</f>
        <v>44</v>
      </c>
      <c r="C921" s="128">
        <f t="shared" si="2810"/>
        <v>1</v>
      </c>
      <c r="D921" s="127">
        <f t="shared" si="2624"/>
        <v>44</v>
      </c>
      <c r="E921" s="38" t="s">
        <v>313</v>
      </c>
      <c r="F921" s="93"/>
      <c r="G921" s="192"/>
      <c r="H921" s="198"/>
      <c r="I921" s="198"/>
      <c r="J921" s="199"/>
      <c r="K921" s="64"/>
      <c r="L921" s="1" t="s">
        <v>2</v>
      </c>
      <c r="M921" s="6" t="s">
        <v>288</v>
      </c>
      <c r="N921" s="71"/>
      <c r="O921" s="27" t="s">
        <v>381</v>
      </c>
      <c r="P921" s="182" t="s">
        <v>607</v>
      </c>
      <c r="Q921" s="182" t="s">
        <v>608</v>
      </c>
      <c r="R921" s="182" t="s">
        <v>609</v>
      </c>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f t="shared" ref="B922:C922" si="2811">B920</f>
        <v>44</v>
      </c>
      <c r="C922" s="128">
        <f t="shared" si="2811"/>
        <v>1</v>
      </c>
      <c r="D922" s="127">
        <f t="shared" si="2624"/>
        <v>44</v>
      </c>
      <c r="E922" s="200">
        <f t="shared" ref="E922" si="2812">C918</f>
        <v>1</v>
      </c>
      <c r="F922" s="93"/>
      <c r="G922" s="202" t="s">
        <v>304</v>
      </c>
      <c r="H922" s="204"/>
      <c r="I922" s="205"/>
      <c r="J922" s="205"/>
      <c r="K922" s="67"/>
      <c r="L922" s="28" t="s">
        <v>303</v>
      </c>
      <c r="M922" s="133">
        <f t="shared" ref="M922" si="2813">IFERROR(INDEX(I924:I936,MATCH(MAX(J924:J936),J924:J936,0)),"")</f>
        <v>7.8044652687488822E-2</v>
      </c>
      <c r="N922" s="71"/>
      <c r="O922" s="27" t="s">
        <v>18</v>
      </c>
      <c r="P922" s="106">
        <f>IF(P918="","",
IF(OR(P920="Orçamento",P919="",MAX('Tabela de Apoio'!$A:$A)&lt;=P919),
P918,
(INDEX('Tabela de Apoio'!$B:$B,MATCH('MAPA DE PREÇOS'!$O$8,'Tabela de Apoio'!$A:$A,1))/INDEX('Tabela de Apoio'!$B:$B,MATCH('MAPA DE PREÇOS'!P919,'Tabela de Apoio'!$A:$A,1)-1))*P918))</f>
        <v>213.99</v>
      </c>
      <c r="Q922" s="106">
        <f>IF(Q918="","",
IF(OR(Q920="Orçamento",Q919="",MAX('Tabela de Apoio'!$A:$A)&lt;=Q919),
Q918,
(INDEX('Tabela de Apoio'!$B:$B,MATCH('MAPA DE PREÇOS'!$O$8,'Tabela de Apoio'!$A:$A,1))/INDEX('Tabela de Apoio'!$B:$B,MATCH('MAPA DE PREÇOS'!Q919,'Tabela de Apoio'!$A:$A,1)-1))*Q918))</f>
        <v>249.9</v>
      </c>
      <c r="R922" s="106">
        <f>IF(R918="","",
IF(OR(R920="Orçamento",R919="",MAX('Tabela de Apoio'!$A:$A)&lt;=R919),
R918,
(INDEX('Tabela de Apoio'!$B:$B,MATCH('MAPA DE PREÇOS'!$O$8,'Tabela de Apoio'!$A:$A,1))/INDEX('Tabela de Apoio'!$B:$B,MATCH('MAPA DE PREÇOS'!R919,'Tabela de Apoio'!$A:$A,1)-1))*R918))</f>
        <v>211.41</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f t="shared" ref="B923" si="2814">B922</f>
        <v>44</v>
      </c>
      <c r="C923" s="128">
        <f t="shared" ref="C923" si="2815">C922</f>
        <v>1</v>
      </c>
      <c r="D923" s="127">
        <f t="shared" si="2624"/>
        <v>44</v>
      </c>
      <c r="E923" s="201"/>
      <c r="F923" s="93"/>
      <c r="G923" s="203"/>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f t="shared" ref="B924:C924" si="2816">B923</f>
        <v>44</v>
      </c>
      <c r="C924" s="128">
        <f t="shared" si="2816"/>
        <v>1</v>
      </c>
      <c r="D924" s="127">
        <f t="shared" si="2624"/>
        <v>44</v>
      </c>
      <c r="E924" s="201"/>
      <c r="F924" s="93"/>
      <c r="G924" s="203"/>
      <c r="H924" s="134">
        <f t="shared" ref="H924" si="2817">COUNT($P924:$XX924)</f>
        <v>3</v>
      </c>
      <c r="I924" s="132">
        <f t="shared" ref="I924" si="2818">_xlfn.STDEV.P($P923:$XX924)/AVERAGE($P923:$XX924)</f>
        <v>7.8044652687488822E-2</v>
      </c>
      <c r="J924" s="7">
        <f>ROW()</f>
        <v>924</v>
      </c>
      <c r="K924" s="67"/>
      <c r="L924" s="29" t="s">
        <v>10</v>
      </c>
      <c r="M924" s="30">
        <f t="shared" ref="M924" si="2819">IFERROR(
IF(COUNTA(P918:AI918)=COUNTIF(P920:XX920,"Orçamento"),MIN(M929,M926),
IF(M927&lt;&gt;"",M927,
IF(M928&lt;&gt;"",M928,
M926
))),"")</f>
        <v>225.1</v>
      </c>
      <c r="N924" s="71"/>
      <c r="O924" s="27" t="s">
        <v>376</v>
      </c>
      <c r="P924" s="106">
        <f t="shared" ref="P924:AI924" si="2820">IFERROR(IF(P922="",
            "",
            IF(COUNT($P922:$XX922)&lt;=4,
               P922,
               IF(OR(P922&gt;(QUARTILE($P922:$XX922,3)+(QUARTILE($P922:$XX922,3)-QUARTILE($P922:$XX922,1))),
                     P922&lt;(QUARTILE($P922:$XX922,1)-(QUARTILE($P922:$XX922,3)-QUARTILE($P922:$XX922,1)))
                  ),
               "DESCARTADO",P922)
             )
  ),P922)</f>
        <v>213.99</v>
      </c>
      <c r="Q924" s="106">
        <f t="shared" si="2820"/>
        <v>249.9</v>
      </c>
      <c r="R924" s="106">
        <f t="shared" si="2820"/>
        <v>211.41</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f t="shared" ref="B925:B979" si="2821">B924</f>
        <v>44</v>
      </c>
      <c r="C925" s="128">
        <f t="shared" ref="C925:D988" si="2822">C924</f>
        <v>1</v>
      </c>
      <c r="D925" s="127">
        <f t="shared" si="2624"/>
        <v>44</v>
      </c>
      <c r="E925" s="201"/>
      <c r="F925" s="93"/>
      <c r="G925" s="203"/>
      <c r="H925"/>
      <c r="I925"/>
      <c r="J925"/>
      <c r="K925" s="66"/>
      <c r="L925" s="29" t="s">
        <v>360</v>
      </c>
      <c r="M925" s="30">
        <f t="shared" ref="M925" si="2823">AVERAGE($P924:$XX924)</f>
        <v>225.1</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f t="shared" si="2821"/>
        <v>44</v>
      </c>
      <c r="C926" s="128">
        <f t="shared" si="2822"/>
        <v>1</v>
      </c>
      <c r="D926" s="127">
        <f t="shared" si="2822"/>
        <v>44</v>
      </c>
      <c r="E926" s="201"/>
      <c r="F926" s="93"/>
      <c r="G926" s="203"/>
      <c r="H926" s="134">
        <f t="shared" ref="H926" si="2825">COUNT($P926:$XX926)</f>
        <v>3</v>
      </c>
      <c r="I926" s="132">
        <f t="shared" ref="I926" si="2826">_xlfn.STDEV.P($P925:$XX926)/AVERAGE($P925:$XX926)</f>
        <v>7.8044652687488822E-2</v>
      </c>
      <c r="J926" s="7">
        <f t="shared" ref="J926" si="2827">IF(AND(H926&gt;2,
OR(L918="MÉDIA SANEADA",L918="MEDIANA SANEADA",
AND(L918="PREÇO ESTIMADO",NOT(AND(P920="Orçamento",COUNTA(P918:XX918)=COUNTIF(P920:XX920,"Orçamento")))))),
ROW(),0)</f>
        <v>926</v>
      </c>
      <c r="K926" s="66"/>
      <c r="L926" s="29" t="s">
        <v>361</v>
      </c>
      <c r="M926" s="30">
        <f t="shared" ref="M926" si="2828">MEDIAN($P924:$XX924)</f>
        <v>213.99</v>
      </c>
      <c r="N926" s="71"/>
      <c r="O926" s="27" t="str">
        <f t="shared" ref="O926" si="2829">"1 RODADA"</f>
        <v>1 RODADA</v>
      </c>
      <c r="P926" s="107">
        <f t="shared" ref="P926:AI926" si="2830">IF(P924="","",IF((_xlfn.STDEV.P($P923:$XX924)/AVERAGE($P923:$XX924))&lt;=25%,P924,IF(OR(P924&gt;(AVERAGE($P923:$XX924)+_xlfn.STDEV.P($P923:$XX924)),P924&lt;(AVERAGE($P923:$XX924)-_xlfn.STDEV.P($P923:$XX924))),"DESCARTADO",P924)))</f>
        <v>213.99</v>
      </c>
      <c r="Q926" s="107">
        <f t="shared" si="2830"/>
        <v>249.9</v>
      </c>
      <c r="R926" s="107">
        <f t="shared" si="2830"/>
        <v>211.41</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f t="shared" si="2821"/>
        <v>44</v>
      </c>
      <c r="C927" s="128">
        <f t="shared" si="2822"/>
        <v>1</v>
      </c>
      <c r="D927" s="127">
        <f t="shared" si="2822"/>
        <v>44</v>
      </c>
      <c r="E927" s="201"/>
      <c r="F927" s="93"/>
      <c r="G927" s="203"/>
      <c r="H927"/>
      <c r="I927"/>
      <c r="J927"/>
      <c r="L927" s="29" t="s">
        <v>38</v>
      </c>
      <c r="M927" s="30">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225.1</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f t="shared" si="2821"/>
        <v>44</v>
      </c>
      <c r="C928" s="128">
        <f t="shared" si="2822"/>
        <v>1</v>
      </c>
      <c r="D928" s="127">
        <f t="shared" si="2822"/>
        <v>44</v>
      </c>
      <c r="E928" s="201"/>
      <c r="F928" s="93"/>
      <c r="G928" s="203"/>
      <c r="H928" s="134">
        <f t="shared" ref="H928" si="2833">COUNT($P928:$XX928)</f>
        <v>3</v>
      </c>
      <c r="I928" s="132">
        <f t="shared" ref="I928" si="2834">_xlfn.STDEV.P($P927:$XX928)/AVERAGE($P927:$XX928)</f>
        <v>7.8044652687488822E-2</v>
      </c>
      <c r="J928" s="7">
        <f t="shared" ref="J928" si="2835">IF(AND(H928&gt;2,
OR(L918="MÉDIA SANEADA",L918="MEDIANA SANEADA",
AND(L918="PREÇO ESTIMADO",NOT(AND(P920="Orçamento",COUNTA(P918:XX918)=COUNTIF(P920:XX920,"Orçamento")))))),
ROW(),0)</f>
        <v>928</v>
      </c>
      <c r="K928" s="66"/>
      <c r="L928" s="29" t="s">
        <v>362</v>
      </c>
      <c r="M928" s="30">
        <f t="shared" ref="M928" si="2836" xml:space="preserve">
IF(H926&gt;2,MEDIAN(P925:XX926),
IF(H928&gt;2,MEDIAN(P927:XX928),
IF(H930&gt;2,MEDIAN(P929:XX930),
IF(H932&gt;2,MEDIAN(P931:XX932),
IF(H934&gt;2,MEDIAN(P933:XX934),
IF(H936&gt;2,MEDIAN(P935:XX936),
MEDIAN(P923:XX924)))))))</f>
        <v>213.99</v>
      </c>
      <c r="N928" s="71"/>
      <c r="O928" s="27" t="str">
        <f t="shared" ref="O928" si="2837">"2 RODADA"</f>
        <v>2 RODADA</v>
      </c>
      <c r="P928" s="107">
        <f t="shared" ref="P928:AI928" si="2838">IF(P926="","",IF((_xlfn.STDEV.P($P925:$XX926)/AVERAGE($P925:$XX926))&lt;=25%,P926,IF(OR(P926&gt;(AVERAGE($P925:$XX926)+_xlfn.STDEV.P($P925:$XX926)),P926&lt;(AVERAGE($P925:$XX926)-_xlfn.STDEV.P($P925:$XX926))),"DESCARTADO",P926)))</f>
        <v>213.99</v>
      </c>
      <c r="Q928" s="107">
        <f t="shared" si="2838"/>
        <v>249.9</v>
      </c>
      <c r="R928" s="107">
        <f t="shared" si="2838"/>
        <v>211.41</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f t="shared" si="2821"/>
        <v>44</v>
      </c>
      <c r="C929" s="128">
        <f t="shared" si="2822"/>
        <v>1</v>
      </c>
      <c r="D929" s="127">
        <f t="shared" si="2822"/>
        <v>44</v>
      </c>
      <c r="E929" s="201"/>
      <c r="F929" s="93"/>
      <c r="G929" s="203"/>
      <c r="H929"/>
      <c r="I929"/>
      <c r="J929"/>
      <c r="K929" s="66"/>
      <c r="L929" s="29" t="s">
        <v>359</v>
      </c>
      <c r="M929" s="30">
        <f t="shared" ref="M929" si="2839">HARMEAN($P923:$XX924)</f>
        <v>223.79940423011462</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f t="shared" si="2821"/>
        <v>44</v>
      </c>
      <c r="C930" s="128">
        <f t="shared" si="2822"/>
        <v>1</v>
      </c>
      <c r="D930" s="127">
        <f t="shared" si="2822"/>
        <v>44</v>
      </c>
      <c r="E930" s="201"/>
      <c r="F930" s="93"/>
      <c r="G930" s="203"/>
      <c r="H930" s="134">
        <f t="shared" ref="H930" si="2841">COUNT($P930:$XX930)</f>
        <v>3</v>
      </c>
      <c r="I930" s="132">
        <f t="shared" ref="I930" si="2842">_xlfn.STDEV.P($P929:$XX930)/AVERAGE($P929:$XX930)</f>
        <v>7.8044652687488822E-2</v>
      </c>
      <c r="J930" s="7">
        <f t="shared" ref="J930" si="2843">IF(AND(H930&gt;2,
OR(L918="MÉDIA SANEADA",L918="MEDIANA SANEADA",
AND(L918="PREÇO ESTIMADO",NOT(AND(P920="Orçamento",COUNTA(P918:XX918)=COUNTIF(P920:XX920,"Orçamento")))))),
ROW(),0)</f>
        <v>930</v>
      </c>
      <c r="K930" s="66"/>
      <c r="L930" s="29" t="s">
        <v>41</v>
      </c>
      <c r="M930" s="30">
        <f t="shared" ref="M930" si="2844">IFERROR(_xlfn.QUARTILE.EXC($P924:$XX924,1),"")</f>
        <v>211.41</v>
      </c>
      <c r="N930" s="71"/>
      <c r="O930" s="27" t="str">
        <f t="shared" ref="O930" si="2845">"3 RODADA"</f>
        <v>3 RODADA</v>
      </c>
      <c r="P930" s="107">
        <f t="shared" ref="P930:AI930" si="2846">IF(P928="","",IF((_xlfn.STDEV.P($P927:$XX928)/AVERAGE($P927:$XX928))&lt;=25%,P928,IF(OR(P928&gt;(AVERAGE($P927:$XX928)+_xlfn.STDEV.P($P927:$XX928)),P928&lt;(AVERAGE($P927:$XX928)-_xlfn.STDEV.P($P927:$XX928))),"DESCARTADO",P928)))</f>
        <v>213.99</v>
      </c>
      <c r="Q930" s="107">
        <f t="shared" si="2846"/>
        <v>249.9</v>
      </c>
      <c r="R930" s="107">
        <f t="shared" si="2846"/>
        <v>211.41</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f t="shared" si="2821"/>
        <v>44</v>
      </c>
      <c r="C931" s="128">
        <f t="shared" si="2822"/>
        <v>1</v>
      </c>
      <c r="D931" s="127">
        <f t="shared" si="2822"/>
        <v>44</v>
      </c>
      <c r="E931" s="201"/>
      <c r="F931" s="93"/>
      <c r="G931" s="203"/>
      <c r="H931"/>
      <c r="I931"/>
      <c r="J931"/>
      <c r="K931" s="66"/>
      <c r="L931" s="29" t="s">
        <v>39</v>
      </c>
      <c r="M931" s="30">
        <f t="shared" ref="M931" si="2847">IFERROR(_xlfn.QUARTILE.EXC($P924:$XX924,3),"")</f>
        <v>249.9</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f t="shared" si="2821"/>
        <v>44</v>
      </c>
      <c r="C932" s="128">
        <f t="shared" si="2822"/>
        <v>1</v>
      </c>
      <c r="D932" s="127">
        <f t="shared" si="2822"/>
        <v>44</v>
      </c>
      <c r="E932" s="201"/>
      <c r="F932" s="93"/>
      <c r="G932" s="203"/>
      <c r="H932" s="134">
        <f t="shared" ref="H932" si="2849">COUNT($P932:$XX932)</f>
        <v>3</v>
      </c>
      <c r="I932" s="132">
        <f t="shared" ref="I932" si="2850">_xlfn.STDEV.P($P931:$XX932)/AVERAGE($P931:$XX932)</f>
        <v>7.8044652687488822E-2</v>
      </c>
      <c r="J932" s="7">
        <f t="shared" ref="J932" si="2851">IF(AND(H932&gt;2,
OR(L918="MÉDIA SANEADA",L918="MEDIANA SANEADA",
AND(L918="PREÇO ESTIMADO",NOT(AND(P920="Orçamento",COUNTA(P918:XX918)=COUNTIF(P920:XX920,"Orçamento")))))),
ROW(),0)</f>
        <v>932</v>
      </c>
      <c r="K932" s="66"/>
      <c r="L932" s="29" t="s">
        <v>42</v>
      </c>
      <c r="M932" s="30">
        <f t="shared" ref="M932" si="2852">MIN($P924:$XX924)</f>
        <v>211.41</v>
      </c>
      <c r="N932" s="71"/>
      <c r="O932" s="27" t="str">
        <f t="shared" ref="O932" si="2853">"4 RODADA"</f>
        <v>4 RODADA</v>
      </c>
      <c r="P932" s="107">
        <f t="shared" ref="P932:AI932" si="2854">IF(P930="","",IF((_xlfn.STDEV.P($P929:$XX930)/AVERAGE($P929:$XX930))&lt;=25%,P930,IF(OR(P930&gt;(AVERAGE($P929:$XX930)+_xlfn.STDEV.P($P929:$XX930)),P930&lt;(AVERAGE($P929:$XX930)-_xlfn.STDEV.P($P929:$XX930))),"DESCARTADO",P930)))</f>
        <v>213.99</v>
      </c>
      <c r="Q932" s="107">
        <f t="shared" si="2854"/>
        <v>249.9</v>
      </c>
      <c r="R932" s="107">
        <f t="shared" si="2854"/>
        <v>211.41</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f t="shared" si="2821"/>
        <v>44</v>
      </c>
      <c r="C933" s="128">
        <f t="shared" si="2822"/>
        <v>1</v>
      </c>
      <c r="D933" s="127">
        <f t="shared" si="2822"/>
        <v>44</v>
      </c>
      <c r="E933" s="201"/>
      <c r="F933" s="93"/>
      <c r="G933" s="203"/>
      <c r="H933"/>
      <c r="I933"/>
      <c r="J933"/>
      <c r="K933" s="66"/>
      <c r="L933" s="29" t="s">
        <v>40</v>
      </c>
      <c r="M933" s="30">
        <f t="shared" ref="M933" si="2855">MAX($P924:$XX924)</f>
        <v>249.9</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f t="shared" si="2821"/>
        <v>44</v>
      </c>
      <c r="C934" s="128">
        <f t="shared" si="2822"/>
        <v>1</v>
      </c>
      <c r="D934" s="127">
        <f t="shared" si="2822"/>
        <v>44</v>
      </c>
      <c r="E934" s="201"/>
      <c r="F934" s="93"/>
      <c r="G934" s="203"/>
      <c r="H934" s="134">
        <f t="shared" ref="H934" si="2857">COUNT($P934:$XX934)</f>
        <v>3</v>
      </c>
      <c r="I934" s="132">
        <f t="shared" ref="I934" si="2858">_xlfn.STDEV.P($P933:$XX934)/AVERAGE($P933:$XX934)</f>
        <v>7.8044652687488822E-2</v>
      </c>
      <c r="J934" s="7">
        <f t="shared" ref="J934" si="2859">IF(AND(H934&gt;2,
OR(L918="MÉDIA SANEADA",L918="MEDIANA SANEADA",
AND(L918="PREÇO ESTIMADO",NOT(AND(P920="Orçamento",COUNTA(P918:XX918)=COUNTIF(P920:XX920,"Orçamento")))))),
ROW(),0)</f>
        <v>934</v>
      </c>
      <c r="K934" s="66"/>
      <c r="N934" s="71"/>
      <c r="O934" s="27" t="str">
        <f t="shared" ref="O934" si="2860">"5 RODADA"</f>
        <v>5 RODADA</v>
      </c>
      <c r="P934" s="107">
        <f t="shared" ref="P934:AI934" si="2861">IF(P932="","",IF((_xlfn.STDEV.P($P931:$XX932)/AVERAGE($P931:$XX932))&lt;=25%,P932,IF(OR(P932&gt;(AVERAGE($P931:$XX932)+_xlfn.STDEV.P($P931:$XX932)),P932&lt;(AVERAGE($P931:$XX932)-_xlfn.STDEV.P($P931:$XX932))),"DESCARTADO",P932)))</f>
        <v>213.99</v>
      </c>
      <c r="Q934" s="107">
        <f t="shared" si="2861"/>
        <v>249.9</v>
      </c>
      <c r="R934" s="107">
        <f t="shared" si="2861"/>
        <v>211.41</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f t="shared" si="2821"/>
        <v>44</v>
      </c>
      <c r="C935" s="128">
        <f t="shared" si="2822"/>
        <v>1</v>
      </c>
      <c r="D935" s="127">
        <f t="shared" si="2822"/>
        <v>44</v>
      </c>
      <c r="E935" s="201"/>
      <c r="F935" s="93"/>
      <c r="G935" s="203"/>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f t="shared" si="2821"/>
        <v>44</v>
      </c>
      <c r="C936" s="128">
        <f t="shared" si="2822"/>
        <v>1</v>
      </c>
      <c r="D936" s="127">
        <f t="shared" si="2822"/>
        <v>44</v>
      </c>
      <c r="E936" s="201"/>
      <c r="F936" s="93"/>
      <c r="G936" s="203"/>
      <c r="H936" s="134">
        <f t="shared" ref="H936" si="2863">COUNT($P936:$XX936)</f>
        <v>3</v>
      </c>
      <c r="I936" s="132">
        <f t="shared" ref="I936" si="2864">_xlfn.STDEV.P($P935:$XX936)/AVERAGE($P935:$XX936)</f>
        <v>7.8044652687488822E-2</v>
      </c>
      <c r="J936" s="7">
        <f t="shared" ref="J936" si="2865">IF(AND(H936&gt;2,
OR(L918="MÉDIA SANEADA",L918="MEDIANA SANEADA",
AND(L918="PREÇO ESTIMADO",NOT(AND(P920="Orçamento",COUNTA(P918:XX918)=COUNTIF(P920:XX920,"Orçamento")))))),
ROW(),0)</f>
        <v>936</v>
      </c>
      <c r="N936" s="71"/>
      <c r="O936" s="27" t="str">
        <f t="shared" ref="O936" si="2866">"6 RODADA"</f>
        <v>6 RODADA</v>
      </c>
      <c r="P936" s="107">
        <f t="shared" ref="P936:AI936" si="2867">IFERROR(IF(P934="","",IF((_xlfn.STDEV.P($P933:$XX934)/AVERAGE($P933:$XX934))&lt;=25%,P934,IF(OR(P934&gt;(AVERAGE($P933:$XX934)+_xlfn.STDEV.P($P933:$XX934)),P934&lt;(AVERAGE($P933:$XX934)-_xlfn.STDEV.P($P933:$XX934))),"DESCARTADO",P934))),)</f>
        <v>213.99</v>
      </c>
      <c r="Q936" s="107">
        <f t="shared" si="2867"/>
        <v>249.9</v>
      </c>
      <c r="R936" s="107">
        <f t="shared" si="2867"/>
        <v>211.41</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f t="shared" si="2821"/>
        <v>44</v>
      </c>
      <c r="C937" s="128">
        <f t="shared" si="2822"/>
        <v>1</v>
      </c>
      <c r="D937" s="127">
        <f t="shared" si="2822"/>
        <v>44</v>
      </c>
      <c r="E937" s="201"/>
      <c r="F937" s="136"/>
      <c r="G937" s="203"/>
      <c r="H937" s="206"/>
      <c r="I937" s="206"/>
      <c r="J937" s="207"/>
      <c r="K937" s="67"/>
      <c r="L937" s="1" t="s">
        <v>43</v>
      </c>
      <c r="M937" s="143">
        <f t="shared" ref="M937" si="2868">IFERROR(ROUND(M918*M920,2),"")</f>
        <v>675.3</v>
      </c>
      <c r="O937" s="27" t="s">
        <v>363</v>
      </c>
      <c r="P937" s="107">
        <f t="shared" ref="P937:AI958" si="2869">INDEX(P924:P936,MATCH(MAX($J924:$J936),$J924:$J936,0))</f>
        <v>213.99</v>
      </c>
      <c r="Q937" s="107">
        <f t="shared" si="2869"/>
        <v>249.9</v>
      </c>
      <c r="R937" s="107">
        <f t="shared" si="2869"/>
        <v>211.41</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f t="shared" ref="B939" si="2870">LARGE(IFERROR(IF(B937+1&gt;$H$8,"",B937+1),""),1)</f>
        <v>45</v>
      </c>
      <c r="C939" s="127">
        <f>IF(_xlfn.ISFORMULA(E943),MAX(INDEX('BASE FORMAÇÃO'!A:A,B939+1),1),E943)</f>
        <v>1</v>
      </c>
      <c r="D939" s="127">
        <f t="shared" ref="D939" si="2871">IFERROR(IF(C939=C929,D929+1,1),1)</f>
        <v>45</v>
      </c>
      <c r="E939" s="38" t="s">
        <v>9</v>
      </c>
      <c r="F939" s="73"/>
      <c r="G939" s="38" t="s">
        <v>15</v>
      </c>
      <c r="H939" s="135">
        <f>INDEX('BASE FORMAÇÃO'!B:B,B939+1)</f>
        <v>0</v>
      </c>
      <c r="I939" s="181" t="s">
        <v>16</v>
      </c>
      <c r="J939" s="6">
        <f>INDEX('BASE FORMAÇÃO'!K:K,B939+1)</f>
        <v>0</v>
      </c>
      <c r="K939" s="65"/>
      <c r="L939" s="184" t="s">
        <v>10</v>
      </c>
      <c r="M939" s="186">
        <f t="shared" ref="M939" si="2872">IF(OR(ISBLANK($O$8),ISBLANK($O$7),ISBLANK($H$8),ISBLANK($O$6),ISBLANK($O$5),ISBLANK($H$5)),"",IFERROR(IF(VLOOKUP(L939,L945:M954,2,FALSE)&lt;1,ROUND(VLOOKUP(L939,L945:M954,2,FALSE),4),ROUND(VLOOKUP(L939,L945:M954,2,FALSE),2)),""))</f>
        <v>1254.58</v>
      </c>
      <c r="N939" s="69"/>
      <c r="O939" s="27" t="s">
        <v>17</v>
      </c>
      <c r="P939" s="113">
        <v>1124.4000000000001</v>
      </c>
      <c r="Q939" s="113">
        <v>1377.47</v>
      </c>
      <c r="R939" s="113">
        <v>1261.8599999999999</v>
      </c>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f t="shared" ref="B940:D940" si="2873">B939</f>
        <v>45</v>
      </c>
      <c r="C940" s="128">
        <f t="shared" si="2873"/>
        <v>1</v>
      </c>
      <c r="D940" s="127">
        <f t="shared" si="2873"/>
        <v>45</v>
      </c>
      <c r="E940" s="188">
        <f t="shared" ref="E940" si="2874">D939</f>
        <v>45</v>
      </c>
      <c r="F940" s="92"/>
      <c r="G940" s="190" t="s">
        <v>1</v>
      </c>
      <c r="H940" s="193" t="s">
        <v>845</v>
      </c>
      <c r="I940" s="194"/>
      <c r="J940" s="195"/>
      <c r="K940" s="66"/>
      <c r="L940" s="185"/>
      <c r="M940" s="187"/>
      <c r="N940" s="70"/>
      <c r="O940" s="27" t="s">
        <v>13</v>
      </c>
      <c r="P940" s="122">
        <v>46196</v>
      </c>
      <c r="Q940" s="122">
        <v>46196</v>
      </c>
      <c r="R940" s="122">
        <v>46196</v>
      </c>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f t="shared" ref="B941:D941" si="2875">B940</f>
        <v>45</v>
      </c>
      <c r="C941" s="128">
        <f t="shared" si="2875"/>
        <v>1</v>
      </c>
      <c r="D941" s="127">
        <f t="shared" si="2875"/>
        <v>45</v>
      </c>
      <c r="E941" s="189"/>
      <c r="F941" s="93"/>
      <c r="G941" s="191"/>
      <c r="H941" s="196"/>
      <c r="I941" s="196"/>
      <c r="J941" s="197"/>
      <c r="K941" s="64"/>
      <c r="L941" s="130" t="s">
        <v>44</v>
      </c>
      <c r="M941" s="131">
        <v>2</v>
      </c>
      <c r="N941" s="71"/>
      <c r="O941" s="27" t="s">
        <v>380</v>
      </c>
      <c r="P941" s="114" t="s">
        <v>302</v>
      </c>
      <c r="Q941" s="114" t="s">
        <v>302</v>
      </c>
      <c r="R941" s="114" t="s">
        <v>302</v>
      </c>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f t="shared" ref="B942:C942" si="2876">B941</f>
        <v>45</v>
      </c>
      <c r="C942" s="128">
        <f t="shared" si="2876"/>
        <v>1</v>
      </c>
      <c r="D942" s="127">
        <f t="shared" si="2822"/>
        <v>45</v>
      </c>
      <c r="E942" s="38" t="s">
        <v>313</v>
      </c>
      <c r="F942" s="93"/>
      <c r="G942" s="192"/>
      <c r="H942" s="198"/>
      <c r="I942" s="198"/>
      <c r="J942" s="199"/>
      <c r="K942" s="64"/>
      <c r="L942" s="1" t="s">
        <v>2</v>
      </c>
      <c r="M942" s="6" t="s">
        <v>288</v>
      </c>
      <c r="N942" s="71"/>
      <c r="O942" s="27" t="s">
        <v>381</v>
      </c>
      <c r="P942" s="182" t="s">
        <v>610</v>
      </c>
      <c r="Q942" s="182" t="s">
        <v>611</v>
      </c>
      <c r="R942" s="182" t="s">
        <v>612</v>
      </c>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f t="shared" ref="B943:C943" si="2877">B941</f>
        <v>45</v>
      </c>
      <c r="C943" s="128">
        <f t="shared" si="2877"/>
        <v>1</v>
      </c>
      <c r="D943" s="127">
        <f t="shared" si="2822"/>
        <v>45</v>
      </c>
      <c r="E943" s="200">
        <f t="shared" ref="E943" si="2878">C939</f>
        <v>1</v>
      </c>
      <c r="F943" s="93"/>
      <c r="G943" s="202" t="s">
        <v>304</v>
      </c>
      <c r="H943" s="204"/>
      <c r="I943" s="205"/>
      <c r="J943" s="205"/>
      <c r="K943" s="67"/>
      <c r="L943" s="28" t="s">
        <v>303</v>
      </c>
      <c r="M943" s="133">
        <f t="shared" ref="M943" si="2879">IFERROR(INDEX(I945:I957,MATCH(MAX(J945:J957),J945:J957,0)),"")</f>
        <v>8.2453053400565302E-2</v>
      </c>
      <c r="N943" s="71"/>
      <c r="O943" s="27" t="s">
        <v>18</v>
      </c>
      <c r="P943" s="106">
        <f>IF(P939="","",
IF(OR(P941="Orçamento",P940="",MAX('Tabela de Apoio'!$A:$A)&lt;=P940),
P939,
(INDEX('Tabela de Apoio'!$B:$B,MATCH('MAPA DE PREÇOS'!$O$8,'Tabela de Apoio'!$A:$A,1))/INDEX('Tabela de Apoio'!$B:$B,MATCH('MAPA DE PREÇOS'!P940,'Tabela de Apoio'!$A:$A,1)-1))*P939))</f>
        <v>1124.4000000000001</v>
      </c>
      <c r="Q943" s="106">
        <f>IF(Q939="","",
IF(OR(Q941="Orçamento",Q940="",MAX('Tabela de Apoio'!$A:$A)&lt;=Q940),
Q939,
(INDEX('Tabela de Apoio'!$B:$B,MATCH('MAPA DE PREÇOS'!$O$8,'Tabela de Apoio'!$A:$A,1))/INDEX('Tabela de Apoio'!$B:$B,MATCH('MAPA DE PREÇOS'!Q940,'Tabela de Apoio'!$A:$A,1)-1))*Q939))</f>
        <v>1377.47</v>
      </c>
      <c r="R943" s="106">
        <f>IF(R939="","",
IF(OR(R941="Orçamento",R940="",MAX('Tabela de Apoio'!$A:$A)&lt;=R940),
R939,
(INDEX('Tabela de Apoio'!$B:$B,MATCH('MAPA DE PREÇOS'!$O$8,'Tabela de Apoio'!$A:$A,1))/INDEX('Tabela de Apoio'!$B:$B,MATCH('MAPA DE PREÇOS'!R940,'Tabela de Apoio'!$A:$A,1)-1))*R939))</f>
        <v>1261.8599999999999</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f t="shared" ref="B944" si="2880">B943</f>
        <v>45</v>
      </c>
      <c r="C944" s="128">
        <f t="shared" ref="C944" si="2881">C943</f>
        <v>1</v>
      </c>
      <c r="D944" s="127">
        <f t="shared" si="2822"/>
        <v>45</v>
      </c>
      <c r="E944" s="201"/>
      <c r="F944" s="93"/>
      <c r="G944" s="203"/>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f t="shared" ref="B945:C945" si="2882">B944</f>
        <v>45</v>
      </c>
      <c r="C945" s="128">
        <f t="shared" si="2882"/>
        <v>1</v>
      </c>
      <c r="D945" s="127">
        <f t="shared" si="2822"/>
        <v>45</v>
      </c>
      <c r="E945" s="201"/>
      <c r="F945" s="93"/>
      <c r="G945" s="203"/>
      <c r="H945" s="134">
        <f t="shared" ref="H945" si="2883">COUNT($P945:$XX945)</f>
        <v>3</v>
      </c>
      <c r="I945" s="132">
        <f t="shared" ref="I945" si="2884">_xlfn.STDEV.P($P944:$XX945)/AVERAGE($P944:$XX945)</f>
        <v>8.2453053400565302E-2</v>
      </c>
      <c r="J945" s="7">
        <f>ROW()</f>
        <v>945</v>
      </c>
      <c r="K945" s="67"/>
      <c r="L945" s="29" t="s">
        <v>10</v>
      </c>
      <c r="M945" s="30">
        <f t="shared" ref="M945" si="2885">IFERROR(
IF(COUNTA(P939:AI939)=COUNTIF(P941:XX941,"Orçamento"),MIN(M950,M947),
IF(M948&lt;&gt;"",M948,
IF(M949&lt;&gt;"",M949,
M947
))),"")</f>
        <v>1254.5766666666666</v>
      </c>
      <c r="N945" s="71"/>
      <c r="O945" s="27" t="s">
        <v>376</v>
      </c>
      <c r="P945" s="106">
        <f t="shared" ref="P945:AI945" si="2886">IFERROR(IF(P943="",
            "",
            IF(COUNT($P943:$XX943)&lt;=4,
               P943,
               IF(OR(P943&gt;(QUARTILE($P943:$XX943,3)+(QUARTILE($P943:$XX943,3)-QUARTILE($P943:$XX943,1))),
                     P943&lt;(QUARTILE($P943:$XX943,1)-(QUARTILE($P943:$XX943,3)-QUARTILE($P943:$XX943,1)))
                  ),
               "DESCARTADO",P943)
             )
  ),P943)</f>
        <v>1124.4000000000001</v>
      </c>
      <c r="Q945" s="106">
        <f t="shared" si="2886"/>
        <v>1377.47</v>
      </c>
      <c r="R945" s="106">
        <f t="shared" si="2886"/>
        <v>1261.8599999999999</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f t="shared" ref="B946" si="2887">B945</f>
        <v>45</v>
      </c>
      <c r="C946" s="128">
        <f t="shared" ref="C946" si="2888">C945</f>
        <v>1</v>
      </c>
      <c r="D946" s="127">
        <f t="shared" si="2822"/>
        <v>45</v>
      </c>
      <c r="E946" s="201"/>
      <c r="F946" s="93"/>
      <c r="G946" s="203"/>
      <c r="H946"/>
      <c r="I946"/>
      <c r="J946"/>
      <c r="K946" s="66"/>
      <c r="L946" s="29" t="s">
        <v>360</v>
      </c>
      <c r="M946" s="30">
        <f t="shared" ref="M946" si="2889">AVERAGE($P945:$XX945)</f>
        <v>1254.5766666666666</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f t="shared" si="2821"/>
        <v>45</v>
      </c>
      <c r="C947" s="128">
        <f t="shared" si="2822"/>
        <v>1</v>
      </c>
      <c r="D947" s="127">
        <f t="shared" si="2822"/>
        <v>45</v>
      </c>
      <c r="E947" s="201"/>
      <c r="F947" s="93"/>
      <c r="G947" s="203"/>
      <c r="H947" s="134">
        <f t="shared" ref="H947" si="2891">COUNT($P947:$XX947)</f>
        <v>3</v>
      </c>
      <c r="I947" s="132">
        <f t="shared" ref="I947" si="2892">_xlfn.STDEV.P($P946:$XX947)/AVERAGE($P946:$XX947)</f>
        <v>8.2453053400565302E-2</v>
      </c>
      <c r="J947" s="7">
        <f t="shared" ref="J947" si="2893">IF(AND(H947&gt;2,
OR(L939="MÉDIA SANEADA",L939="MEDIANA SANEADA",
AND(L939="PREÇO ESTIMADO",NOT(AND(P941="Orçamento",COUNTA(P939:XX939)=COUNTIF(P941:XX941,"Orçamento")))))),
ROW(),0)</f>
        <v>947</v>
      </c>
      <c r="K947" s="66"/>
      <c r="L947" s="29" t="s">
        <v>361</v>
      </c>
      <c r="M947" s="30">
        <f t="shared" ref="M947" si="2894">MEDIAN($P945:$XX945)</f>
        <v>1261.8599999999999</v>
      </c>
      <c r="N947" s="71"/>
      <c r="O947" s="27" t="str">
        <f t="shared" ref="O947" si="2895">"1 RODADA"</f>
        <v>1 RODADA</v>
      </c>
      <c r="P947" s="107">
        <f t="shared" ref="P947:AI947" si="2896">IF(P945="","",IF((_xlfn.STDEV.P($P944:$XX945)/AVERAGE($P944:$XX945))&lt;=25%,P945,IF(OR(P945&gt;(AVERAGE($P944:$XX945)+_xlfn.STDEV.P($P944:$XX945)),P945&lt;(AVERAGE($P944:$XX945)-_xlfn.STDEV.P($P944:$XX945))),"DESCARTADO",P945)))</f>
        <v>1124.4000000000001</v>
      </c>
      <c r="Q947" s="107">
        <f t="shared" si="2896"/>
        <v>1377.47</v>
      </c>
      <c r="R947" s="107">
        <f t="shared" si="2896"/>
        <v>1261.8599999999999</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f t="shared" si="2821"/>
        <v>45</v>
      </c>
      <c r="C948" s="128">
        <f t="shared" si="2822"/>
        <v>1</v>
      </c>
      <c r="D948" s="127">
        <f t="shared" si="2822"/>
        <v>45</v>
      </c>
      <c r="E948" s="201"/>
      <c r="F948" s="93"/>
      <c r="G948" s="203"/>
      <c r="H948"/>
      <c r="I948"/>
      <c r="J948"/>
      <c r="L948" s="29" t="s">
        <v>38</v>
      </c>
      <c r="M948" s="30">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1254.5766666666666</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f t="shared" si="2821"/>
        <v>45</v>
      </c>
      <c r="C949" s="128">
        <f t="shared" si="2822"/>
        <v>1</v>
      </c>
      <c r="D949" s="127">
        <f t="shared" si="2822"/>
        <v>45</v>
      </c>
      <c r="E949" s="201"/>
      <c r="F949" s="93"/>
      <c r="G949" s="203"/>
      <c r="H949" s="134">
        <f t="shared" ref="H949" si="2899">COUNT($P949:$XX949)</f>
        <v>3</v>
      </c>
      <c r="I949" s="132">
        <f t="shared" ref="I949" si="2900">_xlfn.STDEV.P($P948:$XX949)/AVERAGE($P948:$XX949)</f>
        <v>8.2453053400565302E-2</v>
      </c>
      <c r="J949" s="7">
        <f t="shared" ref="J949" si="2901">IF(AND(H949&gt;2,
OR(L939="MÉDIA SANEADA",L939="MEDIANA SANEADA",
AND(L939="PREÇO ESTIMADO",NOT(AND(P941="Orçamento",COUNTA(P939:XX939)=COUNTIF(P941:XX941,"Orçamento")))))),
ROW(),0)</f>
        <v>949</v>
      </c>
      <c r="K949" s="66"/>
      <c r="L949" s="29" t="s">
        <v>362</v>
      </c>
      <c r="M949" s="30">
        <f t="shared" ref="M949" si="2902" xml:space="preserve">
IF(H947&gt;2,MEDIAN(P946:XX947),
IF(H949&gt;2,MEDIAN(P948:XX949),
IF(H951&gt;2,MEDIAN(P950:XX951),
IF(H953&gt;2,MEDIAN(P952:XX953),
IF(H955&gt;2,MEDIAN(P954:XX955),
IF(H957&gt;2,MEDIAN(P956:XX957),
MEDIAN(P944:XX945)))))))</f>
        <v>1261.8599999999999</v>
      </c>
      <c r="N949" s="71"/>
      <c r="O949" s="27" t="str">
        <f t="shared" ref="O949" si="2903">"2 RODADA"</f>
        <v>2 RODADA</v>
      </c>
      <c r="P949" s="107">
        <f t="shared" ref="P949:AI949" si="2904">IF(P947="","",IF((_xlfn.STDEV.P($P946:$XX947)/AVERAGE($P946:$XX947))&lt;=25%,P947,IF(OR(P947&gt;(AVERAGE($P946:$XX947)+_xlfn.STDEV.P($P946:$XX947)),P947&lt;(AVERAGE($P946:$XX947)-_xlfn.STDEV.P($P946:$XX947))),"DESCARTADO",P947)))</f>
        <v>1124.4000000000001</v>
      </c>
      <c r="Q949" s="107">
        <f t="shared" si="2904"/>
        <v>1377.47</v>
      </c>
      <c r="R949" s="107">
        <f t="shared" si="2904"/>
        <v>1261.8599999999999</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f t="shared" si="2821"/>
        <v>45</v>
      </c>
      <c r="C950" s="128">
        <f t="shared" si="2822"/>
        <v>1</v>
      </c>
      <c r="D950" s="127">
        <f t="shared" si="2822"/>
        <v>45</v>
      </c>
      <c r="E950" s="201"/>
      <c r="F950" s="93"/>
      <c r="G950" s="203"/>
      <c r="H950"/>
      <c r="I950"/>
      <c r="J950"/>
      <c r="K950" s="66"/>
      <c r="L950" s="29" t="s">
        <v>359</v>
      </c>
      <c r="M950" s="30">
        <f t="shared" ref="M950" si="2905">HARMEAN($P944:$XX945)</f>
        <v>1245.9440469840392</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f t="shared" si="2821"/>
        <v>45</v>
      </c>
      <c r="C951" s="128">
        <f t="shared" si="2822"/>
        <v>1</v>
      </c>
      <c r="D951" s="127">
        <f t="shared" si="2822"/>
        <v>45</v>
      </c>
      <c r="E951" s="201"/>
      <c r="F951" s="93"/>
      <c r="G951" s="203"/>
      <c r="H951" s="134">
        <f t="shared" ref="H951" si="2907">COUNT($P951:$XX951)</f>
        <v>3</v>
      </c>
      <c r="I951" s="132">
        <f t="shared" ref="I951" si="2908">_xlfn.STDEV.P($P950:$XX951)/AVERAGE($P950:$XX951)</f>
        <v>8.2453053400565302E-2</v>
      </c>
      <c r="J951" s="7">
        <f t="shared" ref="J951" si="2909">IF(AND(H951&gt;2,
OR(L939="MÉDIA SANEADA",L939="MEDIANA SANEADA",
AND(L939="PREÇO ESTIMADO",NOT(AND(P941="Orçamento",COUNTA(P939:XX939)=COUNTIF(P941:XX941,"Orçamento")))))),
ROW(),0)</f>
        <v>951</v>
      </c>
      <c r="K951" s="66"/>
      <c r="L951" s="29" t="s">
        <v>41</v>
      </c>
      <c r="M951" s="30">
        <f t="shared" ref="M951" si="2910">IFERROR(_xlfn.QUARTILE.EXC($P945:$XX945,1),"")</f>
        <v>1124.4000000000001</v>
      </c>
      <c r="N951" s="71"/>
      <c r="O951" s="27" t="str">
        <f t="shared" ref="O951" si="2911">"3 RODADA"</f>
        <v>3 RODADA</v>
      </c>
      <c r="P951" s="107">
        <f t="shared" ref="P951:AI951" si="2912">IF(P949="","",IF((_xlfn.STDEV.P($P948:$XX949)/AVERAGE($P948:$XX949))&lt;=25%,P949,IF(OR(P949&gt;(AVERAGE($P948:$XX949)+_xlfn.STDEV.P($P948:$XX949)),P949&lt;(AVERAGE($P948:$XX949)-_xlfn.STDEV.P($P948:$XX949))),"DESCARTADO",P949)))</f>
        <v>1124.4000000000001</v>
      </c>
      <c r="Q951" s="107">
        <f t="shared" si="2912"/>
        <v>1377.47</v>
      </c>
      <c r="R951" s="107">
        <f t="shared" si="2912"/>
        <v>1261.8599999999999</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f t="shared" si="2821"/>
        <v>45</v>
      </c>
      <c r="C952" s="128">
        <f t="shared" si="2822"/>
        <v>1</v>
      </c>
      <c r="D952" s="127">
        <f t="shared" si="2822"/>
        <v>45</v>
      </c>
      <c r="E952" s="201"/>
      <c r="F952" s="93"/>
      <c r="G952" s="203"/>
      <c r="H952"/>
      <c r="I952"/>
      <c r="J952"/>
      <c r="K952" s="66"/>
      <c r="L952" s="29" t="s">
        <v>39</v>
      </c>
      <c r="M952" s="30">
        <f t="shared" ref="M952" si="2913">IFERROR(_xlfn.QUARTILE.EXC($P945:$XX945,3),"")</f>
        <v>1377.47</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f t="shared" si="2821"/>
        <v>45</v>
      </c>
      <c r="C953" s="128">
        <f t="shared" si="2822"/>
        <v>1</v>
      </c>
      <c r="D953" s="127">
        <f t="shared" si="2822"/>
        <v>45</v>
      </c>
      <c r="E953" s="201"/>
      <c r="F953" s="93"/>
      <c r="G953" s="203"/>
      <c r="H953" s="134">
        <f t="shared" ref="H953" si="2915">COUNT($P953:$XX953)</f>
        <v>3</v>
      </c>
      <c r="I953" s="132">
        <f t="shared" ref="I953" si="2916">_xlfn.STDEV.P($P952:$XX953)/AVERAGE($P952:$XX953)</f>
        <v>8.2453053400565302E-2</v>
      </c>
      <c r="J953" s="7">
        <f t="shared" ref="J953" si="2917">IF(AND(H953&gt;2,
OR(L939="MÉDIA SANEADA",L939="MEDIANA SANEADA",
AND(L939="PREÇO ESTIMADO",NOT(AND(P941="Orçamento",COUNTA(P939:XX939)=COUNTIF(P941:XX941,"Orçamento")))))),
ROW(),0)</f>
        <v>953</v>
      </c>
      <c r="K953" s="66"/>
      <c r="L953" s="29" t="s">
        <v>42</v>
      </c>
      <c r="M953" s="30">
        <f t="shared" ref="M953" si="2918">MIN($P945:$XX945)</f>
        <v>1124.4000000000001</v>
      </c>
      <c r="N953" s="71"/>
      <c r="O953" s="27" t="str">
        <f t="shared" ref="O953" si="2919">"4 RODADA"</f>
        <v>4 RODADA</v>
      </c>
      <c r="P953" s="107">
        <f t="shared" ref="P953:AI953" si="2920">IF(P951="","",IF((_xlfn.STDEV.P($P950:$XX951)/AVERAGE($P950:$XX951))&lt;=25%,P951,IF(OR(P951&gt;(AVERAGE($P950:$XX951)+_xlfn.STDEV.P($P950:$XX951)),P951&lt;(AVERAGE($P950:$XX951)-_xlfn.STDEV.P($P950:$XX951))),"DESCARTADO",P951)))</f>
        <v>1124.4000000000001</v>
      </c>
      <c r="Q953" s="107">
        <f t="shared" si="2920"/>
        <v>1377.47</v>
      </c>
      <c r="R953" s="107">
        <f t="shared" si="2920"/>
        <v>1261.8599999999999</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f t="shared" si="2821"/>
        <v>45</v>
      </c>
      <c r="C954" s="128">
        <f t="shared" si="2822"/>
        <v>1</v>
      </c>
      <c r="D954" s="127">
        <f t="shared" si="2822"/>
        <v>45</v>
      </c>
      <c r="E954" s="201"/>
      <c r="F954" s="93"/>
      <c r="G954" s="203"/>
      <c r="H954"/>
      <c r="I954"/>
      <c r="J954"/>
      <c r="K954" s="66"/>
      <c r="L954" s="29" t="s">
        <v>40</v>
      </c>
      <c r="M954" s="30">
        <f t="shared" ref="M954" si="2921">MAX($P945:$XX945)</f>
        <v>1377.47</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f t="shared" si="2821"/>
        <v>45</v>
      </c>
      <c r="C955" s="128">
        <f t="shared" si="2822"/>
        <v>1</v>
      </c>
      <c r="D955" s="127">
        <f t="shared" si="2822"/>
        <v>45</v>
      </c>
      <c r="E955" s="201"/>
      <c r="F955" s="93"/>
      <c r="G955" s="203"/>
      <c r="H955" s="134">
        <f t="shared" ref="H955" si="2923">COUNT($P955:$XX955)</f>
        <v>3</v>
      </c>
      <c r="I955" s="132">
        <f t="shared" ref="I955" si="2924">_xlfn.STDEV.P($P954:$XX955)/AVERAGE($P954:$XX955)</f>
        <v>8.2453053400565302E-2</v>
      </c>
      <c r="J955" s="7">
        <f t="shared" ref="J955" si="2925">IF(AND(H955&gt;2,
OR(L939="MÉDIA SANEADA",L939="MEDIANA SANEADA",
AND(L939="PREÇO ESTIMADO",NOT(AND(P941="Orçamento",COUNTA(P939:XX939)=COUNTIF(P941:XX941,"Orçamento")))))),
ROW(),0)</f>
        <v>955</v>
      </c>
      <c r="K955" s="66"/>
      <c r="N955" s="71"/>
      <c r="O955" s="27" t="str">
        <f t="shared" ref="O955" si="2926">"5 RODADA"</f>
        <v>5 RODADA</v>
      </c>
      <c r="P955" s="107">
        <f t="shared" ref="P955:AI955" si="2927">IF(P953="","",IF((_xlfn.STDEV.P($P952:$XX953)/AVERAGE($P952:$XX953))&lt;=25%,P953,IF(OR(P953&gt;(AVERAGE($P952:$XX953)+_xlfn.STDEV.P($P952:$XX953)),P953&lt;(AVERAGE($P952:$XX953)-_xlfn.STDEV.P($P952:$XX953))),"DESCARTADO",P953)))</f>
        <v>1124.4000000000001</v>
      </c>
      <c r="Q955" s="107">
        <f t="shared" si="2927"/>
        <v>1377.47</v>
      </c>
      <c r="R955" s="107">
        <f t="shared" si="2927"/>
        <v>1261.8599999999999</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f t="shared" si="2821"/>
        <v>45</v>
      </c>
      <c r="C956" s="128">
        <f t="shared" si="2822"/>
        <v>1</v>
      </c>
      <c r="D956" s="127">
        <f t="shared" si="2822"/>
        <v>45</v>
      </c>
      <c r="E956" s="201"/>
      <c r="F956" s="93"/>
      <c r="G956" s="203"/>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f t="shared" si="2821"/>
        <v>45</v>
      </c>
      <c r="C957" s="128">
        <f t="shared" si="2822"/>
        <v>1</v>
      </c>
      <c r="D957" s="127">
        <f t="shared" si="2822"/>
        <v>45</v>
      </c>
      <c r="E957" s="201"/>
      <c r="F957" s="93"/>
      <c r="G957" s="203"/>
      <c r="H957" s="134">
        <f t="shared" ref="H957" si="2929">COUNT($P957:$XX957)</f>
        <v>3</v>
      </c>
      <c r="I957" s="132">
        <f t="shared" ref="I957" si="2930">_xlfn.STDEV.P($P956:$XX957)/AVERAGE($P956:$XX957)</f>
        <v>8.2453053400565302E-2</v>
      </c>
      <c r="J957" s="7">
        <f t="shared" ref="J957" si="2931">IF(AND(H957&gt;2,
OR(L939="MÉDIA SANEADA",L939="MEDIANA SANEADA",
AND(L939="PREÇO ESTIMADO",NOT(AND(P941="Orçamento",COUNTA(P939:XX939)=COUNTIF(P941:XX941,"Orçamento")))))),
ROW(),0)</f>
        <v>957</v>
      </c>
      <c r="N957" s="71"/>
      <c r="O957" s="27" t="str">
        <f t="shared" ref="O957" si="2932">"6 RODADA"</f>
        <v>6 RODADA</v>
      </c>
      <c r="P957" s="107">
        <f t="shared" ref="P957:AI957" si="2933">IFERROR(IF(P955="","",IF((_xlfn.STDEV.P($P954:$XX955)/AVERAGE($P954:$XX955))&lt;=25%,P955,IF(OR(P955&gt;(AVERAGE($P954:$XX955)+_xlfn.STDEV.P($P954:$XX955)),P955&lt;(AVERAGE($P954:$XX955)-_xlfn.STDEV.P($P954:$XX955))),"DESCARTADO",P955))),)</f>
        <v>1124.4000000000001</v>
      </c>
      <c r="Q957" s="107">
        <f t="shared" si="2933"/>
        <v>1377.47</v>
      </c>
      <c r="R957" s="107">
        <f t="shared" si="2933"/>
        <v>1261.8599999999999</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f t="shared" si="2821"/>
        <v>45</v>
      </c>
      <c r="C958" s="128">
        <f t="shared" si="2822"/>
        <v>1</v>
      </c>
      <c r="D958" s="127">
        <f t="shared" si="2822"/>
        <v>45</v>
      </c>
      <c r="E958" s="201"/>
      <c r="F958" s="136"/>
      <c r="G958" s="203"/>
      <c r="H958" s="206"/>
      <c r="I958" s="206"/>
      <c r="J958" s="207"/>
      <c r="K958" s="67"/>
      <c r="L958" s="1" t="s">
        <v>43</v>
      </c>
      <c r="M958" s="143">
        <f t="shared" ref="M958" si="2934">IFERROR(ROUND(M939*M941,2),"")</f>
        <v>2509.16</v>
      </c>
      <c r="O958" s="27" t="s">
        <v>363</v>
      </c>
      <c r="P958" s="107">
        <f t="shared" ref="P958:R958" si="2935">INDEX(P945:P957,MATCH(MAX($J945:$J957),$J945:$J957,0))</f>
        <v>1124.4000000000001</v>
      </c>
      <c r="Q958" s="107">
        <f t="shared" si="2935"/>
        <v>1377.47</v>
      </c>
      <c r="R958" s="107">
        <f t="shared" si="2935"/>
        <v>1261.8599999999999</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f t="shared" ref="B960" si="2936">LARGE(IFERROR(IF(B958+1&gt;$H$8,"",B958+1),""),1)</f>
        <v>46</v>
      </c>
      <c r="C960" s="127">
        <f>IF(_xlfn.ISFORMULA(E964),MAX(INDEX('BASE FORMAÇÃO'!A:A,B960+1),1),E964)</f>
        <v>1</v>
      </c>
      <c r="D960" s="127">
        <f t="shared" ref="D960" si="2937">IFERROR(IF(C960=C950,D950+1,1),1)</f>
        <v>46</v>
      </c>
      <c r="E960" s="38" t="s">
        <v>9</v>
      </c>
      <c r="F960" s="73"/>
      <c r="G960" s="38" t="s">
        <v>15</v>
      </c>
      <c r="H960" s="135">
        <f>INDEX('BASE FORMAÇÃO'!B:B,B960+1)</f>
        <v>0</v>
      </c>
      <c r="I960" s="181" t="s">
        <v>16</v>
      </c>
      <c r="J960" s="6">
        <f>INDEX('BASE FORMAÇÃO'!K:K,B960+1)</f>
        <v>0</v>
      </c>
      <c r="K960" s="65"/>
      <c r="L960" s="184" t="s">
        <v>10</v>
      </c>
      <c r="M960" s="186">
        <f t="shared" ref="M960" si="2938">IF(OR(ISBLANK($O$8),ISBLANK($O$7),ISBLANK($H$8),ISBLANK($O$6),ISBLANK($O$5),ISBLANK($H$5)),"",IFERROR(IF(VLOOKUP(L960,L966:M975,2,FALSE)&lt;1,ROUND(VLOOKUP(L960,L966:M975,2,FALSE),4),ROUND(VLOOKUP(L960,L966:M975,2,FALSE),2)),""))</f>
        <v>44.15</v>
      </c>
      <c r="N960" s="69"/>
      <c r="O960" s="27" t="s">
        <v>17</v>
      </c>
      <c r="P960" s="113">
        <v>44.2</v>
      </c>
      <c r="Q960" s="113">
        <v>46.26</v>
      </c>
      <c r="R960" s="113">
        <v>41.99</v>
      </c>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f t="shared" ref="B961:D961" si="2939">B960</f>
        <v>46</v>
      </c>
      <c r="C961" s="128">
        <f t="shared" si="2939"/>
        <v>1</v>
      </c>
      <c r="D961" s="127">
        <f t="shared" si="2939"/>
        <v>46</v>
      </c>
      <c r="E961" s="188">
        <f t="shared" ref="E961" si="2940">D960</f>
        <v>46</v>
      </c>
      <c r="F961" s="92"/>
      <c r="G961" s="190" t="s">
        <v>1</v>
      </c>
      <c r="H961" s="193" t="s">
        <v>613</v>
      </c>
      <c r="I961" s="194"/>
      <c r="J961" s="195"/>
      <c r="K961" s="66"/>
      <c r="L961" s="185"/>
      <c r="M961" s="187"/>
      <c r="N961" s="70"/>
      <c r="O961" s="27" t="s">
        <v>13</v>
      </c>
      <c r="P961" s="122">
        <v>46196</v>
      </c>
      <c r="Q961" s="122">
        <v>46196</v>
      </c>
      <c r="R961" s="122">
        <v>46196</v>
      </c>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f t="shared" ref="B962:D962" si="2941">B961</f>
        <v>46</v>
      </c>
      <c r="C962" s="128">
        <f t="shared" si="2941"/>
        <v>1</v>
      </c>
      <c r="D962" s="127">
        <f t="shared" si="2941"/>
        <v>46</v>
      </c>
      <c r="E962" s="189"/>
      <c r="F962" s="93"/>
      <c r="G962" s="191"/>
      <c r="H962" s="196"/>
      <c r="I962" s="196"/>
      <c r="J962" s="197"/>
      <c r="K962" s="64"/>
      <c r="L962" s="130" t="s">
        <v>44</v>
      </c>
      <c r="M962" s="131">
        <v>2</v>
      </c>
      <c r="N962" s="71"/>
      <c r="O962" s="27" t="s">
        <v>380</v>
      </c>
      <c r="P962" s="114" t="s">
        <v>302</v>
      </c>
      <c r="Q962" s="114" t="s">
        <v>302</v>
      </c>
      <c r="R962" s="114" t="s">
        <v>302</v>
      </c>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f t="shared" ref="B963:C963" si="2942">B962</f>
        <v>46</v>
      </c>
      <c r="C963" s="128">
        <f t="shared" si="2942"/>
        <v>1</v>
      </c>
      <c r="D963" s="127">
        <f t="shared" si="2822"/>
        <v>46</v>
      </c>
      <c r="E963" s="38" t="s">
        <v>313</v>
      </c>
      <c r="F963" s="93"/>
      <c r="G963" s="192"/>
      <c r="H963" s="198"/>
      <c r="I963" s="198"/>
      <c r="J963" s="199"/>
      <c r="K963" s="64"/>
      <c r="L963" s="1" t="s">
        <v>2</v>
      </c>
      <c r="M963" s="6" t="s">
        <v>288</v>
      </c>
      <c r="N963" s="71"/>
      <c r="O963" s="27" t="s">
        <v>381</v>
      </c>
      <c r="P963" s="182" t="s">
        <v>614</v>
      </c>
      <c r="Q963" s="182" t="s">
        <v>615</v>
      </c>
      <c r="R963" s="182" t="s">
        <v>616</v>
      </c>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f t="shared" ref="B964:C964" si="2943">B962</f>
        <v>46</v>
      </c>
      <c r="C964" s="128">
        <f t="shared" si="2943"/>
        <v>1</v>
      </c>
      <c r="D964" s="127">
        <f t="shared" si="2822"/>
        <v>46</v>
      </c>
      <c r="E964" s="200">
        <f t="shared" ref="E964" si="2944">C960</f>
        <v>1</v>
      </c>
      <c r="F964" s="93"/>
      <c r="G964" s="202" t="s">
        <v>304</v>
      </c>
      <c r="H964" s="204"/>
      <c r="I964" s="205"/>
      <c r="J964" s="205"/>
      <c r="K964" s="67"/>
      <c r="L964" s="28" t="s">
        <v>303</v>
      </c>
      <c r="M964" s="133">
        <f t="shared" ref="M964" si="2945">IFERROR(INDEX(I966:I978,MATCH(MAX(J966:J978),J966:J978,0)),"")</f>
        <v>3.9492156178692589E-2</v>
      </c>
      <c r="N964" s="71"/>
      <c r="O964" s="27" t="s">
        <v>18</v>
      </c>
      <c r="P964" s="106">
        <f>IF(P960="","",
IF(OR(P962="Orçamento",P961="",MAX('Tabela de Apoio'!$A:$A)&lt;=P961),
P960,
(INDEX('Tabela de Apoio'!$B:$B,MATCH('MAPA DE PREÇOS'!$O$8,'Tabela de Apoio'!$A:$A,1))/INDEX('Tabela de Apoio'!$B:$B,MATCH('MAPA DE PREÇOS'!P961,'Tabela de Apoio'!$A:$A,1)-1))*P960))</f>
        <v>44.2</v>
      </c>
      <c r="Q964" s="106">
        <f>IF(Q960="","",
IF(OR(Q962="Orçamento",Q961="",MAX('Tabela de Apoio'!$A:$A)&lt;=Q961),
Q960,
(INDEX('Tabela de Apoio'!$B:$B,MATCH('MAPA DE PREÇOS'!$O$8,'Tabela de Apoio'!$A:$A,1))/INDEX('Tabela de Apoio'!$B:$B,MATCH('MAPA DE PREÇOS'!Q961,'Tabela de Apoio'!$A:$A,1)-1))*Q960))</f>
        <v>46.26</v>
      </c>
      <c r="R964" s="106">
        <f>IF(R960="","",
IF(OR(R962="Orçamento",R961="",MAX('Tabela de Apoio'!$A:$A)&lt;=R961),
R960,
(INDEX('Tabela de Apoio'!$B:$B,MATCH('MAPA DE PREÇOS'!$O$8,'Tabela de Apoio'!$A:$A,1))/INDEX('Tabela de Apoio'!$B:$B,MATCH('MAPA DE PREÇOS'!R961,'Tabela de Apoio'!$A:$A,1)-1))*R960))</f>
        <v>41.99</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f t="shared" ref="B965" si="2946">B964</f>
        <v>46</v>
      </c>
      <c r="C965" s="128">
        <f t="shared" ref="C965" si="2947">C964</f>
        <v>1</v>
      </c>
      <c r="D965" s="127">
        <f t="shared" si="2822"/>
        <v>46</v>
      </c>
      <c r="E965" s="201"/>
      <c r="F965" s="93"/>
      <c r="G965" s="203"/>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f t="shared" ref="B966:C966" si="2948">B965</f>
        <v>46</v>
      </c>
      <c r="C966" s="128">
        <f t="shared" si="2948"/>
        <v>1</v>
      </c>
      <c r="D966" s="127">
        <f t="shared" si="2822"/>
        <v>46</v>
      </c>
      <c r="E966" s="201"/>
      <c r="F966" s="93"/>
      <c r="G966" s="203"/>
      <c r="H966" s="134">
        <f t="shared" ref="H966" si="2949">COUNT($P966:$XX966)</f>
        <v>3</v>
      </c>
      <c r="I966" s="132">
        <f t="shared" ref="I966" si="2950">_xlfn.STDEV.P($P965:$XX966)/AVERAGE($P965:$XX966)</f>
        <v>3.9492156178692589E-2</v>
      </c>
      <c r="J966" s="7">
        <f>ROW()</f>
        <v>966</v>
      </c>
      <c r="K966" s="67"/>
      <c r="L966" s="29" t="s">
        <v>10</v>
      </c>
      <c r="M966" s="30">
        <f t="shared" ref="M966" si="2951">IFERROR(
IF(COUNTA(P960:AI960)=COUNTIF(P962:XX962,"Orçamento"),MIN(M971,M968),
IF(M969&lt;&gt;"",M969,
IF(M970&lt;&gt;"",M970,
M968
))),"")</f>
        <v>44.150000000000006</v>
      </c>
      <c r="N966" s="71"/>
      <c r="O966" s="27" t="s">
        <v>376</v>
      </c>
      <c r="P966" s="106">
        <f t="shared" ref="P966:AI966" si="2952">IFERROR(IF(P964="",
            "",
            IF(COUNT($P964:$XX964)&lt;=4,
               P964,
               IF(OR(P964&gt;(QUARTILE($P964:$XX964,3)+(QUARTILE($P964:$XX964,3)-QUARTILE($P964:$XX964,1))),
                     P964&lt;(QUARTILE($P964:$XX964,1)-(QUARTILE($P964:$XX964,3)-QUARTILE($P964:$XX964,1)))
                  ),
               "DESCARTADO",P964)
             )
  ),P964)</f>
        <v>44.2</v>
      </c>
      <c r="Q966" s="106">
        <f t="shared" si="2952"/>
        <v>46.26</v>
      </c>
      <c r="R966" s="106">
        <f t="shared" si="2952"/>
        <v>41.99</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f t="shared" ref="B967" si="2953">B966</f>
        <v>46</v>
      </c>
      <c r="C967" s="128">
        <f t="shared" ref="C967" si="2954">C966</f>
        <v>1</v>
      </c>
      <c r="D967" s="127">
        <f t="shared" si="2822"/>
        <v>46</v>
      </c>
      <c r="E967" s="201"/>
      <c r="F967" s="93"/>
      <c r="G967" s="203"/>
      <c r="H967"/>
      <c r="I967"/>
      <c r="J967"/>
      <c r="K967" s="66"/>
      <c r="L967" s="29" t="s">
        <v>360</v>
      </c>
      <c r="M967" s="30">
        <f t="shared" ref="M967" si="2955">AVERAGE($P966:$XX966)</f>
        <v>44.150000000000006</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f t="shared" si="2821"/>
        <v>46</v>
      </c>
      <c r="C968" s="128">
        <f t="shared" si="2822"/>
        <v>1</v>
      </c>
      <c r="D968" s="127">
        <f t="shared" si="2822"/>
        <v>46</v>
      </c>
      <c r="E968" s="201"/>
      <c r="F968" s="93"/>
      <c r="G968" s="203"/>
      <c r="H968" s="134">
        <f t="shared" ref="H968" si="2957">COUNT($P968:$XX968)</f>
        <v>3</v>
      </c>
      <c r="I968" s="132">
        <f t="shared" ref="I968" si="2958">_xlfn.STDEV.P($P967:$XX968)/AVERAGE($P967:$XX968)</f>
        <v>3.9492156178692589E-2</v>
      </c>
      <c r="J968" s="7">
        <f t="shared" ref="J968" si="2959">IF(AND(H968&gt;2,
OR(L960="MÉDIA SANEADA",L960="MEDIANA SANEADA",
AND(L960="PREÇO ESTIMADO",NOT(AND(P962="Orçamento",COUNTA(P960:XX960)=COUNTIF(P962:XX962,"Orçamento")))))),
ROW(),0)</f>
        <v>968</v>
      </c>
      <c r="K968" s="66"/>
      <c r="L968" s="29" t="s">
        <v>361</v>
      </c>
      <c r="M968" s="30">
        <f t="shared" ref="M968" si="2960">MEDIAN($P966:$XX966)</f>
        <v>44.2</v>
      </c>
      <c r="N968" s="71"/>
      <c r="O968" s="27" t="str">
        <f t="shared" ref="O968" si="2961">"1 RODADA"</f>
        <v>1 RODADA</v>
      </c>
      <c r="P968" s="107">
        <f t="shared" ref="P968:AI968" si="2962">IF(P966="","",IF((_xlfn.STDEV.P($P965:$XX966)/AVERAGE($P965:$XX966))&lt;=25%,P966,IF(OR(P966&gt;(AVERAGE($P965:$XX966)+_xlfn.STDEV.P($P965:$XX966)),P966&lt;(AVERAGE($P965:$XX966)-_xlfn.STDEV.P($P965:$XX966))),"DESCARTADO",P966)))</f>
        <v>44.2</v>
      </c>
      <c r="Q968" s="107">
        <f t="shared" si="2962"/>
        <v>46.26</v>
      </c>
      <c r="R968" s="107">
        <f t="shared" si="2962"/>
        <v>41.99</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f t="shared" si="2821"/>
        <v>46</v>
      </c>
      <c r="C969" s="128">
        <f t="shared" si="2822"/>
        <v>1</v>
      </c>
      <c r="D969" s="127">
        <f t="shared" si="2822"/>
        <v>46</v>
      </c>
      <c r="E969" s="201"/>
      <c r="F969" s="93"/>
      <c r="G969" s="203"/>
      <c r="H969"/>
      <c r="I969"/>
      <c r="J969"/>
      <c r="L969" s="29" t="s">
        <v>38</v>
      </c>
      <c r="M969" s="30">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44.150000000000006</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f t="shared" si="2821"/>
        <v>46</v>
      </c>
      <c r="C970" s="128">
        <f t="shared" si="2822"/>
        <v>1</v>
      </c>
      <c r="D970" s="127">
        <f t="shared" si="2822"/>
        <v>46</v>
      </c>
      <c r="E970" s="201"/>
      <c r="F970" s="93"/>
      <c r="G970" s="203"/>
      <c r="H970" s="134">
        <f t="shared" ref="H970" si="2965">COUNT($P970:$XX970)</f>
        <v>3</v>
      </c>
      <c r="I970" s="132">
        <f t="shared" ref="I970" si="2966">_xlfn.STDEV.P($P969:$XX970)/AVERAGE($P969:$XX970)</f>
        <v>3.9492156178692589E-2</v>
      </c>
      <c r="J970" s="7">
        <f t="shared" ref="J970" si="2967">IF(AND(H970&gt;2,
OR(L960="MÉDIA SANEADA",L960="MEDIANA SANEADA",
AND(L960="PREÇO ESTIMADO",NOT(AND(P962="Orçamento",COUNTA(P960:XX960)=COUNTIF(P962:XX962,"Orçamento")))))),
ROW(),0)</f>
        <v>970</v>
      </c>
      <c r="K970" s="66"/>
      <c r="L970" s="29" t="s">
        <v>362</v>
      </c>
      <c r="M970" s="30">
        <f t="shared" ref="M970" si="2968" xml:space="preserve">
IF(H968&gt;2,MEDIAN(P967:XX968),
IF(H970&gt;2,MEDIAN(P969:XX970),
IF(H972&gt;2,MEDIAN(P971:XX972),
IF(H974&gt;2,MEDIAN(P973:XX974),
IF(H976&gt;2,MEDIAN(P975:XX976),
IF(H978&gt;2,MEDIAN(P977:XX978),
MEDIAN(P965:XX966)))))))</f>
        <v>44.2</v>
      </c>
      <c r="N970" s="71"/>
      <c r="O970" s="27" t="str">
        <f t="shared" ref="O970" si="2969">"2 RODADA"</f>
        <v>2 RODADA</v>
      </c>
      <c r="P970" s="107">
        <f t="shared" ref="P970:AI970" si="2970">IF(P968="","",IF((_xlfn.STDEV.P($P967:$XX968)/AVERAGE($P967:$XX968))&lt;=25%,P968,IF(OR(P968&gt;(AVERAGE($P967:$XX968)+_xlfn.STDEV.P($P967:$XX968)),P968&lt;(AVERAGE($P967:$XX968)-_xlfn.STDEV.P($P967:$XX968))),"DESCARTADO",P968)))</f>
        <v>44.2</v>
      </c>
      <c r="Q970" s="107">
        <f t="shared" si="2970"/>
        <v>46.26</v>
      </c>
      <c r="R970" s="107">
        <f t="shared" si="2970"/>
        <v>41.99</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f t="shared" si="2821"/>
        <v>46</v>
      </c>
      <c r="C971" s="128">
        <f t="shared" si="2822"/>
        <v>1</v>
      </c>
      <c r="D971" s="127">
        <f t="shared" si="2822"/>
        <v>46</v>
      </c>
      <c r="E971" s="201"/>
      <c r="F971" s="93"/>
      <c r="G971" s="203"/>
      <c r="H971"/>
      <c r="I971"/>
      <c r="J971"/>
      <c r="K971" s="66"/>
      <c r="L971" s="29" t="s">
        <v>359</v>
      </c>
      <c r="M971" s="30">
        <f t="shared" ref="M971" si="2971">HARMEAN($P965:$XX966)</f>
        <v>44.08097158029306</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f t="shared" si="2821"/>
        <v>46</v>
      </c>
      <c r="C972" s="128">
        <f t="shared" si="2822"/>
        <v>1</v>
      </c>
      <c r="D972" s="127">
        <f t="shared" si="2822"/>
        <v>46</v>
      </c>
      <c r="E972" s="201"/>
      <c r="F972" s="93"/>
      <c r="G972" s="203"/>
      <c r="H972" s="134">
        <f t="shared" ref="H972" si="2973">COUNT($P972:$XX972)</f>
        <v>3</v>
      </c>
      <c r="I972" s="132">
        <f t="shared" ref="I972" si="2974">_xlfn.STDEV.P($P971:$XX972)/AVERAGE($P971:$XX972)</f>
        <v>3.9492156178692589E-2</v>
      </c>
      <c r="J972" s="7">
        <f t="shared" ref="J972" si="2975">IF(AND(H972&gt;2,
OR(L960="MÉDIA SANEADA",L960="MEDIANA SANEADA",
AND(L960="PREÇO ESTIMADO",NOT(AND(P962="Orçamento",COUNTA(P960:XX960)=COUNTIF(P962:XX962,"Orçamento")))))),
ROW(),0)</f>
        <v>972</v>
      </c>
      <c r="K972" s="66"/>
      <c r="L972" s="29" t="s">
        <v>41</v>
      </c>
      <c r="M972" s="30">
        <f t="shared" ref="M972" si="2976">IFERROR(_xlfn.QUARTILE.EXC($P966:$XX966,1),"")</f>
        <v>41.99</v>
      </c>
      <c r="N972" s="71"/>
      <c r="O972" s="27" t="str">
        <f t="shared" ref="O972" si="2977">"3 RODADA"</f>
        <v>3 RODADA</v>
      </c>
      <c r="P972" s="107">
        <f t="shared" ref="P972:AI972" si="2978">IF(P970="","",IF((_xlfn.STDEV.P($P969:$XX970)/AVERAGE($P969:$XX970))&lt;=25%,P970,IF(OR(P970&gt;(AVERAGE($P969:$XX970)+_xlfn.STDEV.P($P969:$XX970)),P970&lt;(AVERAGE($P969:$XX970)-_xlfn.STDEV.P($P969:$XX970))),"DESCARTADO",P970)))</f>
        <v>44.2</v>
      </c>
      <c r="Q972" s="107">
        <f t="shared" si="2978"/>
        <v>46.26</v>
      </c>
      <c r="R972" s="107">
        <f t="shared" si="2978"/>
        <v>41.99</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f t="shared" si="2821"/>
        <v>46</v>
      </c>
      <c r="C973" s="128">
        <f t="shared" si="2822"/>
        <v>1</v>
      </c>
      <c r="D973" s="127">
        <f t="shared" si="2822"/>
        <v>46</v>
      </c>
      <c r="E973" s="201"/>
      <c r="F973" s="93"/>
      <c r="G973" s="203"/>
      <c r="H973"/>
      <c r="I973"/>
      <c r="J973"/>
      <c r="K973" s="66"/>
      <c r="L973" s="29" t="s">
        <v>39</v>
      </c>
      <c r="M973" s="30">
        <f t="shared" ref="M973" si="2979">IFERROR(_xlfn.QUARTILE.EXC($P966:$XX966,3),"")</f>
        <v>46.26</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f t="shared" si="2821"/>
        <v>46</v>
      </c>
      <c r="C974" s="128">
        <f t="shared" si="2822"/>
        <v>1</v>
      </c>
      <c r="D974" s="127">
        <f t="shared" si="2822"/>
        <v>46</v>
      </c>
      <c r="E974" s="201"/>
      <c r="F974" s="93"/>
      <c r="G974" s="203"/>
      <c r="H974" s="134">
        <f t="shared" ref="H974" si="2981">COUNT($P974:$XX974)</f>
        <v>3</v>
      </c>
      <c r="I974" s="132">
        <f t="shared" ref="I974" si="2982">_xlfn.STDEV.P($P973:$XX974)/AVERAGE($P973:$XX974)</f>
        <v>3.9492156178692589E-2</v>
      </c>
      <c r="J974" s="7">
        <f t="shared" ref="J974" si="2983">IF(AND(H974&gt;2,
OR(L960="MÉDIA SANEADA",L960="MEDIANA SANEADA",
AND(L960="PREÇO ESTIMADO",NOT(AND(P962="Orçamento",COUNTA(P960:XX960)=COUNTIF(P962:XX962,"Orçamento")))))),
ROW(),0)</f>
        <v>974</v>
      </c>
      <c r="K974" s="66"/>
      <c r="L974" s="29" t="s">
        <v>42</v>
      </c>
      <c r="M974" s="30">
        <f t="shared" ref="M974" si="2984">MIN($P966:$XX966)</f>
        <v>41.99</v>
      </c>
      <c r="N974" s="71"/>
      <c r="O974" s="27" t="str">
        <f t="shared" ref="O974" si="2985">"4 RODADA"</f>
        <v>4 RODADA</v>
      </c>
      <c r="P974" s="107">
        <f t="shared" ref="P974:AI974" si="2986">IF(P972="","",IF((_xlfn.STDEV.P($P971:$XX972)/AVERAGE($P971:$XX972))&lt;=25%,P972,IF(OR(P972&gt;(AVERAGE($P971:$XX972)+_xlfn.STDEV.P($P971:$XX972)),P972&lt;(AVERAGE($P971:$XX972)-_xlfn.STDEV.P($P971:$XX972))),"DESCARTADO",P972)))</f>
        <v>44.2</v>
      </c>
      <c r="Q974" s="107">
        <f t="shared" si="2986"/>
        <v>46.26</v>
      </c>
      <c r="R974" s="107">
        <f t="shared" si="2986"/>
        <v>41.99</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f t="shared" si="2821"/>
        <v>46</v>
      </c>
      <c r="C975" s="128">
        <f t="shared" si="2822"/>
        <v>1</v>
      </c>
      <c r="D975" s="127">
        <f t="shared" si="2822"/>
        <v>46</v>
      </c>
      <c r="E975" s="201"/>
      <c r="F975" s="93"/>
      <c r="G975" s="203"/>
      <c r="H975"/>
      <c r="I975"/>
      <c r="J975"/>
      <c r="K975" s="66"/>
      <c r="L975" s="29" t="s">
        <v>40</v>
      </c>
      <c r="M975" s="30">
        <f t="shared" ref="M975" si="2987">MAX($P966:$XX966)</f>
        <v>46.26</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f t="shared" si="2821"/>
        <v>46</v>
      </c>
      <c r="C976" s="128">
        <f t="shared" si="2822"/>
        <v>1</v>
      </c>
      <c r="D976" s="127">
        <f t="shared" si="2822"/>
        <v>46</v>
      </c>
      <c r="E976" s="201"/>
      <c r="F976" s="93"/>
      <c r="G976" s="203"/>
      <c r="H976" s="134">
        <f t="shared" ref="H976" si="2989">COUNT($P976:$XX976)</f>
        <v>3</v>
      </c>
      <c r="I976" s="132">
        <f t="shared" ref="I976" si="2990">_xlfn.STDEV.P($P975:$XX976)/AVERAGE($P975:$XX976)</f>
        <v>3.9492156178692589E-2</v>
      </c>
      <c r="J976" s="7">
        <f t="shared" ref="J976" si="2991">IF(AND(H976&gt;2,
OR(L960="MÉDIA SANEADA",L960="MEDIANA SANEADA",
AND(L960="PREÇO ESTIMADO",NOT(AND(P962="Orçamento",COUNTA(P960:XX960)=COUNTIF(P962:XX962,"Orçamento")))))),
ROW(),0)</f>
        <v>976</v>
      </c>
      <c r="K976" s="66"/>
      <c r="N976" s="71"/>
      <c r="O976" s="27" t="str">
        <f t="shared" ref="O976" si="2992">"5 RODADA"</f>
        <v>5 RODADA</v>
      </c>
      <c r="P976" s="107">
        <f t="shared" ref="P976:AI976" si="2993">IF(P974="","",IF((_xlfn.STDEV.P($P973:$XX974)/AVERAGE($P973:$XX974))&lt;=25%,P974,IF(OR(P974&gt;(AVERAGE($P973:$XX974)+_xlfn.STDEV.P($P973:$XX974)),P974&lt;(AVERAGE($P973:$XX974)-_xlfn.STDEV.P($P973:$XX974))),"DESCARTADO",P974)))</f>
        <v>44.2</v>
      </c>
      <c r="Q976" s="107">
        <f t="shared" si="2993"/>
        <v>46.26</v>
      </c>
      <c r="R976" s="107">
        <f t="shared" si="2993"/>
        <v>41.99</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f t="shared" si="2821"/>
        <v>46</v>
      </c>
      <c r="C977" s="128">
        <f t="shared" si="2822"/>
        <v>1</v>
      </c>
      <c r="D977" s="127">
        <f t="shared" si="2822"/>
        <v>46</v>
      </c>
      <c r="E977" s="201"/>
      <c r="F977" s="93"/>
      <c r="G977" s="203"/>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f t="shared" si="2821"/>
        <v>46</v>
      </c>
      <c r="C978" s="128">
        <f t="shared" si="2822"/>
        <v>1</v>
      </c>
      <c r="D978" s="127">
        <f t="shared" si="2822"/>
        <v>46</v>
      </c>
      <c r="E978" s="201"/>
      <c r="F978" s="93"/>
      <c r="G978" s="203"/>
      <c r="H978" s="134">
        <f t="shared" ref="H978" si="2995">COUNT($P978:$XX978)</f>
        <v>3</v>
      </c>
      <c r="I978" s="132">
        <f t="shared" ref="I978" si="2996">_xlfn.STDEV.P($P977:$XX978)/AVERAGE($P977:$XX978)</f>
        <v>3.9492156178692589E-2</v>
      </c>
      <c r="J978" s="7">
        <f t="shared" ref="J978" si="2997">IF(AND(H978&gt;2,
OR(L960="MÉDIA SANEADA",L960="MEDIANA SANEADA",
AND(L960="PREÇO ESTIMADO",NOT(AND(P962="Orçamento",COUNTA(P960:XX960)=COUNTIF(P962:XX962,"Orçamento")))))),
ROW(),0)</f>
        <v>978</v>
      </c>
      <c r="N978" s="71"/>
      <c r="O978" s="27" t="str">
        <f t="shared" ref="O978" si="2998">"6 RODADA"</f>
        <v>6 RODADA</v>
      </c>
      <c r="P978" s="107">
        <f t="shared" ref="P978:AI978" si="2999">IFERROR(IF(P976="","",IF((_xlfn.STDEV.P($P975:$XX976)/AVERAGE($P975:$XX976))&lt;=25%,P976,IF(OR(P976&gt;(AVERAGE($P975:$XX976)+_xlfn.STDEV.P($P975:$XX976)),P976&lt;(AVERAGE($P975:$XX976)-_xlfn.STDEV.P($P975:$XX976))),"DESCARTADO",P976))),)</f>
        <v>44.2</v>
      </c>
      <c r="Q978" s="107">
        <f t="shared" si="2999"/>
        <v>46.26</v>
      </c>
      <c r="R978" s="107">
        <f t="shared" si="2999"/>
        <v>41.99</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f t="shared" si="2821"/>
        <v>46</v>
      </c>
      <c r="C979" s="128">
        <f t="shared" si="2822"/>
        <v>1</v>
      </c>
      <c r="D979" s="127">
        <f t="shared" si="2822"/>
        <v>46</v>
      </c>
      <c r="E979" s="201"/>
      <c r="F979" s="136"/>
      <c r="G979" s="203"/>
      <c r="H979" s="206"/>
      <c r="I979" s="206"/>
      <c r="J979" s="207"/>
      <c r="K979" s="67"/>
      <c r="L979" s="1" t="s">
        <v>43</v>
      </c>
      <c r="M979" s="143">
        <f t="shared" ref="M979" si="3000">IFERROR(ROUND(M960*M962,2),"")</f>
        <v>88.3</v>
      </c>
      <c r="O979" s="27" t="s">
        <v>363</v>
      </c>
      <c r="P979" s="107">
        <f t="shared" ref="P979:AI1000" si="3001">INDEX(P966:P978,MATCH(MAX($J966:$J978),$J966:$J978,0))</f>
        <v>44.2</v>
      </c>
      <c r="Q979" s="107">
        <f t="shared" si="3001"/>
        <v>46.26</v>
      </c>
      <c r="R979" s="107">
        <f t="shared" si="3001"/>
        <v>41.99</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f t="shared" ref="B981" si="3002">LARGE(IFERROR(IF(B979+1&gt;$H$8,"",B979+1),""),1)</f>
        <v>47</v>
      </c>
      <c r="C981" s="127">
        <f>IF(_xlfn.ISFORMULA(E985),MAX(INDEX('BASE FORMAÇÃO'!A:A,B981+1),1),E985)</f>
        <v>1</v>
      </c>
      <c r="D981" s="127">
        <f t="shared" ref="D981" si="3003">IFERROR(IF(C981=C971,D971+1,1),1)</f>
        <v>47</v>
      </c>
      <c r="E981" s="38" t="s">
        <v>9</v>
      </c>
      <c r="F981" s="73"/>
      <c r="G981" s="38" t="s">
        <v>15</v>
      </c>
      <c r="H981" s="135">
        <f>INDEX('BASE FORMAÇÃO'!B:B,B981+1)</f>
        <v>0</v>
      </c>
      <c r="I981" s="181" t="s">
        <v>16</v>
      </c>
      <c r="J981" s="6">
        <f>INDEX('BASE FORMAÇÃO'!K:K,B981+1)</f>
        <v>0</v>
      </c>
      <c r="K981" s="65"/>
      <c r="L981" s="184" t="s">
        <v>10</v>
      </c>
      <c r="M981" s="186">
        <f t="shared" ref="M981" si="3004">IF(OR(ISBLANK($O$8),ISBLANK($O$7),ISBLANK($H$8),ISBLANK($O$6),ISBLANK($O$5),ISBLANK($H$5)),"",IFERROR(IF(VLOOKUP(L981,L987:M996,2,FALSE)&lt;1,ROUND(VLOOKUP(L981,L987:M996,2,FALSE),4),ROUND(VLOOKUP(L981,L987:M996,2,FALSE),2)),""))</f>
        <v>57</v>
      </c>
      <c r="N981" s="69"/>
      <c r="O981" s="27" t="s">
        <v>17</v>
      </c>
      <c r="P981" s="113">
        <v>49.9</v>
      </c>
      <c r="Q981" s="113">
        <v>67.09</v>
      </c>
      <c r="R981" s="113">
        <v>54</v>
      </c>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f t="shared" ref="B982:D982" si="3005">B981</f>
        <v>47</v>
      </c>
      <c r="C982" s="128">
        <f t="shared" si="3005"/>
        <v>1</v>
      </c>
      <c r="D982" s="127">
        <f t="shared" si="3005"/>
        <v>47</v>
      </c>
      <c r="E982" s="188">
        <f t="shared" ref="E982" si="3006">D981</f>
        <v>47</v>
      </c>
      <c r="F982" s="92"/>
      <c r="G982" s="190" t="s">
        <v>1</v>
      </c>
      <c r="H982" s="193" t="s">
        <v>617</v>
      </c>
      <c r="I982" s="194"/>
      <c r="J982" s="195"/>
      <c r="K982" s="66"/>
      <c r="L982" s="185"/>
      <c r="M982" s="187"/>
      <c r="N982" s="70"/>
      <c r="O982" s="27" t="s">
        <v>13</v>
      </c>
      <c r="P982" s="122">
        <v>46196</v>
      </c>
      <c r="Q982" s="122">
        <v>46196</v>
      </c>
      <c r="R982" s="122">
        <v>46196</v>
      </c>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f t="shared" ref="B983:D983" si="3007">B982</f>
        <v>47</v>
      </c>
      <c r="C983" s="128">
        <f t="shared" si="3007"/>
        <v>1</v>
      </c>
      <c r="D983" s="127">
        <f t="shared" si="3007"/>
        <v>47</v>
      </c>
      <c r="E983" s="189"/>
      <c r="F983" s="93"/>
      <c r="G983" s="191"/>
      <c r="H983" s="196"/>
      <c r="I983" s="196"/>
      <c r="J983" s="197"/>
      <c r="K983" s="64"/>
      <c r="L983" s="130" t="s">
        <v>44</v>
      </c>
      <c r="M983" s="131">
        <v>2</v>
      </c>
      <c r="N983" s="71"/>
      <c r="O983" s="27" t="s">
        <v>380</v>
      </c>
      <c r="P983" s="114" t="s">
        <v>302</v>
      </c>
      <c r="Q983" s="114" t="s">
        <v>302</v>
      </c>
      <c r="R983" s="114" t="s">
        <v>302</v>
      </c>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f t="shared" ref="B984:C984" si="3008">B983</f>
        <v>47</v>
      </c>
      <c r="C984" s="128">
        <f t="shared" si="3008"/>
        <v>1</v>
      </c>
      <c r="D984" s="127">
        <f t="shared" si="2822"/>
        <v>47</v>
      </c>
      <c r="E984" s="38" t="s">
        <v>313</v>
      </c>
      <c r="F984" s="93"/>
      <c r="G984" s="192"/>
      <c r="H984" s="198"/>
      <c r="I984" s="198"/>
      <c r="J984" s="199"/>
      <c r="K984" s="64"/>
      <c r="L984" s="1" t="s">
        <v>2</v>
      </c>
      <c r="M984" s="6" t="s">
        <v>288</v>
      </c>
      <c r="N984" s="71"/>
      <c r="O984" s="27" t="s">
        <v>381</v>
      </c>
      <c r="P984" s="182" t="s">
        <v>618</v>
      </c>
      <c r="Q984" s="182" t="s">
        <v>619</v>
      </c>
      <c r="R984" s="182" t="s">
        <v>620</v>
      </c>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f t="shared" ref="B985:C985" si="3009">B983</f>
        <v>47</v>
      </c>
      <c r="C985" s="128">
        <f t="shared" si="3009"/>
        <v>1</v>
      </c>
      <c r="D985" s="127">
        <f t="shared" si="2822"/>
        <v>47</v>
      </c>
      <c r="E985" s="200">
        <f t="shared" ref="E985" si="3010">C981</f>
        <v>1</v>
      </c>
      <c r="F985" s="93"/>
      <c r="G985" s="202" t="s">
        <v>304</v>
      </c>
      <c r="H985" s="204"/>
      <c r="I985" s="205"/>
      <c r="J985" s="205"/>
      <c r="K985" s="67"/>
      <c r="L985" s="28" t="s">
        <v>303</v>
      </c>
      <c r="M985" s="133">
        <f t="shared" ref="M985" si="3011">IFERROR(INDEX(I987:I999,MATCH(MAX(J987:J999),J987:J999,0)),"")</f>
        <v>0.12861652438640969</v>
      </c>
      <c r="N985" s="71"/>
      <c r="O985" s="27" t="s">
        <v>18</v>
      </c>
      <c r="P985" s="106">
        <f>IF(P981="","",
IF(OR(P983="Orçamento",P982="",MAX('Tabela de Apoio'!$A:$A)&lt;=P982),
P981,
(INDEX('Tabela de Apoio'!$B:$B,MATCH('MAPA DE PREÇOS'!$O$8,'Tabela de Apoio'!$A:$A,1))/INDEX('Tabela de Apoio'!$B:$B,MATCH('MAPA DE PREÇOS'!P982,'Tabela de Apoio'!$A:$A,1)-1))*P981))</f>
        <v>49.9</v>
      </c>
      <c r="Q985" s="106">
        <f>IF(Q981="","",
IF(OR(Q983="Orçamento",Q982="",MAX('Tabela de Apoio'!$A:$A)&lt;=Q982),
Q981,
(INDEX('Tabela de Apoio'!$B:$B,MATCH('MAPA DE PREÇOS'!$O$8,'Tabela de Apoio'!$A:$A,1))/INDEX('Tabela de Apoio'!$B:$B,MATCH('MAPA DE PREÇOS'!Q982,'Tabela de Apoio'!$A:$A,1)-1))*Q981))</f>
        <v>67.09</v>
      </c>
      <c r="R985" s="106">
        <f>IF(R981="","",
IF(OR(R983="Orçamento",R982="",MAX('Tabela de Apoio'!$A:$A)&lt;=R982),
R981,
(INDEX('Tabela de Apoio'!$B:$B,MATCH('MAPA DE PREÇOS'!$O$8,'Tabela de Apoio'!$A:$A,1))/INDEX('Tabela de Apoio'!$B:$B,MATCH('MAPA DE PREÇOS'!R982,'Tabela de Apoio'!$A:$A,1)-1))*R981))</f>
        <v>54</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f t="shared" ref="B986" si="3012">B985</f>
        <v>47</v>
      </c>
      <c r="C986" s="128">
        <f t="shared" ref="C986" si="3013">C985</f>
        <v>1</v>
      </c>
      <c r="D986" s="127">
        <f t="shared" si="2822"/>
        <v>47</v>
      </c>
      <c r="E986" s="201"/>
      <c r="F986" s="93"/>
      <c r="G986" s="203"/>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f t="shared" ref="B987:C987" si="3014">B986</f>
        <v>47</v>
      </c>
      <c r="C987" s="128">
        <f t="shared" si="3014"/>
        <v>1</v>
      </c>
      <c r="D987" s="127">
        <f t="shared" si="2822"/>
        <v>47</v>
      </c>
      <c r="E987" s="201"/>
      <c r="F987" s="93"/>
      <c r="G987" s="203"/>
      <c r="H987" s="134">
        <f t="shared" ref="H987" si="3015">COUNT($P987:$XX987)</f>
        <v>3</v>
      </c>
      <c r="I987" s="132">
        <f t="shared" ref="I987" si="3016">_xlfn.STDEV.P($P986:$XX987)/AVERAGE($P986:$XX987)</f>
        <v>0.12861652438640969</v>
      </c>
      <c r="J987" s="7">
        <f>ROW()</f>
        <v>987</v>
      </c>
      <c r="K987" s="67"/>
      <c r="L987" s="29" t="s">
        <v>10</v>
      </c>
      <c r="M987" s="30">
        <f t="shared" ref="M987" si="3017">IFERROR(
IF(COUNTA(P981:AI981)=COUNTIF(P983:XX983,"Orçamento"),MIN(M992,M989),
IF(M990&lt;&gt;"",M990,
IF(M991&lt;&gt;"",M991,
M989
))),"")</f>
        <v>56.99666666666667</v>
      </c>
      <c r="N987" s="71"/>
      <c r="O987" s="27" t="s">
        <v>376</v>
      </c>
      <c r="P987" s="106">
        <f t="shared" ref="P987:AI987" si="3018">IFERROR(IF(P985="",
            "",
            IF(COUNT($P985:$XX985)&lt;=4,
               P985,
               IF(OR(P985&gt;(QUARTILE($P985:$XX985,3)+(QUARTILE($P985:$XX985,3)-QUARTILE($P985:$XX985,1))),
                     P985&lt;(QUARTILE($P985:$XX985,1)-(QUARTILE($P985:$XX985,3)-QUARTILE($P985:$XX985,1)))
                  ),
               "DESCARTADO",P985)
             )
  ),P985)</f>
        <v>49.9</v>
      </c>
      <c r="Q987" s="106">
        <f t="shared" si="3018"/>
        <v>67.09</v>
      </c>
      <c r="R987" s="106">
        <f t="shared" si="3018"/>
        <v>54</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f t="shared" ref="B988:B1042" si="3019">B987</f>
        <v>47</v>
      </c>
      <c r="C988" s="128">
        <f t="shared" ref="C988:D1051" si="3020">C987</f>
        <v>1</v>
      </c>
      <c r="D988" s="127">
        <f t="shared" si="2822"/>
        <v>47</v>
      </c>
      <c r="E988" s="201"/>
      <c r="F988" s="93"/>
      <c r="G988" s="203"/>
      <c r="H988"/>
      <c r="I988"/>
      <c r="J988"/>
      <c r="K988" s="66"/>
      <c r="L988" s="29" t="s">
        <v>360</v>
      </c>
      <c r="M988" s="30">
        <f t="shared" ref="M988" si="3021">AVERAGE($P987:$XX987)</f>
        <v>56.99666666666667</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f t="shared" si="3019"/>
        <v>47</v>
      </c>
      <c r="C989" s="128">
        <f t="shared" si="3020"/>
        <v>1</v>
      </c>
      <c r="D989" s="127">
        <f t="shared" si="3020"/>
        <v>47</v>
      </c>
      <c r="E989" s="201"/>
      <c r="F989" s="93"/>
      <c r="G989" s="203"/>
      <c r="H989" s="134">
        <f t="shared" ref="H989" si="3023">COUNT($P989:$XX989)</f>
        <v>3</v>
      </c>
      <c r="I989" s="132">
        <f t="shared" ref="I989" si="3024">_xlfn.STDEV.P($P988:$XX989)/AVERAGE($P988:$XX989)</f>
        <v>0.12861652438640969</v>
      </c>
      <c r="J989" s="7">
        <f t="shared" ref="J989" si="3025">IF(AND(H989&gt;2,
OR(L981="MÉDIA SANEADA",L981="MEDIANA SANEADA",
AND(L981="PREÇO ESTIMADO",NOT(AND(P983="Orçamento",COUNTA(P981:XX981)=COUNTIF(P983:XX983,"Orçamento")))))),
ROW(),0)</f>
        <v>989</v>
      </c>
      <c r="K989" s="66"/>
      <c r="L989" s="29" t="s">
        <v>361</v>
      </c>
      <c r="M989" s="30">
        <f t="shared" ref="M989" si="3026">MEDIAN($P987:$XX987)</f>
        <v>54</v>
      </c>
      <c r="N989" s="71"/>
      <c r="O989" s="27" t="str">
        <f t="shared" ref="O989" si="3027">"1 RODADA"</f>
        <v>1 RODADA</v>
      </c>
      <c r="P989" s="107">
        <f t="shared" ref="P989:AI989" si="3028">IF(P987="","",IF((_xlfn.STDEV.P($P986:$XX987)/AVERAGE($P986:$XX987))&lt;=25%,P987,IF(OR(P987&gt;(AVERAGE($P986:$XX987)+_xlfn.STDEV.P($P986:$XX987)),P987&lt;(AVERAGE($P986:$XX987)-_xlfn.STDEV.P($P986:$XX987))),"DESCARTADO",P987)))</f>
        <v>49.9</v>
      </c>
      <c r="Q989" s="107">
        <f t="shared" si="3028"/>
        <v>67.09</v>
      </c>
      <c r="R989" s="107">
        <f t="shared" si="3028"/>
        <v>54</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f t="shared" si="3019"/>
        <v>47</v>
      </c>
      <c r="C990" s="128">
        <f t="shared" si="3020"/>
        <v>1</v>
      </c>
      <c r="D990" s="127">
        <f t="shared" si="3020"/>
        <v>47</v>
      </c>
      <c r="E990" s="201"/>
      <c r="F990" s="93"/>
      <c r="G990" s="203"/>
      <c r="H990"/>
      <c r="I990"/>
      <c r="J990"/>
      <c r="L990" s="29" t="s">
        <v>38</v>
      </c>
      <c r="M990" s="30">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56.99666666666667</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f t="shared" si="3019"/>
        <v>47</v>
      </c>
      <c r="C991" s="128">
        <f t="shared" si="3020"/>
        <v>1</v>
      </c>
      <c r="D991" s="127">
        <f t="shared" si="3020"/>
        <v>47</v>
      </c>
      <c r="E991" s="201"/>
      <c r="F991" s="93"/>
      <c r="G991" s="203"/>
      <c r="H991" s="134">
        <f t="shared" ref="H991" si="3031">COUNT($P991:$XX991)</f>
        <v>3</v>
      </c>
      <c r="I991" s="132">
        <f t="shared" ref="I991" si="3032">_xlfn.STDEV.P($P990:$XX991)/AVERAGE($P990:$XX991)</f>
        <v>0.12861652438640969</v>
      </c>
      <c r="J991" s="7">
        <f t="shared" ref="J991" si="3033">IF(AND(H991&gt;2,
OR(L981="MÉDIA SANEADA",L981="MEDIANA SANEADA",
AND(L981="PREÇO ESTIMADO",NOT(AND(P983="Orçamento",COUNTA(P981:XX981)=COUNTIF(P983:XX983,"Orçamento")))))),
ROW(),0)</f>
        <v>991</v>
      </c>
      <c r="K991" s="66"/>
      <c r="L991" s="29" t="s">
        <v>362</v>
      </c>
      <c r="M991" s="30">
        <f t="shared" ref="M991" si="3034" xml:space="preserve">
IF(H989&gt;2,MEDIAN(P988:XX989),
IF(H991&gt;2,MEDIAN(P990:XX991),
IF(H993&gt;2,MEDIAN(P992:XX993),
IF(H995&gt;2,MEDIAN(P994:XX995),
IF(H997&gt;2,MEDIAN(P996:XX997),
IF(H999&gt;2,MEDIAN(P998:XX999),
MEDIAN(P986:XX987)))))))</f>
        <v>54</v>
      </c>
      <c r="N991" s="71"/>
      <c r="O991" s="27" t="str">
        <f t="shared" ref="O991" si="3035">"2 RODADA"</f>
        <v>2 RODADA</v>
      </c>
      <c r="P991" s="107">
        <f t="shared" ref="P991:AI991" si="3036">IF(P989="","",IF((_xlfn.STDEV.P($P988:$XX989)/AVERAGE($P988:$XX989))&lt;=25%,P989,IF(OR(P989&gt;(AVERAGE($P988:$XX989)+_xlfn.STDEV.P($P988:$XX989)),P989&lt;(AVERAGE($P988:$XX989)-_xlfn.STDEV.P($P988:$XX989))),"DESCARTADO",P989)))</f>
        <v>49.9</v>
      </c>
      <c r="Q991" s="107">
        <f t="shared" si="3036"/>
        <v>67.09</v>
      </c>
      <c r="R991" s="107">
        <f t="shared" si="3036"/>
        <v>54</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f t="shared" si="3019"/>
        <v>47</v>
      </c>
      <c r="C992" s="128">
        <f t="shared" si="3020"/>
        <v>1</v>
      </c>
      <c r="D992" s="127">
        <f t="shared" si="3020"/>
        <v>47</v>
      </c>
      <c r="E992" s="201"/>
      <c r="F992" s="93"/>
      <c r="G992" s="203"/>
      <c r="H992"/>
      <c r="I992"/>
      <c r="J992"/>
      <c r="K992" s="66"/>
      <c r="L992" s="29" t="s">
        <v>359</v>
      </c>
      <c r="M992" s="30">
        <f t="shared" ref="M992" si="3037">HARMEAN($P986:$XX987)</f>
        <v>56.112577107412946</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f t="shared" si="3019"/>
        <v>47</v>
      </c>
      <c r="C993" s="128">
        <f t="shared" si="3020"/>
        <v>1</v>
      </c>
      <c r="D993" s="127">
        <f t="shared" si="3020"/>
        <v>47</v>
      </c>
      <c r="E993" s="201"/>
      <c r="F993" s="93"/>
      <c r="G993" s="203"/>
      <c r="H993" s="134">
        <f t="shared" ref="H993" si="3039">COUNT($P993:$XX993)</f>
        <v>3</v>
      </c>
      <c r="I993" s="132">
        <f t="shared" ref="I993" si="3040">_xlfn.STDEV.P($P992:$XX993)/AVERAGE($P992:$XX993)</f>
        <v>0.12861652438640969</v>
      </c>
      <c r="J993" s="7">
        <f t="shared" ref="J993" si="3041">IF(AND(H993&gt;2,
OR(L981="MÉDIA SANEADA",L981="MEDIANA SANEADA",
AND(L981="PREÇO ESTIMADO",NOT(AND(P983="Orçamento",COUNTA(P981:XX981)=COUNTIF(P983:XX983,"Orçamento")))))),
ROW(),0)</f>
        <v>993</v>
      </c>
      <c r="K993" s="66"/>
      <c r="L993" s="29" t="s">
        <v>41</v>
      </c>
      <c r="M993" s="30">
        <f t="shared" ref="M993" si="3042">IFERROR(_xlfn.QUARTILE.EXC($P987:$XX987,1),"")</f>
        <v>49.9</v>
      </c>
      <c r="N993" s="71"/>
      <c r="O993" s="27" t="str">
        <f t="shared" ref="O993" si="3043">"3 RODADA"</f>
        <v>3 RODADA</v>
      </c>
      <c r="P993" s="107">
        <f t="shared" ref="P993:AI993" si="3044">IF(P991="","",IF((_xlfn.STDEV.P($P990:$XX991)/AVERAGE($P990:$XX991))&lt;=25%,P991,IF(OR(P991&gt;(AVERAGE($P990:$XX991)+_xlfn.STDEV.P($P990:$XX991)),P991&lt;(AVERAGE($P990:$XX991)-_xlfn.STDEV.P($P990:$XX991))),"DESCARTADO",P991)))</f>
        <v>49.9</v>
      </c>
      <c r="Q993" s="107">
        <f t="shared" si="3044"/>
        <v>67.09</v>
      </c>
      <c r="R993" s="107">
        <f t="shared" si="3044"/>
        <v>54</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f t="shared" si="3019"/>
        <v>47</v>
      </c>
      <c r="C994" s="128">
        <f t="shared" si="3020"/>
        <v>1</v>
      </c>
      <c r="D994" s="127">
        <f t="shared" si="3020"/>
        <v>47</v>
      </c>
      <c r="E994" s="201"/>
      <c r="F994" s="93"/>
      <c r="G994" s="203"/>
      <c r="H994"/>
      <c r="I994"/>
      <c r="J994"/>
      <c r="K994" s="66"/>
      <c r="L994" s="29" t="s">
        <v>39</v>
      </c>
      <c r="M994" s="30">
        <f t="shared" ref="M994" si="3045">IFERROR(_xlfn.QUARTILE.EXC($P987:$XX987,3),"")</f>
        <v>67.09</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f t="shared" si="3019"/>
        <v>47</v>
      </c>
      <c r="C995" s="128">
        <f t="shared" si="3020"/>
        <v>1</v>
      </c>
      <c r="D995" s="127">
        <f t="shared" si="3020"/>
        <v>47</v>
      </c>
      <c r="E995" s="201"/>
      <c r="F995" s="93"/>
      <c r="G995" s="203"/>
      <c r="H995" s="134">
        <f t="shared" ref="H995" si="3047">COUNT($P995:$XX995)</f>
        <v>3</v>
      </c>
      <c r="I995" s="132">
        <f t="shared" ref="I995" si="3048">_xlfn.STDEV.P($P994:$XX995)/AVERAGE($P994:$XX995)</f>
        <v>0.12861652438640969</v>
      </c>
      <c r="J995" s="7">
        <f t="shared" ref="J995" si="3049">IF(AND(H995&gt;2,
OR(L981="MÉDIA SANEADA",L981="MEDIANA SANEADA",
AND(L981="PREÇO ESTIMADO",NOT(AND(P983="Orçamento",COUNTA(P981:XX981)=COUNTIF(P983:XX983,"Orçamento")))))),
ROW(),0)</f>
        <v>995</v>
      </c>
      <c r="K995" s="66"/>
      <c r="L995" s="29" t="s">
        <v>42</v>
      </c>
      <c r="M995" s="30">
        <f t="shared" ref="M995" si="3050">MIN($P987:$XX987)</f>
        <v>49.9</v>
      </c>
      <c r="N995" s="71"/>
      <c r="O995" s="27" t="str">
        <f t="shared" ref="O995" si="3051">"4 RODADA"</f>
        <v>4 RODADA</v>
      </c>
      <c r="P995" s="107">
        <f t="shared" ref="P995:AI995" si="3052">IF(P993="","",IF((_xlfn.STDEV.P($P992:$XX993)/AVERAGE($P992:$XX993))&lt;=25%,P993,IF(OR(P993&gt;(AVERAGE($P992:$XX993)+_xlfn.STDEV.P($P992:$XX993)),P993&lt;(AVERAGE($P992:$XX993)-_xlfn.STDEV.P($P992:$XX993))),"DESCARTADO",P993)))</f>
        <v>49.9</v>
      </c>
      <c r="Q995" s="107">
        <f t="shared" si="3052"/>
        <v>67.09</v>
      </c>
      <c r="R995" s="107">
        <f t="shared" si="3052"/>
        <v>54</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f t="shared" si="3019"/>
        <v>47</v>
      </c>
      <c r="C996" s="128">
        <f t="shared" si="3020"/>
        <v>1</v>
      </c>
      <c r="D996" s="127">
        <f t="shared" si="3020"/>
        <v>47</v>
      </c>
      <c r="E996" s="201"/>
      <c r="F996" s="93"/>
      <c r="G996" s="203"/>
      <c r="H996"/>
      <c r="I996"/>
      <c r="J996"/>
      <c r="K996" s="66"/>
      <c r="L996" s="29" t="s">
        <v>40</v>
      </c>
      <c r="M996" s="30">
        <f t="shared" ref="M996" si="3053">MAX($P987:$XX987)</f>
        <v>67.09</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f t="shared" si="3019"/>
        <v>47</v>
      </c>
      <c r="C997" s="128">
        <f t="shared" si="3020"/>
        <v>1</v>
      </c>
      <c r="D997" s="127">
        <f t="shared" si="3020"/>
        <v>47</v>
      </c>
      <c r="E997" s="201"/>
      <c r="F997" s="93"/>
      <c r="G997" s="203"/>
      <c r="H997" s="134">
        <f t="shared" ref="H997" si="3055">COUNT($P997:$XX997)</f>
        <v>3</v>
      </c>
      <c r="I997" s="132">
        <f t="shared" ref="I997" si="3056">_xlfn.STDEV.P($P996:$XX997)/AVERAGE($P996:$XX997)</f>
        <v>0.12861652438640969</v>
      </c>
      <c r="J997" s="7">
        <f t="shared" ref="J997" si="3057">IF(AND(H997&gt;2,
OR(L981="MÉDIA SANEADA",L981="MEDIANA SANEADA",
AND(L981="PREÇO ESTIMADO",NOT(AND(P983="Orçamento",COUNTA(P981:XX981)=COUNTIF(P983:XX983,"Orçamento")))))),
ROW(),0)</f>
        <v>997</v>
      </c>
      <c r="K997" s="66"/>
      <c r="N997" s="71"/>
      <c r="O997" s="27" t="str">
        <f t="shared" ref="O997" si="3058">"5 RODADA"</f>
        <v>5 RODADA</v>
      </c>
      <c r="P997" s="107">
        <f t="shared" ref="P997:AI997" si="3059">IF(P995="","",IF((_xlfn.STDEV.P($P994:$XX995)/AVERAGE($P994:$XX995))&lt;=25%,P995,IF(OR(P995&gt;(AVERAGE($P994:$XX995)+_xlfn.STDEV.P($P994:$XX995)),P995&lt;(AVERAGE($P994:$XX995)-_xlfn.STDEV.P($P994:$XX995))),"DESCARTADO",P995)))</f>
        <v>49.9</v>
      </c>
      <c r="Q997" s="107">
        <f t="shared" si="3059"/>
        <v>67.09</v>
      </c>
      <c r="R997" s="107">
        <f t="shared" si="3059"/>
        <v>54</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f t="shared" si="3019"/>
        <v>47</v>
      </c>
      <c r="C998" s="128">
        <f t="shared" si="3020"/>
        <v>1</v>
      </c>
      <c r="D998" s="127">
        <f t="shared" si="3020"/>
        <v>47</v>
      </c>
      <c r="E998" s="201"/>
      <c r="F998" s="93"/>
      <c r="G998" s="203"/>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f t="shared" si="3019"/>
        <v>47</v>
      </c>
      <c r="C999" s="128">
        <f t="shared" si="3020"/>
        <v>1</v>
      </c>
      <c r="D999" s="127">
        <f t="shared" si="3020"/>
        <v>47</v>
      </c>
      <c r="E999" s="201"/>
      <c r="F999" s="93"/>
      <c r="G999" s="203"/>
      <c r="H999" s="134">
        <f t="shared" ref="H999" si="3061">COUNT($P999:$XX999)</f>
        <v>3</v>
      </c>
      <c r="I999" s="132">
        <f t="shared" ref="I999" si="3062">_xlfn.STDEV.P($P998:$XX999)/AVERAGE($P998:$XX999)</f>
        <v>0.12861652438640969</v>
      </c>
      <c r="J999" s="7">
        <f t="shared" ref="J999" si="3063">IF(AND(H999&gt;2,
OR(L981="MÉDIA SANEADA",L981="MEDIANA SANEADA",
AND(L981="PREÇO ESTIMADO",NOT(AND(P983="Orçamento",COUNTA(P981:XX981)=COUNTIF(P983:XX983,"Orçamento")))))),
ROW(),0)</f>
        <v>999</v>
      </c>
      <c r="N999" s="71"/>
      <c r="O999" s="27" t="str">
        <f t="shared" ref="O999" si="3064">"6 RODADA"</f>
        <v>6 RODADA</v>
      </c>
      <c r="P999" s="107">
        <f t="shared" ref="P999:AI999" si="3065">IFERROR(IF(P997="","",IF((_xlfn.STDEV.P($P996:$XX997)/AVERAGE($P996:$XX997))&lt;=25%,P997,IF(OR(P997&gt;(AVERAGE($P996:$XX997)+_xlfn.STDEV.P($P996:$XX997)),P997&lt;(AVERAGE($P996:$XX997)-_xlfn.STDEV.P($P996:$XX997))),"DESCARTADO",P997))),)</f>
        <v>49.9</v>
      </c>
      <c r="Q999" s="107">
        <f t="shared" si="3065"/>
        <v>67.09</v>
      </c>
      <c r="R999" s="107">
        <f t="shared" si="3065"/>
        <v>54</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f t="shared" si="3019"/>
        <v>47</v>
      </c>
      <c r="C1000" s="128">
        <f t="shared" si="3020"/>
        <v>1</v>
      </c>
      <c r="D1000" s="127">
        <f t="shared" si="3020"/>
        <v>47</v>
      </c>
      <c r="E1000" s="201"/>
      <c r="F1000" s="136"/>
      <c r="G1000" s="203"/>
      <c r="H1000" s="206"/>
      <c r="I1000" s="206"/>
      <c r="J1000" s="207"/>
      <c r="K1000" s="67"/>
      <c r="L1000" s="1" t="s">
        <v>43</v>
      </c>
      <c r="M1000" s="143">
        <f t="shared" ref="M1000" si="3066">IFERROR(ROUND(M981*M983,2),"")</f>
        <v>114</v>
      </c>
      <c r="O1000" s="27" t="s">
        <v>363</v>
      </c>
      <c r="P1000" s="107">
        <f t="shared" ref="P1000:R1000" si="3067">INDEX(P987:P999,MATCH(MAX($J987:$J999),$J987:$J999,0))</f>
        <v>49.9</v>
      </c>
      <c r="Q1000" s="107">
        <f t="shared" si="3067"/>
        <v>67.09</v>
      </c>
      <c r="R1000" s="107">
        <f t="shared" si="3067"/>
        <v>54</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f t="shared" ref="B1002" si="3068">LARGE(IFERROR(IF(B1000+1&gt;$H$8,"",B1000+1),""),1)</f>
        <v>48</v>
      </c>
      <c r="C1002" s="127">
        <f>IF(_xlfn.ISFORMULA(E1006),MAX(INDEX('BASE FORMAÇÃO'!A:A,B1002+1),1),E1006)</f>
        <v>1</v>
      </c>
      <c r="D1002" s="127">
        <f t="shared" ref="D1002" si="3069">IFERROR(IF(C1002=C992,D992+1,1),1)</f>
        <v>48</v>
      </c>
      <c r="E1002" s="38" t="s">
        <v>9</v>
      </c>
      <c r="F1002" s="73"/>
      <c r="G1002" s="38" t="s">
        <v>15</v>
      </c>
      <c r="H1002" s="135">
        <f>INDEX('BASE FORMAÇÃO'!B:B,B1002+1)</f>
        <v>0</v>
      </c>
      <c r="I1002" s="181" t="s">
        <v>16</v>
      </c>
      <c r="J1002" s="6">
        <f>INDEX('BASE FORMAÇÃO'!K:K,B1002+1)</f>
        <v>0</v>
      </c>
      <c r="K1002" s="65"/>
      <c r="L1002" s="184" t="s">
        <v>10</v>
      </c>
      <c r="M1002" s="186">
        <f t="shared" ref="M1002" si="3070">IF(OR(ISBLANK($O$8),ISBLANK($O$7),ISBLANK($H$8),ISBLANK($O$6),ISBLANK($O$5),ISBLANK($H$5)),"",IFERROR(IF(VLOOKUP(L1002,L1008:M1017,2,FALSE)&lt;1,ROUND(VLOOKUP(L1002,L1008:M1017,2,FALSE),4),ROUND(VLOOKUP(L1002,L1008:M1017,2,FALSE),2)),""))</f>
        <v>58.23</v>
      </c>
      <c r="N1002" s="69"/>
      <c r="O1002" s="27" t="s">
        <v>17</v>
      </c>
      <c r="P1002" s="113">
        <v>57.9</v>
      </c>
      <c r="Q1002" s="113">
        <v>58</v>
      </c>
      <c r="R1002" s="113">
        <v>58.79</v>
      </c>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f t="shared" ref="B1003:D1003" si="3071">B1002</f>
        <v>48</v>
      </c>
      <c r="C1003" s="128">
        <f t="shared" si="3071"/>
        <v>1</v>
      </c>
      <c r="D1003" s="127">
        <f t="shared" si="3071"/>
        <v>48</v>
      </c>
      <c r="E1003" s="188">
        <f t="shared" ref="E1003" si="3072">D1002</f>
        <v>48</v>
      </c>
      <c r="F1003" s="92"/>
      <c r="G1003" s="190" t="s">
        <v>1</v>
      </c>
      <c r="H1003" s="193" t="s">
        <v>621</v>
      </c>
      <c r="I1003" s="194"/>
      <c r="J1003" s="195"/>
      <c r="K1003" s="66"/>
      <c r="L1003" s="185"/>
      <c r="M1003" s="187"/>
      <c r="N1003" s="70"/>
      <c r="O1003" s="27" t="s">
        <v>13</v>
      </c>
      <c r="P1003" s="122">
        <v>46196</v>
      </c>
      <c r="Q1003" s="122">
        <v>46196</v>
      </c>
      <c r="R1003" s="122">
        <v>46196</v>
      </c>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f t="shared" ref="B1004:D1004" si="3073">B1003</f>
        <v>48</v>
      </c>
      <c r="C1004" s="128">
        <f t="shared" si="3073"/>
        <v>1</v>
      </c>
      <c r="D1004" s="127">
        <f t="shared" si="3073"/>
        <v>48</v>
      </c>
      <c r="E1004" s="189"/>
      <c r="F1004" s="93"/>
      <c r="G1004" s="191"/>
      <c r="H1004" s="196"/>
      <c r="I1004" s="196"/>
      <c r="J1004" s="197"/>
      <c r="K1004" s="64"/>
      <c r="L1004" s="130" t="s">
        <v>44</v>
      </c>
      <c r="M1004" s="131">
        <v>2</v>
      </c>
      <c r="N1004" s="71"/>
      <c r="O1004" s="27" t="s">
        <v>380</v>
      </c>
      <c r="P1004" s="114" t="s">
        <v>302</v>
      </c>
      <c r="Q1004" s="114" t="s">
        <v>302</v>
      </c>
      <c r="R1004" s="114" t="s">
        <v>302</v>
      </c>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f t="shared" ref="B1005:C1005" si="3074">B1004</f>
        <v>48</v>
      </c>
      <c r="C1005" s="128">
        <f t="shared" si="3074"/>
        <v>1</v>
      </c>
      <c r="D1005" s="127">
        <f t="shared" si="3020"/>
        <v>48</v>
      </c>
      <c r="E1005" s="38" t="s">
        <v>313</v>
      </c>
      <c r="F1005" s="93"/>
      <c r="G1005" s="192"/>
      <c r="H1005" s="198"/>
      <c r="I1005" s="198"/>
      <c r="J1005" s="199"/>
      <c r="K1005" s="64"/>
      <c r="L1005" s="1" t="s">
        <v>2</v>
      </c>
      <c r="M1005" s="6" t="s">
        <v>288</v>
      </c>
      <c r="N1005" s="71"/>
      <c r="O1005" s="27" t="s">
        <v>381</v>
      </c>
      <c r="P1005" s="182" t="s">
        <v>622</v>
      </c>
      <c r="Q1005" s="182" t="s">
        <v>623</v>
      </c>
      <c r="R1005" s="182" t="s">
        <v>624</v>
      </c>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f t="shared" ref="B1006:C1006" si="3075">B1004</f>
        <v>48</v>
      </c>
      <c r="C1006" s="128">
        <f t="shared" si="3075"/>
        <v>1</v>
      </c>
      <c r="D1006" s="127">
        <f t="shared" si="3020"/>
        <v>48</v>
      </c>
      <c r="E1006" s="200">
        <f t="shared" ref="E1006" si="3076">C1002</f>
        <v>1</v>
      </c>
      <c r="F1006" s="93"/>
      <c r="G1006" s="202" t="s">
        <v>304</v>
      </c>
      <c r="H1006" s="204"/>
      <c r="I1006" s="205"/>
      <c r="J1006" s="205"/>
      <c r="K1006" s="67"/>
      <c r="L1006" s="28" t="s">
        <v>303</v>
      </c>
      <c r="M1006" s="133">
        <f t="shared" ref="M1006" si="3077">IFERROR(INDEX(I1008:I1020,MATCH(MAX(J1008:J1020),J1008:J1020,0)),"")</f>
        <v>6.8363166612289694E-3</v>
      </c>
      <c r="N1006" s="71"/>
      <c r="O1006" s="27" t="s">
        <v>18</v>
      </c>
      <c r="P1006" s="106">
        <f>IF(P1002="","",
IF(OR(P1004="Orçamento",P1003="",MAX('Tabela de Apoio'!$A:$A)&lt;=P1003),
P1002,
(INDEX('Tabela de Apoio'!$B:$B,MATCH('MAPA DE PREÇOS'!$O$8,'Tabela de Apoio'!$A:$A,1))/INDEX('Tabela de Apoio'!$B:$B,MATCH('MAPA DE PREÇOS'!P1003,'Tabela de Apoio'!$A:$A,1)-1))*P1002))</f>
        <v>57.9</v>
      </c>
      <c r="Q1006" s="106">
        <f>IF(Q1002="","",
IF(OR(Q1004="Orçamento",Q1003="",MAX('Tabela de Apoio'!$A:$A)&lt;=Q1003),
Q1002,
(INDEX('Tabela de Apoio'!$B:$B,MATCH('MAPA DE PREÇOS'!$O$8,'Tabela de Apoio'!$A:$A,1))/INDEX('Tabela de Apoio'!$B:$B,MATCH('MAPA DE PREÇOS'!Q1003,'Tabela de Apoio'!$A:$A,1)-1))*Q1002))</f>
        <v>58</v>
      </c>
      <c r="R1006" s="106">
        <f>IF(R1002="","",
IF(OR(R1004="Orçamento",R1003="",MAX('Tabela de Apoio'!$A:$A)&lt;=R1003),
R1002,
(INDEX('Tabela de Apoio'!$B:$B,MATCH('MAPA DE PREÇOS'!$O$8,'Tabela de Apoio'!$A:$A,1))/INDEX('Tabela de Apoio'!$B:$B,MATCH('MAPA DE PREÇOS'!R1003,'Tabela de Apoio'!$A:$A,1)-1))*R1002))</f>
        <v>58.79</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f t="shared" ref="B1007" si="3078">B1006</f>
        <v>48</v>
      </c>
      <c r="C1007" s="128">
        <f t="shared" ref="C1007" si="3079">C1006</f>
        <v>1</v>
      </c>
      <c r="D1007" s="127">
        <f t="shared" si="3020"/>
        <v>48</v>
      </c>
      <c r="E1007" s="201"/>
      <c r="F1007" s="93"/>
      <c r="G1007" s="203"/>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f t="shared" ref="B1008:C1008" si="3080">B1007</f>
        <v>48</v>
      </c>
      <c r="C1008" s="128">
        <f t="shared" si="3080"/>
        <v>1</v>
      </c>
      <c r="D1008" s="127">
        <f t="shared" si="3020"/>
        <v>48</v>
      </c>
      <c r="E1008" s="201"/>
      <c r="F1008" s="93"/>
      <c r="G1008" s="203"/>
      <c r="H1008" s="134">
        <f t="shared" ref="H1008" si="3081">COUNT($P1008:$XX1008)</f>
        <v>3</v>
      </c>
      <c r="I1008" s="132">
        <f t="shared" ref="I1008" si="3082">_xlfn.STDEV.P($P1007:$XX1008)/AVERAGE($P1007:$XX1008)</f>
        <v>6.8363166612289694E-3</v>
      </c>
      <c r="J1008" s="7">
        <f>ROW()</f>
        <v>1008</v>
      </c>
      <c r="K1008" s="67"/>
      <c r="L1008" s="29" t="s">
        <v>10</v>
      </c>
      <c r="M1008" s="30">
        <f t="shared" ref="M1008" si="3083">IFERROR(
IF(COUNTA(P1002:AI1002)=COUNTIF(P1004:XX1004,"Orçamento"),MIN(M1013,M1010),
IF(M1011&lt;&gt;"",M1011,
IF(M1012&lt;&gt;"",M1012,
M1010
))),"")</f>
        <v>58.23</v>
      </c>
      <c r="N1008" s="71"/>
      <c r="O1008" s="27" t="s">
        <v>376</v>
      </c>
      <c r="P1008" s="106">
        <f t="shared" ref="P1008:AI1008" si="3084">IFERROR(IF(P1006="",
            "",
            IF(COUNT($P1006:$XX1006)&lt;=4,
               P1006,
               IF(OR(P1006&gt;(QUARTILE($P1006:$XX1006,3)+(QUARTILE($P1006:$XX1006,3)-QUARTILE($P1006:$XX1006,1))),
                     P1006&lt;(QUARTILE($P1006:$XX1006,1)-(QUARTILE($P1006:$XX1006,3)-QUARTILE($P1006:$XX1006,1)))
                  ),
               "DESCARTADO",P1006)
             )
  ),P1006)</f>
        <v>57.9</v>
      </c>
      <c r="Q1008" s="106">
        <f t="shared" si="3084"/>
        <v>58</v>
      </c>
      <c r="R1008" s="106">
        <f t="shared" si="3084"/>
        <v>58.79</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f t="shared" ref="B1009" si="3085">B1008</f>
        <v>48</v>
      </c>
      <c r="C1009" s="128">
        <f t="shared" ref="C1009" si="3086">C1008</f>
        <v>1</v>
      </c>
      <c r="D1009" s="127">
        <f t="shared" si="3020"/>
        <v>48</v>
      </c>
      <c r="E1009" s="201"/>
      <c r="F1009" s="93"/>
      <c r="G1009" s="203"/>
      <c r="H1009"/>
      <c r="I1009"/>
      <c r="J1009"/>
      <c r="K1009" s="66"/>
      <c r="L1009" s="29" t="s">
        <v>360</v>
      </c>
      <c r="M1009" s="30">
        <f t="shared" ref="M1009" si="3087">AVERAGE($P1008:$XX1008)</f>
        <v>58.23</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f t="shared" si="3019"/>
        <v>48</v>
      </c>
      <c r="C1010" s="128">
        <f t="shared" si="3020"/>
        <v>1</v>
      </c>
      <c r="D1010" s="127">
        <f t="shared" si="3020"/>
        <v>48</v>
      </c>
      <c r="E1010" s="201"/>
      <c r="F1010" s="93"/>
      <c r="G1010" s="203"/>
      <c r="H1010" s="134">
        <f t="shared" ref="H1010" si="3089">COUNT($P1010:$XX1010)</f>
        <v>3</v>
      </c>
      <c r="I1010" s="132">
        <f t="shared" ref="I1010" si="3090">_xlfn.STDEV.P($P1009:$XX1010)/AVERAGE($P1009:$XX1010)</f>
        <v>6.8363166612289694E-3</v>
      </c>
      <c r="J1010" s="7">
        <f t="shared" ref="J1010" si="3091">IF(AND(H1010&gt;2,
OR(L1002="MÉDIA SANEADA",L1002="MEDIANA SANEADA",
AND(L1002="PREÇO ESTIMADO",NOT(AND(P1004="Orçamento",COUNTA(P1002:XX1002)=COUNTIF(P1004:XX1004,"Orçamento")))))),
ROW(),0)</f>
        <v>1010</v>
      </c>
      <c r="K1010" s="66"/>
      <c r="L1010" s="29" t="s">
        <v>361</v>
      </c>
      <c r="M1010" s="30">
        <f t="shared" ref="M1010" si="3092">MEDIAN($P1008:$XX1008)</f>
        <v>58</v>
      </c>
      <c r="N1010" s="71"/>
      <c r="O1010" s="27" t="str">
        <f t="shared" ref="O1010" si="3093">"1 RODADA"</f>
        <v>1 RODADA</v>
      </c>
      <c r="P1010" s="107">
        <f t="shared" ref="P1010:AI1010" si="3094">IF(P1008="","",IF((_xlfn.STDEV.P($P1007:$XX1008)/AVERAGE($P1007:$XX1008))&lt;=25%,P1008,IF(OR(P1008&gt;(AVERAGE($P1007:$XX1008)+_xlfn.STDEV.P($P1007:$XX1008)),P1008&lt;(AVERAGE($P1007:$XX1008)-_xlfn.STDEV.P($P1007:$XX1008))),"DESCARTADO",P1008)))</f>
        <v>57.9</v>
      </c>
      <c r="Q1010" s="107">
        <f t="shared" si="3094"/>
        <v>58</v>
      </c>
      <c r="R1010" s="107">
        <f t="shared" si="3094"/>
        <v>58.79</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f t="shared" si="3019"/>
        <v>48</v>
      </c>
      <c r="C1011" s="128">
        <f t="shared" si="3020"/>
        <v>1</v>
      </c>
      <c r="D1011" s="127">
        <f t="shared" si="3020"/>
        <v>48</v>
      </c>
      <c r="E1011" s="201"/>
      <c r="F1011" s="93"/>
      <c r="G1011" s="203"/>
      <c r="H1011"/>
      <c r="I1011"/>
      <c r="J1011"/>
      <c r="L1011" s="29" t="s">
        <v>38</v>
      </c>
      <c r="M1011" s="30">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58.23</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f t="shared" si="3019"/>
        <v>48</v>
      </c>
      <c r="C1012" s="128">
        <f t="shared" si="3020"/>
        <v>1</v>
      </c>
      <c r="D1012" s="127">
        <f t="shared" si="3020"/>
        <v>48</v>
      </c>
      <c r="E1012" s="201"/>
      <c r="F1012" s="93"/>
      <c r="G1012" s="203"/>
      <c r="H1012" s="134">
        <f t="shared" ref="H1012" si="3097">COUNT($P1012:$XX1012)</f>
        <v>3</v>
      </c>
      <c r="I1012" s="132">
        <f t="shared" ref="I1012" si="3098">_xlfn.STDEV.P($P1011:$XX1012)/AVERAGE($P1011:$XX1012)</f>
        <v>6.8363166612289694E-3</v>
      </c>
      <c r="J1012" s="7">
        <f t="shared" ref="J1012" si="3099">IF(AND(H1012&gt;2,
OR(L1002="MÉDIA SANEADA",L1002="MEDIANA SANEADA",
AND(L1002="PREÇO ESTIMADO",NOT(AND(P1004="Orçamento",COUNTA(P1002:XX1002)=COUNTIF(P1004:XX1004,"Orçamento")))))),
ROW(),0)</f>
        <v>1012</v>
      </c>
      <c r="K1012" s="66"/>
      <c r="L1012" s="29" t="s">
        <v>362</v>
      </c>
      <c r="M1012" s="30">
        <f t="shared" ref="M1012" si="3100" xml:space="preserve">
IF(H1010&gt;2,MEDIAN(P1009:XX1010),
IF(H1012&gt;2,MEDIAN(P1011:XX1012),
IF(H1014&gt;2,MEDIAN(P1013:XX1014),
IF(H1016&gt;2,MEDIAN(P1015:XX1016),
IF(H1018&gt;2,MEDIAN(P1017:XX1018),
IF(H1020&gt;2,MEDIAN(P1019:XX1020),
MEDIAN(P1007:XX1008)))))))</f>
        <v>58</v>
      </c>
      <c r="N1012" s="71"/>
      <c r="O1012" s="27" t="str">
        <f t="shared" ref="O1012" si="3101">"2 RODADA"</f>
        <v>2 RODADA</v>
      </c>
      <c r="P1012" s="107">
        <f t="shared" ref="P1012:AI1012" si="3102">IF(P1010="","",IF((_xlfn.STDEV.P($P1009:$XX1010)/AVERAGE($P1009:$XX1010))&lt;=25%,P1010,IF(OR(P1010&gt;(AVERAGE($P1009:$XX1010)+_xlfn.STDEV.P($P1009:$XX1010)),P1010&lt;(AVERAGE($P1009:$XX1010)-_xlfn.STDEV.P($P1009:$XX1010))),"DESCARTADO",P1010)))</f>
        <v>57.9</v>
      </c>
      <c r="Q1012" s="107">
        <f t="shared" si="3102"/>
        <v>58</v>
      </c>
      <c r="R1012" s="107">
        <f t="shared" si="3102"/>
        <v>58.79</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f t="shared" si="3019"/>
        <v>48</v>
      </c>
      <c r="C1013" s="128">
        <f t="shared" si="3020"/>
        <v>1</v>
      </c>
      <c r="D1013" s="127">
        <f t="shared" si="3020"/>
        <v>48</v>
      </c>
      <c r="E1013" s="201"/>
      <c r="F1013" s="93"/>
      <c r="G1013" s="203"/>
      <c r="H1013"/>
      <c r="I1013"/>
      <c r="J1013"/>
      <c r="K1013" s="66"/>
      <c r="L1013" s="29" t="s">
        <v>359</v>
      </c>
      <c r="M1013" s="30">
        <f t="shared" ref="M1013" si="3103">HARMEAN($P1007:$XX1008)</f>
        <v>58.227291079861587</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f t="shared" si="3019"/>
        <v>48</v>
      </c>
      <c r="C1014" s="128">
        <f t="shared" si="3020"/>
        <v>1</v>
      </c>
      <c r="D1014" s="127">
        <f t="shared" si="3020"/>
        <v>48</v>
      </c>
      <c r="E1014" s="201"/>
      <c r="F1014" s="93"/>
      <c r="G1014" s="203"/>
      <c r="H1014" s="134">
        <f t="shared" ref="H1014" si="3105">COUNT($P1014:$XX1014)</f>
        <v>3</v>
      </c>
      <c r="I1014" s="132">
        <f t="shared" ref="I1014" si="3106">_xlfn.STDEV.P($P1013:$XX1014)/AVERAGE($P1013:$XX1014)</f>
        <v>6.8363166612289694E-3</v>
      </c>
      <c r="J1014" s="7">
        <f t="shared" ref="J1014" si="3107">IF(AND(H1014&gt;2,
OR(L1002="MÉDIA SANEADA",L1002="MEDIANA SANEADA",
AND(L1002="PREÇO ESTIMADO",NOT(AND(P1004="Orçamento",COUNTA(P1002:XX1002)=COUNTIF(P1004:XX1004,"Orçamento")))))),
ROW(),0)</f>
        <v>1014</v>
      </c>
      <c r="K1014" s="66"/>
      <c r="L1014" s="29" t="s">
        <v>41</v>
      </c>
      <c r="M1014" s="30">
        <f t="shared" ref="M1014" si="3108">IFERROR(_xlfn.QUARTILE.EXC($P1008:$XX1008,1),"")</f>
        <v>57.9</v>
      </c>
      <c r="N1014" s="71"/>
      <c r="O1014" s="27" t="str">
        <f t="shared" ref="O1014" si="3109">"3 RODADA"</f>
        <v>3 RODADA</v>
      </c>
      <c r="P1014" s="107">
        <f t="shared" ref="P1014:AI1014" si="3110">IF(P1012="","",IF((_xlfn.STDEV.P($P1011:$XX1012)/AVERAGE($P1011:$XX1012))&lt;=25%,P1012,IF(OR(P1012&gt;(AVERAGE($P1011:$XX1012)+_xlfn.STDEV.P($P1011:$XX1012)),P1012&lt;(AVERAGE($P1011:$XX1012)-_xlfn.STDEV.P($P1011:$XX1012))),"DESCARTADO",P1012)))</f>
        <v>57.9</v>
      </c>
      <c r="Q1014" s="107">
        <f t="shared" si="3110"/>
        <v>58</v>
      </c>
      <c r="R1014" s="107">
        <f t="shared" si="3110"/>
        <v>58.79</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f t="shared" si="3019"/>
        <v>48</v>
      </c>
      <c r="C1015" s="128">
        <f t="shared" si="3020"/>
        <v>1</v>
      </c>
      <c r="D1015" s="127">
        <f t="shared" si="3020"/>
        <v>48</v>
      </c>
      <c r="E1015" s="201"/>
      <c r="F1015" s="93"/>
      <c r="G1015" s="203"/>
      <c r="H1015"/>
      <c r="I1015"/>
      <c r="J1015"/>
      <c r="K1015" s="66"/>
      <c r="L1015" s="29" t="s">
        <v>39</v>
      </c>
      <c r="M1015" s="30">
        <f t="shared" ref="M1015" si="3111">IFERROR(_xlfn.QUARTILE.EXC($P1008:$XX1008,3),"")</f>
        <v>58.79</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f t="shared" si="3019"/>
        <v>48</v>
      </c>
      <c r="C1016" s="128">
        <f t="shared" si="3020"/>
        <v>1</v>
      </c>
      <c r="D1016" s="127">
        <f t="shared" si="3020"/>
        <v>48</v>
      </c>
      <c r="E1016" s="201"/>
      <c r="F1016" s="93"/>
      <c r="G1016" s="203"/>
      <c r="H1016" s="134">
        <f t="shared" ref="H1016" si="3113">COUNT($P1016:$XX1016)</f>
        <v>3</v>
      </c>
      <c r="I1016" s="132">
        <f t="shared" ref="I1016" si="3114">_xlfn.STDEV.P($P1015:$XX1016)/AVERAGE($P1015:$XX1016)</f>
        <v>6.8363166612289694E-3</v>
      </c>
      <c r="J1016" s="7">
        <f t="shared" ref="J1016" si="3115">IF(AND(H1016&gt;2,
OR(L1002="MÉDIA SANEADA",L1002="MEDIANA SANEADA",
AND(L1002="PREÇO ESTIMADO",NOT(AND(P1004="Orçamento",COUNTA(P1002:XX1002)=COUNTIF(P1004:XX1004,"Orçamento")))))),
ROW(),0)</f>
        <v>1016</v>
      </c>
      <c r="K1016" s="66"/>
      <c r="L1016" s="29" t="s">
        <v>42</v>
      </c>
      <c r="M1016" s="30">
        <f t="shared" ref="M1016" si="3116">MIN($P1008:$XX1008)</f>
        <v>57.9</v>
      </c>
      <c r="N1016" s="71"/>
      <c r="O1016" s="27" t="str">
        <f t="shared" ref="O1016" si="3117">"4 RODADA"</f>
        <v>4 RODADA</v>
      </c>
      <c r="P1016" s="107">
        <f t="shared" ref="P1016:AI1016" si="3118">IF(P1014="","",IF((_xlfn.STDEV.P($P1013:$XX1014)/AVERAGE($P1013:$XX1014))&lt;=25%,P1014,IF(OR(P1014&gt;(AVERAGE($P1013:$XX1014)+_xlfn.STDEV.P($P1013:$XX1014)),P1014&lt;(AVERAGE($P1013:$XX1014)-_xlfn.STDEV.P($P1013:$XX1014))),"DESCARTADO",P1014)))</f>
        <v>57.9</v>
      </c>
      <c r="Q1016" s="107">
        <f t="shared" si="3118"/>
        <v>58</v>
      </c>
      <c r="R1016" s="107">
        <f t="shared" si="3118"/>
        <v>58.79</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f t="shared" si="3019"/>
        <v>48</v>
      </c>
      <c r="C1017" s="128">
        <f t="shared" si="3020"/>
        <v>1</v>
      </c>
      <c r="D1017" s="127">
        <f t="shared" si="3020"/>
        <v>48</v>
      </c>
      <c r="E1017" s="201"/>
      <c r="F1017" s="93"/>
      <c r="G1017" s="203"/>
      <c r="H1017"/>
      <c r="I1017"/>
      <c r="J1017"/>
      <c r="K1017" s="66"/>
      <c r="L1017" s="29" t="s">
        <v>40</v>
      </c>
      <c r="M1017" s="30">
        <f t="shared" ref="M1017" si="3119">MAX($P1008:$XX1008)</f>
        <v>58.79</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f t="shared" si="3019"/>
        <v>48</v>
      </c>
      <c r="C1018" s="128">
        <f t="shared" si="3020"/>
        <v>1</v>
      </c>
      <c r="D1018" s="127">
        <f t="shared" si="3020"/>
        <v>48</v>
      </c>
      <c r="E1018" s="201"/>
      <c r="F1018" s="93"/>
      <c r="G1018" s="203"/>
      <c r="H1018" s="134">
        <f t="shared" ref="H1018" si="3121">COUNT($P1018:$XX1018)</f>
        <v>3</v>
      </c>
      <c r="I1018" s="132">
        <f t="shared" ref="I1018" si="3122">_xlfn.STDEV.P($P1017:$XX1018)/AVERAGE($P1017:$XX1018)</f>
        <v>6.8363166612289694E-3</v>
      </c>
      <c r="J1018" s="7">
        <f t="shared" ref="J1018" si="3123">IF(AND(H1018&gt;2,
OR(L1002="MÉDIA SANEADA",L1002="MEDIANA SANEADA",
AND(L1002="PREÇO ESTIMADO",NOT(AND(P1004="Orçamento",COUNTA(P1002:XX1002)=COUNTIF(P1004:XX1004,"Orçamento")))))),
ROW(),0)</f>
        <v>1018</v>
      </c>
      <c r="K1018" s="66"/>
      <c r="N1018" s="71"/>
      <c r="O1018" s="27" t="str">
        <f t="shared" ref="O1018" si="3124">"5 RODADA"</f>
        <v>5 RODADA</v>
      </c>
      <c r="P1018" s="107">
        <f t="shared" ref="P1018:AI1018" si="3125">IF(P1016="","",IF((_xlfn.STDEV.P($P1015:$XX1016)/AVERAGE($P1015:$XX1016))&lt;=25%,P1016,IF(OR(P1016&gt;(AVERAGE($P1015:$XX1016)+_xlfn.STDEV.P($P1015:$XX1016)),P1016&lt;(AVERAGE($P1015:$XX1016)-_xlfn.STDEV.P($P1015:$XX1016))),"DESCARTADO",P1016)))</f>
        <v>57.9</v>
      </c>
      <c r="Q1018" s="107">
        <f t="shared" si="3125"/>
        <v>58</v>
      </c>
      <c r="R1018" s="107">
        <f t="shared" si="3125"/>
        <v>58.79</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f t="shared" si="3019"/>
        <v>48</v>
      </c>
      <c r="C1019" s="128">
        <f t="shared" si="3020"/>
        <v>1</v>
      </c>
      <c r="D1019" s="127">
        <f t="shared" si="3020"/>
        <v>48</v>
      </c>
      <c r="E1019" s="201"/>
      <c r="F1019" s="93"/>
      <c r="G1019" s="203"/>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f t="shared" si="3019"/>
        <v>48</v>
      </c>
      <c r="C1020" s="128">
        <f t="shared" si="3020"/>
        <v>1</v>
      </c>
      <c r="D1020" s="127">
        <f t="shared" si="3020"/>
        <v>48</v>
      </c>
      <c r="E1020" s="201"/>
      <c r="F1020" s="93"/>
      <c r="G1020" s="203"/>
      <c r="H1020" s="134">
        <f t="shared" ref="H1020" si="3127">COUNT($P1020:$XX1020)</f>
        <v>3</v>
      </c>
      <c r="I1020" s="132">
        <f t="shared" ref="I1020" si="3128">_xlfn.STDEV.P($P1019:$XX1020)/AVERAGE($P1019:$XX1020)</f>
        <v>6.8363166612289694E-3</v>
      </c>
      <c r="J1020" s="7">
        <f t="shared" ref="J1020" si="3129">IF(AND(H1020&gt;2,
OR(L1002="MÉDIA SANEADA",L1002="MEDIANA SANEADA",
AND(L1002="PREÇO ESTIMADO",NOT(AND(P1004="Orçamento",COUNTA(P1002:XX1002)=COUNTIF(P1004:XX1004,"Orçamento")))))),
ROW(),0)</f>
        <v>1020</v>
      </c>
      <c r="N1020" s="71"/>
      <c r="O1020" s="27" t="str">
        <f t="shared" ref="O1020" si="3130">"6 RODADA"</f>
        <v>6 RODADA</v>
      </c>
      <c r="P1020" s="107">
        <f t="shared" ref="P1020:AI1020" si="3131">IFERROR(IF(P1018="","",IF((_xlfn.STDEV.P($P1017:$XX1018)/AVERAGE($P1017:$XX1018))&lt;=25%,P1018,IF(OR(P1018&gt;(AVERAGE($P1017:$XX1018)+_xlfn.STDEV.P($P1017:$XX1018)),P1018&lt;(AVERAGE($P1017:$XX1018)-_xlfn.STDEV.P($P1017:$XX1018))),"DESCARTADO",P1018))),)</f>
        <v>57.9</v>
      </c>
      <c r="Q1020" s="107">
        <f t="shared" si="3131"/>
        <v>58</v>
      </c>
      <c r="R1020" s="107">
        <f t="shared" si="3131"/>
        <v>58.79</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f t="shared" si="3019"/>
        <v>48</v>
      </c>
      <c r="C1021" s="128">
        <f t="shared" si="3020"/>
        <v>1</v>
      </c>
      <c r="D1021" s="127">
        <f t="shared" si="3020"/>
        <v>48</v>
      </c>
      <c r="E1021" s="201"/>
      <c r="F1021" s="136"/>
      <c r="G1021" s="203"/>
      <c r="H1021" s="206"/>
      <c r="I1021" s="206"/>
      <c r="J1021" s="207"/>
      <c r="K1021" s="67"/>
      <c r="L1021" s="1" t="s">
        <v>43</v>
      </c>
      <c r="M1021" s="143">
        <f t="shared" ref="M1021" si="3132">IFERROR(ROUND(M1002*M1004,2),"")</f>
        <v>116.46</v>
      </c>
      <c r="O1021" s="27" t="s">
        <v>363</v>
      </c>
      <c r="P1021" s="107">
        <f t="shared" ref="P1021:AI1042" si="3133">INDEX(P1008:P1020,MATCH(MAX($J1008:$J1020),$J1008:$J1020,0))</f>
        <v>57.9</v>
      </c>
      <c r="Q1021" s="107">
        <f t="shared" si="3133"/>
        <v>58</v>
      </c>
      <c r="R1021" s="107">
        <f t="shared" si="3133"/>
        <v>58.79</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f t="shared" ref="B1023" si="3134">LARGE(IFERROR(IF(B1021+1&gt;$H$8,"",B1021+1),""),1)</f>
        <v>49</v>
      </c>
      <c r="C1023" s="127">
        <f>IF(_xlfn.ISFORMULA(E1027),MAX(INDEX('BASE FORMAÇÃO'!A:A,B1023+1),1),E1027)</f>
        <v>1</v>
      </c>
      <c r="D1023" s="127">
        <f t="shared" ref="D1023" si="3135">IFERROR(IF(C1023=C1013,D1013+1,1),1)</f>
        <v>49</v>
      </c>
      <c r="E1023" s="38" t="s">
        <v>9</v>
      </c>
      <c r="F1023" s="73"/>
      <c r="G1023" s="38" t="s">
        <v>15</v>
      </c>
      <c r="H1023" s="135">
        <f>INDEX('BASE FORMAÇÃO'!B:B,B1023+1)</f>
        <v>0</v>
      </c>
      <c r="I1023" s="181" t="s">
        <v>16</v>
      </c>
      <c r="J1023" s="6">
        <f>INDEX('BASE FORMAÇÃO'!K:K,B1023+1)</f>
        <v>0</v>
      </c>
      <c r="K1023" s="65"/>
      <c r="L1023" s="184" t="s">
        <v>10</v>
      </c>
      <c r="M1023" s="186">
        <f t="shared" ref="M1023" si="3136">IF(OR(ISBLANK($O$8),ISBLANK($O$7),ISBLANK($H$8),ISBLANK($O$6),ISBLANK($O$5),ISBLANK($H$5)),"",IFERROR(IF(VLOOKUP(L1023,L1029:M1038,2,FALSE)&lt;1,ROUND(VLOOKUP(L1023,L1029:M1038,2,FALSE),4),ROUND(VLOOKUP(L1023,L1029:M1038,2,FALSE),2)),""))</f>
        <v>70.09</v>
      </c>
      <c r="N1023" s="69"/>
      <c r="O1023" s="27" t="s">
        <v>17</v>
      </c>
      <c r="P1023" s="113">
        <v>66.599999999999994</v>
      </c>
      <c r="Q1023" s="113">
        <v>75.989999999999995</v>
      </c>
      <c r="R1023" s="113">
        <v>67.67</v>
      </c>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f t="shared" ref="B1024:D1024" si="3137">B1023</f>
        <v>49</v>
      </c>
      <c r="C1024" s="128">
        <f t="shared" si="3137"/>
        <v>1</v>
      </c>
      <c r="D1024" s="127">
        <f t="shared" si="3137"/>
        <v>49</v>
      </c>
      <c r="E1024" s="188">
        <f t="shared" ref="E1024" si="3138">D1023</f>
        <v>49</v>
      </c>
      <c r="F1024" s="92"/>
      <c r="G1024" s="190" t="s">
        <v>1</v>
      </c>
      <c r="H1024" s="193" t="s">
        <v>625</v>
      </c>
      <c r="I1024" s="194"/>
      <c r="J1024" s="195"/>
      <c r="K1024" s="66"/>
      <c r="L1024" s="185"/>
      <c r="M1024" s="187"/>
      <c r="N1024" s="70"/>
      <c r="O1024" s="27" t="s">
        <v>13</v>
      </c>
      <c r="P1024" s="122">
        <v>46196</v>
      </c>
      <c r="Q1024" s="122">
        <v>46196</v>
      </c>
      <c r="R1024" s="122">
        <v>46196</v>
      </c>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f t="shared" ref="B1025:D1025" si="3139">B1024</f>
        <v>49</v>
      </c>
      <c r="C1025" s="128">
        <f t="shared" si="3139"/>
        <v>1</v>
      </c>
      <c r="D1025" s="127">
        <f t="shared" si="3139"/>
        <v>49</v>
      </c>
      <c r="E1025" s="189"/>
      <c r="F1025" s="93"/>
      <c r="G1025" s="191"/>
      <c r="H1025" s="196"/>
      <c r="I1025" s="196"/>
      <c r="J1025" s="197"/>
      <c r="K1025" s="64"/>
      <c r="L1025" s="130" t="s">
        <v>44</v>
      </c>
      <c r="M1025" s="131">
        <v>1</v>
      </c>
      <c r="N1025" s="71"/>
      <c r="O1025" s="27" t="s">
        <v>380</v>
      </c>
      <c r="P1025" s="114" t="s">
        <v>302</v>
      </c>
      <c r="Q1025" s="114" t="s">
        <v>302</v>
      </c>
      <c r="R1025" s="114" t="s">
        <v>302</v>
      </c>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f t="shared" ref="B1026:C1026" si="3140">B1025</f>
        <v>49</v>
      </c>
      <c r="C1026" s="128">
        <f t="shared" si="3140"/>
        <v>1</v>
      </c>
      <c r="D1026" s="127">
        <f t="shared" si="3020"/>
        <v>49</v>
      </c>
      <c r="E1026" s="38" t="s">
        <v>313</v>
      </c>
      <c r="F1026" s="93"/>
      <c r="G1026" s="192"/>
      <c r="H1026" s="198"/>
      <c r="I1026" s="198"/>
      <c r="J1026" s="199"/>
      <c r="K1026" s="64"/>
      <c r="L1026" s="1" t="s">
        <v>2</v>
      </c>
      <c r="M1026" s="6" t="s">
        <v>288</v>
      </c>
      <c r="N1026" s="71"/>
      <c r="O1026" s="27" t="s">
        <v>381</v>
      </c>
      <c r="P1026" s="182" t="s">
        <v>626</v>
      </c>
      <c r="Q1026" s="182" t="s">
        <v>627</v>
      </c>
      <c r="R1026" s="182" t="s">
        <v>628</v>
      </c>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f t="shared" ref="B1027:C1027" si="3141">B1025</f>
        <v>49</v>
      </c>
      <c r="C1027" s="128">
        <f t="shared" si="3141"/>
        <v>1</v>
      </c>
      <c r="D1027" s="127">
        <f t="shared" si="3020"/>
        <v>49</v>
      </c>
      <c r="E1027" s="200">
        <f t="shared" ref="E1027" si="3142">C1023</f>
        <v>1</v>
      </c>
      <c r="F1027" s="93"/>
      <c r="G1027" s="202" t="s">
        <v>304</v>
      </c>
      <c r="H1027" s="204"/>
      <c r="I1027" s="205"/>
      <c r="J1027" s="205"/>
      <c r="K1027" s="67"/>
      <c r="L1027" s="28" t="s">
        <v>303</v>
      </c>
      <c r="M1027" s="133">
        <f t="shared" ref="M1027" si="3143">IFERROR(INDEX(I1029:I1041,MATCH(MAX(J1029:J1041),J1029:J1041,0)),"")</f>
        <v>5.9884157655667569E-2</v>
      </c>
      <c r="N1027" s="71"/>
      <c r="O1027" s="27" t="s">
        <v>18</v>
      </c>
      <c r="P1027" s="106">
        <f>IF(P1023="","",
IF(OR(P1025="Orçamento",P1024="",MAX('Tabela de Apoio'!$A:$A)&lt;=P1024),
P1023,
(INDEX('Tabela de Apoio'!$B:$B,MATCH('MAPA DE PREÇOS'!$O$8,'Tabela de Apoio'!$A:$A,1))/INDEX('Tabela de Apoio'!$B:$B,MATCH('MAPA DE PREÇOS'!P1024,'Tabela de Apoio'!$A:$A,1)-1))*P1023))</f>
        <v>66.599999999999994</v>
      </c>
      <c r="Q1027" s="106">
        <f>IF(Q1023="","",
IF(OR(Q1025="Orçamento",Q1024="",MAX('Tabela de Apoio'!$A:$A)&lt;=Q1024),
Q1023,
(INDEX('Tabela de Apoio'!$B:$B,MATCH('MAPA DE PREÇOS'!$O$8,'Tabela de Apoio'!$A:$A,1))/INDEX('Tabela de Apoio'!$B:$B,MATCH('MAPA DE PREÇOS'!Q1024,'Tabela de Apoio'!$A:$A,1)-1))*Q1023))</f>
        <v>75.989999999999995</v>
      </c>
      <c r="R1027" s="106">
        <f>IF(R1023="","",
IF(OR(R1025="Orçamento",R1024="",MAX('Tabela de Apoio'!$A:$A)&lt;=R1024),
R1023,
(INDEX('Tabela de Apoio'!$B:$B,MATCH('MAPA DE PREÇOS'!$O$8,'Tabela de Apoio'!$A:$A,1))/INDEX('Tabela de Apoio'!$B:$B,MATCH('MAPA DE PREÇOS'!R1024,'Tabela de Apoio'!$A:$A,1)-1))*R1023))</f>
        <v>67.67</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f t="shared" ref="B1028" si="3144">B1027</f>
        <v>49</v>
      </c>
      <c r="C1028" s="128">
        <f t="shared" ref="C1028" si="3145">C1027</f>
        <v>1</v>
      </c>
      <c r="D1028" s="127">
        <f t="shared" si="3020"/>
        <v>49</v>
      </c>
      <c r="E1028" s="201"/>
      <c r="F1028" s="93"/>
      <c r="G1028" s="203"/>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f t="shared" ref="B1029:C1029" si="3146">B1028</f>
        <v>49</v>
      </c>
      <c r="C1029" s="128">
        <f t="shared" si="3146"/>
        <v>1</v>
      </c>
      <c r="D1029" s="127">
        <f t="shared" si="3020"/>
        <v>49</v>
      </c>
      <c r="E1029" s="201"/>
      <c r="F1029" s="93"/>
      <c r="G1029" s="203"/>
      <c r="H1029" s="134">
        <f t="shared" ref="H1029" si="3147">COUNT($P1029:$XX1029)</f>
        <v>3</v>
      </c>
      <c r="I1029" s="132">
        <f t="shared" ref="I1029" si="3148">_xlfn.STDEV.P($P1028:$XX1029)/AVERAGE($P1028:$XX1029)</f>
        <v>5.9884157655667569E-2</v>
      </c>
      <c r="J1029" s="7">
        <f>ROW()</f>
        <v>1029</v>
      </c>
      <c r="K1029" s="67"/>
      <c r="L1029" s="29" t="s">
        <v>10</v>
      </c>
      <c r="M1029" s="30">
        <f t="shared" ref="M1029" si="3149">IFERROR(
IF(COUNTA(P1023:AI1023)=COUNTIF(P1025:XX1025,"Orçamento"),MIN(M1034,M1031),
IF(M1032&lt;&gt;"",M1032,
IF(M1033&lt;&gt;"",M1033,
M1031
))),"")</f>
        <v>70.086666666666659</v>
      </c>
      <c r="N1029" s="71"/>
      <c r="O1029" s="27" t="s">
        <v>376</v>
      </c>
      <c r="P1029" s="106">
        <f t="shared" ref="P1029:AI1029" si="3150">IFERROR(IF(P1027="",
            "",
            IF(COUNT($P1027:$XX1027)&lt;=4,
               P1027,
               IF(OR(P1027&gt;(QUARTILE($P1027:$XX1027,3)+(QUARTILE($P1027:$XX1027,3)-QUARTILE($P1027:$XX1027,1))),
                     P1027&lt;(QUARTILE($P1027:$XX1027,1)-(QUARTILE($P1027:$XX1027,3)-QUARTILE($P1027:$XX1027,1)))
                  ),
               "DESCARTADO",P1027)
             )
  ),P1027)</f>
        <v>66.599999999999994</v>
      </c>
      <c r="Q1029" s="106">
        <f t="shared" si="3150"/>
        <v>75.989999999999995</v>
      </c>
      <c r="R1029" s="106">
        <f t="shared" si="3150"/>
        <v>67.67</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f t="shared" ref="B1030" si="3151">B1029</f>
        <v>49</v>
      </c>
      <c r="C1030" s="128">
        <f t="shared" ref="C1030" si="3152">C1029</f>
        <v>1</v>
      </c>
      <c r="D1030" s="127">
        <f t="shared" si="3020"/>
        <v>49</v>
      </c>
      <c r="E1030" s="201"/>
      <c r="F1030" s="93"/>
      <c r="G1030" s="203"/>
      <c r="H1030"/>
      <c r="I1030"/>
      <c r="J1030"/>
      <c r="K1030" s="66"/>
      <c r="L1030" s="29" t="s">
        <v>360</v>
      </c>
      <c r="M1030" s="30">
        <f t="shared" ref="M1030" si="3153">AVERAGE($P1029:$XX1029)</f>
        <v>70.086666666666659</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f t="shared" si="3019"/>
        <v>49</v>
      </c>
      <c r="C1031" s="128">
        <f t="shared" si="3020"/>
        <v>1</v>
      </c>
      <c r="D1031" s="127">
        <f t="shared" si="3020"/>
        <v>49</v>
      </c>
      <c r="E1031" s="201"/>
      <c r="F1031" s="93"/>
      <c r="G1031" s="203"/>
      <c r="H1031" s="134">
        <f t="shared" ref="H1031" si="3155">COUNT($P1031:$XX1031)</f>
        <v>3</v>
      </c>
      <c r="I1031" s="132">
        <f t="shared" ref="I1031" si="3156">_xlfn.STDEV.P($P1030:$XX1031)/AVERAGE($P1030:$XX1031)</f>
        <v>5.9884157655667569E-2</v>
      </c>
      <c r="J1031" s="7">
        <f t="shared" ref="J1031" si="3157">IF(AND(H1031&gt;2,
OR(L1023="MÉDIA SANEADA",L1023="MEDIANA SANEADA",
AND(L1023="PREÇO ESTIMADO",NOT(AND(P1025="Orçamento",COUNTA(P1023:XX1023)=COUNTIF(P1025:XX1025,"Orçamento")))))),
ROW(),0)</f>
        <v>1031</v>
      </c>
      <c r="K1031" s="66"/>
      <c r="L1031" s="29" t="s">
        <v>361</v>
      </c>
      <c r="M1031" s="30">
        <f t="shared" ref="M1031" si="3158">MEDIAN($P1029:$XX1029)</f>
        <v>67.67</v>
      </c>
      <c r="N1031" s="71"/>
      <c r="O1031" s="27" t="str">
        <f t="shared" ref="O1031" si="3159">"1 RODADA"</f>
        <v>1 RODADA</v>
      </c>
      <c r="P1031" s="107">
        <f t="shared" ref="P1031:AI1031" si="3160">IF(P1029="","",IF((_xlfn.STDEV.P($P1028:$XX1029)/AVERAGE($P1028:$XX1029))&lt;=25%,P1029,IF(OR(P1029&gt;(AVERAGE($P1028:$XX1029)+_xlfn.STDEV.P($P1028:$XX1029)),P1029&lt;(AVERAGE($P1028:$XX1029)-_xlfn.STDEV.P($P1028:$XX1029))),"DESCARTADO",P1029)))</f>
        <v>66.599999999999994</v>
      </c>
      <c r="Q1031" s="107">
        <f t="shared" si="3160"/>
        <v>75.989999999999995</v>
      </c>
      <c r="R1031" s="107">
        <f t="shared" si="3160"/>
        <v>67.67</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f t="shared" si="3019"/>
        <v>49</v>
      </c>
      <c r="C1032" s="128">
        <f t="shared" si="3020"/>
        <v>1</v>
      </c>
      <c r="D1032" s="127">
        <f t="shared" si="3020"/>
        <v>49</v>
      </c>
      <c r="E1032" s="201"/>
      <c r="F1032" s="93"/>
      <c r="G1032" s="203"/>
      <c r="H1032"/>
      <c r="I1032"/>
      <c r="J1032"/>
      <c r="L1032" s="29" t="s">
        <v>38</v>
      </c>
      <c r="M1032" s="30">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70.086666666666659</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f t="shared" si="3019"/>
        <v>49</v>
      </c>
      <c r="C1033" s="128">
        <f t="shared" si="3020"/>
        <v>1</v>
      </c>
      <c r="D1033" s="127">
        <f t="shared" si="3020"/>
        <v>49</v>
      </c>
      <c r="E1033" s="201"/>
      <c r="F1033" s="93"/>
      <c r="G1033" s="203"/>
      <c r="H1033" s="134">
        <f t="shared" ref="H1033" si="3163">COUNT($P1033:$XX1033)</f>
        <v>3</v>
      </c>
      <c r="I1033" s="132">
        <f t="shared" ref="I1033" si="3164">_xlfn.STDEV.P($P1032:$XX1033)/AVERAGE($P1032:$XX1033)</f>
        <v>5.9884157655667569E-2</v>
      </c>
      <c r="J1033" s="7">
        <f t="shared" ref="J1033" si="3165">IF(AND(H1033&gt;2,
OR(L1023="MÉDIA SANEADA",L1023="MEDIANA SANEADA",
AND(L1023="PREÇO ESTIMADO",NOT(AND(P1025="Orçamento",COUNTA(P1023:XX1023)=COUNTIF(P1025:XX1025,"Orçamento")))))),
ROW(),0)</f>
        <v>1033</v>
      </c>
      <c r="K1033" s="66"/>
      <c r="L1033" s="29" t="s">
        <v>362</v>
      </c>
      <c r="M1033" s="30">
        <f t="shared" ref="M1033" si="3166" xml:space="preserve">
IF(H1031&gt;2,MEDIAN(P1030:XX1031),
IF(H1033&gt;2,MEDIAN(P1032:XX1033),
IF(H1035&gt;2,MEDIAN(P1034:XX1035),
IF(H1037&gt;2,MEDIAN(P1036:XX1037),
IF(H1039&gt;2,MEDIAN(P1038:XX1039),
IF(H1041&gt;2,MEDIAN(P1040:XX1041),
MEDIAN(P1028:XX1029)))))))</f>
        <v>67.67</v>
      </c>
      <c r="N1033" s="71"/>
      <c r="O1033" s="27" t="str">
        <f t="shared" ref="O1033" si="3167">"2 RODADA"</f>
        <v>2 RODADA</v>
      </c>
      <c r="P1033" s="107">
        <f t="shared" ref="P1033:AI1033" si="3168">IF(P1031="","",IF((_xlfn.STDEV.P($P1030:$XX1031)/AVERAGE($P1030:$XX1031))&lt;=25%,P1031,IF(OR(P1031&gt;(AVERAGE($P1030:$XX1031)+_xlfn.STDEV.P($P1030:$XX1031)),P1031&lt;(AVERAGE($P1030:$XX1031)-_xlfn.STDEV.P($P1030:$XX1031))),"DESCARTADO",P1031)))</f>
        <v>66.599999999999994</v>
      </c>
      <c r="Q1033" s="107">
        <f t="shared" si="3168"/>
        <v>75.989999999999995</v>
      </c>
      <c r="R1033" s="107">
        <f t="shared" si="3168"/>
        <v>67.67</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f t="shared" si="3019"/>
        <v>49</v>
      </c>
      <c r="C1034" s="128">
        <f t="shared" si="3020"/>
        <v>1</v>
      </c>
      <c r="D1034" s="127">
        <f t="shared" si="3020"/>
        <v>49</v>
      </c>
      <c r="E1034" s="201"/>
      <c r="F1034" s="93"/>
      <c r="G1034" s="203"/>
      <c r="H1034"/>
      <c r="I1034"/>
      <c r="J1034"/>
      <c r="K1034" s="66"/>
      <c r="L1034" s="29" t="s">
        <v>359</v>
      </c>
      <c r="M1034" s="30">
        <f t="shared" ref="M1034" si="3169">HARMEAN($P1028:$XX1029)</f>
        <v>69.845021089837843</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f t="shared" si="3019"/>
        <v>49</v>
      </c>
      <c r="C1035" s="128">
        <f t="shared" si="3020"/>
        <v>1</v>
      </c>
      <c r="D1035" s="127">
        <f t="shared" si="3020"/>
        <v>49</v>
      </c>
      <c r="E1035" s="201"/>
      <c r="F1035" s="93"/>
      <c r="G1035" s="203"/>
      <c r="H1035" s="134">
        <f t="shared" ref="H1035" si="3171">COUNT($P1035:$XX1035)</f>
        <v>3</v>
      </c>
      <c r="I1035" s="132">
        <f t="shared" ref="I1035" si="3172">_xlfn.STDEV.P($P1034:$XX1035)/AVERAGE($P1034:$XX1035)</f>
        <v>5.9884157655667569E-2</v>
      </c>
      <c r="J1035" s="7">
        <f t="shared" ref="J1035" si="3173">IF(AND(H1035&gt;2,
OR(L1023="MÉDIA SANEADA",L1023="MEDIANA SANEADA",
AND(L1023="PREÇO ESTIMADO",NOT(AND(P1025="Orçamento",COUNTA(P1023:XX1023)=COUNTIF(P1025:XX1025,"Orçamento")))))),
ROW(),0)</f>
        <v>1035</v>
      </c>
      <c r="K1035" s="66"/>
      <c r="L1035" s="29" t="s">
        <v>41</v>
      </c>
      <c r="M1035" s="30">
        <f t="shared" ref="M1035" si="3174">IFERROR(_xlfn.QUARTILE.EXC($P1029:$XX1029,1),"")</f>
        <v>66.599999999999994</v>
      </c>
      <c r="N1035" s="71"/>
      <c r="O1035" s="27" t="str">
        <f t="shared" ref="O1035" si="3175">"3 RODADA"</f>
        <v>3 RODADA</v>
      </c>
      <c r="P1035" s="107">
        <f t="shared" ref="P1035:AI1035" si="3176">IF(P1033="","",IF((_xlfn.STDEV.P($P1032:$XX1033)/AVERAGE($P1032:$XX1033))&lt;=25%,P1033,IF(OR(P1033&gt;(AVERAGE($P1032:$XX1033)+_xlfn.STDEV.P($P1032:$XX1033)),P1033&lt;(AVERAGE($P1032:$XX1033)-_xlfn.STDEV.P($P1032:$XX1033))),"DESCARTADO",P1033)))</f>
        <v>66.599999999999994</v>
      </c>
      <c r="Q1035" s="107">
        <f t="shared" si="3176"/>
        <v>75.989999999999995</v>
      </c>
      <c r="R1035" s="107">
        <f t="shared" si="3176"/>
        <v>67.67</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f t="shared" si="3019"/>
        <v>49</v>
      </c>
      <c r="C1036" s="128">
        <f t="shared" si="3020"/>
        <v>1</v>
      </c>
      <c r="D1036" s="127">
        <f t="shared" si="3020"/>
        <v>49</v>
      </c>
      <c r="E1036" s="201"/>
      <c r="F1036" s="93"/>
      <c r="G1036" s="203"/>
      <c r="H1036"/>
      <c r="I1036"/>
      <c r="J1036"/>
      <c r="K1036" s="66"/>
      <c r="L1036" s="29" t="s">
        <v>39</v>
      </c>
      <c r="M1036" s="30">
        <f t="shared" ref="M1036" si="3177">IFERROR(_xlfn.QUARTILE.EXC($P1029:$XX1029,3),"")</f>
        <v>75.989999999999995</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f t="shared" si="3019"/>
        <v>49</v>
      </c>
      <c r="C1037" s="128">
        <f t="shared" si="3020"/>
        <v>1</v>
      </c>
      <c r="D1037" s="127">
        <f t="shared" si="3020"/>
        <v>49</v>
      </c>
      <c r="E1037" s="201"/>
      <c r="F1037" s="93"/>
      <c r="G1037" s="203"/>
      <c r="H1037" s="134">
        <f t="shared" ref="H1037" si="3179">COUNT($P1037:$XX1037)</f>
        <v>3</v>
      </c>
      <c r="I1037" s="132">
        <f t="shared" ref="I1037" si="3180">_xlfn.STDEV.P($P1036:$XX1037)/AVERAGE($P1036:$XX1037)</f>
        <v>5.9884157655667569E-2</v>
      </c>
      <c r="J1037" s="7">
        <f t="shared" ref="J1037" si="3181">IF(AND(H1037&gt;2,
OR(L1023="MÉDIA SANEADA",L1023="MEDIANA SANEADA",
AND(L1023="PREÇO ESTIMADO",NOT(AND(P1025="Orçamento",COUNTA(P1023:XX1023)=COUNTIF(P1025:XX1025,"Orçamento")))))),
ROW(),0)</f>
        <v>1037</v>
      </c>
      <c r="K1037" s="66"/>
      <c r="L1037" s="29" t="s">
        <v>42</v>
      </c>
      <c r="M1037" s="30">
        <f t="shared" ref="M1037" si="3182">MIN($P1029:$XX1029)</f>
        <v>66.599999999999994</v>
      </c>
      <c r="N1037" s="71"/>
      <c r="O1037" s="27" t="str">
        <f t="shared" ref="O1037" si="3183">"4 RODADA"</f>
        <v>4 RODADA</v>
      </c>
      <c r="P1037" s="107">
        <f t="shared" ref="P1037:AI1037" si="3184">IF(P1035="","",IF((_xlfn.STDEV.P($P1034:$XX1035)/AVERAGE($P1034:$XX1035))&lt;=25%,P1035,IF(OR(P1035&gt;(AVERAGE($P1034:$XX1035)+_xlfn.STDEV.P($P1034:$XX1035)),P1035&lt;(AVERAGE($P1034:$XX1035)-_xlfn.STDEV.P($P1034:$XX1035))),"DESCARTADO",P1035)))</f>
        <v>66.599999999999994</v>
      </c>
      <c r="Q1037" s="107">
        <f t="shared" si="3184"/>
        <v>75.989999999999995</v>
      </c>
      <c r="R1037" s="107">
        <f t="shared" si="3184"/>
        <v>67.67</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f t="shared" si="3019"/>
        <v>49</v>
      </c>
      <c r="C1038" s="128">
        <f t="shared" si="3020"/>
        <v>1</v>
      </c>
      <c r="D1038" s="127">
        <f t="shared" si="3020"/>
        <v>49</v>
      </c>
      <c r="E1038" s="201"/>
      <c r="F1038" s="93"/>
      <c r="G1038" s="203"/>
      <c r="H1038"/>
      <c r="I1038"/>
      <c r="J1038"/>
      <c r="K1038" s="66"/>
      <c r="L1038" s="29" t="s">
        <v>40</v>
      </c>
      <c r="M1038" s="30">
        <f t="shared" ref="M1038" si="3185">MAX($P1029:$XX1029)</f>
        <v>75.989999999999995</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f t="shared" si="3019"/>
        <v>49</v>
      </c>
      <c r="C1039" s="128">
        <f t="shared" si="3020"/>
        <v>1</v>
      </c>
      <c r="D1039" s="127">
        <f t="shared" si="3020"/>
        <v>49</v>
      </c>
      <c r="E1039" s="201"/>
      <c r="F1039" s="93"/>
      <c r="G1039" s="203"/>
      <c r="H1039" s="134">
        <f t="shared" ref="H1039" si="3187">COUNT($P1039:$XX1039)</f>
        <v>3</v>
      </c>
      <c r="I1039" s="132">
        <f t="shared" ref="I1039" si="3188">_xlfn.STDEV.P($P1038:$XX1039)/AVERAGE($P1038:$XX1039)</f>
        <v>5.9884157655667569E-2</v>
      </c>
      <c r="J1039" s="7">
        <f t="shared" ref="J1039" si="3189">IF(AND(H1039&gt;2,
OR(L1023="MÉDIA SANEADA",L1023="MEDIANA SANEADA",
AND(L1023="PREÇO ESTIMADO",NOT(AND(P1025="Orçamento",COUNTA(P1023:XX1023)=COUNTIF(P1025:XX1025,"Orçamento")))))),
ROW(),0)</f>
        <v>1039</v>
      </c>
      <c r="K1039" s="66"/>
      <c r="N1039" s="71"/>
      <c r="O1039" s="27" t="str">
        <f t="shared" ref="O1039" si="3190">"5 RODADA"</f>
        <v>5 RODADA</v>
      </c>
      <c r="P1039" s="107">
        <f t="shared" ref="P1039:AI1039" si="3191">IF(P1037="","",IF((_xlfn.STDEV.P($P1036:$XX1037)/AVERAGE($P1036:$XX1037))&lt;=25%,P1037,IF(OR(P1037&gt;(AVERAGE($P1036:$XX1037)+_xlfn.STDEV.P($P1036:$XX1037)),P1037&lt;(AVERAGE($P1036:$XX1037)-_xlfn.STDEV.P($P1036:$XX1037))),"DESCARTADO",P1037)))</f>
        <v>66.599999999999994</v>
      </c>
      <c r="Q1039" s="107">
        <f t="shared" si="3191"/>
        <v>75.989999999999995</v>
      </c>
      <c r="R1039" s="107">
        <f t="shared" si="3191"/>
        <v>67.67</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f t="shared" si="3019"/>
        <v>49</v>
      </c>
      <c r="C1040" s="128">
        <f t="shared" si="3020"/>
        <v>1</v>
      </c>
      <c r="D1040" s="127">
        <f t="shared" si="3020"/>
        <v>49</v>
      </c>
      <c r="E1040" s="201"/>
      <c r="F1040" s="93"/>
      <c r="G1040" s="203"/>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f t="shared" si="3019"/>
        <v>49</v>
      </c>
      <c r="C1041" s="128">
        <f t="shared" si="3020"/>
        <v>1</v>
      </c>
      <c r="D1041" s="127">
        <f t="shared" si="3020"/>
        <v>49</v>
      </c>
      <c r="E1041" s="201"/>
      <c r="F1041" s="93"/>
      <c r="G1041" s="203"/>
      <c r="H1041" s="134">
        <f t="shared" ref="H1041" si="3193">COUNT($P1041:$XX1041)</f>
        <v>3</v>
      </c>
      <c r="I1041" s="132">
        <f t="shared" ref="I1041" si="3194">_xlfn.STDEV.P($P1040:$XX1041)/AVERAGE($P1040:$XX1041)</f>
        <v>5.9884157655667569E-2</v>
      </c>
      <c r="J1041" s="7">
        <f t="shared" ref="J1041" si="3195">IF(AND(H1041&gt;2,
OR(L1023="MÉDIA SANEADA",L1023="MEDIANA SANEADA",
AND(L1023="PREÇO ESTIMADO",NOT(AND(P1025="Orçamento",COUNTA(P1023:XX1023)=COUNTIF(P1025:XX1025,"Orçamento")))))),
ROW(),0)</f>
        <v>1041</v>
      </c>
      <c r="N1041" s="71"/>
      <c r="O1041" s="27" t="str">
        <f t="shared" ref="O1041" si="3196">"6 RODADA"</f>
        <v>6 RODADA</v>
      </c>
      <c r="P1041" s="107">
        <f t="shared" ref="P1041:AI1041" si="3197">IFERROR(IF(P1039="","",IF((_xlfn.STDEV.P($P1038:$XX1039)/AVERAGE($P1038:$XX1039))&lt;=25%,P1039,IF(OR(P1039&gt;(AVERAGE($P1038:$XX1039)+_xlfn.STDEV.P($P1038:$XX1039)),P1039&lt;(AVERAGE($P1038:$XX1039)-_xlfn.STDEV.P($P1038:$XX1039))),"DESCARTADO",P1039))),)</f>
        <v>66.599999999999994</v>
      </c>
      <c r="Q1041" s="107">
        <f t="shared" si="3197"/>
        <v>75.989999999999995</v>
      </c>
      <c r="R1041" s="107">
        <f t="shared" si="3197"/>
        <v>67.67</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f t="shared" si="3019"/>
        <v>49</v>
      </c>
      <c r="C1042" s="128">
        <f t="shared" si="3020"/>
        <v>1</v>
      </c>
      <c r="D1042" s="127">
        <f t="shared" si="3020"/>
        <v>49</v>
      </c>
      <c r="E1042" s="201"/>
      <c r="F1042" s="136"/>
      <c r="G1042" s="203"/>
      <c r="H1042" s="206"/>
      <c r="I1042" s="206"/>
      <c r="J1042" s="207"/>
      <c r="K1042" s="67"/>
      <c r="L1042" s="1" t="s">
        <v>43</v>
      </c>
      <c r="M1042" s="143">
        <f t="shared" ref="M1042" si="3198">IFERROR(ROUND(M1023*M1025,2),"")</f>
        <v>70.09</v>
      </c>
      <c r="O1042" s="27" t="s">
        <v>363</v>
      </c>
      <c r="P1042" s="107">
        <f t="shared" ref="P1042:R1042" si="3199">INDEX(P1029:P1041,MATCH(MAX($J1029:$J1041),$J1029:$J1041,0))</f>
        <v>66.599999999999994</v>
      </c>
      <c r="Q1042" s="107">
        <f t="shared" si="3199"/>
        <v>75.989999999999995</v>
      </c>
      <c r="R1042" s="107">
        <f t="shared" si="3199"/>
        <v>67.67</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f t="shared" ref="B1044" si="3200">LARGE(IFERROR(IF(B1042+1&gt;$H$8,"",B1042+1),""),1)</f>
        <v>50</v>
      </c>
      <c r="C1044" s="127">
        <f>IF(_xlfn.ISFORMULA(E1048),MAX(INDEX('BASE FORMAÇÃO'!A:A,B1044+1),1),E1048)</f>
        <v>1</v>
      </c>
      <c r="D1044" s="127">
        <f t="shared" ref="D1044" si="3201">IFERROR(IF(C1044=C1034,D1034+1,1),1)</f>
        <v>50</v>
      </c>
      <c r="E1044" s="38" t="s">
        <v>9</v>
      </c>
      <c r="F1044" s="73"/>
      <c r="G1044" s="38" t="s">
        <v>15</v>
      </c>
      <c r="H1044" s="135">
        <f>INDEX('BASE FORMAÇÃO'!B:B,B1044+1)</f>
        <v>0</v>
      </c>
      <c r="I1044" s="181" t="s">
        <v>16</v>
      </c>
      <c r="J1044" s="6">
        <f>INDEX('BASE FORMAÇÃO'!K:K,B1044+1)</f>
        <v>0</v>
      </c>
      <c r="K1044" s="65"/>
      <c r="L1044" s="184" t="s">
        <v>10</v>
      </c>
      <c r="M1044" s="186">
        <f t="shared" ref="M1044" si="3202">IF(OR(ISBLANK($O$8),ISBLANK($O$7),ISBLANK($H$8),ISBLANK($O$6),ISBLANK($O$5),ISBLANK($H$5)),"",IFERROR(IF(VLOOKUP(L1044,L1050:M1059,2,FALSE)&lt;1,ROUND(VLOOKUP(L1044,L1050:M1059,2,FALSE),4),ROUND(VLOOKUP(L1044,L1050:M1059,2,FALSE),2)),""))</f>
        <v>108.23</v>
      </c>
      <c r="N1044" s="69"/>
      <c r="O1044" s="27" t="s">
        <v>17</v>
      </c>
      <c r="P1044" s="113">
        <v>106.79</v>
      </c>
      <c r="Q1044" s="113">
        <v>108.23</v>
      </c>
      <c r="R1044" s="113">
        <v>178</v>
      </c>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f t="shared" ref="B1045:D1045" si="3203">B1044</f>
        <v>50</v>
      </c>
      <c r="C1045" s="128">
        <f t="shared" si="3203"/>
        <v>1</v>
      </c>
      <c r="D1045" s="127">
        <f t="shared" si="3203"/>
        <v>50</v>
      </c>
      <c r="E1045" s="188">
        <f t="shared" ref="E1045" si="3204">D1044</f>
        <v>50</v>
      </c>
      <c r="F1045" s="92"/>
      <c r="G1045" s="190" t="s">
        <v>1</v>
      </c>
      <c r="H1045" s="193" t="s">
        <v>629</v>
      </c>
      <c r="I1045" s="194"/>
      <c r="J1045" s="195"/>
      <c r="K1045" s="66"/>
      <c r="L1045" s="185"/>
      <c r="M1045" s="187"/>
      <c r="N1045" s="70"/>
      <c r="O1045" s="27" t="s">
        <v>13</v>
      </c>
      <c r="P1045" s="122">
        <v>46196</v>
      </c>
      <c r="Q1045" s="122">
        <v>46196</v>
      </c>
      <c r="R1045" s="122">
        <v>46196</v>
      </c>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f t="shared" ref="B1046:D1046" si="3205">B1045</f>
        <v>50</v>
      </c>
      <c r="C1046" s="128">
        <f t="shared" si="3205"/>
        <v>1</v>
      </c>
      <c r="D1046" s="127">
        <f t="shared" si="3205"/>
        <v>50</v>
      </c>
      <c r="E1046" s="189"/>
      <c r="F1046" s="93"/>
      <c r="G1046" s="191"/>
      <c r="H1046" s="196"/>
      <c r="I1046" s="196"/>
      <c r="J1046" s="197"/>
      <c r="K1046" s="64"/>
      <c r="L1046" s="130" t="s">
        <v>44</v>
      </c>
      <c r="M1046" s="131">
        <v>1</v>
      </c>
      <c r="N1046" s="71"/>
      <c r="O1046" s="27" t="s">
        <v>380</v>
      </c>
      <c r="P1046" s="114" t="s">
        <v>302</v>
      </c>
      <c r="Q1046" s="114" t="s">
        <v>302</v>
      </c>
      <c r="R1046" s="114" t="s">
        <v>302</v>
      </c>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f t="shared" ref="B1047:C1047" si="3206">B1046</f>
        <v>50</v>
      </c>
      <c r="C1047" s="128">
        <f t="shared" si="3206"/>
        <v>1</v>
      </c>
      <c r="D1047" s="127">
        <f t="shared" si="3020"/>
        <v>50</v>
      </c>
      <c r="E1047" s="38" t="s">
        <v>313</v>
      </c>
      <c r="F1047" s="93"/>
      <c r="G1047" s="192"/>
      <c r="H1047" s="198"/>
      <c r="I1047" s="198"/>
      <c r="J1047" s="199"/>
      <c r="K1047" s="64"/>
      <c r="L1047" s="1" t="s">
        <v>2</v>
      </c>
      <c r="M1047" s="6" t="s">
        <v>288</v>
      </c>
      <c r="N1047" s="71"/>
      <c r="O1047" s="27" t="s">
        <v>381</v>
      </c>
      <c r="P1047" s="182" t="s">
        <v>630</v>
      </c>
      <c r="Q1047" s="182" t="s">
        <v>631</v>
      </c>
      <c r="R1047" s="182" t="s">
        <v>632</v>
      </c>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f t="shared" ref="B1048:C1048" si="3207">B1046</f>
        <v>50</v>
      </c>
      <c r="C1048" s="128">
        <f t="shared" si="3207"/>
        <v>1</v>
      </c>
      <c r="D1048" s="127">
        <f t="shared" si="3020"/>
        <v>50</v>
      </c>
      <c r="E1048" s="200">
        <f t="shared" ref="E1048" si="3208">C1044</f>
        <v>1</v>
      </c>
      <c r="F1048" s="93"/>
      <c r="G1048" s="202" t="s">
        <v>304</v>
      </c>
      <c r="H1048" s="204"/>
      <c r="I1048" s="205"/>
      <c r="J1048" s="205"/>
      <c r="K1048" s="67"/>
      <c r="L1048" s="28" t="s">
        <v>303</v>
      </c>
      <c r="M1048" s="133">
        <f t="shared" ref="M1048" si="3209">IFERROR(INDEX(I1050:I1062,MATCH(MAX(J1050:J1062),J1050:J1062,0)),"")</f>
        <v>0.25368559737090612</v>
      </c>
      <c r="N1048" s="71"/>
      <c r="O1048" s="27" t="s">
        <v>18</v>
      </c>
      <c r="P1048" s="106">
        <f>IF(P1044="","",
IF(OR(P1046="Orçamento",P1045="",MAX('Tabela de Apoio'!$A:$A)&lt;=P1045),
P1044,
(INDEX('Tabela de Apoio'!$B:$B,MATCH('MAPA DE PREÇOS'!$O$8,'Tabela de Apoio'!$A:$A,1))/INDEX('Tabela de Apoio'!$B:$B,MATCH('MAPA DE PREÇOS'!P1045,'Tabela de Apoio'!$A:$A,1)-1))*P1044))</f>
        <v>106.79</v>
      </c>
      <c r="Q1048" s="106">
        <f>IF(Q1044="","",
IF(OR(Q1046="Orçamento",Q1045="",MAX('Tabela de Apoio'!$A:$A)&lt;=Q1045),
Q1044,
(INDEX('Tabela de Apoio'!$B:$B,MATCH('MAPA DE PREÇOS'!$O$8,'Tabela de Apoio'!$A:$A,1))/INDEX('Tabela de Apoio'!$B:$B,MATCH('MAPA DE PREÇOS'!Q1045,'Tabela de Apoio'!$A:$A,1)-1))*Q1044))</f>
        <v>108.23</v>
      </c>
      <c r="R1048" s="106">
        <f>IF(R1044="","",
IF(OR(R1046="Orçamento",R1045="",MAX('Tabela de Apoio'!$A:$A)&lt;=R1045),
R1044,
(INDEX('Tabela de Apoio'!$B:$B,MATCH('MAPA DE PREÇOS'!$O$8,'Tabela de Apoio'!$A:$A,1))/INDEX('Tabela de Apoio'!$B:$B,MATCH('MAPA DE PREÇOS'!R1045,'Tabela de Apoio'!$A:$A,1)-1))*R1044))</f>
        <v>178</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f t="shared" ref="B1049" si="3210">B1048</f>
        <v>50</v>
      </c>
      <c r="C1049" s="128">
        <f t="shared" ref="C1049" si="3211">C1048</f>
        <v>1</v>
      </c>
      <c r="D1049" s="127">
        <f t="shared" si="3020"/>
        <v>50</v>
      </c>
      <c r="E1049" s="201"/>
      <c r="F1049" s="93"/>
      <c r="G1049" s="203"/>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f t="shared" ref="B1050:C1050" si="3212">B1049</f>
        <v>50</v>
      </c>
      <c r="C1050" s="128">
        <f t="shared" si="3212"/>
        <v>1</v>
      </c>
      <c r="D1050" s="127">
        <f t="shared" si="3020"/>
        <v>50</v>
      </c>
      <c r="E1050" s="201"/>
      <c r="F1050" s="93"/>
      <c r="G1050" s="203"/>
      <c r="H1050" s="134">
        <f t="shared" ref="H1050" si="3213">COUNT($P1050:$XX1050)</f>
        <v>3</v>
      </c>
      <c r="I1050" s="132">
        <f t="shared" ref="I1050" si="3214">_xlfn.STDEV.P($P1049:$XX1050)/AVERAGE($P1049:$XX1050)</f>
        <v>0.25368559737090612</v>
      </c>
      <c r="J1050" s="7">
        <f>ROW()</f>
        <v>1050</v>
      </c>
      <c r="K1050" s="67"/>
      <c r="L1050" s="29" t="s">
        <v>10</v>
      </c>
      <c r="M1050" s="30">
        <f t="shared" ref="M1050" si="3215">IFERROR(
IF(COUNTA(P1044:AI1044)=COUNTIF(P1046:XX1046,"Orçamento"),MIN(M1055,M1052),
IF(M1053&lt;&gt;"",M1053,
IF(M1054&lt;&gt;"",M1054,
M1052
))),"")</f>
        <v>108.23</v>
      </c>
      <c r="N1050" s="71"/>
      <c r="O1050" s="27" t="s">
        <v>376</v>
      </c>
      <c r="P1050" s="106">
        <f t="shared" ref="P1050:AI1050" si="3216">IFERROR(IF(P1048="",
            "",
            IF(COUNT($P1048:$XX1048)&lt;=4,
               P1048,
               IF(OR(P1048&gt;(QUARTILE($P1048:$XX1048,3)+(QUARTILE($P1048:$XX1048,3)-QUARTILE($P1048:$XX1048,1))),
                     P1048&lt;(QUARTILE($P1048:$XX1048,1)-(QUARTILE($P1048:$XX1048,3)-QUARTILE($P1048:$XX1048,1)))
                  ),
               "DESCARTADO",P1048)
             )
  ),P1048)</f>
        <v>106.79</v>
      </c>
      <c r="Q1050" s="106">
        <f t="shared" si="3216"/>
        <v>108.23</v>
      </c>
      <c r="R1050" s="106">
        <f t="shared" si="3216"/>
        <v>178</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f t="shared" ref="B1051:B1105" si="3217">B1050</f>
        <v>50</v>
      </c>
      <c r="C1051" s="128">
        <f t="shared" ref="C1051:D1114" si="3218">C1050</f>
        <v>1</v>
      </c>
      <c r="D1051" s="127">
        <f t="shared" si="3020"/>
        <v>50</v>
      </c>
      <c r="E1051" s="201"/>
      <c r="F1051" s="93"/>
      <c r="G1051" s="203"/>
      <c r="H1051"/>
      <c r="I1051"/>
      <c r="J1051"/>
      <c r="K1051" s="66"/>
      <c r="L1051" s="29" t="s">
        <v>360</v>
      </c>
      <c r="M1051" s="30">
        <f t="shared" ref="M1051" si="3219">AVERAGE($P1050:$XX1050)</f>
        <v>131.00666666666666</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f t="shared" si="3217"/>
        <v>50</v>
      </c>
      <c r="C1052" s="128">
        <f t="shared" si="3218"/>
        <v>1</v>
      </c>
      <c r="D1052" s="127">
        <f t="shared" si="3218"/>
        <v>50</v>
      </c>
      <c r="E1052" s="201"/>
      <c r="F1052" s="93"/>
      <c r="G1052" s="203"/>
      <c r="H1052" s="134">
        <f t="shared" ref="H1052" si="3221">COUNT($P1052:$XX1052)</f>
        <v>2</v>
      </c>
      <c r="I1052" s="132">
        <f t="shared" ref="I1052" si="3222">_xlfn.STDEV.P($P1051:$XX1052)/AVERAGE($P1051:$XX1052)</f>
        <v>6.69705143707561E-3</v>
      </c>
      <c r="J1052" s="7">
        <f t="shared" ref="J1052" si="3223">IF(AND(H1052&gt;2,
OR(L1044="MÉDIA SANEADA",L1044="MEDIANA SANEADA",
AND(L1044="PREÇO ESTIMADO",NOT(AND(P1046="Orçamento",COUNTA(P1044:XX1044)=COUNTIF(P1046:XX1046,"Orçamento")))))),
ROW(),0)</f>
        <v>0</v>
      </c>
      <c r="K1052" s="66"/>
      <c r="L1052" s="29" t="s">
        <v>361</v>
      </c>
      <c r="M1052" s="30">
        <f t="shared" ref="M1052" si="3224">MEDIAN($P1050:$XX1050)</f>
        <v>108.23</v>
      </c>
      <c r="N1052" s="71"/>
      <c r="O1052" s="27" t="str">
        <f t="shared" ref="O1052" si="3225">"1 RODADA"</f>
        <v>1 RODADA</v>
      </c>
      <c r="P1052" s="107">
        <f t="shared" ref="P1052:AI1052" si="3226">IF(P1050="","",IF((_xlfn.STDEV.P($P1049:$XX1050)/AVERAGE($P1049:$XX1050))&lt;=25%,P1050,IF(OR(P1050&gt;(AVERAGE($P1049:$XX1050)+_xlfn.STDEV.P($P1049:$XX1050)),P1050&lt;(AVERAGE($P1049:$XX1050)-_xlfn.STDEV.P($P1049:$XX1050))),"DESCARTADO",P1050)))</f>
        <v>106.79</v>
      </c>
      <c r="Q1052" s="107">
        <f t="shared" si="3226"/>
        <v>108.23</v>
      </c>
      <c r="R1052" s="107" t="str">
        <f t="shared" si="3226"/>
        <v>DESCARTADO</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f t="shared" si="3217"/>
        <v>50</v>
      </c>
      <c r="C1053" s="128">
        <f t="shared" si="3218"/>
        <v>1</v>
      </c>
      <c r="D1053" s="127">
        <f t="shared" si="3218"/>
        <v>50</v>
      </c>
      <c r="E1053" s="201"/>
      <c r="F1053" s="93"/>
      <c r="G1053" s="203"/>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f t="shared" si="3217"/>
        <v>50</v>
      </c>
      <c r="C1054" s="128">
        <f t="shared" si="3218"/>
        <v>1</v>
      </c>
      <c r="D1054" s="127">
        <f t="shared" si="3218"/>
        <v>50</v>
      </c>
      <c r="E1054" s="201"/>
      <c r="F1054" s="93"/>
      <c r="G1054" s="203"/>
      <c r="H1054" s="134">
        <f t="shared" ref="H1054" si="3229">COUNT($P1054:$XX1054)</f>
        <v>2</v>
      </c>
      <c r="I1054" s="132">
        <f t="shared" ref="I1054" si="3230">_xlfn.STDEV.P($P1053:$XX1054)/AVERAGE($P1053:$XX1054)</f>
        <v>6.69705143707561E-3</v>
      </c>
      <c r="J1054" s="7">
        <f t="shared" ref="J1054" si="3231">IF(AND(H1054&gt;2,
OR(L1044="MÉDIA SANEADA",L1044="MEDIANA SANEADA",
AND(L1044="PREÇO ESTIMADO",NOT(AND(P1046="Orçamento",COUNTA(P1044:XX1044)=COUNTIF(P1046:XX1046,"Orçamento")))))),
ROW(),0)</f>
        <v>0</v>
      </c>
      <c r="K1054" s="66"/>
      <c r="L1054" s="29" t="s">
        <v>362</v>
      </c>
      <c r="M1054" s="30">
        <f t="shared" ref="M1054" si="3232" xml:space="preserve">
IF(H1052&gt;2,MEDIAN(P1051:XX1052),
IF(H1054&gt;2,MEDIAN(P1053:XX1054),
IF(H1056&gt;2,MEDIAN(P1055:XX1056),
IF(H1058&gt;2,MEDIAN(P1057:XX1058),
IF(H1060&gt;2,MEDIAN(P1059:XX1060),
IF(H1062&gt;2,MEDIAN(P1061:XX1062),
MEDIAN(P1049:XX1050)))))))</f>
        <v>108.23</v>
      </c>
      <c r="N1054" s="71"/>
      <c r="O1054" s="27" t="str">
        <f t="shared" ref="O1054" si="3233">"2 RODADA"</f>
        <v>2 RODADA</v>
      </c>
      <c r="P1054" s="107">
        <f t="shared" ref="P1054:AI1054" si="3234">IF(P1052="","",IF((_xlfn.STDEV.P($P1051:$XX1052)/AVERAGE($P1051:$XX1052))&lt;=25%,P1052,IF(OR(P1052&gt;(AVERAGE($P1051:$XX1052)+_xlfn.STDEV.P($P1051:$XX1052)),P1052&lt;(AVERAGE($P1051:$XX1052)-_xlfn.STDEV.P($P1051:$XX1052))),"DESCARTADO",P1052)))</f>
        <v>106.79</v>
      </c>
      <c r="Q1054" s="107">
        <f t="shared" si="3234"/>
        <v>108.23</v>
      </c>
      <c r="R1054" s="107" t="str">
        <f t="shared" si="3234"/>
        <v>DESCARTADO</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f t="shared" si="3217"/>
        <v>50</v>
      </c>
      <c r="C1055" s="128">
        <f t="shared" si="3218"/>
        <v>1</v>
      </c>
      <c r="D1055" s="127">
        <f t="shared" si="3218"/>
        <v>50</v>
      </c>
      <c r="E1055" s="201"/>
      <c r="F1055" s="93"/>
      <c r="G1055" s="203"/>
      <c r="H1055"/>
      <c r="I1055"/>
      <c r="J1055"/>
      <c r="K1055" s="66"/>
      <c r="L1055" s="29" t="s">
        <v>359</v>
      </c>
      <c r="M1055" s="30">
        <f t="shared" ref="M1055" si="3235">HARMEAN($P1049:$XX1050)</f>
        <v>123.85571473040483</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f t="shared" si="3217"/>
        <v>50</v>
      </c>
      <c r="C1056" s="128">
        <f t="shared" si="3218"/>
        <v>1</v>
      </c>
      <c r="D1056" s="127">
        <f t="shared" si="3218"/>
        <v>50</v>
      </c>
      <c r="E1056" s="201"/>
      <c r="F1056" s="93"/>
      <c r="G1056" s="203"/>
      <c r="H1056" s="134">
        <f t="shared" ref="H1056" si="3237">COUNT($P1056:$XX1056)</f>
        <v>2</v>
      </c>
      <c r="I1056" s="132">
        <f t="shared" ref="I1056" si="3238">_xlfn.STDEV.P($P1055:$XX1056)/AVERAGE($P1055:$XX1056)</f>
        <v>6.69705143707561E-3</v>
      </c>
      <c r="J1056" s="7">
        <f t="shared" ref="J1056" si="3239">IF(AND(H1056&gt;2,
OR(L1044="MÉDIA SANEADA",L1044="MEDIANA SANEADA",
AND(L1044="PREÇO ESTIMADO",NOT(AND(P1046="Orçamento",COUNTA(P1044:XX1044)=COUNTIF(P1046:XX1046,"Orçamento")))))),
ROW(),0)</f>
        <v>0</v>
      </c>
      <c r="K1056" s="66"/>
      <c r="L1056" s="29" t="s">
        <v>41</v>
      </c>
      <c r="M1056" s="30">
        <f t="shared" ref="M1056" si="3240">IFERROR(_xlfn.QUARTILE.EXC($P1050:$XX1050,1),"")</f>
        <v>106.79</v>
      </c>
      <c r="N1056" s="71"/>
      <c r="O1056" s="27" t="str">
        <f t="shared" ref="O1056" si="3241">"3 RODADA"</f>
        <v>3 RODADA</v>
      </c>
      <c r="P1056" s="107">
        <f t="shared" ref="P1056:AI1056" si="3242">IF(P1054="","",IF((_xlfn.STDEV.P($P1053:$XX1054)/AVERAGE($P1053:$XX1054))&lt;=25%,P1054,IF(OR(P1054&gt;(AVERAGE($P1053:$XX1054)+_xlfn.STDEV.P($P1053:$XX1054)),P1054&lt;(AVERAGE($P1053:$XX1054)-_xlfn.STDEV.P($P1053:$XX1054))),"DESCARTADO",P1054)))</f>
        <v>106.79</v>
      </c>
      <c r="Q1056" s="107">
        <f t="shared" si="3242"/>
        <v>108.23</v>
      </c>
      <c r="R1056" s="107" t="str">
        <f t="shared" si="3242"/>
        <v>DESCARTADO</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f t="shared" si="3217"/>
        <v>50</v>
      </c>
      <c r="C1057" s="128">
        <f t="shared" si="3218"/>
        <v>1</v>
      </c>
      <c r="D1057" s="127">
        <f t="shared" si="3218"/>
        <v>50</v>
      </c>
      <c r="E1057" s="201"/>
      <c r="F1057" s="93"/>
      <c r="G1057" s="203"/>
      <c r="H1057"/>
      <c r="I1057"/>
      <c r="J1057"/>
      <c r="K1057" s="66"/>
      <c r="L1057" s="29" t="s">
        <v>39</v>
      </c>
      <c r="M1057" s="30">
        <f t="shared" ref="M1057" si="3243">IFERROR(_xlfn.QUARTILE.EXC($P1050:$XX1050,3),"")</f>
        <v>178</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f t="shared" si="3217"/>
        <v>50</v>
      </c>
      <c r="C1058" s="128">
        <f t="shared" si="3218"/>
        <v>1</v>
      </c>
      <c r="D1058" s="127">
        <f t="shared" si="3218"/>
        <v>50</v>
      </c>
      <c r="E1058" s="201"/>
      <c r="F1058" s="93"/>
      <c r="G1058" s="203"/>
      <c r="H1058" s="134">
        <f t="shared" ref="H1058" si="3245">COUNT($P1058:$XX1058)</f>
        <v>2</v>
      </c>
      <c r="I1058" s="132">
        <f t="shared" ref="I1058" si="3246">_xlfn.STDEV.P($P1057:$XX1058)/AVERAGE($P1057:$XX1058)</f>
        <v>6.69705143707561E-3</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106.79</v>
      </c>
      <c r="N1058" s="71"/>
      <c r="O1058" s="27" t="str">
        <f t="shared" ref="O1058" si="3249">"4 RODADA"</f>
        <v>4 RODADA</v>
      </c>
      <c r="P1058" s="107">
        <f t="shared" ref="P1058:AI1058" si="3250">IF(P1056="","",IF((_xlfn.STDEV.P($P1055:$XX1056)/AVERAGE($P1055:$XX1056))&lt;=25%,P1056,IF(OR(P1056&gt;(AVERAGE($P1055:$XX1056)+_xlfn.STDEV.P($P1055:$XX1056)),P1056&lt;(AVERAGE($P1055:$XX1056)-_xlfn.STDEV.P($P1055:$XX1056))),"DESCARTADO",P1056)))</f>
        <v>106.79</v>
      </c>
      <c r="Q1058" s="107">
        <f t="shared" si="3250"/>
        <v>108.23</v>
      </c>
      <c r="R1058" s="107" t="str">
        <f t="shared" si="3250"/>
        <v>DESCARTADO</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f t="shared" si="3217"/>
        <v>50</v>
      </c>
      <c r="C1059" s="128">
        <f t="shared" si="3218"/>
        <v>1</v>
      </c>
      <c r="D1059" s="127">
        <f t="shared" si="3218"/>
        <v>50</v>
      </c>
      <c r="E1059" s="201"/>
      <c r="F1059" s="93"/>
      <c r="G1059" s="203"/>
      <c r="H1059"/>
      <c r="I1059"/>
      <c r="J1059"/>
      <c r="K1059" s="66"/>
      <c r="L1059" s="29" t="s">
        <v>40</v>
      </c>
      <c r="M1059" s="30">
        <f t="shared" ref="M1059" si="3251">MAX($P1050:$XX1050)</f>
        <v>178</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f t="shared" si="3217"/>
        <v>50</v>
      </c>
      <c r="C1060" s="128">
        <f t="shared" si="3218"/>
        <v>1</v>
      </c>
      <c r="D1060" s="127">
        <f t="shared" si="3218"/>
        <v>50</v>
      </c>
      <c r="E1060" s="201"/>
      <c r="F1060" s="93"/>
      <c r="G1060" s="203"/>
      <c r="H1060" s="134">
        <f t="shared" ref="H1060" si="3253">COUNT($P1060:$XX1060)</f>
        <v>2</v>
      </c>
      <c r="I1060" s="132">
        <f t="shared" ref="I1060" si="3254">_xlfn.STDEV.P($P1059:$XX1060)/AVERAGE($P1059:$XX1060)</f>
        <v>6.69705143707561E-3</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f t="shared" ref="P1060:AI1060" si="3257">IF(P1058="","",IF((_xlfn.STDEV.P($P1057:$XX1058)/AVERAGE($P1057:$XX1058))&lt;=25%,P1058,IF(OR(P1058&gt;(AVERAGE($P1057:$XX1058)+_xlfn.STDEV.P($P1057:$XX1058)),P1058&lt;(AVERAGE($P1057:$XX1058)-_xlfn.STDEV.P($P1057:$XX1058))),"DESCARTADO",P1058)))</f>
        <v>106.79</v>
      </c>
      <c r="Q1060" s="107">
        <f t="shared" si="3257"/>
        <v>108.23</v>
      </c>
      <c r="R1060" s="107" t="str">
        <f t="shared" si="3257"/>
        <v>DESCARTADO</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f t="shared" si="3217"/>
        <v>50</v>
      </c>
      <c r="C1061" s="128">
        <f t="shared" si="3218"/>
        <v>1</v>
      </c>
      <c r="D1061" s="127">
        <f t="shared" si="3218"/>
        <v>50</v>
      </c>
      <c r="E1061" s="201"/>
      <c r="F1061" s="93"/>
      <c r="G1061" s="203"/>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f t="shared" si="3217"/>
        <v>50</v>
      </c>
      <c r="C1062" s="128">
        <f t="shared" si="3218"/>
        <v>1</v>
      </c>
      <c r="D1062" s="127">
        <f t="shared" si="3218"/>
        <v>50</v>
      </c>
      <c r="E1062" s="201"/>
      <c r="F1062" s="93"/>
      <c r="G1062" s="203"/>
      <c r="H1062" s="134">
        <f t="shared" ref="H1062" si="3259">COUNT($P1062:$XX1062)</f>
        <v>2</v>
      </c>
      <c r="I1062" s="132">
        <f t="shared" ref="I1062" si="3260">_xlfn.STDEV.P($P1061:$XX1062)/AVERAGE($P1061:$XX1062)</f>
        <v>6.69705143707561E-3</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f t="shared" ref="P1062:AI1062" si="3263">IFERROR(IF(P1060="","",IF((_xlfn.STDEV.P($P1059:$XX1060)/AVERAGE($P1059:$XX1060))&lt;=25%,P1060,IF(OR(P1060&gt;(AVERAGE($P1059:$XX1060)+_xlfn.STDEV.P($P1059:$XX1060)),P1060&lt;(AVERAGE($P1059:$XX1060)-_xlfn.STDEV.P($P1059:$XX1060))),"DESCARTADO",P1060))),)</f>
        <v>106.79</v>
      </c>
      <c r="Q1062" s="107">
        <f t="shared" si="3263"/>
        <v>108.23</v>
      </c>
      <c r="R1062" s="107" t="str">
        <f t="shared" si="3263"/>
        <v>DESCARTADO</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f t="shared" si="3217"/>
        <v>50</v>
      </c>
      <c r="C1063" s="128">
        <f t="shared" si="3218"/>
        <v>1</v>
      </c>
      <c r="D1063" s="127">
        <f t="shared" si="3218"/>
        <v>50</v>
      </c>
      <c r="E1063" s="201"/>
      <c r="F1063" s="136"/>
      <c r="G1063" s="203"/>
      <c r="H1063" s="206"/>
      <c r="I1063" s="206"/>
      <c r="J1063" s="207"/>
      <c r="K1063" s="67"/>
      <c r="L1063" s="1" t="s">
        <v>43</v>
      </c>
      <c r="M1063" s="143">
        <f t="shared" ref="M1063" si="3264">IFERROR(ROUND(M1044*M1046,2),"")</f>
        <v>108.23</v>
      </c>
      <c r="O1063" s="27" t="s">
        <v>363</v>
      </c>
      <c r="P1063" s="107">
        <f t="shared" ref="P1063:AI1084" si="3265">INDEX(P1050:P1062,MATCH(MAX($J1050:$J1062),$J1050:$J1062,0))</f>
        <v>106.79</v>
      </c>
      <c r="Q1063" s="107">
        <f t="shared" si="3265"/>
        <v>108.23</v>
      </c>
      <c r="R1063" s="107">
        <f t="shared" si="3265"/>
        <v>178</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f t="shared" ref="B1065" si="3266">LARGE(IFERROR(IF(B1063+1&gt;$H$8,"",B1063+1),""),1)</f>
        <v>51</v>
      </c>
      <c r="C1065" s="127">
        <f>IF(_xlfn.ISFORMULA(E1069),MAX(INDEX('BASE FORMAÇÃO'!A:A,B1065+1),1),E1069)</f>
        <v>1</v>
      </c>
      <c r="D1065" s="127">
        <f t="shared" ref="D1065" si="3267">IFERROR(IF(C1065=C1055,D1055+1,1),1)</f>
        <v>51</v>
      </c>
      <c r="E1065" s="38" t="s">
        <v>9</v>
      </c>
      <c r="F1065" s="73"/>
      <c r="G1065" s="38" t="s">
        <v>15</v>
      </c>
      <c r="H1065" s="135">
        <f>INDEX('BASE FORMAÇÃO'!B:B,B1065+1)</f>
        <v>0</v>
      </c>
      <c r="I1065" s="181" t="s">
        <v>16</v>
      </c>
      <c r="J1065" s="6">
        <f>INDEX('BASE FORMAÇÃO'!K:K,B1065+1)</f>
        <v>0</v>
      </c>
      <c r="K1065" s="65"/>
      <c r="L1065" s="184" t="s">
        <v>10</v>
      </c>
      <c r="M1065" s="186">
        <f t="shared" ref="M1065" si="3268">IF(OR(ISBLANK($O$8),ISBLANK($O$7),ISBLANK($H$8),ISBLANK($O$6),ISBLANK($O$5),ISBLANK($H$5)),"",IFERROR(IF(VLOOKUP(L1065,L1071:M1080,2,FALSE)&lt;1,ROUND(VLOOKUP(L1065,L1071:M1080,2,FALSE),4),ROUND(VLOOKUP(L1065,L1071:M1080,2,FALSE),2)),""))</f>
        <v>119.94</v>
      </c>
      <c r="N1065" s="69"/>
      <c r="O1065" s="27" t="s">
        <v>17</v>
      </c>
      <c r="P1065" s="113">
        <v>119.9</v>
      </c>
      <c r="Q1065" s="113">
        <v>99</v>
      </c>
      <c r="R1065" s="113">
        <v>140.91999999999999</v>
      </c>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f t="shared" ref="B1066:D1066" si="3269">B1065</f>
        <v>51</v>
      </c>
      <c r="C1066" s="128">
        <f t="shared" si="3269"/>
        <v>1</v>
      </c>
      <c r="D1066" s="127">
        <f t="shared" si="3269"/>
        <v>51</v>
      </c>
      <c r="E1066" s="188">
        <f t="shared" ref="E1066" si="3270">D1065</f>
        <v>51</v>
      </c>
      <c r="F1066" s="92"/>
      <c r="G1066" s="190" t="s">
        <v>1</v>
      </c>
      <c r="H1066" s="193" t="s">
        <v>633</v>
      </c>
      <c r="I1066" s="194"/>
      <c r="J1066" s="195"/>
      <c r="K1066" s="66"/>
      <c r="L1066" s="185"/>
      <c r="M1066" s="187"/>
      <c r="N1066" s="70"/>
      <c r="O1066" s="27" t="s">
        <v>13</v>
      </c>
      <c r="P1066" s="122">
        <v>46196</v>
      </c>
      <c r="Q1066" s="122">
        <v>46196</v>
      </c>
      <c r="R1066" s="122">
        <v>46196</v>
      </c>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f t="shared" ref="B1067:D1067" si="3271">B1066</f>
        <v>51</v>
      </c>
      <c r="C1067" s="128">
        <f t="shared" si="3271"/>
        <v>1</v>
      </c>
      <c r="D1067" s="127">
        <f t="shared" si="3271"/>
        <v>51</v>
      </c>
      <c r="E1067" s="189"/>
      <c r="F1067" s="93"/>
      <c r="G1067" s="191"/>
      <c r="H1067" s="196"/>
      <c r="I1067" s="196"/>
      <c r="J1067" s="197"/>
      <c r="K1067" s="64"/>
      <c r="L1067" s="130" t="s">
        <v>44</v>
      </c>
      <c r="M1067" s="131">
        <v>1</v>
      </c>
      <c r="N1067" s="71"/>
      <c r="O1067" s="27" t="s">
        <v>380</v>
      </c>
      <c r="P1067" s="114" t="s">
        <v>302</v>
      </c>
      <c r="Q1067" s="114" t="s">
        <v>302</v>
      </c>
      <c r="R1067" s="114" t="s">
        <v>302</v>
      </c>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f t="shared" ref="B1068:C1068" si="3272">B1067</f>
        <v>51</v>
      </c>
      <c r="C1068" s="128">
        <f t="shared" si="3272"/>
        <v>1</v>
      </c>
      <c r="D1068" s="127">
        <f t="shared" si="3218"/>
        <v>51</v>
      </c>
      <c r="E1068" s="38" t="s">
        <v>313</v>
      </c>
      <c r="F1068" s="93"/>
      <c r="G1068" s="192"/>
      <c r="H1068" s="198"/>
      <c r="I1068" s="198"/>
      <c r="J1068" s="199"/>
      <c r="K1068" s="64"/>
      <c r="L1068" s="1" t="s">
        <v>2</v>
      </c>
      <c r="M1068" s="6" t="s">
        <v>288</v>
      </c>
      <c r="N1068" s="71"/>
      <c r="O1068" s="27" t="s">
        <v>381</v>
      </c>
      <c r="P1068" s="182" t="s">
        <v>634</v>
      </c>
      <c r="Q1068" s="182" t="s">
        <v>635</v>
      </c>
      <c r="R1068" s="182" t="s">
        <v>636</v>
      </c>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f t="shared" ref="B1069:C1069" si="3273">B1067</f>
        <v>51</v>
      </c>
      <c r="C1069" s="128">
        <f t="shared" si="3273"/>
        <v>1</v>
      </c>
      <c r="D1069" s="127">
        <f t="shared" si="3218"/>
        <v>51</v>
      </c>
      <c r="E1069" s="200">
        <f t="shared" ref="E1069" si="3274">C1065</f>
        <v>1</v>
      </c>
      <c r="F1069" s="93"/>
      <c r="G1069" s="202" t="s">
        <v>304</v>
      </c>
      <c r="H1069" s="204"/>
      <c r="I1069" s="205"/>
      <c r="J1069" s="205"/>
      <c r="K1069" s="67"/>
      <c r="L1069" s="28" t="s">
        <v>303</v>
      </c>
      <c r="M1069" s="133">
        <f t="shared" ref="M1069" si="3275">IFERROR(INDEX(I1071:I1083,MATCH(MAX(J1071:J1083),J1071:J1083,0)),"")</f>
        <v>0.14268627404721437</v>
      </c>
      <c r="N1069" s="71"/>
      <c r="O1069" s="27" t="s">
        <v>18</v>
      </c>
      <c r="P1069" s="106">
        <f>IF(P1065="","",
IF(OR(P1067="Orçamento",P1066="",MAX('Tabela de Apoio'!$A:$A)&lt;=P1066),
P1065,
(INDEX('Tabela de Apoio'!$B:$B,MATCH('MAPA DE PREÇOS'!$O$8,'Tabela de Apoio'!$A:$A,1))/INDEX('Tabela de Apoio'!$B:$B,MATCH('MAPA DE PREÇOS'!P1066,'Tabela de Apoio'!$A:$A,1)-1))*P1065))</f>
        <v>119.9</v>
      </c>
      <c r="Q1069" s="106">
        <f>IF(Q1065="","",
IF(OR(Q1067="Orçamento",Q1066="",MAX('Tabela de Apoio'!$A:$A)&lt;=Q1066),
Q1065,
(INDEX('Tabela de Apoio'!$B:$B,MATCH('MAPA DE PREÇOS'!$O$8,'Tabela de Apoio'!$A:$A,1))/INDEX('Tabela de Apoio'!$B:$B,MATCH('MAPA DE PREÇOS'!Q1066,'Tabela de Apoio'!$A:$A,1)-1))*Q1065))</f>
        <v>99</v>
      </c>
      <c r="R1069" s="106">
        <f>IF(R1065="","",
IF(OR(R1067="Orçamento",R1066="",MAX('Tabela de Apoio'!$A:$A)&lt;=R1066),
R1065,
(INDEX('Tabela de Apoio'!$B:$B,MATCH('MAPA DE PREÇOS'!$O$8,'Tabela de Apoio'!$A:$A,1))/INDEX('Tabela de Apoio'!$B:$B,MATCH('MAPA DE PREÇOS'!R1066,'Tabela de Apoio'!$A:$A,1)-1))*R1065))</f>
        <v>140.91999999999999</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f t="shared" ref="B1070" si="3276">B1069</f>
        <v>51</v>
      </c>
      <c r="C1070" s="128">
        <f t="shared" ref="C1070" si="3277">C1069</f>
        <v>1</v>
      </c>
      <c r="D1070" s="127">
        <f t="shared" si="3218"/>
        <v>51</v>
      </c>
      <c r="E1070" s="201"/>
      <c r="F1070" s="93"/>
      <c r="G1070" s="203"/>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f t="shared" ref="B1071:C1071" si="3278">B1070</f>
        <v>51</v>
      </c>
      <c r="C1071" s="128">
        <f t="shared" si="3278"/>
        <v>1</v>
      </c>
      <c r="D1071" s="127">
        <f t="shared" si="3218"/>
        <v>51</v>
      </c>
      <c r="E1071" s="201"/>
      <c r="F1071" s="93"/>
      <c r="G1071" s="203"/>
      <c r="H1071" s="134">
        <f t="shared" ref="H1071" si="3279">COUNT($P1071:$XX1071)</f>
        <v>3</v>
      </c>
      <c r="I1071" s="132">
        <f t="shared" ref="I1071" si="3280">_xlfn.STDEV.P($P1070:$XX1071)/AVERAGE($P1070:$XX1071)</f>
        <v>0.14268627404721437</v>
      </c>
      <c r="J1071" s="7">
        <f>ROW()</f>
        <v>1071</v>
      </c>
      <c r="K1071" s="67"/>
      <c r="L1071" s="29" t="s">
        <v>10</v>
      </c>
      <c r="M1071" s="30">
        <f t="shared" ref="M1071" si="3281">IFERROR(
IF(COUNTA(P1065:AI1065)=COUNTIF(P1067:XX1067,"Orçamento"),MIN(M1076,M1073),
IF(M1074&lt;&gt;"",M1074,
IF(M1075&lt;&gt;"",M1075,
M1073
))),"")</f>
        <v>119.94</v>
      </c>
      <c r="N1071" s="71"/>
      <c r="O1071" s="27" t="s">
        <v>376</v>
      </c>
      <c r="P1071" s="106">
        <f t="shared" ref="P1071:AI1071" si="3282">IFERROR(IF(P1069="",
            "",
            IF(COUNT($P1069:$XX1069)&lt;=4,
               P1069,
               IF(OR(P1069&gt;(QUARTILE($P1069:$XX1069,3)+(QUARTILE($P1069:$XX1069,3)-QUARTILE($P1069:$XX1069,1))),
                     P1069&lt;(QUARTILE($P1069:$XX1069,1)-(QUARTILE($P1069:$XX1069,3)-QUARTILE($P1069:$XX1069,1)))
                  ),
               "DESCARTADO",P1069)
             )
  ),P1069)</f>
        <v>119.9</v>
      </c>
      <c r="Q1071" s="106">
        <f t="shared" si="3282"/>
        <v>99</v>
      </c>
      <c r="R1071" s="106">
        <f t="shared" si="3282"/>
        <v>140.91999999999999</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f t="shared" ref="B1072" si="3283">B1071</f>
        <v>51</v>
      </c>
      <c r="C1072" s="128">
        <f t="shared" ref="C1072" si="3284">C1071</f>
        <v>1</v>
      </c>
      <c r="D1072" s="127">
        <f t="shared" si="3218"/>
        <v>51</v>
      </c>
      <c r="E1072" s="201"/>
      <c r="F1072" s="93"/>
      <c r="G1072" s="203"/>
      <c r="H1072"/>
      <c r="I1072"/>
      <c r="J1072"/>
      <c r="K1072" s="66"/>
      <c r="L1072" s="29" t="s">
        <v>360</v>
      </c>
      <c r="M1072" s="30">
        <f t="shared" ref="M1072" si="3285">AVERAGE($P1071:$XX1071)</f>
        <v>119.94</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f t="shared" si="3217"/>
        <v>51</v>
      </c>
      <c r="C1073" s="128">
        <f t="shared" si="3218"/>
        <v>1</v>
      </c>
      <c r="D1073" s="127">
        <f t="shared" si="3218"/>
        <v>51</v>
      </c>
      <c r="E1073" s="201"/>
      <c r="F1073" s="93"/>
      <c r="G1073" s="203"/>
      <c r="H1073" s="134">
        <f t="shared" ref="H1073" si="3287">COUNT($P1073:$XX1073)</f>
        <v>3</v>
      </c>
      <c r="I1073" s="132">
        <f t="shared" ref="I1073" si="3288">_xlfn.STDEV.P($P1072:$XX1073)/AVERAGE($P1072:$XX1073)</f>
        <v>0.14268627404721437</v>
      </c>
      <c r="J1073" s="7">
        <f t="shared" ref="J1073" si="3289">IF(AND(H1073&gt;2,
OR(L1065="MÉDIA SANEADA",L1065="MEDIANA SANEADA",
AND(L1065="PREÇO ESTIMADO",NOT(AND(P1067="Orçamento",COUNTA(P1065:XX1065)=COUNTIF(P1067:XX1067,"Orçamento")))))),
ROW(),0)</f>
        <v>1073</v>
      </c>
      <c r="K1073" s="66"/>
      <c r="L1073" s="29" t="s">
        <v>361</v>
      </c>
      <c r="M1073" s="30">
        <f t="shared" ref="M1073" si="3290">MEDIAN($P1071:$XX1071)</f>
        <v>119.9</v>
      </c>
      <c r="N1073" s="71"/>
      <c r="O1073" s="27" t="str">
        <f t="shared" ref="O1073" si="3291">"1 RODADA"</f>
        <v>1 RODADA</v>
      </c>
      <c r="P1073" s="107">
        <f t="shared" ref="P1073:AI1073" si="3292">IF(P1071="","",IF((_xlfn.STDEV.P($P1070:$XX1071)/AVERAGE($P1070:$XX1071))&lt;=25%,P1071,IF(OR(P1071&gt;(AVERAGE($P1070:$XX1071)+_xlfn.STDEV.P($P1070:$XX1071)),P1071&lt;(AVERAGE($P1070:$XX1071)-_xlfn.STDEV.P($P1070:$XX1071))),"DESCARTADO",P1071)))</f>
        <v>119.9</v>
      </c>
      <c r="Q1073" s="107">
        <f t="shared" si="3292"/>
        <v>99</v>
      </c>
      <c r="R1073" s="107">
        <f t="shared" si="3292"/>
        <v>140.91999999999999</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f t="shared" si="3217"/>
        <v>51</v>
      </c>
      <c r="C1074" s="128">
        <f t="shared" si="3218"/>
        <v>1</v>
      </c>
      <c r="D1074" s="127">
        <f t="shared" si="3218"/>
        <v>51</v>
      </c>
      <c r="E1074" s="201"/>
      <c r="F1074" s="93"/>
      <c r="G1074" s="203"/>
      <c r="H1074"/>
      <c r="I1074"/>
      <c r="J1074"/>
      <c r="L1074" s="29" t="s">
        <v>38</v>
      </c>
      <c r="M1074" s="30">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119.94</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f t="shared" si="3217"/>
        <v>51</v>
      </c>
      <c r="C1075" s="128">
        <f t="shared" si="3218"/>
        <v>1</v>
      </c>
      <c r="D1075" s="127">
        <f t="shared" si="3218"/>
        <v>51</v>
      </c>
      <c r="E1075" s="201"/>
      <c r="F1075" s="93"/>
      <c r="G1075" s="203"/>
      <c r="H1075" s="134">
        <f t="shared" ref="H1075" si="3295">COUNT($P1075:$XX1075)</f>
        <v>3</v>
      </c>
      <c r="I1075" s="132">
        <f t="shared" ref="I1075" si="3296">_xlfn.STDEV.P($P1074:$XX1075)/AVERAGE($P1074:$XX1075)</f>
        <v>0.14268627404721437</v>
      </c>
      <c r="J1075" s="7">
        <f t="shared" ref="J1075" si="3297">IF(AND(H1075&gt;2,
OR(L1065="MÉDIA SANEADA",L1065="MEDIANA SANEADA",
AND(L1065="PREÇO ESTIMADO",NOT(AND(P1067="Orçamento",COUNTA(P1065:XX1065)=COUNTIF(P1067:XX1067,"Orçamento")))))),
ROW(),0)</f>
        <v>1075</v>
      </c>
      <c r="K1075" s="66"/>
      <c r="L1075" s="29" t="s">
        <v>362</v>
      </c>
      <c r="M1075" s="30">
        <f t="shared" ref="M1075" si="3298" xml:space="preserve">
IF(H1073&gt;2,MEDIAN(P1072:XX1073),
IF(H1075&gt;2,MEDIAN(P1074:XX1075),
IF(H1077&gt;2,MEDIAN(P1076:XX1077),
IF(H1079&gt;2,MEDIAN(P1078:XX1079),
IF(H1081&gt;2,MEDIAN(P1080:XX1081),
IF(H1083&gt;2,MEDIAN(P1082:XX1083),
MEDIAN(P1070:XX1071)))))))</f>
        <v>119.9</v>
      </c>
      <c r="N1075" s="71"/>
      <c r="O1075" s="27" t="str">
        <f t="shared" ref="O1075" si="3299">"2 RODADA"</f>
        <v>2 RODADA</v>
      </c>
      <c r="P1075" s="107">
        <f t="shared" ref="P1075:AI1075" si="3300">IF(P1073="","",IF((_xlfn.STDEV.P($P1072:$XX1073)/AVERAGE($P1072:$XX1073))&lt;=25%,P1073,IF(OR(P1073&gt;(AVERAGE($P1072:$XX1073)+_xlfn.STDEV.P($P1072:$XX1073)),P1073&lt;(AVERAGE($P1072:$XX1073)-_xlfn.STDEV.P($P1072:$XX1073))),"DESCARTADO",P1073)))</f>
        <v>119.9</v>
      </c>
      <c r="Q1075" s="107">
        <f t="shared" si="3300"/>
        <v>99</v>
      </c>
      <c r="R1075" s="107">
        <f t="shared" si="3300"/>
        <v>140.91999999999999</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f t="shared" si="3217"/>
        <v>51</v>
      </c>
      <c r="C1076" s="128">
        <f t="shared" si="3218"/>
        <v>1</v>
      </c>
      <c r="D1076" s="127">
        <f t="shared" si="3218"/>
        <v>51</v>
      </c>
      <c r="E1076" s="201"/>
      <c r="F1076" s="93"/>
      <c r="G1076" s="203"/>
      <c r="H1076"/>
      <c r="I1076"/>
      <c r="J1076"/>
      <c r="K1076" s="66"/>
      <c r="L1076" s="29" t="s">
        <v>359</v>
      </c>
      <c r="M1076" s="30">
        <f t="shared" ref="M1076" si="3301">HARMEAN($P1070:$XX1071)</f>
        <v>117.4742174914405</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f t="shared" si="3217"/>
        <v>51</v>
      </c>
      <c r="C1077" s="128">
        <f t="shared" si="3218"/>
        <v>1</v>
      </c>
      <c r="D1077" s="127">
        <f t="shared" si="3218"/>
        <v>51</v>
      </c>
      <c r="E1077" s="201"/>
      <c r="F1077" s="93"/>
      <c r="G1077" s="203"/>
      <c r="H1077" s="134">
        <f t="shared" ref="H1077" si="3303">COUNT($P1077:$XX1077)</f>
        <v>3</v>
      </c>
      <c r="I1077" s="132">
        <f t="shared" ref="I1077" si="3304">_xlfn.STDEV.P($P1076:$XX1077)/AVERAGE($P1076:$XX1077)</f>
        <v>0.14268627404721437</v>
      </c>
      <c r="J1077" s="7">
        <f t="shared" ref="J1077" si="3305">IF(AND(H1077&gt;2,
OR(L1065="MÉDIA SANEADA",L1065="MEDIANA SANEADA",
AND(L1065="PREÇO ESTIMADO",NOT(AND(P1067="Orçamento",COUNTA(P1065:XX1065)=COUNTIF(P1067:XX1067,"Orçamento")))))),
ROW(),0)</f>
        <v>1077</v>
      </c>
      <c r="K1077" s="66"/>
      <c r="L1077" s="29" t="s">
        <v>41</v>
      </c>
      <c r="M1077" s="30">
        <f t="shared" ref="M1077" si="3306">IFERROR(_xlfn.QUARTILE.EXC($P1071:$XX1071,1),"")</f>
        <v>99</v>
      </c>
      <c r="N1077" s="71"/>
      <c r="O1077" s="27" t="str">
        <f t="shared" ref="O1077" si="3307">"3 RODADA"</f>
        <v>3 RODADA</v>
      </c>
      <c r="P1077" s="107">
        <f t="shared" ref="P1077:AI1077" si="3308">IF(P1075="","",IF((_xlfn.STDEV.P($P1074:$XX1075)/AVERAGE($P1074:$XX1075))&lt;=25%,P1075,IF(OR(P1075&gt;(AVERAGE($P1074:$XX1075)+_xlfn.STDEV.P($P1074:$XX1075)),P1075&lt;(AVERAGE($P1074:$XX1075)-_xlfn.STDEV.P($P1074:$XX1075))),"DESCARTADO",P1075)))</f>
        <v>119.9</v>
      </c>
      <c r="Q1077" s="107">
        <f t="shared" si="3308"/>
        <v>99</v>
      </c>
      <c r="R1077" s="107">
        <f t="shared" si="3308"/>
        <v>140.91999999999999</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f t="shared" si="3217"/>
        <v>51</v>
      </c>
      <c r="C1078" s="128">
        <f t="shared" si="3218"/>
        <v>1</v>
      </c>
      <c r="D1078" s="127">
        <f t="shared" si="3218"/>
        <v>51</v>
      </c>
      <c r="E1078" s="201"/>
      <c r="F1078" s="93"/>
      <c r="G1078" s="203"/>
      <c r="H1078"/>
      <c r="I1078"/>
      <c r="J1078"/>
      <c r="K1078" s="66"/>
      <c r="L1078" s="29" t="s">
        <v>39</v>
      </c>
      <c r="M1078" s="30">
        <f t="shared" ref="M1078" si="3309">IFERROR(_xlfn.QUARTILE.EXC($P1071:$XX1071,3),"")</f>
        <v>140.91999999999999</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f t="shared" si="3217"/>
        <v>51</v>
      </c>
      <c r="C1079" s="128">
        <f t="shared" si="3218"/>
        <v>1</v>
      </c>
      <c r="D1079" s="127">
        <f t="shared" si="3218"/>
        <v>51</v>
      </c>
      <c r="E1079" s="201"/>
      <c r="F1079" s="93"/>
      <c r="G1079" s="203"/>
      <c r="H1079" s="134">
        <f t="shared" ref="H1079" si="3311">COUNT($P1079:$XX1079)</f>
        <v>3</v>
      </c>
      <c r="I1079" s="132">
        <f t="shared" ref="I1079" si="3312">_xlfn.STDEV.P($P1078:$XX1079)/AVERAGE($P1078:$XX1079)</f>
        <v>0.14268627404721437</v>
      </c>
      <c r="J1079" s="7">
        <f t="shared" ref="J1079" si="3313">IF(AND(H1079&gt;2,
OR(L1065="MÉDIA SANEADA",L1065="MEDIANA SANEADA",
AND(L1065="PREÇO ESTIMADO",NOT(AND(P1067="Orçamento",COUNTA(P1065:XX1065)=COUNTIF(P1067:XX1067,"Orçamento")))))),
ROW(),0)</f>
        <v>1079</v>
      </c>
      <c r="K1079" s="66"/>
      <c r="L1079" s="29" t="s">
        <v>42</v>
      </c>
      <c r="M1079" s="30">
        <f t="shared" ref="M1079" si="3314">MIN($P1071:$XX1071)</f>
        <v>99</v>
      </c>
      <c r="N1079" s="71"/>
      <c r="O1079" s="27" t="str">
        <f t="shared" ref="O1079" si="3315">"4 RODADA"</f>
        <v>4 RODADA</v>
      </c>
      <c r="P1079" s="107">
        <f t="shared" ref="P1079:AI1079" si="3316">IF(P1077="","",IF((_xlfn.STDEV.P($P1076:$XX1077)/AVERAGE($P1076:$XX1077))&lt;=25%,P1077,IF(OR(P1077&gt;(AVERAGE($P1076:$XX1077)+_xlfn.STDEV.P($P1076:$XX1077)),P1077&lt;(AVERAGE($P1076:$XX1077)-_xlfn.STDEV.P($P1076:$XX1077))),"DESCARTADO",P1077)))</f>
        <v>119.9</v>
      </c>
      <c r="Q1079" s="107">
        <f t="shared" si="3316"/>
        <v>99</v>
      </c>
      <c r="R1079" s="107">
        <f t="shared" si="3316"/>
        <v>140.91999999999999</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f t="shared" si="3217"/>
        <v>51</v>
      </c>
      <c r="C1080" s="128">
        <f t="shared" si="3218"/>
        <v>1</v>
      </c>
      <c r="D1080" s="127">
        <f t="shared" si="3218"/>
        <v>51</v>
      </c>
      <c r="E1080" s="201"/>
      <c r="F1080" s="93"/>
      <c r="G1080" s="203"/>
      <c r="H1080"/>
      <c r="I1080"/>
      <c r="J1080"/>
      <c r="K1080" s="66"/>
      <c r="L1080" s="29" t="s">
        <v>40</v>
      </c>
      <c r="M1080" s="30">
        <f t="shared" ref="M1080" si="3317">MAX($P1071:$XX1071)</f>
        <v>140.91999999999999</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f t="shared" si="3217"/>
        <v>51</v>
      </c>
      <c r="C1081" s="128">
        <f t="shared" si="3218"/>
        <v>1</v>
      </c>
      <c r="D1081" s="127">
        <f t="shared" si="3218"/>
        <v>51</v>
      </c>
      <c r="E1081" s="201"/>
      <c r="F1081" s="93"/>
      <c r="G1081" s="203"/>
      <c r="H1081" s="134">
        <f t="shared" ref="H1081" si="3319">COUNT($P1081:$XX1081)</f>
        <v>3</v>
      </c>
      <c r="I1081" s="132">
        <f t="shared" ref="I1081" si="3320">_xlfn.STDEV.P($P1080:$XX1081)/AVERAGE($P1080:$XX1081)</f>
        <v>0.14268627404721437</v>
      </c>
      <c r="J1081" s="7">
        <f t="shared" ref="J1081" si="3321">IF(AND(H1081&gt;2,
OR(L1065="MÉDIA SANEADA",L1065="MEDIANA SANEADA",
AND(L1065="PREÇO ESTIMADO",NOT(AND(P1067="Orçamento",COUNTA(P1065:XX1065)=COUNTIF(P1067:XX1067,"Orçamento")))))),
ROW(),0)</f>
        <v>1081</v>
      </c>
      <c r="K1081" s="66"/>
      <c r="N1081" s="71"/>
      <c r="O1081" s="27" t="str">
        <f t="shared" ref="O1081" si="3322">"5 RODADA"</f>
        <v>5 RODADA</v>
      </c>
      <c r="P1081" s="107">
        <f t="shared" ref="P1081:AI1081" si="3323">IF(P1079="","",IF((_xlfn.STDEV.P($P1078:$XX1079)/AVERAGE($P1078:$XX1079))&lt;=25%,P1079,IF(OR(P1079&gt;(AVERAGE($P1078:$XX1079)+_xlfn.STDEV.P($P1078:$XX1079)),P1079&lt;(AVERAGE($P1078:$XX1079)-_xlfn.STDEV.P($P1078:$XX1079))),"DESCARTADO",P1079)))</f>
        <v>119.9</v>
      </c>
      <c r="Q1081" s="107">
        <f t="shared" si="3323"/>
        <v>99</v>
      </c>
      <c r="R1081" s="107">
        <f t="shared" si="3323"/>
        <v>140.91999999999999</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f t="shared" si="3217"/>
        <v>51</v>
      </c>
      <c r="C1082" s="128">
        <f t="shared" si="3218"/>
        <v>1</v>
      </c>
      <c r="D1082" s="127">
        <f t="shared" si="3218"/>
        <v>51</v>
      </c>
      <c r="E1082" s="201"/>
      <c r="F1082" s="93"/>
      <c r="G1082" s="203"/>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f t="shared" si="3217"/>
        <v>51</v>
      </c>
      <c r="C1083" s="128">
        <f t="shared" si="3218"/>
        <v>1</v>
      </c>
      <c r="D1083" s="127">
        <f t="shared" si="3218"/>
        <v>51</v>
      </c>
      <c r="E1083" s="201"/>
      <c r="F1083" s="93"/>
      <c r="G1083" s="203"/>
      <c r="H1083" s="134">
        <f t="shared" ref="H1083" si="3325">COUNT($P1083:$XX1083)</f>
        <v>3</v>
      </c>
      <c r="I1083" s="132">
        <f t="shared" ref="I1083" si="3326">_xlfn.STDEV.P($P1082:$XX1083)/AVERAGE($P1082:$XX1083)</f>
        <v>0.14268627404721437</v>
      </c>
      <c r="J1083" s="7">
        <f t="shared" ref="J1083" si="3327">IF(AND(H1083&gt;2,
OR(L1065="MÉDIA SANEADA",L1065="MEDIANA SANEADA",
AND(L1065="PREÇO ESTIMADO",NOT(AND(P1067="Orçamento",COUNTA(P1065:XX1065)=COUNTIF(P1067:XX1067,"Orçamento")))))),
ROW(),0)</f>
        <v>1083</v>
      </c>
      <c r="N1083" s="71"/>
      <c r="O1083" s="27" t="str">
        <f t="shared" ref="O1083" si="3328">"6 RODADA"</f>
        <v>6 RODADA</v>
      </c>
      <c r="P1083" s="107">
        <f t="shared" ref="P1083:AI1083" si="3329">IFERROR(IF(P1081="","",IF((_xlfn.STDEV.P($P1080:$XX1081)/AVERAGE($P1080:$XX1081))&lt;=25%,P1081,IF(OR(P1081&gt;(AVERAGE($P1080:$XX1081)+_xlfn.STDEV.P($P1080:$XX1081)),P1081&lt;(AVERAGE($P1080:$XX1081)-_xlfn.STDEV.P($P1080:$XX1081))),"DESCARTADO",P1081))),)</f>
        <v>119.9</v>
      </c>
      <c r="Q1083" s="107">
        <f t="shared" si="3329"/>
        <v>99</v>
      </c>
      <c r="R1083" s="107">
        <f t="shared" si="3329"/>
        <v>140.91999999999999</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f t="shared" si="3217"/>
        <v>51</v>
      </c>
      <c r="C1084" s="128">
        <f t="shared" si="3218"/>
        <v>1</v>
      </c>
      <c r="D1084" s="127">
        <f t="shared" si="3218"/>
        <v>51</v>
      </c>
      <c r="E1084" s="201"/>
      <c r="F1084" s="136"/>
      <c r="G1084" s="203"/>
      <c r="H1084" s="206"/>
      <c r="I1084" s="206"/>
      <c r="J1084" s="207"/>
      <c r="K1084" s="67"/>
      <c r="L1084" s="1" t="s">
        <v>43</v>
      </c>
      <c r="M1084" s="143">
        <f t="shared" ref="M1084" si="3330">IFERROR(ROUND(M1065*M1067,2),"")</f>
        <v>119.94</v>
      </c>
      <c r="O1084" s="27" t="s">
        <v>363</v>
      </c>
      <c r="P1084" s="107">
        <f t="shared" ref="P1084:R1084" si="3331">INDEX(P1071:P1083,MATCH(MAX($J1071:$J1083),$J1071:$J1083,0))</f>
        <v>119.9</v>
      </c>
      <c r="Q1084" s="107">
        <f t="shared" si="3331"/>
        <v>99</v>
      </c>
      <c r="R1084" s="107">
        <f t="shared" si="3331"/>
        <v>140.91999999999999</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f t="shared" ref="B1086" si="3332">LARGE(IFERROR(IF(B1084+1&gt;$H$8,"",B1084+1),""),1)</f>
        <v>52</v>
      </c>
      <c r="C1086" s="127">
        <f>IF(_xlfn.ISFORMULA(E1090),MAX(INDEX('BASE FORMAÇÃO'!A:A,B1086+1),1),E1090)</f>
        <v>1</v>
      </c>
      <c r="D1086" s="127">
        <f t="shared" ref="D1086" si="3333">IFERROR(IF(C1086=C1076,D1076+1,1),1)</f>
        <v>52</v>
      </c>
      <c r="E1086" s="38" t="s">
        <v>9</v>
      </c>
      <c r="F1086" s="73"/>
      <c r="G1086" s="38" t="s">
        <v>15</v>
      </c>
      <c r="H1086" s="135">
        <f>INDEX('BASE FORMAÇÃO'!B:B,B1086+1)</f>
        <v>0</v>
      </c>
      <c r="I1086" s="181" t="s">
        <v>16</v>
      </c>
      <c r="J1086" s="6">
        <f>INDEX('BASE FORMAÇÃO'!K:K,B1086+1)</f>
        <v>0</v>
      </c>
      <c r="K1086" s="65"/>
      <c r="L1086" s="184" t="s">
        <v>10</v>
      </c>
      <c r="M1086" s="186">
        <f t="shared" ref="M1086" si="3334">IF(OR(ISBLANK($O$8),ISBLANK($O$7),ISBLANK($H$8),ISBLANK($O$6),ISBLANK($O$5),ISBLANK($H$5)),"",IFERROR(IF(VLOOKUP(L1086,L1092:M1101,2,FALSE)&lt;1,ROUND(VLOOKUP(L1086,L1092:M1101,2,FALSE),4),ROUND(VLOOKUP(L1086,L1092:M1101,2,FALSE),2)),""))</f>
        <v>67.239999999999995</v>
      </c>
      <c r="N1086" s="69"/>
      <c r="O1086" s="27" t="s">
        <v>17</v>
      </c>
      <c r="P1086" s="113">
        <v>79.2</v>
      </c>
      <c r="Q1086" s="113">
        <v>61.11</v>
      </c>
      <c r="R1086" s="113">
        <v>61.4</v>
      </c>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f t="shared" ref="B1087:D1087" si="3335">B1086</f>
        <v>52</v>
      </c>
      <c r="C1087" s="128">
        <f t="shared" si="3335"/>
        <v>1</v>
      </c>
      <c r="D1087" s="127">
        <f t="shared" si="3335"/>
        <v>52</v>
      </c>
      <c r="E1087" s="188">
        <f t="shared" ref="E1087" si="3336">D1086</f>
        <v>52</v>
      </c>
      <c r="F1087" s="92"/>
      <c r="G1087" s="190" t="s">
        <v>1</v>
      </c>
      <c r="H1087" s="193" t="s">
        <v>637</v>
      </c>
      <c r="I1087" s="194"/>
      <c r="J1087" s="195"/>
      <c r="K1087" s="66"/>
      <c r="L1087" s="185"/>
      <c r="M1087" s="187"/>
      <c r="N1087" s="70"/>
      <c r="O1087" s="27" t="s">
        <v>13</v>
      </c>
      <c r="P1087" s="122">
        <v>46196</v>
      </c>
      <c r="Q1087" s="122">
        <v>46196</v>
      </c>
      <c r="R1087" s="122">
        <v>46196</v>
      </c>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f t="shared" ref="B1088:D1088" si="3337">B1087</f>
        <v>52</v>
      </c>
      <c r="C1088" s="128">
        <f t="shared" si="3337"/>
        <v>1</v>
      </c>
      <c r="D1088" s="127">
        <f t="shared" si="3337"/>
        <v>52</v>
      </c>
      <c r="E1088" s="189"/>
      <c r="F1088" s="93"/>
      <c r="G1088" s="191"/>
      <c r="H1088" s="196"/>
      <c r="I1088" s="196"/>
      <c r="J1088" s="197"/>
      <c r="K1088" s="64"/>
      <c r="L1088" s="130" t="s">
        <v>44</v>
      </c>
      <c r="M1088" s="131">
        <v>1</v>
      </c>
      <c r="N1088" s="71"/>
      <c r="O1088" s="27" t="s">
        <v>380</v>
      </c>
      <c r="P1088" s="114" t="s">
        <v>302</v>
      </c>
      <c r="Q1088" s="114" t="s">
        <v>302</v>
      </c>
      <c r="R1088" s="114" t="s">
        <v>302</v>
      </c>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f t="shared" ref="B1089:C1089" si="3338">B1088</f>
        <v>52</v>
      </c>
      <c r="C1089" s="128">
        <f t="shared" si="3338"/>
        <v>1</v>
      </c>
      <c r="D1089" s="127">
        <f t="shared" si="3218"/>
        <v>52</v>
      </c>
      <c r="E1089" s="38" t="s">
        <v>313</v>
      </c>
      <c r="F1089" s="93"/>
      <c r="G1089" s="192"/>
      <c r="H1089" s="198"/>
      <c r="I1089" s="198"/>
      <c r="J1089" s="199"/>
      <c r="K1089" s="64"/>
      <c r="L1089" s="1" t="s">
        <v>2</v>
      </c>
      <c r="M1089" s="6" t="s">
        <v>288</v>
      </c>
      <c r="N1089" s="71"/>
      <c r="O1089" s="27" t="s">
        <v>381</v>
      </c>
      <c r="P1089" s="182" t="s">
        <v>638</v>
      </c>
      <c r="Q1089" s="182" t="s">
        <v>639</v>
      </c>
      <c r="R1089" s="182" t="s">
        <v>640</v>
      </c>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f t="shared" ref="B1090:C1090" si="3339">B1088</f>
        <v>52</v>
      </c>
      <c r="C1090" s="128">
        <f t="shared" si="3339"/>
        <v>1</v>
      </c>
      <c r="D1090" s="127">
        <f t="shared" si="3218"/>
        <v>52</v>
      </c>
      <c r="E1090" s="200">
        <f t="shared" ref="E1090" si="3340">C1086</f>
        <v>1</v>
      </c>
      <c r="F1090" s="93"/>
      <c r="G1090" s="202" t="s">
        <v>304</v>
      </c>
      <c r="H1090" s="204"/>
      <c r="I1090" s="205"/>
      <c r="J1090" s="205"/>
      <c r="K1090" s="67"/>
      <c r="L1090" s="28" t="s">
        <v>303</v>
      </c>
      <c r="M1090" s="133">
        <f t="shared" ref="M1090" si="3341">IFERROR(INDEX(I1092:I1104,MATCH(MAX(J1092:J1104),J1092:J1104,0)),"")</f>
        <v>0.12582691819654906</v>
      </c>
      <c r="N1090" s="71"/>
      <c r="O1090" s="27" t="s">
        <v>18</v>
      </c>
      <c r="P1090" s="106">
        <f>IF(P1086="","",
IF(OR(P1088="Orçamento",P1087="",MAX('Tabela de Apoio'!$A:$A)&lt;=P1087),
P1086,
(INDEX('Tabela de Apoio'!$B:$B,MATCH('MAPA DE PREÇOS'!$O$8,'Tabela de Apoio'!$A:$A,1))/INDEX('Tabela de Apoio'!$B:$B,MATCH('MAPA DE PREÇOS'!P1087,'Tabela de Apoio'!$A:$A,1)-1))*P1086))</f>
        <v>79.2</v>
      </c>
      <c r="Q1090" s="106">
        <f>IF(Q1086="","",
IF(OR(Q1088="Orçamento",Q1087="",MAX('Tabela de Apoio'!$A:$A)&lt;=Q1087),
Q1086,
(INDEX('Tabela de Apoio'!$B:$B,MATCH('MAPA DE PREÇOS'!$O$8,'Tabela de Apoio'!$A:$A,1))/INDEX('Tabela de Apoio'!$B:$B,MATCH('MAPA DE PREÇOS'!Q1087,'Tabela de Apoio'!$A:$A,1)-1))*Q1086))</f>
        <v>61.11</v>
      </c>
      <c r="R1090" s="106">
        <f>IF(R1086="","",
IF(OR(R1088="Orçamento",R1087="",MAX('Tabela de Apoio'!$A:$A)&lt;=R1087),
R1086,
(INDEX('Tabela de Apoio'!$B:$B,MATCH('MAPA DE PREÇOS'!$O$8,'Tabela de Apoio'!$A:$A,1))/INDEX('Tabela de Apoio'!$B:$B,MATCH('MAPA DE PREÇOS'!R1087,'Tabela de Apoio'!$A:$A,1)-1))*R1086))</f>
        <v>61.4</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f t="shared" ref="B1091" si="3342">B1090</f>
        <v>52</v>
      </c>
      <c r="C1091" s="128">
        <f t="shared" ref="C1091" si="3343">C1090</f>
        <v>1</v>
      </c>
      <c r="D1091" s="127">
        <f t="shared" si="3218"/>
        <v>52</v>
      </c>
      <c r="E1091" s="201"/>
      <c r="F1091" s="93"/>
      <c r="G1091" s="203"/>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f t="shared" ref="B1092:C1092" si="3344">B1091</f>
        <v>52</v>
      </c>
      <c r="C1092" s="128">
        <f t="shared" si="3344"/>
        <v>1</v>
      </c>
      <c r="D1092" s="127">
        <f t="shared" si="3218"/>
        <v>52</v>
      </c>
      <c r="E1092" s="201"/>
      <c r="F1092" s="93"/>
      <c r="G1092" s="203"/>
      <c r="H1092" s="134">
        <f t="shared" ref="H1092" si="3345">COUNT($P1092:$XX1092)</f>
        <v>3</v>
      </c>
      <c r="I1092" s="132">
        <f t="shared" ref="I1092" si="3346">_xlfn.STDEV.P($P1091:$XX1092)/AVERAGE($P1091:$XX1092)</f>
        <v>0.12582691819654906</v>
      </c>
      <c r="J1092" s="7">
        <f>ROW()</f>
        <v>1092</v>
      </c>
      <c r="K1092" s="67"/>
      <c r="L1092" s="29" t="s">
        <v>10</v>
      </c>
      <c r="M1092" s="30">
        <f t="shared" ref="M1092" si="3347">IFERROR(
IF(COUNTA(P1086:AI1086)=COUNTIF(P1088:XX1088,"Orçamento"),MIN(M1097,M1094),
IF(M1095&lt;&gt;"",M1095,
IF(M1096&lt;&gt;"",M1096,
M1094
))),"")</f>
        <v>67.236666666666665</v>
      </c>
      <c r="N1092" s="71"/>
      <c r="O1092" s="27" t="s">
        <v>376</v>
      </c>
      <c r="P1092" s="106">
        <f t="shared" ref="P1092:AI1092" si="3348">IFERROR(IF(P1090="",
            "",
            IF(COUNT($P1090:$XX1090)&lt;=4,
               P1090,
               IF(OR(P1090&gt;(QUARTILE($P1090:$XX1090,3)+(QUARTILE($P1090:$XX1090,3)-QUARTILE($P1090:$XX1090,1))),
                     P1090&lt;(QUARTILE($P1090:$XX1090,1)-(QUARTILE($P1090:$XX1090,3)-QUARTILE($P1090:$XX1090,1)))
                  ),
               "DESCARTADO",P1090)
             )
  ),P1090)</f>
        <v>79.2</v>
      </c>
      <c r="Q1092" s="106">
        <f t="shared" si="3348"/>
        <v>61.11</v>
      </c>
      <c r="R1092" s="106">
        <f t="shared" si="3348"/>
        <v>61.4</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f t="shared" ref="B1093" si="3349">B1092</f>
        <v>52</v>
      </c>
      <c r="C1093" s="128">
        <f t="shared" ref="C1093" si="3350">C1092</f>
        <v>1</v>
      </c>
      <c r="D1093" s="127">
        <f t="shared" si="3218"/>
        <v>52</v>
      </c>
      <c r="E1093" s="201"/>
      <c r="F1093" s="93"/>
      <c r="G1093" s="203"/>
      <c r="H1093"/>
      <c r="I1093"/>
      <c r="J1093"/>
      <c r="K1093" s="66"/>
      <c r="L1093" s="29" t="s">
        <v>360</v>
      </c>
      <c r="M1093" s="30">
        <f t="shared" ref="M1093" si="3351">AVERAGE($P1092:$XX1092)</f>
        <v>67.236666666666665</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f t="shared" si="3217"/>
        <v>52</v>
      </c>
      <c r="C1094" s="128">
        <f t="shared" si="3218"/>
        <v>1</v>
      </c>
      <c r="D1094" s="127">
        <f t="shared" si="3218"/>
        <v>52</v>
      </c>
      <c r="E1094" s="201"/>
      <c r="F1094" s="93"/>
      <c r="G1094" s="203"/>
      <c r="H1094" s="134">
        <f t="shared" ref="H1094" si="3353">COUNT($P1094:$XX1094)</f>
        <v>3</v>
      </c>
      <c r="I1094" s="132">
        <f t="shared" ref="I1094" si="3354">_xlfn.STDEV.P($P1093:$XX1094)/AVERAGE($P1093:$XX1094)</f>
        <v>0.12582691819654906</v>
      </c>
      <c r="J1094" s="7">
        <f t="shared" ref="J1094" si="3355">IF(AND(H1094&gt;2,
OR(L1086="MÉDIA SANEADA",L1086="MEDIANA SANEADA",
AND(L1086="PREÇO ESTIMADO",NOT(AND(P1088="Orçamento",COUNTA(P1086:XX1086)=COUNTIF(P1088:XX1088,"Orçamento")))))),
ROW(),0)</f>
        <v>1094</v>
      </c>
      <c r="K1094" s="66"/>
      <c r="L1094" s="29" t="s">
        <v>361</v>
      </c>
      <c r="M1094" s="30">
        <f t="shared" ref="M1094" si="3356">MEDIAN($P1092:$XX1092)</f>
        <v>61.4</v>
      </c>
      <c r="N1094" s="71"/>
      <c r="O1094" s="27" t="str">
        <f t="shared" ref="O1094" si="3357">"1 RODADA"</f>
        <v>1 RODADA</v>
      </c>
      <c r="P1094" s="107">
        <f t="shared" ref="P1094:AI1094" si="3358">IF(P1092="","",IF((_xlfn.STDEV.P($P1091:$XX1092)/AVERAGE($P1091:$XX1092))&lt;=25%,P1092,IF(OR(P1092&gt;(AVERAGE($P1091:$XX1092)+_xlfn.STDEV.P($P1091:$XX1092)),P1092&lt;(AVERAGE($P1091:$XX1092)-_xlfn.STDEV.P($P1091:$XX1092))),"DESCARTADO",P1092)))</f>
        <v>79.2</v>
      </c>
      <c r="Q1094" s="107">
        <f t="shared" si="3358"/>
        <v>61.11</v>
      </c>
      <c r="R1094" s="107">
        <f t="shared" si="3358"/>
        <v>61.4</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f t="shared" si="3217"/>
        <v>52</v>
      </c>
      <c r="C1095" s="128">
        <f t="shared" si="3218"/>
        <v>1</v>
      </c>
      <c r="D1095" s="127">
        <f t="shared" si="3218"/>
        <v>52</v>
      </c>
      <c r="E1095" s="201"/>
      <c r="F1095" s="93"/>
      <c r="G1095" s="203"/>
      <c r="H1095"/>
      <c r="I1095"/>
      <c r="J1095"/>
      <c r="L1095" s="29" t="s">
        <v>38</v>
      </c>
      <c r="M1095" s="30">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67.236666666666665</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f t="shared" si="3217"/>
        <v>52</v>
      </c>
      <c r="C1096" s="128">
        <f t="shared" si="3218"/>
        <v>1</v>
      </c>
      <c r="D1096" s="127">
        <f t="shared" si="3218"/>
        <v>52</v>
      </c>
      <c r="E1096" s="201"/>
      <c r="F1096" s="93"/>
      <c r="G1096" s="203"/>
      <c r="H1096" s="134">
        <f t="shared" ref="H1096" si="3361">COUNT($P1096:$XX1096)</f>
        <v>3</v>
      </c>
      <c r="I1096" s="132">
        <f t="shared" ref="I1096" si="3362">_xlfn.STDEV.P($P1095:$XX1096)/AVERAGE($P1095:$XX1096)</f>
        <v>0.12582691819654906</v>
      </c>
      <c r="J1096" s="7">
        <f t="shared" ref="J1096" si="3363">IF(AND(H1096&gt;2,
OR(L1086="MÉDIA SANEADA",L1086="MEDIANA SANEADA",
AND(L1086="PREÇO ESTIMADO",NOT(AND(P1088="Orçamento",COUNTA(P1086:XX1086)=COUNTIF(P1088:XX1088,"Orçamento")))))),
ROW(),0)</f>
        <v>1096</v>
      </c>
      <c r="K1096" s="66"/>
      <c r="L1096" s="29" t="s">
        <v>362</v>
      </c>
      <c r="M1096" s="30">
        <f t="shared" ref="M1096" si="3364" xml:space="preserve">
IF(H1094&gt;2,MEDIAN(P1093:XX1094),
IF(H1096&gt;2,MEDIAN(P1095:XX1096),
IF(H1098&gt;2,MEDIAN(P1097:XX1098),
IF(H1100&gt;2,MEDIAN(P1099:XX1100),
IF(H1102&gt;2,MEDIAN(P1101:XX1102),
IF(H1104&gt;2,MEDIAN(P1103:XX1104),
MEDIAN(P1091:XX1092)))))))</f>
        <v>61.4</v>
      </c>
      <c r="N1096" s="71"/>
      <c r="O1096" s="27" t="str">
        <f t="shared" ref="O1096" si="3365">"2 RODADA"</f>
        <v>2 RODADA</v>
      </c>
      <c r="P1096" s="107">
        <f t="shared" ref="P1096:AI1096" si="3366">IF(P1094="","",IF((_xlfn.STDEV.P($P1093:$XX1094)/AVERAGE($P1093:$XX1094))&lt;=25%,P1094,IF(OR(P1094&gt;(AVERAGE($P1093:$XX1094)+_xlfn.STDEV.P($P1093:$XX1094)),P1094&lt;(AVERAGE($P1093:$XX1094)-_xlfn.STDEV.P($P1093:$XX1094))),"DESCARTADO",P1094)))</f>
        <v>79.2</v>
      </c>
      <c r="Q1096" s="107">
        <f t="shared" si="3366"/>
        <v>61.11</v>
      </c>
      <c r="R1096" s="107">
        <f t="shared" si="3366"/>
        <v>61.4</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f t="shared" si="3217"/>
        <v>52</v>
      </c>
      <c r="C1097" s="128">
        <f t="shared" si="3218"/>
        <v>1</v>
      </c>
      <c r="D1097" s="127">
        <f t="shared" si="3218"/>
        <v>52</v>
      </c>
      <c r="E1097" s="201"/>
      <c r="F1097" s="93"/>
      <c r="G1097" s="203"/>
      <c r="H1097"/>
      <c r="I1097"/>
      <c r="J1097"/>
      <c r="K1097" s="66"/>
      <c r="L1097" s="29" t="s">
        <v>359</v>
      </c>
      <c r="M1097" s="30">
        <f t="shared" ref="M1097" si="3367">HARMEAN($P1091:$XX1092)</f>
        <v>66.25903889915277</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f t="shared" si="3217"/>
        <v>52</v>
      </c>
      <c r="C1098" s="128">
        <f t="shared" si="3218"/>
        <v>1</v>
      </c>
      <c r="D1098" s="127">
        <f t="shared" si="3218"/>
        <v>52</v>
      </c>
      <c r="E1098" s="201"/>
      <c r="F1098" s="93"/>
      <c r="G1098" s="203"/>
      <c r="H1098" s="134">
        <f t="shared" ref="H1098" si="3369">COUNT($P1098:$XX1098)</f>
        <v>3</v>
      </c>
      <c r="I1098" s="132">
        <f t="shared" ref="I1098" si="3370">_xlfn.STDEV.P($P1097:$XX1098)/AVERAGE($P1097:$XX1098)</f>
        <v>0.12582691819654906</v>
      </c>
      <c r="J1098" s="7">
        <f t="shared" ref="J1098" si="3371">IF(AND(H1098&gt;2,
OR(L1086="MÉDIA SANEADA",L1086="MEDIANA SANEADA",
AND(L1086="PREÇO ESTIMADO",NOT(AND(P1088="Orçamento",COUNTA(P1086:XX1086)=COUNTIF(P1088:XX1088,"Orçamento")))))),
ROW(),0)</f>
        <v>1098</v>
      </c>
      <c r="K1098" s="66"/>
      <c r="L1098" s="29" t="s">
        <v>41</v>
      </c>
      <c r="M1098" s="30">
        <f t="shared" ref="M1098" si="3372">IFERROR(_xlfn.QUARTILE.EXC($P1092:$XX1092,1),"")</f>
        <v>61.11</v>
      </c>
      <c r="N1098" s="71"/>
      <c r="O1098" s="27" t="str">
        <f t="shared" ref="O1098" si="3373">"3 RODADA"</f>
        <v>3 RODADA</v>
      </c>
      <c r="P1098" s="107">
        <f t="shared" ref="P1098:AI1098" si="3374">IF(P1096="","",IF((_xlfn.STDEV.P($P1095:$XX1096)/AVERAGE($P1095:$XX1096))&lt;=25%,P1096,IF(OR(P1096&gt;(AVERAGE($P1095:$XX1096)+_xlfn.STDEV.P($P1095:$XX1096)),P1096&lt;(AVERAGE($P1095:$XX1096)-_xlfn.STDEV.P($P1095:$XX1096))),"DESCARTADO",P1096)))</f>
        <v>79.2</v>
      </c>
      <c r="Q1098" s="107">
        <f t="shared" si="3374"/>
        <v>61.11</v>
      </c>
      <c r="R1098" s="107">
        <f t="shared" si="3374"/>
        <v>61.4</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f t="shared" si="3217"/>
        <v>52</v>
      </c>
      <c r="C1099" s="128">
        <f t="shared" si="3218"/>
        <v>1</v>
      </c>
      <c r="D1099" s="127">
        <f t="shared" si="3218"/>
        <v>52</v>
      </c>
      <c r="E1099" s="201"/>
      <c r="F1099" s="93"/>
      <c r="G1099" s="203"/>
      <c r="H1099"/>
      <c r="I1099"/>
      <c r="J1099"/>
      <c r="K1099" s="66"/>
      <c r="L1099" s="29" t="s">
        <v>39</v>
      </c>
      <c r="M1099" s="30">
        <f t="shared" ref="M1099" si="3375">IFERROR(_xlfn.QUARTILE.EXC($P1092:$XX1092,3),"")</f>
        <v>79.2</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f t="shared" si="3217"/>
        <v>52</v>
      </c>
      <c r="C1100" s="128">
        <f t="shared" si="3218"/>
        <v>1</v>
      </c>
      <c r="D1100" s="127">
        <f t="shared" si="3218"/>
        <v>52</v>
      </c>
      <c r="E1100" s="201"/>
      <c r="F1100" s="93"/>
      <c r="G1100" s="203"/>
      <c r="H1100" s="134">
        <f t="shared" ref="H1100" si="3377">COUNT($P1100:$XX1100)</f>
        <v>3</v>
      </c>
      <c r="I1100" s="132">
        <f t="shared" ref="I1100" si="3378">_xlfn.STDEV.P($P1099:$XX1100)/AVERAGE($P1099:$XX1100)</f>
        <v>0.12582691819654906</v>
      </c>
      <c r="J1100" s="7">
        <f t="shared" ref="J1100" si="3379">IF(AND(H1100&gt;2,
OR(L1086="MÉDIA SANEADA",L1086="MEDIANA SANEADA",
AND(L1086="PREÇO ESTIMADO",NOT(AND(P1088="Orçamento",COUNTA(P1086:XX1086)=COUNTIF(P1088:XX1088,"Orçamento")))))),
ROW(),0)</f>
        <v>1100</v>
      </c>
      <c r="K1100" s="66"/>
      <c r="L1100" s="29" t="s">
        <v>42</v>
      </c>
      <c r="M1100" s="30">
        <f t="shared" ref="M1100" si="3380">MIN($P1092:$XX1092)</f>
        <v>61.11</v>
      </c>
      <c r="N1100" s="71"/>
      <c r="O1100" s="27" t="str">
        <f t="shared" ref="O1100" si="3381">"4 RODADA"</f>
        <v>4 RODADA</v>
      </c>
      <c r="P1100" s="107">
        <f t="shared" ref="P1100:AI1100" si="3382">IF(P1098="","",IF((_xlfn.STDEV.P($P1097:$XX1098)/AVERAGE($P1097:$XX1098))&lt;=25%,P1098,IF(OR(P1098&gt;(AVERAGE($P1097:$XX1098)+_xlfn.STDEV.P($P1097:$XX1098)),P1098&lt;(AVERAGE($P1097:$XX1098)-_xlfn.STDEV.P($P1097:$XX1098))),"DESCARTADO",P1098)))</f>
        <v>79.2</v>
      </c>
      <c r="Q1100" s="107">
        <f t="shared" si="3382"/>
        <v>61.11</v>
      </c>
      <c r="R1100" s="107">
        <f t="shared" si="3382"/>
        <v>61.4</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f t="shared" si="3217"/>
        <v>52</v>
      </c>
      <c r="C1101" s="128">
        <f t="shared" si="3218"/>
        <v>1</v>
      </c>
      <c r="D1101" s="127">
        <f t="shared" si="3218"/>
        <v>52</v>
      </c>
      <c r="E1101" s="201"/>
      <c r="F1101" s="93"/>
      <c r="G1101" s="203"/>
      <c r="H1101"/>
      <c r="I1101"/>
      <c r="J1101"/>
      <c r="K1101" s="66"/>
      <c r="L1101" s="29" t="s">
        <v>40</v>
      </c>
      <c r="M1101" s="30">
        <f t="shared" ref="M1101" si="3383">MAX($P1092:$XX1092)</f>
        <v>79.2</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f t="shared" si="3217"/>
        <v>52</v>
      </c>
      <c r="C1102" s="128">
        <f t="shared" si="3218"/>
        <v>1</v>
      </c>
      <c r="D1102" s="127">
        <f t="shared" si="3218"/>
        <v>52</v>
      </c>
      <c r="E1102" s="201"/>
      <c r="F1102" s="93"/>
      <c r="G1102" s="203"/>
      <c r="H1102" s="134">
        <f t="shared" ref="H1102" si="3385">COUNT($P1102:$XX1102)</f>
        <v>3</v>
      </c>
      <c r="I1102" s="132">
        <f t="shared" ref="I1102" si="3386">_xlfn.STDEV.P($P1101:$XX1102)/AVERAGE($P1101:$XX1102)</f>
        <v>0.12582691819654906</v>
      </c>
      <c r="J1102" s="7">
        <f t="shared" ref="J1102" si="3387">IF(AND(H1102&gt;2,
OR(L1086="MÉDIA SANEADA",L1086="MEDIANA SANEADA",
AND(L1086="PREÇO ESTIMADO",NOT(AND(P1088="Orçamento",COUNTA(P1086:XX1086)=COUNTIF(P1088:XX1088,"Orçamento")))))),
ROW(),0)</f>
        <v>1102</v>
      </c>
      <c r="K1102" s="66"/>
      <c r="N1102" s="71"/>
      <c r="O1102" s="27" t="str">
        <f t="shared" ref="O1102" si="3388">"5 RODADA"</f>
        <v>5 RODADA</v>
      </c>
      <c r="P1102" s="107">
        <f t="shared" ref="P1102:AI1102" si="3389">IF(P1100="","",IF((_xlfn.STDEV.P($P1099:$XX1100)/AVERAGE($P1099:$XX1100))&lt;=25%,P1100,IF(OR(P1100&gt;(AVERAGE($P1099:$XX1100)+_xlfn.STDEV.P($P1099:$XX1100)),P1100&lt;(AVERAGE($P1099:$XX1100)-_xlfn.STDEV.P($P1099:$XX1100))),"DESCARTADO",P1100)))</f>
        <v>79.2</v>
      </c>
      <c r="Q1102" s="107">
        <f t="shared" si="3389"/>
        <v>61.11</v>
      </c>
      <c r="R1102" s="107">
        <f t="shared" si="3389"/>
        <v>61.4</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f t="shared" si="3217"/>
        <v>52</v>
      </c>
      <c r="C1103" s="128">
        <f t="shared" si="3218"/>
        <v>1</v>
      </c>
      <c r="D1103" s="127">
        <f t="shared" si="3218"/>
        <v>52</v>
      </c>
      <c r="E1103" s="201"/>
      <c r="F1103" s="93"/>
      <c r="G1103" s="203"/>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f t="shared" si="3217"/>
        <v>52</v>
      </c>
      <c r="C1104" s="128">
        <f t="shared" si="3218"/>
        <v>1</v>
      </c>
      <c r="D1104" s="127">
        <f t="shared" si="3218"/>
        <v>52</v>
      </c>
      <c r="E1104" s="201"/>
      <c r="F1104" s="93"/>
      <c r="G1104" s="203"/>
      <c r="H1104" s="134">
        <f t="shared" ref="H1104" si="3391">COUNT($P1104:$XX1104)</f>
        <v>3</v>
      </c>
      <c r="I1104" s="132">
        <f t="shared" ref="I1104" si="3392">_xlfn.STDEV.P($P1103:$XX1104)/AVERAGE($P1103:$XX1104)</f>
        <v>0.12582691819654906</v>
      </c>
      <c r="J1104" s="7">
        <f t="shared" ref="J1104" si="3393">IF(AND(H1104&gt;2,
OR(L1086="MÉDIA SANEADA",L1086="MEDIANA SANEADA",
AND(L1086="PREÇO ESTIMADO",NOT(AND(P1088="Orçamento",COUNTA(P1086:XX1086)=COUNTIF(P1088:XX1088,"Orçamento")))))),
ROW(),0)</f>
        <v>1104</v>
      </c>
      <c r="N1104" s="71"/>
      <c r="O1104" s="27" t="str">
        <f t="shared" ref="O1104" si="3394">"6 RODADA"</f>
        <v>6 RODADA</v>
      </c>
      <c r="P1104" s="107">
        <f t="shared" ref="P1104:AI1104" si="3395">IFERROR(IF(P1102="","",IF((_xlfn.STDEV.P($P1101:$XX1102)/AVERAGE($P1101:$XX1102))&lt;=25%,P1102,IF(OR(P1102&gt;(AVERAGE($P1101:$XX1102)+_xlfn.STDEV.P($P1101:$XX1102)),P1102&lt;(AVERAGE($P1101:$XX1102)-_xlfn.STDEV.P($P1101:$XX1102))),"DESCARTADO",P1102))),)</f>
        <v>79.2</v>
      </c>
      <c r="Q1104" s="107">
        <f t="shared" si="3395"/>
        <v>61.11</v>
      </c>
      <c r="R1104" s="107">
        <f t="shared" si="3395"/>
        <v>61.4</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f t="shared" si="3217"/>
        <v>52</v>
      </c>
      <c r="C1105" s="128">
        <f t="shared" si="3218"/>
        <v>1</v>
      </c>
      <c r="D1105" s="127">
        <f t="shared" si="3218"/>
        <v>52</v>
      </c>
      <c r="E1105" s="201"/>
      <c r="F1105" s="136"/>
      <c r="G1105" s="203"/>
      <c r="H1105" s="206"/>
      <c r="I1105" s="206"/>
      <c r="J1105" s="207"/>
      <c r="K1105" s="67"/>
      <c r="L1105" s="1" t="s">
        <v>43</v>
      </c>
      <c r="M1105" s="143">
        <f t="shared" ref="M1105" si="3396">IFERROR(ROUND(M1086*M1088,2),"")</f>
        <v>67.239999999999995</v>
      </c>
      <c r="O1105" s="27" t="s">
        <v>363</v>
      </c>
      <c r="P1105" s="107">
        <f t="shared" ref="P1105:AI1126" si="3397">INDEX(P1092:P1104,MATCH(MAX($J1092:$J1104),$J1092:$J1104,0))</f>
        <v>79.2</v>
      </c>
      <c r="Q1105" s="107">
        <f t="shared" si="3397"/>
        <v>61.11</v>
      </c>
      <c r="R1105" s="107">
        <f t="shared" si="3397"/>
        <v>61.4</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f t="shared" ref="B1107" si="3398">LARGE(IFERROR(IF(B1105+1&gt;$H$8,"",B1105+1),""),1)</f>
        <v>53</v>
      </c>
      <c r="C1107" s="127">
        <f>IF(_xlfn.ISFORMULA(E1111),MAX(INDEX('BASE FORMAÇÃO'!A:A,B1107+1),1),E1111)</f>
        <v>1</v>
      </c>
      <c r="D1107" s="127">
        <f t="shared" ref="D1107" si="3399">IFERROR(IF(C1107=C1097,D1097+1,1),1)</f>
        <v>53</v>
      </c>
      <c r="E1107" s="38" t="s">
        <v>9</v>
      </c>
      <c r="F1107" s="73"/>
      <c r="G1107" s="38" t="s">
        <v>15</v>
      </c>
      <c r="H1107" s="135">
        <f>INDEX('BASE FORMAÇÃO'!B:B,B1107+1)</f>
        <v>0</v>
      </c>
      <c r="I1107" s="181" t="s">
        <v>16</v>
      </c>
      <c r="J1107" s="6">
        <f>INDEX('BASE FORMAÇÃO'!K:K,B1107+1)</f>
        <v>0</v>
      </c>
      <c r="K1107" s="65"/>
      <c r="L1107" s="184" t="s">
        <v>10</v>
      </c>
      <c r="M1107" s="186">
        <f t="shared" ref="M1107" si="3400">IF(OR(ISBLANK($O$8),ISBLANK($O$7),ISBLANK($H$8),ISBLANK($O$6),ISBLANK($O$5),ISBLANK($H$5)),"",IFERROR(IF(VLOOKUP(L1107,L1113:M1122,2,FALSE)&lt;1,ROUND(VLOOKUP(L1107,L1113:M1122,2,FALSE),4),ROUND(VLOOKUP(L1107,L1113:M1122,2,FALSE),2)),""))</f>
        <v>654.89</v>
      </c>
      <c r="N1107" s="69"/>
      <c r="O1107" s="27" t="s">
        <v>17</v>
      </c>
      <c r="P1107" s="113">
        <v>649.99</v>
      </c>
      <c r="Q1107" s="113">
        <v>724.8</v>
      </c>
      <c r="R1107" s="113">
        <v>589.88</v>
      </c>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f t="shared" ref="B1108:D1108" si="3401">B1107</f>
        <v>53</v>
      </c>
      <c r="C1108" s="128">
        <f t="shared" si="3401"/>
        <v>1</v>
      </c>
      <c r="D1108" s="127">
        <f t="shared" si="3401"/>
        <v>53</v>
      </c>
      <c r="E1108" s="188">
        <f t="shared" ref="E1108" si="3402">D1107</f>
        <v>53</v>
      </c>
      <c r="F1108" s="92"/>
      <c r="G1108" s="190" t="s">
        <v>1</v>
      </c>
      <c r="H1108" s="193" t="s">
        <v>641</v>
      </c>
      <c r="I1108" s="194"/>
      <c r="J1108" s="195"/>
      <c r="K1108" s="66"/>
      <c r="L1108" s="185"/>
      <c r="M1108" s="187"/>
      <c r="N1108" s="70"/>
      <c r="O1108" s="27" t="s">
        <v>13</v>
      </c>
      <c r="P1108" s="122">
        <v>46196</v>
      </c>
      <c r="Q1108" s="122">
        <v>46196</v>
      </c>
      <c r="R1108" s="122">
        <v>46196</v>
      </c>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f t="shared" ref="B1109:D1109" si="3403">B1108</f>
        <v>53</v>
      </c>
      <c r="C1109" s="128">
        <f t="shared" si="3403"/>
        <v>1</v>
      </c>
      <c r="D1109" s="127">
        <f t="shared" si="3403"/>
        <v>53</v>
      </c>
      <c r="E1109" s="189"/>
      <c r="F1109" s="93"/>
      <c r="G1109" s="191"/>
      <c r="H1109" s="196"/>
      <c r="I1109" s="196"/>
      <c r="J1109" s="197"/>
      <c r="K1109" s="64"/>
      <c r="L1109" s="130" t="s">
        <v>44</v>
      </c>
      <c r="M1109" s="131">
        <v>1</v>
      </c>
      <c r="N1109" s="71"/>
      <c r="O1109" s="27" t="s">
        <v>380</v>
      </c>
      <c r="P1109" s="114" t="s">
        <v>302</v>
      </c>
      <c r="Q1109" s="114" t="s">
        <v>302</v>
      </c>
      <c r="R1109" s="114" t="s">
        <v>302</v>
      </c>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f t="shared" ref="B1110:C1110" si="3404">B1109</f>
        <v>53</v>
      </c>
      <c r="C1110" s="128">
        <f t="shared" si="3404"/>
        <v>1</v>
      </c>
      <c r="D1110" s="127">
        <f t="shared" si="3218"/>
        <v>53</v>
      </c>
      <c r="E1110" s="38" t="s">
        <v>313</v>
      </c>
      <c r="F1110" s="93"/>
      <c r="G1110" s="192"/>
      <c r="H1110" s="198"/>
      <c r="I1110" s="198"/>
      <c r="J1110" s="199"/>
      <c r="K1110" s="64"/>
      <c r="L1110" s="1" t="s">
        <v>2</v>
      </c>
      <c r="M1110" s="6" t="s">
        <v>288</v>
      </c>
      <c r="N1110" s="71"/>
      <c r="O1110" s="27" t="s">
        <v>381</v>
      </c>
      <c r="P1110" s="182" t="s">
        <v>642</v>
      </c>
      <c r="Q1110" s="182" t="s">
        <v>643</v>
      </c>
      <c r="R1110" s="182" t="s">
        <v>644</v>
      </c>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f t="shared" ref="B1111:C1111" si="3405">B1109</f>
        <v>53</v>
      </c>
      <c r="C1111" s="128">
        <f t="shared" si="3405"/>
        <v>1</v>
      </c>
      <c r="D1111" s="127">
        <f t="shared" si="3218"/>
        <v>53</v>
      </c>
      <c r="E1111" s="200">
        <f t="shared" ref="E1111" si="3406">C1107</f>
        <v>1</v>
      </c>
      <c r="F1111" s="93"/>
      <c r="G1111" s="202" t="s">
        <v>304</v>
      </c>
      <c r="H1111" s="204"/>
      <c r="I1111" s="205"/>
      <c r="J1111" s="205"/>
      <c r="K1111" s="67"/>
      <c r="L1111" s="28" t="s">
        <v>303</v>
      </c>
      <c r="M1111" s="133">
        <f t="shared" ref="M1111" si="3407">IFERROR(INDEX(I1113:I1125,MATCH(MAX(J1113:J1125),J1113:J1125,0)),"")</f>
        <v>8.42732793430572E-2</v>
      </c>
      <c r="N1111" s="71"/>
      <c r="O1111" s="27" t="s">
        <v>18</v>
      </c>
      <c r="P1111" s="106">
        <f>IF(P1107="","",
IF(OR(P1109="Orçamento",P1108="",MAX('Tabela de Apoio'!$A:$A)&lt;=P1108),
P1107,
(INDEX('Tabela de Apoio'!$B:$B,MATCH('MAPA DE PREÇOS'!$O$8,'Tabela de Apoio'!$A:$A,1))/INDEX('Tabela de Apoio'!$B:$B,MATCH('MAPA DE PREÇOS'!P1108,'Tabela de Apoio'!$A:$A,1)-1))*P1107))</f>
        <v>649.99</v>
      </c>
      <c r="Q1111" s="106">
        <f>IF(Q1107="","",
IF(OR(Q1109="Orçamento",Q1108="",MAX('Tabela de Apoio'!$A:$A)&lt;=Q1108),
Q1107,
(INDEX('Tabela de Apoio'!$B:$B,MATCH('MAPA DE PREÇOS'!$O$8,'Tabela de Apoio'!$A:$A,1))/INDEX('Tabela de Apoio'!$B:$B,MATCH('MAPA DE PREÇOS'!Q1108,'Tabela de Apoio'!$A:$A,1)-1))*Q1107))</f>
        <v>724.8</v>
      </c>
      <c r="R1111" s="106">
        <f>IF(R1107="","",
IF(OR(R1109="Orçamento",R1108="",MAX('Tabela de Apoio'!$A:$A)&lt;=R1108),
R1107,
(INDEX('Tabela de Apoio'!$B:$B,MATCH('MAPA DE PREÇOS'!$O$8,'Tabela de Apoio'!$A:$A,1))/INDEX('Tabela de Apoio'!$B:$B,MATCH('MAPA DE PREÇOS'!R1108,'Tabela de Apoio'!$A:$A,1)-1))*R1107))</f>
        <v>589.88</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f t="shared" ref="B1112" si="3408">B1111</f>
        <v>53</v>
      </c>
      <c r="C1112" s="128">
        <f t="shared" ref="C1112" si="3409">C1111</f>
        <v>1</v>
      </c>
      <c r="D1112" s="127">
        <f t="shared" si="3218"/>
        <v>53</v>
      </c>
      <c r="E1112" s="201"/>
      <c r="F1112" s="93"/>
      <c r="G1112" s="203"/>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f t="shared" ref="B1113:C1113" si="3410">B1112</f>
        <v>53</v>
      </c>
      <c r="C1113" s="128">
        <f t="shared" si="3410"/>
        <v>1</v>
      </c>
      <c r="D1113" s="127">
        <f t="shared" si="3218"/>
        <v>53</v>
      </c>
      <c r="E1113" s="201"/>
      <c r="F1113" s="93"/>
      <c r="G1113" s="203"/>
      <c r="H1113" s="134">
        <f t="shared" ref="H1113" si="3411">COUNT($P1113:$XX1113)</f>
        <v>3</v>
      </c>
      <c r="I1113" s="132">
        <f t="shared" ref="I1113" si="3412">_xlfn.STDEV.P($P1112:$XX1113)/AVERAGE($P1112:$XX1113)</f>
        <v>8.42732793430572E-2</v>
      </c>
      <c r="J1113" s="7">
        <f>ROW()</f>
        <v>1113</v>
      </c>
      <c r="K1113" s="67"/>
      <c r="L1113" s="29" t="s">
        <v>10</v>
      </c>
      <c r="M1113" s="30">
        <f t="shared" ref="M1113" si="3413">IFERROR(
IF(COUNTA(P1107:AI1107)=COUNTIF(P1109:XX1109,"Orçamento"),MIN(M1118,M1115),
IF(M1116&lt;&gt;"",M1116,
IF(M1117&lt;&gt;"",M1117,
M1115
))),"")</f>
        <v>654.89</v>
      </c>
      <c r="N1113" s="71"/>
      <c r="O1113" s="27" t="s">
        <v>376</v>
      </c>
      <c r="P1113" s="106">
        <f t="shared" ref="P1113:AI1113" si="3414">IFERROR(IF(P1111="",
            "",
            IF(COUNT($P1111:$XX1111)&lt;=4,
               P1111,
               IF(OR(P1111&gt;(QUARTILE($P1111:$XX1111,3)+(QUARTILE($P1111:$XX1111,3)-QUARTILE($P1111:$XX1111,1))),
                     P1111&lt;(QUARTILE($P1111:$XX1111,1)-(QUARTILE($P1111:$XX1111,3)-QUARTILE($P1111:$XX1111,1)))
                  ),
               "DESCARTADO",P1111)
             )
  ),P1111)</f>
        <v>649.99</v>
      </c>
      <c r="Q1113" s="106">
        <f t="shared" si="3414"/>
        <v>724.8</v>
      </c>
      <c r="R1113" s="106">
        <f t="shared" si="3414"/>
        <v>589.88</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f t="shared" ref="B1114:B1168" si="3415">B1113</f>
        <v>53</v>
      </c>
      <c r="C1114" s="128">
        <f t="shared" ref="C1114:D1177" si="3416">C1113</f>
        <v>1</v>
      </c>
      <c r="D1114" s="127">
        <f t="shared" si="3218"/>
        <v>53</v>
      </c>
      <c r="E1114" s="201"/>
      <c r="F1114" s="93"/>
      <c r="G1114" s="203"/>
      <c r="H1114"/>
      <c r="I1114"/>
      <c r="J1114"/>
      <c r="K1114" s="66"/>
      <c r="L1114" s="29" t="s">
        <v>360</v>
      </c>
      <c r="M1114" s="30">
        <f t="shared" ref="M1114" si="3417">AVERAGE($P1113:$XX1113)</f>
        <v>654.89</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f t="shared" si="3415"/>
        <v>53</v>
      </c>
      <c r="C1115" s="128">
        <f t="shared" si="3416"/>
        <v>1</v>
      </c>
      <c r="D1115" s="127">
        <f t="shared" si="3416"/>
        <v>53</v>
      </c>
      <c r="E1115" s="201"/>
      <c r="F1115" s="93"/>
      <c r="G1115" s="203"/>
      <c r="H1115" s="134">
        <f t="shared" ref="H1115" si="3419">COUNT($P1115:$XX1115)</f>
        <v>3</v>
      </c>
      <c r="I1115" s="132">
        <f t="shared" ref="I1115" si="3420">_xlfn.STDEV.P($P1114:$XX1115)/AVERAGE($P1114:$XX1115)</f>
        <v>8.42732793430572E-2</v>
      </c>
      <c r="J1115" s="7">
        <f t="shared" ref="J1115" si="3421">IF(AND(H1115&gt;2,
OR(L1107="MÉDIA SANEADA",L1107="MEDIANA SANEADA",
AND(L1107="PREÇO ESTIMADO",NOT(AND(P1109="Orçamento",COUNTA(P1107:XX1107)=COUNTIF(P1109:XX1109,"Orçamento")))))),
ROW(),0)</f>
        <v>1115</v>
      </c>
      <c r="K1115" s="66"/>
      <c r="L1115" s="29" t="s">
        <v>361</v>
      </c>
      <c r="M1115" s="30">
        <f t="shared" ref="M1115" si="3422">MEDIAN($P1113:$XX1113)</f>
        <v>649.99</v>
      </c>
      <c r="N1115" s="71"/>
      <c r="O1115" s="27" t="str">
        <f t="shared" ref="O1115" si="3423">"1 RODADA"</f>
        <v>1 RODADA</v>
      </c>
      <c r="P1115" s="107">
        <f t="shared" ref="P1115:AI1115" si="3424">IF(P1113="","",IF((_xlfn.STDEV.P($P1112:$XX1113)/AVERAGE($P1112:$XX1113))&lt;=25%,P1113,IF(OR(P1113&gt;(AVERAGE($P1112:$XX1113)+_xlfn.STDEV.P($P1112:$XX1113)),P1113&lt;(AVERAGE($P1112:$XX1113)-_xlfn.STDEV.P($P1112:$XX1113))),"DESCARTADO",P1113)))</f>
        <v>649.99</v>
      </c>
      <c r="Q1115" s="107">
        <f t="shared" si="3424"/>
        <v>724.8</v>
      </c>
      <c r="R1115" s="107">
        <f t="shared" si="3424"/>
        <v>589.88</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f t="shared" si="3415"/>
        <v>53</v>
      </c>
      <c r="C1116" s="128">
        <f t="shared" si="3416"/>
        <v>1</v>
      </c>
      <c r="D1116" s="127">
        <f t="shared" si="3416"/>
        <v>53</v>
      </c>
      <c r="E1116" s="201"/>
      <c r="F1116" s="93"/>
      <c r="G1116" s="203"/>
      <c r="H1116"/>
      <c r="I1116"/>
      <c r="J1116"/>
      <c r="L1116" s="29" t="s">
        <v>38</v>
      </c>
      <c r="M1116" s="30">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654.89</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f t="shared" si="3415"/>
        <v>53</v>
      </c>
      <c r="C1117" s="128">
        <f t="shared" si="3416"/>
        <v>1</v>
      </c>
      <c r="D1117" s="127">
        <f t="shared" si="3416"/>
        <v>53</v>
      </c>
      <c r="E1117" s="201"/>
      <c r="F1117" s="93"/>
      <c r="G1117" s="203"/>
      <c r="H1117" s="134">
        <f t="shared" ref="H1117" si="3427">COUNT($P1117:$XX1117)</f>
        <v>3</v>
      </c>
      <c r="I1117" s="132">
        <f t="shared" ref="I1117" si="3428">_xlfn.STDEV.P($P1116:$XX1117)/AVERAGE($P1116:$XX1117)</f>
        <v>8.42732793430572E-2</v>
      </c>
      <c r="J1117" s="7">
        <f t="shared" ref="J1117" si="3429">IF(AND(H1117&gt;2,
OR(L1107="MÉDIA SANEADA",L1107="MEDIANA SANEADA",
AND(L1107="PREÇO ESTIMADO",NOT(AND(P1109="Orçamento",COUNTA(P1107:XX1107)=COUNTIF(P1109:XX1109,"Orçamento")))))),
ROW(),0)</f>
        <v>1117</v>
      </c>
      <c r="K1117" s="66"/>
      <c r="L1117" s="29" t="s">
        <v>362</v>
      </c>
      <c r="M1117" s="30">
        <f t="shared" ref="M1117" si="3430" xml:space="preserve">
IF(H1115&gt;2,MEDIAN(P1114:XX1115),
IF(H1117&gt;2,MEDIAN(P1116:XX1117),
IF(H1119&gt;2,MEDIAN(P1118:XX1119),
IF(H1121&gt;2,MEDIAN(P1120:XX1121),
IF(H1123&gt;2,MEDIAN(P1122:XX1123),
IF(H1125&gt;2,MEDIAN(P1124:XX1125),
MEDIAN(P1112:XX1113)))))))</f>
        <v>649.99</v>
      </c>
      <c r="N1117" s="71"/>
      <c r="O1117" s="27" t="str">
        <f t="shared" ref="O1117" si="3431">"2 RODADA"</f>
        <v>2 RODADA</v>
      </c>
      <c r="P1117" s="107">
        <f t="shared" ref="P1117:AI1117" si="3432">IF(P1115="","",IF((_xlfn.STDEV.P($P1114:$XX1115)/AVERAGE($P1114:$XX1115))&lt;=25%,P1115,IF(OR(P1115&gt;(AVERAGE($P1114:$XX1115)+_xlfn.STDEV.P($P1114:$XX1115)),P1115&lt;(AVERAGE($P1114:$XX1115)-_xlfn.STDEV.P($P1114:$XX1115))),"DESCARTADO",P1115)))</f>
        <v>649.99</v>
      </c>
      <c r="Q1117" s="107">
        <f t="shared" si="3432"/>
        <v>724.8</v>
      </c>
      <c r="R1117" s="107">
        <f t="shared" si="3432"/>
        <v>589.88</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f t="shared" si="3415"/>
        <v>53</v>
      </c>
      <c r="C1118" s="128">
        <f t="shared" si="3416"/>
        <v>1</v>
      </c>
      <c r="D1118" s="127">
        <f t="shared" si="3416"/>
        <v>53</v>
      </c>
      <c r="E1118" s="201"/>
      <c r="F1118" s="93"/>
      <c r="G1118" s="203"/>
      <c r="H1118"/>
      <c r="I1118"/>
      <c r="J1118"/>
      <c r="K1118" s="66"/>
      <c r="L1118" s="29" t="s">
        <v>359</v>
      </c>
      <c r="M1118" s="30">
        <f t="shared" ref="M1118" si="3433">HARMEAN($P1112:$XX1113)</f>
        <v>650.27451637190245</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f t="shared" si="3415"/>
        <v>53</v>
      </c>
      <c r="C1119" s="128">
        <f t="shared" si="3416"/>
        <v>1</v>
      </c>
      <c r="D1119" s="127">
        <f t="shared" si="3416"/>
        <v>53</v>
      </c>
      <c r="E1119" s="201"/>
      <c r="F1119" s="93"/>
      <c r="G1119" s="203"/>
      <c r="H1119" s="134">
        <f t="shared" ref="H1119" si="3435">COUNT($P1119:$XX1119)</f>
        <v>3</v>
      </c>
      <c r="I1119" s="132">
        <f t="shared" ref="I1119" si="3436">_xlfn.STDEV.P($P1118:$XX1119)/AVERAGE($P1118:$XX1119)</f>
        <v>8.42732793430572E-2</v>
      </c>
      <c r="J1119" s="7">
        <f t="shared" ref="J1119" si="3437">IF(AND(H1119&gt;2,
OR(L1107="MÉDIA SANEADA",L1107="MEDIANA SANEADA",
AND(L1107="PREÇO ESTIMADO",NOT(AND(P1109="Orçamento",COUNTA(P1107:XX1107)=COUNTIF(P1109:XX1109,"Orçamento")))))),
ROW(),0)</f>
        <v>1119</v>
      </c>
      <c r="K1119" s="66"/>
      <c r="L1119" s="29" t="s">
        <v>41</v>
      </c>
      <c r="M1119" s="30">
        <f t="shared" ref="M1119" si="3438">IFERROR(_xlfn.QUARTILE.EXC($P1113:$XX1113,1),"")</f>
        <v>589.88</v>
      </c>
      <c r="N1119" s="71"/>
      <c r="O1119" s="27" t="str">
        <f t="shared" ref="O1119" si="3439">"3 RODADA"</f>
        <v>3 RODADA</v>
      </c>
      <c r="P1119" s="107">
        <f t="shared" ref="P1119:AI1119" si="3440">IF(P1117="","",IF((_xlfn.STDEV.P($P1116:$XX1117)/AVERAGE($P1116:$XX1117))&lt;=25%,P1117,IF(OR(P1117&gt;(AVERAGE($P1116:$XX1117)+_xlfn.STDEV.P($P1116:$XX1117)),P1117&lt;(AVERAGE($P1116:$XX1117)-_xlfn.STDEV.P($P1116:$XX1117))),"DESCARTADO",P1117)))</f>
        <v>649.99</v>
      </c>
      <c r="Q1119" s="107">
        <f t="shared" si="3440"/>
        <v>724.8</v>
      </c>
      <c r="R1119" s="107">
        <f t="shared" si="3440"/>
        <v>589.88</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f t="shared" si="3415"/>
        <v>53</v>
      </c>
      <c r="C1120" s="128">
        <f t="shared" si="3416"/>
        <v>1</v>
      </c>
      <c r="D1120" s="127">
        <f t="shared" si="3416"/>
        <v>53</v>
      </c>
      <c r="E1120" s="201"/>
      <c r="F1120" s="93"/>
      <c r="G1120" s="203"/>
      <c r="H1120"/>
      <c r="I1120"/>
      <c r="J1120"/>
      <c r="K1120" s="66"/>
      <c r="L1120" s="29" t="s">
        <v>39</v>
      </c>
      <c r="M1120" s="30">
        <f t="shared" ref="M1120" si="3441">IFERROR(_xlfn.QUARTILE.EXC($P1113:$XX1113,3),"")</f>
        <v>724.8</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f t="shared" si="3415"/>
        <v>53</v>
      </c>
      <c r="C1121" s="128">
        <f t="shared" si="3416"/>
        <v>1</v>
      </c>
      <c r="D1121" s="127">
        <f t="shared" si="3416"/>
        <v>53</v>
      </c>
      <c r="E1121" s="201"/>
      <c r="F1121" s="93"/>
      <c r="G1121" s="203"/>
      <c r="H1121" s="134">
        <f t="shared" ref="H1121" si="3443">COUNT($P1121:$XX1121)</f>
        <v>3</v>
      </c>
      <c r="I1121" s="132">
        <f t="shared" ref="I1121" si="3444">_xlfn.STDEV.P($P1120:$XX1121)/AVERAGE($P1120:$XX1121)</f>
        <v>8.42732793430572E-2</v>
      </c>
      <c r="J1121" s="7">
        <f t="shared" ref="J1121" si="3445">IF(AND(H1121&gt;2,
OR(L1107="MÉDIA SANEADA",L1107="MEDIANA SANEADA",
AND(L1107="PREÇO ESTIMADO",NOT(AND(P1109="Orçamento",COUNTA(P1107:XX1107)=COUNTIF(P1109:XX1109,"Orçamento")))))),
ROW(),0)</f>
        <v>1121</v>
      </c>
      <c r="K1121" s="66"/>
      <c r="L1121" s="29" t="s">
        <v>42</v>
      </c>
      <c r="M1121" s="30">
        <f t="shared" ref="M1121" si="3446">MIN($P1113:$XX1113)</f>
        <v>589.88</v>
      </c>
      <c r="N1121" s="71"/>
      <c r="O1121" s="27" t="str">
        <f t="shared" ref="O1121" si="3447">"4 RODADA"</f>
        <v>4 RODADA</v>
      </c>
      <c r="P1121" s="107">
        <f t="shared" ref="P1121:AI1121" si="3448">IF(P1119="","",IF((_xlfn.STDEV.P($P1118:$XX1119)/AVERAGE($P1118:$XX1119))&lt;=25%,P1119,IF(OR(P1119&gt;(AVERAGE($P1118:$XX1119)+_xlfn.STDEV.P($P1118:$XX1119)),P1119&lt;(AVERAGE($P1118:$XX1119)-_xlfn.STDEV.P($P1118:$XX1119))),"DESCARTADO",P1119)))</f>
        <v>649.99</v>
      </c>
      <c r="Q1121" s="107">
        <f t="shared" si="3448"/>
        <v>724.8</v>
      </c>
      <c r="R1121" s="107">
        <f t="shared" si="3448"/>
        <v>589.88</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f t="shared" si="3415"/>
        <v>53</v>
      </c>
      <c r="C1122" s="128">
        <f t="shared" si="3416"/>
        <v>1</v>
      </c>
      <c r="D1122" s="127">
        <f t="shared" si="3416"/>
        <v>53</v>
      </c>
      <c r="E1122" s="201"/>
      <c r="F1122" s="93"/>
      <c r="G1122" s="203"/>
      <c r="H1122"/>
      <c r="I1122"/>
      <c r="J1122"/>
      <c r="K1122" s="66"/>
      <c r="L1122" s="29" t="s">
        <v>40</v>
      </c>
      <c r="M1122" s="30">
        <f t="shared" ref="M1122" si="3449">MAX($P1113:$XX1113)</f>
        <v>724.8</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f t="shared" si="3415"/>
        <v>53</v>
      </c>
      <c r="C1123" s="128">
        <f t="shared" si="3416"/>
        <v>1</v>
      </c>
      <c r="D1123" s="127">
        <f t="shared" si="3416"/>
        <v>53</v>
      </c>
      <c r="E1123" s="201"/>
      <c r="F1123" s="93"/>
      <c r="G1123" s="203"/>
      <c r="H1123" s="134">
        <f t="shared" ref="H1123" si="3451">COUNT($P1123:$XX1123)</f>
        <v>3</v>
      </c>
      <c r="I1123" s="132">
        <f t="shared" ref="I1123" si="3452">_xlfn.STDEV.P($P1122:$XX1123)/AVERAGE($P1122:$XX1123)</f>
        <v>8.42732793430572E-2</v>
      </c>
      <c r="J1123" s="7">
        <f t="shared" ref="J1123" si="3453">IF(AND(H1123&gt;2,
OR(L1107="MÉDIA SANEADA",L1107="MEDIANA SANEADA",
AND(L1107="PREÇO ESTIMADO",NOT(AND(P1109="Orçamento",COUNTA(P1107:XX1107)=COUNTIF(P1109:XX1109,"Orçamento")))))),
ROW(),0)</f>
        <v>1123</v>
      </c>
      <c r="K1123" s="66"/>
      <c r="N1123" s="71"/>
      <c r="O1123" s="27" t="str">
        <f t="shared" ref="O1123" si="3454">"5 RODADA"</f>
        <v>5 RODADA</v>
      </c>
      <c r="P1123" s="107">
        <f t="shared" ref="P1123:AI1123" si="3455">IF(P1121="","",IF((_xlfn.STDEV.P($P1120:$XX1121)/AVERAGE($P1120:$XX1121))&lt;=25%,P1121,IF(OR(P1121&gt;(AVERAGE($P1120:$XX1121)+_xlfn.STDEV.P($P1120:$XX1121)),P1121&lt;(AVERAGE($P1120:$XX1121)-_xlfn.STDEV.P($P1120:$XX1121))),"DESCARTADO",P1121)))</f>
        <v>649.99</v>
      </c>
      <c r="Q1123" s="107">
        <f t="shared" si="3455"/>
        <v>724.8</v>
      </c>
      <c r="R1123" s="107">
        <f t="shared" si="3455"/>
        <v>589.88</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f t="shared" si="3415"/>
        <v>53</v>
      </c>
      <c r="C1124" s="128">
        <f t="shared" si="3416"/>
        <v>1</v>
      </c>
      <c r="D1124" s="127">
        <f t="shared" si="3416"/>
        <v>53</v>
      </c>
      <c r="E1124" s="201"/>
      <c r="F1124" s="93"/>
      <c r="G1124" s="203"/>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f t="shared" si="3415"/>
        <v>53</v>
      </c>
      <c r="C1125" s="128">
        <f t="shared" si="3416"/>
        <v>1</v>
      </c>
      <c r="D1125" s="127">
        <f t="shared" si="3416"/>
        <v>53</v>
      </c>
      <c r="E1125" s="201"/>
      <c r="F1125" s="93"/>
      <c r="G1125" s="203"/>
      <c r="H1125" s="134">
        <f t="shared" ref="H1125" si="3457">COUNT($P1125:$XX1125)</f>
        <v>3</v>
      </c>
      <c r="I1125" s="132">
        <f t="shared" ref="I1125" si="3458">_xlfn.STDEV.P($P1124:$XX1125)/AVERAGE($P1124:$XX1125)</f>
        <v>8.42732793430572E-2</v>
      </c>
      <c r="J1125" s="7">
        <f t="shared" ref="J1125" si="3459">IF(AND(H1125&gt;2,
OR(L1107="MÉDIA SANEADA",L1107="MEDIANA SANEADA",
AND(L1107="PREÇO ESTIMADO",NOT(AND(P1109="Orçamento",COUNTA(P1107:XX1107)=COUNTIF(P1109:XX1109,"Orçamento")))))),
ROW(),0)</f>
        <v>1125</v>
      </c>
      <c r="N1125" s="71"/>
      <c r="O1125" s="27" t="str">
        <f t="shared" ref="O1125" si="3460">"6 RODADA"</f>
        <v>6 RODADA</v>
      </c>
      <c r="P1125" s="107">
        <f t="shared" ref="P1125:AI1125" si="3461">IFERROR(IF(P1123="","",IF((_xlfn.STDEV.P($P1122:$XX1123)/AVERAGE($P1122:$XX1123))&lt;=25%,P1123,IF(OR(P1123&gt;(AVERAGE($P1122:$XX1123)+_xlfn.STDEV.P($P1122:$XX1123)),P1123&lt;(AVERAGE($P1122:$XX1123)-_xlfn.STDEV.P($P1122:$XX1123))),"DESCARTADO",P1123))),)</f>
        <v>649.99</v>
      </c>
      <c r="Q1125" s="107">
        <f t="shared" si="3461"/>
        <v>724.8</v>
      </c>
      <c r="R1125" s="107">
        <f t="shared" si="3461"/>
        <v>589.88</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f t="shared" si="3415"/>
        <v>53</v>
      </c>
      <c r="C1126" s="128">
        <f t="shared" si="3416"/>
        <v>1</v>
      </c>
      <c r="D1126" s="127">
        <f t="shared" si="3416"/>
        <v>53</v>
      </c>
      <c r="E1126" s="201"/>
      <c r="F1126" s="136"/>
      <c r="G1126" s="203"/>
      <c r="H1126" s="206"/>
      <c r="I1126" s="206"/>
      <c r="J1126" s="207"/>
      <c r="K1126" s="67"/>
      <c r="L1126" s="1" t="s">
        <v>43</v>
      </c>
      <c r="M1126" s="143">
        <f t="shared" ref="M1126" si="3462">IFERROR(ROUND(M1107*M1109,2),"")</f>
        <v>654.89</v>
      </c>
      <c r="O1126" s="27" t="s">
        <v>363</v>
      </c>
      <c r="P1126" s="107">
        <f t="shared" ref="P1126:R1126" si="3463">INDEX(P1113:P1125,MATCH(MAX($J1113:$J1125),$J1113:$J1125,0))</f>
        <v>649.99</v>
      </c>
      <c r="Q1126" s="107">
        <f t="shared" si="3463"/>
        <v>724.8</v>
      </c>
      <c r="R1126" s="107">
        <f t="shared" si="3463"/>
        <v>589.88</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f t="shared" ref="B1128" si="3464">LARGE(IFERROR(IF(B1126+1&gt;$H$8,"",B1126+1),""),1)</f>
        <v>54</v>
      </c>
      <c r="C1128" s="127">
        <f>IF(_xlfn.ISFORMULA(E1132),MAX(INDEX('BASE FORMAÇÃO'!A:A,B1128+1),1),E1132)</f>
        <v>1</v>
      </c>
      <c r="D1128" s="127">
        <f t="shared" ref="D1128" si="3465">IFERROR(IF(C1128=C1118,D1118+1,1),1)</f>
        <v>54</v>
      </c>
      <c r="E1128" s="38" t="s">
        <v>9</v>
      </c>
      <c r="F1128" s="73"/>
      <c r="G1128" s="38" t="s">
        <v>15</v>
      </c>
      <c r="H1128" s="135">
        <f>INDEX('BASE FORMAÇÃO'!B:B,B1128+1)</f>
        <v>0</v>
      </c>
      <c r="I1128" s="181" t="s">
        <v>16</v>
      </c>
      <c r="J1128" s="6">
        <f>INDEX('BASE FORMAÇÃO'!K:K,B1128+1)</f>
        <v>0</v>
      </c>
      <c r="K1128" s="65"/>
      <c r="L1128" s="184" t="s">
        <v>10</v>
      </c>
      <c r="M1128" s="186">
        <f t="shared" ref="M1128" si="3466">IF(OR(ISBLANK($O$8),ISBLANK($O$7),ISBLANK($H$8),ISBLANK($O$6),ISBLANK($O$5),ISBLANK($H$5)),"",IFERROR(IF(VLOOKUP(L1128,L1134:M1143,2,FALSE)&lt;1,ROUND(VLOOKUP(L1128,L1134:M1143,2,FALSE),4),ROUND(VLOOKUP(L1128,L1134:M1143,2,FALSE),2)),""))</f>
        <v>1567.63</v>
      </c>
      <c r="N1128" s="69"/>
      <c r="O1128" s="27" t="s">
        <v>17</v>
      </c>
      <c r="P1128" s="113">
        <v>1514</v>
      </c>
      <c r="Q1128" s="113">
        <v>1599</v>
      </c>
      <c r="R1128" s="113">
        <v>1589.9</v>
      </c>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f t="shared" ref="B1129:D1129" si="3467">B1128</f>
        <v>54</v>
      </c>
      <c r="C1129" s="128">
        <f t="shared" si="3467"/>
        <v>1</v>
      </c>
      <c r="D1129" s="127">
        <f t="shared" si="3467"/>
        <v>54</v>
      </c>
      <c r="E1129" s="188">
        <f t="shared" ref="E1129" si="3468">D1128</f>
        <v>54</v>
      </c>
      <c r="F1129" s="92"/>
      <c r="G1129" s="190" t="s">
        <v>1</v>
      </c>
      <c r="H1129" s="193" t="s">
        <v>645</v>
      </c>
      <c r="I1129" s="194"/>
      <c r="J1129" s="195"/>
      <c r="K1129" s="66"/>
      <c r="L1129" s="185"/>
      <c r="M1129" s="187"/>
      <c r="N1129" s="70"/>
      <c r="O1129" s="27" t="s">
        <v>13</v>
      </c>
      <c r="P1129" s="122">
        <v>46196</v>
      </c>
      <c r="Q1129" s="122">
        <v>46196</v>
      </c>
      <c r="R1129" s="122">
        <v>46196</v>
      </c>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f t="shared" ref="B1130:D1130" si="3469">B1129</f>
        <v>54</v>
      </c>
      <c r="C1130" s="128">
        <f t="shared" si="3469"/>
        <v>1</v>
      </c>
      <c r="D1130" s="127">
        <f t="shared" si="3469"/>
        <v>54</v>
      </c>
      <c r="E1130" s="189"/>
      <c r="F1130" s="93"/>
      <c r="G1130" s="191"/>
      <c r="H1130" s="196"/>
      <c r="I1130" s="196"/>
      <c r="J1130" s="197"/>
      <c r="K1130" s="64"/>
      <c r="L1130" s="130" t="s">
        <v>44</v>
      </c>
      <c r="M1130" s="131">
        <v>1</v>
      </c>
      <c r="N1130" s="71"/>
      <c r="O1130" s="27" t="s">
        <v>380</v>
      </c>
      <c r="P1130" s="114" t="s">
        <v>302</v>
      </c>
      <c r="Q1130" s="114" t="s">
        <v>302</v>
      </c>
      <c r="R1130" s="114" t="s">
        <v>302</v>
      </c>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f t="shared" ref="B1131:C1131" si="3470">B1130</f>
        <v>54</v>
      </c>
      <c r="C1131" s="128">
        <f t="shared" si="3470"/>
        <v>1</v>
      </c>
      <c r="D1131" s="127">
        <f t="shared" si="3416"/>
        <v>54</v>
      </c>
      <c r="E1131" s="38" t="s">
        <v>313</v>
      </c>
      <c r="F1131" s="93"/>
      <c r="G1131" s="192"/>
      <c r="H1131" s="198"/>
      <c r="I1131" s="198"/>
      <c r="J1131" s="199"/>
      <c r="K1131" s="64"/>
      <c r="L1131" s="1" t="s">
        <v>2</v>
      </c>
      <c r="M1131" s="6" t="s">
        <v>288</v>
      </c>
      <c r="N1131" s="71"/>
      <c r="O1131" s="27" t="s">
        <v>381</v>
      </c>
      <c r="P1131" s="182" t="s">
        <v>646</v>
      </c>
      <c r="Q1131" s="182" t="s">
        <v>647</v>
      </c>
      <c r="R1131" s="182" t="s">
        <v>648</v>
      </c>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f t="shared" ref="B1132:C1132" si="3471">B1130</f>
        <v>54</v>
      </c>
      <c r="C1132" s="128">
        <f t="shared" si="3471"/>
        <v>1</v>
      </c>
      <c r="D1132" s="127">
        <f t="shared" si="3416"/>
        <v>54</v>
      </c>
      <c r="E1132" s="200">
        <f t="shared" ref="E1132" si="3472">C1128</f>
        <v>1</v>
      </c>
      <c r="F1132" s="93"/>
      <c r="G1132" s="202" t="s">
        <v>304</v>
      </c>
      <c r="H1132" s="204"/>
      <c r="I1132" s="205"/>
      <c r="J1132" s="205"/>
      <c r="K1132" s="67"/>
      <c r="L1132" s="28" t="s">
        <v>303</v>
      </c>
      <c r="M1132" s="133">
        <f t="shared" ref="M1132" si="3473">IFERROR(INDEX(I1134:I1146,MATCH(MAX(J1134:J1146),J1134:J1146,0)),"")</f>
        <v>2.4307994017329932E-2</v>
      </c>
      <c r="N1132" s="71"/>
      <c r="O1132" s="27" t="s">
        <v>18</v>
      </c>
      <c r="P1132" s="106">
        <f>IF(P1128="","",
IF(OR(P1130="Orçamento",P1129="",MAX('Tabela de Apoio'!$A:$A)&lt;=P1129),
P1128,
(INDEX('Tabela de Apoio'!$B:$B,MATCH('MAPA DE PREÇOS'!$O$8,'Tabela de Apoio'!$A:$A,1))/INDEX('Tabela de Apoio'!$B:$B,MATCH('MAPA DE PREÇOS'!P1129,'Tabela de Apoio'!$A:$A,1)-1))*P1128))</f>
        <v>1514</v>
      </c>
      <c r="Q1132" s="106">
        <f>IF(Q1128="","",
IF(OR(Q1130="Orçamento",Q1129="",MAX('Tabela de Apoio'!$A:$A)&lt;=Q1129),
Q1128,
(INDEX('Tabela de Apoio'!$B:$B,MATCH('MAPA DE PREÇOS'!$O$8,'Tabela de Apoio'!$A:$A,1))/INDEX('Tabela de Apoio'!$B:$B,MATCH('MAPA DE PREÇOS'!Q1129,'Tabela de Apoio'!$A:$A,1)-1))*Q1128))</f>
        <v>1599</v>
      </c>
      <c r="R1132" s="106">
        <f>IF(R1128="","",
IF(OR(R1130="Orçamento",R1129="",MAX('Tabela de Apoio'!$A:$A)&lt;=R1129),
R1128,
(INDEX('Tabela de Apoio'!$B:$B,MATCH('MAPA DE PREÇOS'!$O$8,'Tabela de Apoio'!$A:$A,1))/INDEX('Tabela de Apoio'!$B:$B,MATCH('MAPA DE PREÇOS'!R1129,'Tabela de Apoio'!$A:$A,1)-1))*R1128))</f>
        <v>1589.9</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f t="shared" ref="B1133" si="3474">B1132</f>
        <v>54</v>
      </c>
      <c r="C1133" s="128">
        <f t="shared" ref="C1133" si="3475">C1132</f>
        <v>1</v>
      </c>
      <c r="D1133" s="127">
        <f t="shared" si="3416"/>
        <v>54</v>
      </c>
      <c r="E1133" s="201"/>
      <c r="F1133" s="93"/>
      <c r="G1133" s="203"/>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f t="shared" ref="B1134:C1134" si="3476">B1133</f>
        <v>54</v>
      </c>
      <c r="C1134" s="128">
        <f t="shared" si="3476"/>
        <v>1</v>
      </c>
      <c r="D1134" s="127">
        <f t="shared" si="3416"/>
        <v>54</v>
      </c>
      <c r="E1134" s="201"/>
      <c r="F1134" s="93"/>
      <c r="G1134" s="203"/>
      <c r="H1134" s="134">
        <f t="shared" ref="H1134" si="3477">COUNT($P1134:$XX1134)</f>
        <v>3</v>
      </c>
      <c r="I1134" s="132">
        <f t="shared" ref="I1134" si="3478">_xlfn.STDEV.P($P1133:$XX1134)/AVERAGE($P1133:$XX1134)</f>
        <v>2.4307994017329932E-2</v>
      </c>
      <c r="J1134" s="7">
        <f>ROW()</f>
        <v>1134</v>
      </c>
      <c r="K1134" s="67"/>
      <c r="L1134" s="29" t="s">
        <v>10</v>
      </c>
      <c r="M1134" s="30">
        <f t="shared" ref="M1134" si="3479">IFERROR(
IF(COUNTA(P1128:AI1128)=COUNTIF(P1130:XX1130,"Orçamento"),MIN(M1139,M1136),
IF(M1137&lt;&gt;"",M1137,
IF(M1138&lt;&gt;"",M1138,
M1136
))),"")</f>
        <v>1567.6333333333332</v>
      </c>
      <c r="N1134" s="71"/>
      <c r="O1134" s="27" t="s">
        <v>376</v>
      </c>
      <c r="P1134" s="106">
        <f t="shared" ref="P1134:AI1134" si="3480">IFERROR(IF(P1132="",
            "",
            IF(COUNT($P1132:$XX1132)&lt;=4,
               P1132,
               IF(OR(P1132&gt;(QUARTILE($P1132:$XX1132,3)+(QUARTILE($P1132:$XX1132,3)-QUARTILE($P1132:$XX1132,1))),
                     P1132&lt;(QUARTILE($P1132:$XX1132,1)-(QUARTILE($P1132:$XX1132,3)-QUARTILE($P1132:$XX1132,1)))
                  ),
               "DESCARTADO",P1132)
             )
  ),P1132)</f>
        <v>1514</v>
      </c>
      <c r="Q1134" s="106">
        <f t="shared" si="3480"/>
        <v>1599</v>
      </c>
      <c r="R1134" s="106">
        <f t="shared" si="3480"/>
        <v>1589.9</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f t="shared" ref="B1135" si="3481">B1134</f>
        <v>54</v>
      </c>
      <c r="C1135" s="128">
        <f t="shared" ref="C1135" si="3482">C1134</f>
        <v>1</v>
      </c>
      <c r="D1135" s="127">
        <f t="shared" si="3416"/>
        <v>54</v>
      </c>
      <c r="E1135" s="201"/>
      <c r="F1135" s="93"/>
      <c r="G1135" s="203"/>
      <c r="H1135"/>
      <c r="I1135"/>
      <c r="J1135"/>
      <c r="K1135" s="66"/>
      <c r="L1135" s="29" t="s">
        <v>360</v>
      </c>
      <c r="M1135" s="30">
        <f t="shared" ref="M1135" si="3483">AVERAGE($P1134:$XX1134)</f>
        <v>1567.6333333333332</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f t="shared" si="3415"/>
        <v>54</v>
      </c>
      <c r="C1136" s="128">
        <f t="shared" si="3416"/>
        <v>1</v>
      </c>
      <c r="D1136" s="127">
        <f t="shared" si="3416"/>
        <v>54</v>
      </c>
      <c r="E1136" s="201"/>
      <c r="F1136" s="93"/>
      <c r="G1136" s="203"/>
      <c r="H1136" s="134">
        <f t="shared" ref="H1136" si="3485">COUNT($P1136:$XX1136)</f>
        <v>3</v>
      </c>
      <c r="I1136" s="132">
        <f t="shared" ref="I1136" si="3486">_xlfn.STDEV.P($P1135:$XX1136)/AVERAGE($P1135:$XX1136)</f>
        <v>2.4307994017329932E-2</v>
      </c>
      <c r="J1136" s="7">
        <f t="shared" ref="J1136" si="3487">IF(AND(H1136&gt;2,
OR(L1128="MÉDIA SANEADA",L1128="MEDIANA SANEADA",
AND(L1128="PREÇO ESTIMADO",NOT(AND(P1130="Orçamento",COUNTA(P1128:XX1128)=COUNTIF(P1130:XX1130,"Orçamento")))))),
ROW(),0)</f>
        <v>1136</v>
      </c>
      <c r="K1136" s="66"/>
      <c r="L1136" s="29" t="s">
        <v>361</v>
      </c>
      <c r="M1136" s="30">
        <f t="shared" ref="M1136" si="3488">MEDIAN($P1134:$XX1134)</f>
        <v>1589.9</v>
      </c>
      <c r="N1136" s="71"/>
      <c r="O1136" s="27" t="str">
        <f t="shared" ref="O1136" si="3489">"1 RODADA"</f>
        <v>1 RODADA</v>
      </c>
      <c r="P1136" s="107">
        <f t="shared" ref="P1136:AI1136" si="3490">IF(P1134="","",IF((_xlfn.STDEV.P($P1133:$XX1134)/AVERAGE($P1133:$XX1134))&lt;=25%,P1134,IF(OR(P1134&gt;(AVERAGE($P1133:$XX1134)+_xlfn.STDEV.P($P1133:$XX1134)),P1134&lt;(AVERAGE($P1133:$XX1134)-_xlfn.STDEV.P($P1133:$XX1134))),"DESCARTADO",P1134)))</f>
        <v>1514</v>
      </c>
      <c r="Q1136" s="107">
        <f t="shared" si="3490"/>
        <v>1599</v>
      </c>
      <c r="R1136" s="107">
        <f t="shared" si="3490"/>
        <v>1589.9</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f t="shared" si="3415"/>
        <v>54</v>
      </c>
      <c r="C1137" s="128">
        <f t="shared" si="3416"/>
        <v>1</v>
      </c>
      <c r="D1137" s="127">
        <f t="shared" si="3416"/>
        <v>54</v>
      </c>
      <c r="E1137" s="201"/>
      <c r="F1137" s="93"/>
      <c r="G1137" s="203"/>
      <c r="H1137"/>
      <c r="I1137"/>
      <c r="J1137"/>
      <c r="L1137" s="29" t="s">
        <v>38</v>
      </c>
      <c r="M1137" s="30">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1567.6333333333332</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f t="shared" si="3415"/>
        <v>54</v>
      </c>
      <c r="C1138" s="128">
        <f t="shared" si="3416"/>
        <v>1</v>
      </c>
      <c r="D1138" s="127">
        <f t="shared" si="3416"/>
        <v>54</v>
      </c>
      <c r="E1138" s="201"/>
      <c r="F1138" s="93"/>
      <c r="G1138" s="203"/>
      <c r="H1138" s="134">
        <f t="shared" ref="H1138" si="3493">COUNT($P1138:$XX1138)</f>
        <v>3</v>
      </c>
      <c r="I1138" s="132">
        <f t="shared" ref="I1138" si="3494">_xlfn.STDEV.P($P1137:$XX1138)/AVERAGE($P1137:$XX1138)</f>
        <v>2.4307994017329932E-2</v>
      </c>
      <c r="J1138" s="7">
        <f t="shared" ref="J1138" si="3495">IF(AND(H1138&gt;2,
OR(L1128="MÉDIA SANEADA",L1128="MEDIANA SANEADA",
AND(L1128="PREÇO ESTIMADO",NOT(AND(P1130="Orçamento",COUNTA(P1128:XX1128)=COUNTIF(P1130:XX1130,"Orçamento")))))),
ROW(),0)</f>
        <v>1138</v>
      </c>
      <c r="K1138" s="66"/>
      <c r="L1138" s="29" t="s">
        <v>362</v>
      </c>
      <c r="M1138" s="30">
        <f t="shared" ref="M1138" si="3496" xml:space="preserve">
IF(H1136&gt;2,MEDIAN(P1135:XX1136),
IF(H1138&gt;2,MEDIAN(P1137:XX1138),
IF(H1140&gt;2,MEDIAN(P1139:XX1140),
IF(H1142&gt;2,MEDIAN(P1141:XX1142),
IF(H1144&gt;2,MEDIAN(P1143:XX1144),
IF(H1146&gt;2,MEDIAN(P1145:XX1146),
MEDIAN(P1133:XX1134)))))))</f>
        <v>1589.9</v>
      </c>
      <c r="N1138" s="71"/>
      <c r="O1138" s="27" t="str">
        <f t="shared" ref="O1138" si="3497">"2 RODADA"</f>
        <v>2 RODADA</v>
      </c>
      <c r="P1138" s="107">
        <f t="shared" ref="P1138:AI1138" si="3498">IF(P1136="","",IF((_xlfn.STDEV.P($P1135:$XX1136)/AVERAGE($P1135:$XX1136))&lt;=25%,P1136,IF(OR(P1136&gt;(AVERAGE($P1135:$XX1136)+_xlfn.STDEV.P($P1135:$XX1136)),P1136&lt;(AVERAGE($P1135:$XX1136)-_xlfn.STDEV.P($P1135:$XX1136))),"DESCARTADO",P1136)))</f>
        <v>1514</v>
      </c>
      <c r="Q1138" s="107">
        <f t="shared" si="3498"/>
        <v>1599</v>
      </c>
      <c r="R1138" s="107">
        <f t="shared" si="3498"/>
        <v>1589.9</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f t="shared" si="3415"/>
        <v>54</v>
      </c>
      <c r="C1139" s="128">
        <f t="shared" si="3416"/>
        <v>1</v>
      </c>
      <c r="D1139" s="127">
        <f t="shared" si="3416"/>
        <v>54</v>
      </c>
      <c r="E1139" s="201"/>
      <c r="F1139" s="93"/>
      <c r="G1139" s="203"/>
      <c r="H1139"/>
      <c r="I1139"/>
      <c r="J1139"/>
      <c r="K1139" s="66"/>
      <c r="L1139" s="29" t="s">
        <v>359</v>
      </c>
      <c r="M1139" s="30">
        <f t="shared" ref="M1139" si="3499">HARMEAN($P1133:$XX1134)</f>
        <v>1566.6915311780626</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f t="shared" si="3415"/>
        <v>54</v>
      </c>
      <c r="C1140" s="128">
        <f t="shared" si="3416"/>
        <v>1</v>
      </c>
      <c r="D1140" s="127">
        <f t="shared" si="3416"/>
        <v>54</v>
      </c>
      <c r="E1140" s="201"/>
      <c r="F1140" s="93"/>
      <c r="G1140" s="203"/>
      <c r="H1140" s="134">
        <f t="shared" ref="H1140" si="3501">COUNT($P1140:$XX1140)</f>
        <v>3</v>
      </c>
      <c r="I1140" s="132">
        <f t="shared" ref="I1140" si="3502">_xlfn.STDEV.P($P1139:$XX1140)/AVERAGE($P1139:$XX1140)</f>
        <v>2.4307994017329932E-2</v>
      </c>
      <c r="J1140" s="7">
        <f t="shared" ref="J1140" si="3503">IF(AND(H1140&gt;2,
OR(L1128="MÉDIA SANEADA",L1128="MEDIANA SANEADA",
AND(L1128="PREÇO ESTIMADO",NOT(AND(P1130="Orçamento",COUNTA(P1128:XX1128)=COUNTIF(P1130:XX1130,"Orçamento")))))),
ROW(),0)</f>
        <v>1140</v>
      </c>
      <c r="K1140" s="66"/>
      <c r="L1140" s="29" t="s">
        <v>41</v>
      </c>
      <c r="M1140" s="30">
        <f t="shared" ref="M1140" si="3504">IFERROR(_xlfn.QUARTILE.EXC($P1134:$XX1134,1),"")</f>
        <v>1514</v>
      </c>
      <c r="N1140" s="71"/>
      <c r="O1140" s="27" t="str">
        <f t="shared" ref="O1140" si="3505">"3 RODADA"</f>
        <v>3 RODADA</v>
      </c>
      <c r="P1140" s="107">
        <f t="shared" ref="P1140:AI1140" si="3506">IF(P1138="","",IF((_xlfn.STDEV.P($P1137:$XX1138)/AVERAGE($P1137:$XX1138))&lt;=25%,P1138,IF(OR(P1138&gt;(AVERAGE($P1137:$XX1138)+_xlfn.STDEV.P($P1137:$XX1138)),P1138&lt;(AVERAGE($P1137:$XX1138)-_xlfn.STDEV.P($P1137:$XX1138))),"DESCARTADO",P1138)))</f>
        <v>1514</v>
      </c>
      <c r="Q1140" s="107">
        <f t="shared" si="3506"/>
        <v>1599</v>
      </c>
      <c r="R1140" s="107">
        <f t="shared" si="3506"/>
        <v>1589.9</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f t="shared" si="3415"/>
        <v>54</v>
      </c>
      <c r="C1141" s="128">
        <f t="shared" si="3416"/>
        <v>1</v>
      </c>
      <c r="D1141" s="127">
        <f t="shared" si="3416"/>
        <v>54</v>
      </c>
      <c r="E1141" s="201"/>
      <c r="F1141" s="93"/>
      <c r="G1141" s="203"/>
      <c r="H1141"/>
      <c r="I1141"/>
      <c r="J1141"/>
      <c r="K1141" s="66"/>
      <c r="L1141" s="29" t="s">
        <v>39</v>
      </c>
      <c r="M1141" s="30">
        <f t="shared" ref="M1141" si="3507">IFERROR(_xlfn.QUARTILE.EXC($P1134:$XX1134,3),"")</f>
        <v>1599</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f t="shared" si="3415"/>
        <v>54</v>
      </c>
      <c r="C1142" s="128">
        <f t="shared" si="3416"/>
        <v>1</v>
      </c>
      <c r="D1142" s="127">
        <f t="shared" si="3416"/>
        <v>54</v>
      </c>
      <c r="E1142" s="201"/>
      <c r="F1142" s="93"/>
      <c r="G1142" s="203"/>
      <c r="H1142" s="134">
        <f t="shared" ref="H1142" si="3509">COUNT($P1142:$XX1142)</f>
        <v>3</v>
      </c>
      <c r="I1142" s="132">
        <f t="shared" ref="I1142" si="3510">_xlfn.STDEV.P($P1141:$XX1142)/AVERAGE($P1141:$XX1142)</f>
        <v>2.4307994017329932E-2</v>
      </c>
      <c r="J1142" s="7">
        <f t="shared" ref="J1142" si="3511">IF(AND(H1142&gt;2,
OR(L1128="MÉDIA SANEADA",L1128="MEDIANA SANEADA",
AND(L1128="PREÇO ESTIMADO",NOT(AND(P1130="Orçamento",COUNTA(P1128:XX1128)=COUNTIF(P1130:XX1130,"Orçamento")))))),
ROW(),0)</f>
        <v>1142</v>
      </c>
      <c r="K1142" s="66"/>
      <c r="L1142" s="29" t="s">
        <v>42</v>
      </c>
      <c r="M1142" s="30">
        <f t="shared" ref="M1142" si="3512">MIN($P1134:$XX1134)</f>
        <v>1514</v>
      </c>
      <c r="N1142" s="71"/>
      <c r="O1142" s="27" t="str">
        <f t="shared" ref="O1142" si="3513">"4 RODADA"</f>
        <v>4 RODADA</v>
      </c>
      <c r="P1142" s="107">
        <f t="shared" ref="P1142:AI1142" si="3514">IF(P1140="","",IF((_xlfn.STDEV.P($P1139:$XX1140)/AVERAGE($P1139:$XX1140))&lt;=25%,P1140,IF(OR(P1140&gt;(AVERAGE($P1139:$XX1140)+_xlfn.STDEV.P($P1139:$XX1140)),P1140&lt;(AVERAGE($P1139:$XX1140)-_xlfn.STDEV.P($P1139:$XX1140))),"DESCARTADO",P1140)))</f>
        <v>1514</v>
      </c>
      <c r="Q1142" s="107">
        <f t="shared" si="3514"/>
        <v>1599</v>
      </c>
      <c r="R1142" s="107">
        <f t="shared" si="3514"/>
        <v>1589.9</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f t="shared" si="3415"/>
        <v>54</v>
      </c>
      <c r="C1143" s="128">
        <f t="shared" si="3416"/>
        <v>1</v>
      </c>
      <c r="D1143" s="127">
        <f t="shared" si="3416"/>
        <v>54</v>
      </c>
      <c r="E1143" s="201"/>
      <c r="F1143" s="93"/>
      <c r="G1143" s="203"/>
      <c r="H1143"/>
      <c r="I1143"/>
      <c r="J1143"/>
      <c r="K1143" s="66"/>
      <c r="L1143" s="29" t="s">
        <v>40</v>
      </c>
      <c r="M1143" s="30">
        <f t="shared" ref="M1143" si="3515">MAX($P1134:$XX1134)</f>
        <v>1599</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f t="shared" si="3415"/>
        <v>54</v>
      </c>
      <c r="C1144" s="128">
        <f t="shared" si="3416"/>
        <v>1</v>
      </c>
      <c r="D1144" s="127">
        <f t="shared" si="3416"/>
        <v>54</v>
      </c>
      <c r="E1144" s="201"/>
      <c r="F1144" s="93"/>
      <c r="G1144" s="203"/>
      <c r="H1144" s="134">
        <f t="shared" ref="H1144" si="3517">COUNT($P1144:$XX1144)</f>
        <v>3</v>
      </c>
      <c r="I1144" s="132">
        <f t="shared" ref="I1144" si="3518">_xlfn.STDEV.P($P1143:$XX1144)/AVERAGE($P1143:$XX1144)</f>
        <v>2.4307994017329932E-2</v>
      </c>
      <c r="J1144" s="7">
        <f t="shared" ref="J1144" si="3519">IF(AND(H1144&gt;2,
OR(L1128="MÉDIA SANEADA",L1128="MEDIANA SANEADA",
AND(L1128="PREÇO ESTIMADO",NOT(AND(P1130="Orçamento",COUNTA(P1128:XX1128)=COUNTIF(P1130:XX1130,"Orçamento")))))),
ROW(),0)</f>
        <v>1144</v>
      </c>
      <c r="K1144" s="66"/>
      <c r="N1144" s="71"/>
      <c r="O1144" s="27" t="str">
        <f t="shared" ref="O1144" si="3520">"5 RODADA"</f>
        <v>5 RODADA</v>
      </c>
      <c r="P1144" s="107">
        <f t="shared" ref="P1144:AI1144" si="3521">IF(P1142="","",IF((_xlfn.STDEV.P($P1141:$XX1142)/AVERAGE($P1141:$XX1142))&lt;=25%,P1142,IF(OR(P1142&gt;(AVERAGE($P1141:$XX1142)+_xlfn.STDEV.P($P1141:$XX1142)),P1142&lt;(AVERAGE($P1141:$XX1142)-_xlfn.STDEV.P($P1141:$XX1142))),"DESCARTADO",P1142)))</f>
        <v>1514</v>
      </c>
      <c r="Q1144" s="107">
        <f t="shared" si="3521"/>
        <v>1599</v>
      </c>
      <c r="R1144" s="107">
        <f t="shared" si="3521"/>
        <v>1589.9</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f t="shared" si="3415"/>
        <v>54</v>
      </c>
      <c r="C1145" s="128">
        <f t="shared" si="3416"/>
        <v>1</v>
      </c>
      <c r="D1145" s="127">
        <f t="shared" si="3416"/>
        <v>54</v>
      </c>
      <c r="E1145" s="201"/>
      <c r="F1145" s="93"/>
      <c r="G1145" s="203"/>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f t="shared" si="3415"/>
        <v>54</v>
      </c>
      <c r="C1146" s="128">
        <f t="shared" si="3416"/>
        <v>1</v>
      </c>
      <c r="D1146" s="127">
        <f t="shared" si="3416"/>
        <v>54</v>
      </c>
      <c r="E1146" s="201"/>
      <c r="F1146" s="93"/>
      <c r="G1146" s="203"/>
      <c r="H1146" s="134">
        <f t="shared" ref="H1146" si="3523">COUNT($P1146:$XX1146)</f>
        <v>3</v>
      </c>
      <c r="I1146" s="132">
        <f t="shared" ref="I1146" si="3524">_xlfn.STDEV.P($P1145:$XX1146)/AVERAGE($P1145:$XX1146)</f>
        <v>2.4307994017329932E-2</v>
      </c>
      <c r="J1146" s="7">
        <f t="shared" ref="J1146" si="3525">IF(AND(H1146&gt;2,
OR(L1128="MÉDIA SANEADA",L1128="MEDIANA SANEADA",
AND(L1128="PREÇO ESTIMADO",NOT(AND(P1130="Orçamento",COUNTA(P1128:XX1128)=COUNTIF(P1130:XX1130,"Orçamento")))))),
ROW(),0)</f>
        <v>1146</v>
      </c>
      <c r="N1146" s="71"/>
      <c r="O1146" s="27" t="str">
        <f t="shared" ref="O1146" si="3526">"6 RODADA"</f>
        <v>6 RODADA</v>
      </c>
      <c r="P1146" s="107">
        <f t="shared" ref="P1146:AI1146" si="3527">IFERROR(IF(P1144="","",IF((_xlfn.STDEV.P($P1143:$XX1144)/AVERAGE($P1143:$XX1144))&lt;=25%,P1144,IF(OR(P1144&gt;(AVERAGE($P1143:$XX1144)+_xlfn.STDEV.P($P1143:$XX1144)),P1144&lt;(AVERAGE($P1143:$XX1144)-_xlfn.STDEV.P($P1143:$XX1144))),"DESCARTADO",P1144))),)</f>
        <v>1514</v>
      </c>
      <c r="Q1146" s="107">
        <f t="shared" si="3527"/>
        <v>1599</v>
      </c>
      <c r="R1146" s="107">
        <f t="shared" si="3527"/>
        <v>1589.9</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f t="shared" si="3415"/>
        <v>54</v>
      </c>
      <c r="C1147" s="128">
        <f t="shared" si="3416"/>
        <v>1</v>
      </c>
      <c r="D1147" s="127">
        <f t="shared" si="3416"/>
        <v>54</v>
      </c>
      <c r="E1147" s="201"/>
      <c r="F1147" s="136"/>
      <c r="G1147" s="203"/>
      <c r="H1147" s="206"/>
      <c r="I1147" s="206"/>
      <c r="J1147" s="207"/>
      <c r="K1147" s="67"/>
      <c r="L1147" s="1" t="s">
        <v>43</v>
      </c>
      <c r="M1147" s="143">
        <f t="shared" ref="M1147" si="3528">IFERROR(ROUND(M1128*M1130,2),"")</f>
        <v>1567.63</v>
      </c>
      <c r="O1147" s="27" t="s">
        <v>363</v>
      </c>
      <c r="P1147" s="107">
        <f t="shared" ref="P1147:AI1168" si="3529">INDEX(P1134:P1146,MATCH(MAX($J1134:$J1146),$J1134:$J1146,0))</f>
        <v>1514</v>
      </c>
      <c r="Q1147" s="107">
        <f t="shared" si="3529"/>
        <v>1599</v>
      </c>
      <c r="R1147" s="107">
        <f t="shared" si="3529"/>
        <v>1589.9</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f t="shared" ref="B1149" si="3530">LARGE(IFERROR(IF(B1147+1&gt;$H$8,"",B1147+1),""),1)</f>
        <v>55</v>
      </c>
      <c r="C1149" s="127">
        <f>IF(_xlfn.ISFORMULA(E1153),MAX(INDEX('BASE FORMAÇÃO'!A:A,B1149+1),1),E1153)</f>
        <v>1</v>
      </c>
      <c r="D1149" s="127">
        <f t="shared" ref="D1149" si="3531">IFERROR(IF(C1149=C1139,D1139+1,1),1)</f>
        <v>55</v>
      </c>
      <c r="E1149" s="38" t="s">
        <v>9</v>
      </c>
      <c r="F1149" s="73"/>
      <c r="G1149" s="38" t="s">
        <v>15</v>
      </c>
      <c r="H1149" s="135">
        <f>INDEX('BASE FORMAÇÃO'!B:B,B1149+1)</f>
        <v>0</v>
      </c>
      <c r="I1149" s="181" t="s">
        <v>16</v>
      </c>
      <c r="J1149" s="6">
        <f>INDEX('BASE FORMAÇÃO'!K:K,B1149+1)</f>
        <v>0</v>
      </c>
      <c r="K1149" s="65"/>
      <c r="L1149" s="184" t="s">
        <v>10</v>
      </c>
      <c r="M1149" s="186">
        <f t="shared" ref="M1149" si="3532">IF(OR(ISBLANK($O$8),ISBLANK($O$7),ISBLANK($H$8),ISBLANK($O$6),ISBLANK($O$5),ISBLANK($H$5)),"",IFERROR(IF(VLOOKUP(L1149,L1155:M1164,2,FALSE)&lt;1,ROUND(VLOOKUP(L1149,L1155:M1164,2,FALSE),4),ROUND(VLOOKUP(L1149,L1155:M1164,2,FALSE),2)),""))</f>
        <v>438.47</v>
      </c>
      <c r="N1149" s="69"/>
      <c r="O1149" s="27" t="s">
        <v>17</v>
      </c>
      <c r="P1149" s="113">
        <v>385.68</v>
      </c>
      <c r="Q1149" s="113">
        <v>446.64</v>
      </c>
      <c r="R1149" s="113">
        <v>483.08</v>
      </c>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f t="shared" ref="B1150:D1150" si="3533">B1149</f>
        <v>55</v>
      </c>
      <c r="C1150" s="128">
        <f t="shared" si="3533"/>
        <v>1</v>
      </c>
      <c r="D1150" s="127">
        <f t="shared" si="3533"/>
        <v>55</v>
      </c>
      <c r="E1150" s="188">
        <f t="shared" ref="E1150" si="3534">D1149</f>
        <v>55</v>
      </c>
      <c r="F1150" s="92"/>
      <c r="G1150" s="190" t="s">
        <v>1</v>
      </c>
      <c r="H1150" s="193" t="s">
        <v>649</v>
      </c>
      <c r="I1150" s="194"/>
      <c r="J1150" s="195"/>
      <c r="K1150" s="66"/>
      <c r="L1150" s="185"/>
      <c r="M1150" s="187"/>
      <c r="N1150" s="70"/>
      <c r="O1150" s="27" t="s">
        <v>13</v>
      </c>
      <c r="P1150" s="122">
        <v>46196</v>
      </c>
      <c r="Q1150" s="122">
        <v>46196</v>
      </c>
      <c r="R1150" s="122">
        <v>46196</v>
      </c>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f t="shared" ref="B1151:D1151" si="3535">B1150</f>
        <v>55</v>
      </c>
      <c r="C1151" s="128">
        <f t="shared" si="3535"/>
        <v>1</v>
      </c>
      <c r="D1151" s="127">
        <f t="shared" si="3535"/>
        <v>55</v>
      </c>
      <c r="E1151" s="189"/>
      <c r="F1151" s="93"/>
      <c r="G1151" s="191"/>
      <c r="H1151" s="196"/>
      <c r="I1151" s="196"/>
      <c r="J1151" s="197"/>
      <c r="K1151" s="64"/>
      <c r="L1151" s="130" t="s">
        <v>44</v>
      </c>
      <c r="M1151" s="131">
        <v>1</v>
      </c>
      <c r="N1151" s="71"/>
      <c r="O1151" s="27" t="s">
        <v>380</v>
      </c>
      <c r="P1151" s="114" t="s">
        <v>302</v>
      </c>
      <c r="Q1151" s="114" t="s">
        <v>302</v>
      </c>
      <c r="R1151" s="114" t="s">
        <v>302</v>
      </c>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f t="shared" ref="B1152:C1152" si="3536">B1151</f>
        <v>55</v>
      </c>
      <c r="C1152" s="128">
        <f t="shared" si="3536"/>
        <v>1</v>
      </c>
      <c r="D1152" s="127">
        <f t="shared" si="3416"/>
        <v>55</v>
      </c>
      <c r="E1152" s="38" t="s">
        <v>313</v>
      </c>
      <c r="F1152" s="93"/>
      <c r="G1152" s="192"/>
      <c r="H1152" s="198"/>
      <c r="I1152" s="198"/>
      <c r="J1152" s="199"/>
      <c r="K1152" s="64"/>
      <c r="L1152" s="1" t="s">
        <v>2</v>
      </c>
      <c r="M1152" s="6" t="s">
        <v>288</v>
      </c>
      <c r="N1152" s="71"/>
      <c r="O1152" s="27" t="s">
        <v>381</v>
      </c>
      <c r="P1152" s="182" t="s">
        <v>650</v>
      </c>
      <c r="Q1152" s="182" t="s">
        <v>651</v>
      </c>
      <c r="R1152" s="182" t="s">
        <v>652</v>
      </c>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f t="shared" ref="B1153:C1153" si="3537">B1151</f>
        <v>55</v>
      </c>
      <c r="C1153" s="128">
        <f t="shared" si="3537"/>
        <v>1</v>
      </c>
      <c r="D1153" s="127">
        <f t="shared" si="3416"/>
        <v>55</v>
      </c>
      <c r="E1153" s="200">
        <f t="shared" ref="E1153" si="3538">C1149</f>
        <v>1</v>
      </c>
      <c r="F1153" s="93"/>
      <c r="G1153" s="202" t="s">
        <v>304</v>
      </c>
      <c r="H1153" s="204"/>
      <c r="I1153" s="205"/>
      <c r="J1153" s="205"/>
      <c r="K1153" s="67"/>
      <c r="L1153" s="28" t="s">
        <v>303</v>
      </c>
      <c r="M1153" s="133">
        <f t="shared" ref="M1153" si="3539">IFERROR(INDEX(I1155:I1167,MATCH(MAX(J1155:J1167),J1155:J1167,0)),"")</f>
        <v>9.1640247955106072E-2</v>
      </c>
      <c r="N1153" s="71"/>
      <c r="O1153" s="27" t="s">
        <v>18</v>
      </c>
      <c r="P1153" s="106">
        <f>IF(P1149="","",
IF(OR(P1151="Orçamento",P1150="",MAX('Tabela de Apoio'!$A:$A)&lt;=P1150),
P1149,
(INDEX('Tabela de Apoio'!$B:$B,MATCH('MAPA DE PREÇOS'!$O$8,'Tabela de Apoio'!$A:$A,1))/INDEX('Tabela de Apoio'!$B:$B,MATCH('MAPA DE PREÇOS'!P1150,'Tabela de Apoio'!$A:$A,1)-1))*P1149))</f>
        <v>385.68</v>
      </c>
      <c r="Q1153" s="106">
        <f>IF(Q1149="","",
IF(OR(Q1151="Orçamento",Q1150="",MAX('Tabela de Apoio'!$A:$A)&lt;=Q1150),
Q1149,
(INDEX('Tabela de Apoio'!$B:$B,MATCH('MAPA DE PREÇOS'!$O$8,'Tabela de Apoio'!$A:$A,1))/INDEX('Tabela de Apoio'!$B:$B,MATCH('MAPA DE PREÇOS'!Q1150,'Tabela de Apoio'!$A:$A,1)-1))*Q1149))</f>
        <v>446.64</v>
      </c>
      <c r="R1153" s="106">
        <f>IF(R1149="","",
IF(OR(R1151="Orçamento",R1150="",MAX('Tabela de Apoio'!$A:$A)&lt;=R1150),
R1149,
(INDEX('Tabela de Apoio'!$B:$B,MATCH('MAPA DE PREÇOS'!$O$8,'Tabela de Apoio'!$A:$A,1))/INDEX('Tabela de Apoio'!$B:$B,MATCH('MAPA DE PREÇOS'!R1150,'Tabela de Apoio'!$A:$A,1)-1))*R1149))</f>
        <v>483.08</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f t="shared" ref="B1154" si="3540">B1153</f>
        <v>55</v>
      </c>
      <c r="C1154" s="128">
        <f t="shared" ref="C1154" si="3541">C1153</f>
        <v>1</v>
      </c>
      <c r="D1154" s="127">
        <f t="shared" si="3416"/>
        <v>55</v>
      </c>
      <c r="E1154" s="201"/>
      <c r="F1154" s="93"/>
      <c r="G1154" s="203"/>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f t="shared" ref="B1155:C1155" si="3542">B1154</f>
        <v>55</v>
      </c>
      <c r="C1155" s="128">
        <f t="shared" si="3542"/>
        <v>1</v>
      </c>
      <c r="D1155" s="127">
        <f t="shared" si="3416"/>
        <v>55</v>
      </c>
      <c r="E1155" s="201"/>
      <c r="F1155" s="93"/>
      <c r="G1155" s="203"/>
      <c r="H1155" s="134">
        <f t="shared" ref="H1155" si="3543">COUNT($P1155:$XX1155)</f>
        <v>3</v>
      </c>
      <c r="I1155" s="132">
        <f t="shared" ref="I1155" si="3544">_xlfn.STDEV.P($P1154:$XX1155)/AVERAGE($P1154:$XX1155)</f>
        <v>9.1640247955106072E-2</v>
      </c>
      <c r="J1155" s="7">
        <f>ROW()</f>
        <v>1155</v>
      </c>
      <c r="K1155" s="67"/>
      <c r="L1155" s="29" t="s">
        <v>10</v>
      </c>
      <c r="M1155" s="30">
        <f t="shared" ref="M1155" si="3545">IFERROR(
IF(COUNTA(P1149:AI1149)=COUNTIF(P1151:XX1151,"Orçamento"),MIN(M1160,M1157),
IF(M1158&lt;&gt;"",M1158,
IF(M1159&lt;&gt;"",M1159,
M1157
))),"")</f>
        <v>438.46666666666664</v>
      </c>
      <c r="N1155" s="71"/>
      <c r="O1155" s="27" t="s">
        <v>376</v>
      </c>
      <c r="P1155" s="106">
        <f t="shared" ref="P1155:AI1155" si="3546">IFERROR(IF(P1153="",
            "",
            IF(COUNT($P1153:$XX1153)&lt;=4,
               P1153,
               IF(OR(P1153&gt;(QUARTILE($P1153:$XX1153,3)+(QUARTILE($P1153:$XX1153,3)-QUARTILE($P1153:$XX1153,1))),
                     P1153&lt;(QUARTILE($P1153:$XX1153,1)-(QUARTILE($P1153:$XX1153,3)-QUARTILE($P1153:$XX1153,1)))
                  ),
               "DESCARTADO",P1153)
             )
  ),P1153)</f>
        <v>385.68</v>
      </c>
      <c r="Q1155" s="106">
        <f t="shared" si="3546"/>
        <v>446.64</v>
      </c>
      <c r="R1155" s="106">
        <f t="shared" si="3546"/>
        <v>483.08</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f t="shared" ref="B1156" si="3547">B1155</f>
        <v>55</v>
      </c>
      <c r="C1156" s="128">
        <f t="shared" ref="C1156" si="3548">C1155</f>
        <v>1</v>
      </c>
      <c r="D1156" s="127">
        <f t="shared" si="3416"/>
        <v>55</v>
      </c>
      <c r="E1156" s="201"/>
      <c r="F1156" s="93"/>
      <c r="G1156" s="203"/>
      <c r="H1156"/>
      <c r="I1156"/>
      <c r="J1156"/>
      <c r="K1156" s="66"/>
      <c r="L1156" s="29" t="s">
        <v>360</v>
      </c>
      <c r="M1156" s="30">
        <f t="shared" ref="M1156" si="3549">AVERAGE($P1155:$XX1155)</f>
        <v>438.46666666666664</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f t="shared" si="3415"/>
        <v>55</v>
      </c>
      <c r="C1157" s="128">
        <f t="shared" si="3416"/>
        <v>1</v>
      </c>
      <c r="D1157" s="127">
        <f t="shared" si="3416"/>
        <v>55</v>
      </c>
      <c r="E1157" s="201"/>
      <c r="F1157" s="93"/>
      <c r="G1157" s="203"/>
      <c r="H1157" s="134">
        <f t="shared" ref="H1157" si="3551">COUNT($P1157:$XX1157)</f>
        <v>3</v>
      </c>
      <c r="I1157" s="132">
        <f t="shared" ref="I1157" si="3552">_xlfn.STDEV.P($P1156:$XX1157)/AVERAGE($P1156:$XX1157)</f>
        <v>9.1640247955106072E-2</v>
      </c>
      <c r="J1157" s="7">
        <f t="shared" ref="J1157" si="3553">IF(AND(H1157&gt;2,
OR(L1149="MÉDIA SANEADA",L1149="MEDIANA SANEADA",
AND(L1149="PREÇO ESTIMADO",NOT(AND(P1151="Orçamento",COUNTA(P1149:XX1149)=COUNTIF(P1151:XX1151,"Orçamento")))))),
ROW(),0)</f>
        <v>1157</v>
      </c>
      <c r="K1157" s="66"/>
      <c r="L1157" s="29" t="s">
        <v>361</v>
      </c>
      <c r="M1157" s="30">
        <f t="shared" ref="M1157" si="3554">MEDIAN($P1155:$XX1155)</f>
        <v>446.64</v>
      </c>
      <c r="N1157" s="71"/>
      <c r="O1157" s="27" t="str">
        <f t="shared" ref="O1157" si="3555">"1 RODADA"</f>
        <v>1 RODADA</v>
      </c>
      <c r="P1157" s="107">
        <f t="shared" ref="P1157:AI1157" si="3556">IF(P1155="","",IF((_xlfn.STDEV.P($P1154:$XX1155)/AVERAGE($P1154:$XX1155))&lt;=25%,P1155,IF(OR(P1155&gt;(AVERAGE($P1154:$XX1155)+_xlfn.STDEV.P($P1154:$XX1155)),P1155&lt;(AVERAGE($P1154:$XX1155)-_xlfn.STDEV.P($P1154:$XX1155))),"DESCARTADO",P1155)))</f>
        <v>385.68</v>
      </c>
      <c r="Q1157" s="107">
        <f t="shared" si="3556"/>
        <v>446.64</v>
      </c>
      <c r="R1157" s="107">
        <f t="shared" si="3556"/>
        <v>483.08</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f t="shared" si="3415"/>
        <v>55</v>
      </c>
      <c r="C1158" s="128">
        <f t="shared" si="3416"/>
        <v>1</v>
      </c>
      <c r="D1158" s="127">
        <f t="shared" si="3416"/>
        <v>55</v>
      </c>
      <c r="E1158" s="201"/>
      <c r="F1158" s="93"/>
      <c r="G1158" s="203"/>
      <c r="H1158"/>
      <c r="I1158"/>
      <c r="J1158"/>
      <c r="L1158" s="29" t="s">
        <v>38</v>
      </c>
      <c r="M1158" s="30">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438.46666666666664</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f t="shared" si="3415"/>
        <v>55</v>
      </c>
      <c r="C1159" s="128">
        <f t="shared" si="3416"/>
        <v>1</v>
      </c>
      <c r="D1159" s="127">
        <f t="shared" si="3416"/>
        <v>55</v>
      </c>
      <c r="E1159" s="201"/>
      <c r="F1159" s="93"/>
      <c r="G1159" s="203"/>
      <c r="H1159" s="134">
        <f t="shared" ref="H1159" si="3559">COUNT($P1159:$XX1159)</f>
        <v>3</v>
      </c>
      <c r="I1159" s="132">
        <f t="shared" ref="I1159" si="3560">_xlfn.STDEV.P($P1158:$XX1159)/AVERAGE($P1158:$XX1159)</f>
        <v>9.1640247955106072E-2</v>
      </c>
      <c r="J1159" s="7">
        <f t="shared" ref="J1159" si="3561">IF(AND(H1159&gt;2,
OR(L1149="MÉDIA SANEADA",L1149="MEDIANA SANEADA",
AND(L1149="PREÇO ESTIMADO",NOT(AND(P1151="Orçamento",COUNTA(P1149:XX1149)=COUNTIF(P1151:XX1151,"Orçamento")))))),
ROW(),0)</f>
        <v>1159</v>
      </c>
      <c r="K1159" s="66"/>
      <c r="L1159" s="29" t="s">
        <v>362</v>
      </c>
      <c r="M1159" s="30">
        <f t="shared" ref="M1159" si="3562" xml:space="preserve">
IF(H1157&gt;2,MEDIAN(P1156:XX1157),
IF(H1159&gt;2,MEDIAN(P1158:XX1159),
IF(H1161&gt;2,MEDIAN(P1160:XX1161),
IF(H1163&gt;2,MEDIAN(P1162:XX1163),
IF(H1165&gt;2,MEDIAN(P1164:XX1165),
IF(H1167&gt;2,MEDIAN(P1166:XX1167),
MEDIAN(P1154:XX1155)))))))</f>
        <v>446.64</v>
      </c>
      <c r="N1159" s="71"/>
      <c r="O1159" s="27" t="str">
        <f t="shared" ref="O1159" si="3563">"2 RODADA"</f>
        <v>2 RODADA</v>
      </c>
      <c r="P1159" s="107">
        <f t="shared" ref="P1159:AI1159" si="3564">IF(P1157="","",IF((_xlfn.STDEV.P($P1156:$XX1157)/AVERAGE($P1156:$XX1157))&lt;=25%,P1157,IF(OR(P1157&gt;(AVERAGE($P1156:$XX1157)+_xlfn.STDEV.P($P1156:$XX1157)),P1157&lt;(AVERAGE($P1156:$XX1157)-_xlfn.STDEV.P($P1156:$XX1157))),"DESCARTADO",P1157)))</f>
        <v>385.68</v>
      </c>
      <c r="Q1159" s="107">
        <f t="shared" si="3564"/>
        <v>446.64</v>
      </c>
      <c r="R1159" s="107">
        <f t="shared" si="3564"/>
        <v>483.08</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f t="shared" si="3415"/>
        <v>55</v>
      </c>
      <c r="C1160" s="128">
        <f t="shared" si="3416"/>
        <v>1</v>
      </c>
      <c r="D1160" s="127">
        <f t="shared" si="3416"/>
        <v>55</v>
      </c>
      <c r="E1160" s="201"/>
      <c r="F1160" s="93"/>
      <c r="G1160" s="203"/>
      <c r="H1160"/>
      <c r="I1160"/>
      <c r="J1160"/>
      <c r="K1160" s="66"/>
      <c r="L1160" s="29" t="s">
        <v>359</v>
      </c>
      <c r="M1160" s="30">
        <f t="shared" ref="M1160" si="3565">HARMEAN($P1154:$XX1155)</f>
        <v>434.66838457374899</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f t="shared" si="3415"/>
        <v>55</v>
      </c>
      <c r="C1161" s="128">
        <f t="shared" si="3416"/>
        <v>1</v>
      </c>
      <c r="D1161" s="127">
        <f t="shared" si="3416"/>
        <v>55</v>
      </c>
      <c r="E1161" s="201"/>
      <c r="F1161" s="93"/>
      <c r="G1161" s="203"/>
      <c r="H1161" s="134">
        <f t="shared" ref="H1161" si="3567">COUNT($P1161:$XX1161)</f>
        <v>3</v>
      </c>
      <c r="I1161" s="132">
        <f t="shared" ref="I1161" si="3568">_xlfn.STDEV.P($P1160:$XX1161)/AVERAGE($P1160:$XX1161)</f>
        <v>9.1640247955106072E-2</v>
      </c>
      <c r="J1161" s="7">
        <f t="shared" ref="J1161" si="3569">IF(AND(H1161&gt;2,
OR(L1149="MÉDIA SANEADA",L1149="MEDIANA SANEADA",
AND(L1149="PREÇO ESTIMADO",NOT(AND(P1151="Orçamento",COUNTA(P1149:XX1149)=COUNTIF(P1151:XX1151,"Orçamento")))))),
ROW(),0)</f>
        <v>1161</v>
      </c>
      <c r="K1161" s="66"/>
      <c r="L1161" s="29" t="s">
        <v>41</v>
      </c>
      <c r="M1161" s="30">
        <f t="shared" ref="M1161" si="3570">IFERROR(_xlfn.QUARTILE.EXC($P1155:$XX1155,1),"")</f>
        <v>385.68</v>
      </c>
      <c r="N1161" s="71"/>
      <c r="O1161" s="27" t="str">
        <f t="shared" ref="O1161" si="3571">"3 RODADA"</f>
        <v>3 RODADA</v>
      </c>
      <c r="P1161" s="107">
        <f t="shared" ref="P1161:AI1161" si="3572">IF(P1159="","",IF((_xlfn.STDEV.P($P1158:$XX1159)/AVERAGE($P1158:$XX1159))&lt;=25%,P1159,IF(OR(P1159&gt;(AVERAGE($P1158:$XX1159)+_xlfn.STDEV.P($P1158:$XX1159)),P1159&lt;(AVERAGE($P1158:$XX1159)-_xlfn.STDEV.P($P1158:$XX1159))),"DESCARTADO",P1159)))</f>
        <v>385.68</v>
      </c>
      <c r="Q1161" s="107">
        <f t="shared" si="3572"/>
        <v>446.64</v>
      </c>
      <c r="R1161" s="107">
        <f t="shared" si="3572"/>
        <v>483.08</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f t="shared" si="3415"/>
        <v>55</v>
      </c>
      <c r="C1162" s="128">
        <f t="shared" si="3416"/>
        <v>1</v>
      </c>
      <c r="D1162" s="127">
        <f t="shared" si="3416"/>
        <v>55</v>
      </c>
      <c r="E1162" s="201"/>
      <c r="F1162" s="93"/>
      <c r="G1162" s="203"/>
      <c r="H1162"/>
      <c r="I1162"/>
      <c r="J1162"/>
      <c r="K1162" s="66"/>
      <c r="L1162" s="29" t="s">
        <v>39</v>
      </c>
      <c r="M1162" s="30">
        <f t="shared" ref="M1162" si="3573">IFERROR(_xlfn.QUARTILE.EXC($P1155:$XX1155,3),"")</f>
        <v>483.08</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f t="shared" si="3415"/>
        <v>55</v>
      </c>
      <c r="C1163" s="128">
        <f t="shared" si="3416"/>
        <v>1</v>
      </c>
      <c r="D1163" s="127">
        <f t="shared" si="3416"/>
        <v>55</v>
      </c>
      <c r="E1163" s="201"/>
      <c r="F1163" s="93"/>
      <c r="G1163" s="203"/>
      <c r="H1163" s="134">
        <f t="shared" ref="H1163" si="3575">COUNT($P1163:$XX1163)</f>
        <v>3</v>
      </c>
      <c r="I1163" s="132">
        <f t="shared" ref="I1163" si="3576">_xlfn.STDEV.P($P1162:$XX1163)/AVERAGE($P1162:$XX1163)</f>
        <v>9.1640247955106072E-2</v>
      </c>
      <c r="J1163" s="7">
        <f t="shared" ref="J1163" si="3577">IF(AND(H1163&gt;2,
OR(L1149="MÉDIA SANEADA",L1149="MEDIANA SANEADA",
AND(L1149="PREÇO ESTIMADO",NOT(AND(P1151="Orçamento",COUNTA(P1149:XX1149)=COUNTIF(P1151:XX1151,"Orçamento")))))),
ROW(),0)</f>
        <v>1163</v>
      </c>
      <c r="K1163" s="66"/>
      <c r="L1163" s="29" t="s">
        <v>42</v>
      </c>
      <c r="M1163" s="30">
        <f t="shared" ref="M1163" si="3578">MIN($P1155:$XX1155)</f>
        <v>385.68</v>
      </c>
      <c r="N1163" s="71"/>
      <c r="O1163" s="27" t="str">
        <f t="shared" ref="O1163" si="3579">"4 RODADA"</f>
        <v>4 RODADA</v>
      </c>
      <c r="P1163" s="107">
        <f t="shared" ref="P1163:AI1163" si="3580">IF(P1161="","",IF((_xlfn.STDEV.P($P1160:$XX1161)/AVERAGE($P1160:$XX1161))&lt;=25%,P1161,IF(OR(P1161&gt;(AVERAGE($P1160:$XX1161)+_xlfn.STDEV.P($P1160:$XX1161)),P1161&lt;(AVERAGE($P1160:$XX1161)-_xlfn.STDEV.P($P1160:$XX1161))),"DESCARTADO",P1161)))</f>
        <v>385.68</v>
      </c>
      <c r="Q1163" s="107">
        <f t="shared" si="3580"/>
        <v>446.64</v>
      </c>
      <c r="R1163" s="107">
        <f t="shared" si="3580"/>
        <v>483.08</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f t="shared" si="3415"/>
        <v>55</v>
      </c>
      <c r="C1164" s="128">
        <f t="shared" si="3416"/>
        <v>1</v>
      </c>
      <c r="D1164" s="127">
        <f t="shared" si="3416"/>
        <v>55</v>
      </c>
      <c r="E1164" s="201"/>
      <c r="F1164" s="93"/>
      <c r="G1164" s="203"/>
      <c r="H1164"/>
      <c r="I1164"/>
      <c r="J1164"/>
      <c r="K1164" s="66"/>
      <c r="L1164" s="29" t="s">
        <v>40</v>
      </c>
      <c r="M1164" s="30">
        <f t="shared" ref="M1164" si="3581">MAX($P1155:$XX1155)</f>
        <v>483.08</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f t="shared" si="3415"/>
        <v>55</v>
      </c>
      <c r="C1165" s="128">
        <f t="shared" si="3416"/>
        <v>1</v>
      </c>
      <c r="D1165" s="127">
        <f t="shared" si="3416"/>
        <v>55</v>
      </c>
      <c r="E1165" s="201"/>
      <c r="F1165" s="93"/>
      <c r="G1165" s="203"/>
      <c r="H1165" s="134">
        <f t="shared" ref="H1165" si="3583">COUNT($P1165:$XX1165)</f>
        <v>3</v>
      </c>
      <c r="I1165" s="132">
        <f t="shared" ref="I1165" si="3584">_xlfn.STDEV.P($P1164:$XX1165)/AVERAGE($P1164:$XX1165)</f>
        <v>9.1640247955106072E-2</v>
      </c>
      <c r="J1165" s="7">
        <f t="shared" ref="J1165" si="3585">IF(AND(H1165&gt;2,
OR(L1149="MÉDIA SANEADA",L1149="MEDIANA SANEADA",
AND(L1149="PREÇO ESTIMADO",NOT(AND(P1151="Orçamento",COUNTA(P1149:XX1149)=COUNTIF(P1151:XX1151,"Orçamento")))))),
ROW(),0)</f>
        <v>1165</v>
      </c>
      <c r="K1165" s="66"/>
      <c r="N1165" s="71"/>
      <c r="O1165" s="27" t="str">
        <f t="shared" ref="O1165" si="3586">"5 RODADA"</f>
        <v>5 RODADA</v>
      </c>
      <c r="P1165" s="107">
        <f t="shared" ref="P1165:AI1165" si="3587">IF(P1163="","",IF((_xlfn.STDEV.P($P1162:$XX1163)/AVERAGE($P1162:$XX1163))&lt;=25%,P1163,IF(OR(P1163&gt;(AVERAGE($P1162:$XX1163)+_xlfn.STDEV.P($P1162:$XX1163)),P1163&lt;(AVERAGE($P1162:$XX1163)-_xlfn.STDEV.P($P1162:$XX1163))),"DESCARTADO",P1163)))</f>
        <v>385.68</v>
      </c>
      <c r="Q1165" s="107">
        <f t="shared" si="3587"/>
        <v>446.64</v>
      </c>
      <c r="R1165" s="107">
        <f t="shared" si="3587"/>
        <v>483.08</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f t="shared" si="3415"/>
        <v>55</v>
      </c>
      <c r="C1166" s="128">
        <f t="shared" si="3416"/>
        <v>1</v>
      </c>
      <c r="D1166" s="127">
        <f t="shared" si="3416"/>
        <v>55</v>
      </c>
      <c r="E1166" s="201"/>
      <c r="F1166" s="93"/>
      <c r="G1166" s="203"/>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f t="shared" si="3415"/>
        <v>55</v>
      </c>
      <c r="C1167" s="128">
        <f t="shared" si="3416"/>
        <v>1</v>
      </c>
      <c r="D1167" s="127">
        <f t="shared" si="3416"/>
        <v>55</v>
      </c>
      <c r="E1167" s="201"/>
      <c r="F1167" s="93"/>
      <c r="G1167" s="203"/>
      <c r="H1167" s="134">
        <f t="shared" ref="H1167" si="3589">COUNT($P1167:$XX1167)</f>
        <v>3</v>
      </c>
      <c r="I1167" s="132">
        <f t="shared" ref="I1167" si="3590">_xlfn.STDEV.P($P1166:$XX1167)/AVERAGE($P1166:$XX1167)</f>
        <v>9.1640247955106072E-2</v>
      </c>
      <c r="J1167" s="7">
        <f t="shared" ref="J1167" si="3591">IF(AND(H1167&gt;2,
OR(L1149="MÉDIA SANEADA",L1149="MEDIANA SANEADA",
AND(L1149="PREÇO ESTIMADO",NOT(AND(P1151="Orçamento",COUNTA(P1149:XX1149)=COUNTIF(P1151:XX1151,"Orçamento")))))),
ROW(),0)</f>
        <v>1167</v>
      </c>
      <c r="N1167" s="71"/>
      <c r="O1167" s="27" t="str">
        <f t="shared" ref="O1167" si="3592">"6 RODADA"</f>
        <v>6 RODADA</v>
      </c>
      <c r="P1167" s="107">
        <f t="shared" ref="P1167:AI1167" si="3593">IFERROR(IF(P1165="","",IF((_xlfn.STDEV.P($P1164:$XX1165)/AVERAGE($P1164:$XX1165))&lt;=25%,P1165,IF(OR(P1165&gt;(AVERAGE($P1164:$XX1165)+_xlfn.STDEV.P($P1164:$XX1165)),P1165&lt;(AVERAGE($P1164:$XX1165)-_xlfn.STDEV.P($P1164:$XX1165))),"DESCARTADO",P1165))),)</f>
        <v>385.68</v>
      </c>
      <c r="Q1167" s="107">
        <f t="shared" si="3593"/>
        <v>446.64</v>
      </c>
      <c r="R1167" s="107">
        <f t="shared" si="3593"/>
        <v>483.08</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f t="shared" si="3415"/>
        <v>55</v>
      </c>
      <c r="C1168" s="128">
        <f t="shared" si="3416"/>
        <v>1</v>
      </c>
      <c r="D1168" s="127">
        <f t="shared" si="3416"/>
        <v>55</v>
      </c>
      <c r="E1168" s="201"/>
      <c r="F1168" s="136"/>
      <c r="G1168" s="203"/>
      <c r="H1168" s="206"/>
      <c r="I1168" s="206"/>
      <c r="J1168" s="207"/>
      <c r="K1168" s="67"/>
      <c r="L1168" s="1" t="s">
        <v>43</v>
      </c>
      <c r="M1168" s="143">
        <f t="shared" ref="M1168" si="3594">IFERROR(ROUND(M1149*M1151,2),"")</f>
        <v>438.47</v>
      </c>
      <c r="O1168" s="27" t="s">
        <v>363</v>
      </c>
      <c r="P1168" s="107">
        <f t="shared" ref="P1168:R1168" si="3595">INDEX(P1155:P1167,MATCH(MAX($J1155:$J1167),$J1155:$J1167,0))</f>
        <v>385.68</v>
      </c>
      <c r="Q1168" s="107">
        <f t="shared" si="3595"/>
        <v>446.64</v>
      </c>
      <c r="R1168" s="107">
        <f t="shared" si="3595"/>
        <v>483.08</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f t="shared" ref="B1170" si="3596">LARGE(IFERROR(IF(B1168+1&gt;$H$8,"",B1168+1),""),1)</f>
        <v>56</v>
      </c>
      <c r="C1170" s="127">
        <f>IF(_xlfn.ISFORMULA(E1174),MAX(INDEX('BASE FORMAÇÃO'!A:A,B1170+1),1),E1174)</f>
        <v>1</v>
      </c>
      <c r="D1170" s="127">
        <f t="shared" ref="D1170" si="3597">IFERROR(IF(C1170=C1160,D1160+1,1),1)</f>
        <v>56</v>
      </c>
      <c r="E1170" s="38" t="s">
        <v>9</v>
      </c>
      <c r="F1170" s="73"/>
      <c r="G1170" s="38" t="s">
        <v>15</v>
      </c>
      <c r="H1170" s="135">
        <f>INDEX('BASE FORMAÇÃO'!B:B,B1170+1)</f>
        <v>0</v>
      </c>
      <c r="I1170" s="181" t="s">
        <v>16</v>
      </c>
      <c r="J1170" s="6">
        <f>INDEX('BASE FORMAÇÃO'!K:K,B1170+1)</f>
        <v>0</v>
      </c>
      <c r="K1170" s="65"/>
      <c r="L1170" s="184" t="s">
        <v>10</v>
      </c>
      <c r="M1170" s="186">
        <f t="shared" ref="M1170" si="3598">IF(OR(ISBLANK($O$8),ISBLANK($O$7),ISBLANK($H$8),ISBLANK($O$6),ISBLANK($O$5),ISBLANK($H$5)),"",IFERROR(IF(VLOOKUP(L1170,L1176:M1185,2,FALSE)&lt;1,ROUND(VLOOKUP(L1170,L1176:M1185,2,FALSE),4),ROUND(VLOOKUP(L1170,L1176:M1185,2,FALSE),2)),""))</f>
        <v>181.19</v>
      </c>
      <c r="N1170" s="69"/>
      <c r="O1170" s="27" t="s">
        <v>17</v>
      </c>
      <c r="P1170" s="113">
        <v>204.9</v>
      </c>
      <c r="Q1170" s="113">
        <v>164.9</v>
      </c>
      <c r="R1170" s="113">
        <v>173.76</v>
      </c>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f t="shared" ref="B1171:D1171" si="3599">B1170</f>
        <v>56</v>
      </c>
      <c r="C1171" s="128">
        <f t="shared" si="3599"/>
        <v>1</v>
      </c>
      <c r="D1171" s="127">
        <f t="shared" si="3599"/>
        <v>56</v>
      </c>
      <c r="E1171" s="188">
        <f t="shared" ref="E1171" si="3600">D1170</f>
        <v>56</v>
      </c>
      <c r="F1171" s="92"/>
      <c r="G1171" s="190" t="s">
        <v>1</v>
      </c>
      <c r="H1171" s="193" t="s">
        <v>653</v>
      </c>
      <c r="I1171" s="194"/>
      <c r="J1171" s="195"/>
      <c r="K1171" s="66"/>
      <c r="L1171" s="185"/>
      <c r="M1171" s="187"/>
      <c r="N1171" s="70"/>
      <c r="O1171" s="27" t="s">
        <v>13</v>
      </c>
      <c r="P1171" s="122">
        <v>46196</v>
      </c>
      <c r="Q1171" s="122">
        <v>46196</v>
      </c>
      <c r="R1171" s="122">
        <v>46196</v>
      </c>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f t="shared" ref="B1172:D1172" si="3601">B1171</f>
        <v>56</v>
      </c>
      <c r="C1172" s="128">
        <f t="shared" si="3601"/>
        <v>1</v>
      </c>
      <c r="D1172" s="127">
        <f t="shared" si="3601"/>
        <v>56</v>
      </c>
      <c r="E1172" s="189"/>
      <c r="F1172" s="93"/>
      <c r="G1172" s="191"/>
      <c r="H1172" s="196"/>
      <c r="I1172" s="196"/>
      <c r="J1172" s="197"/>
      <c r="K1172" s="64"/>
      <c r="L1172" s="130" t="s">
        <v>44</v>
      </c>
      <c r="M1172" s="131">
        <v>1</v>
      </c>
      <c r="N1172" s="71"/>
      <c r="O1172" s="27" t="s">
        <v>380</v>
      </c>
      <c r="P1172" s="114" t="s">
        <v>302</v>
      </c>
      <c r="Q1172" s="114" t="s">
        <v>302</v>
      </c>
      <c r="R1172" s="114" t="s">
        <v>302</v>
      </c>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f t="shared" ref="B1173:C1173" si="3602">B1172</f>
        <v>56</v>
      </c>
      <c r="C1173" s="128">
        <f t="shared" si="3602"/>
        <v>1</v>
      </c>
      <c r="D1173" s="127">
        <f t="shared" si="3416"/>
        <v>56</v>
      </c>
      <c r="E1173" s="38" t="s">
        <v>313</v>
      </c>
      <c r="F1173" s="93"/>
      <c r="G1173" s="192"/>
      <c r="H1173" s="198"/>
      <c r="I1173" s="198"/>
      <c r="J1173" s="199"/>
      <c r="K1173" s="64"/>
      <c r="L1173" s="1" t="s">
        <v>2</v>
      </c>
      <c r="M1173" s="6" t="s">
        <v>288</v>
      </c>
      <c r="N1173" s="71"/>
      <c r="O1173" s="27" t="s">
        <v>381</v>
      </c>
      <c r="P1173" s="182" t="s">
        <v>654</v>
      </c>
      <c r="Q1173" s="182" t="s">
        <v>655</v>
      </c>
      <c r="R1173" s="182" t="s">
        <v>656</v>
      </c>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f t="shared" ref="B1174:C1174" si="3603">B1172</f>
        <v>56</v>
      </c>
      <c r="C1174" s="128">
        <f t="shared" si="3603"/>
        <v>1</v>
      </c>
      <c r="D1174" s="127">
        <f t="shared" si="3416"/>
        <v>56</v>
      </c>
      <c r="E1174" s="200">
        <f t="shared" ref="E1174" si="3604">C1170</f>
        <v>1</v>
      </c>
      <c r="F1174" s="93"/>
      <c r="G1174" s="202" t="s">
        <v>304</v>
      </c>
      <c r="H1174" s="204"/>
      <c r="I1174" s="205"/>
      <c r="J1174" s="205"/>
      <c r="K1174" s="67"/>
      <c r="L1174" s="28" t="s">
        <v>303</v>
      </c>
      <c r="M1174" s="133">
        <f t="shared" ref="M1174" si="3605">IFERROR(INDEX(I1176:I1188,MATCH(MAX(J1176:J1188),J1176:J1188,0)),"")</f>
        <v>9.467336966781964E-2</v>
      </c>
      <c r="N1174" s="71"/>
      <c r="O1174" s="27" t="s">
        <v>18</v>
      </c>
      <c r="P1174" s="106">
        <f>IF(P1170="","",
IF(OR(P1172="Orçamento",P1171="",MAX('Tabela de Apoio'!$A:$A)&lt;=P1171),
P1170,
(INDEX('Tabela de Apoio'!$B:$B,MATCH('MAPA DE PREÇOS'!$O$8,'Tabela de Apoio'!$A:$A,1))/INDEX('Tabela de Apoio'!$B:$B,MATCH('MAPA DE PREÇOS'!P1171,'Tabela de Apoio'!$A:$A,1)-1))*P1170))</f>
        <v>204.9</v>
      </c>
      <c r="Q1174" s="106">
        <f>IF(Q1170="","",
IF(OR(Q1172="Orçamento",Q1171="",MAX('Tabela de Apoio'!$A:$A)&lt;=Q1171),
Q1170,
(INDEX('Tabela de Apoio'!$B:$B,MATCH('MAPA DE PREÇOS'!$O$8,'Tabela de Apoio'!$A:$A,1))/INDEX('Tabela de Apoio'!$B:$B,MATCH('MAPA DE PREÇOS'!Q1171,'Tabela de Apoio'!$A:$A,1)-1))*Q1170))</f>
        <v>164.9</v>
      </c>
      <c r="R1174" s="106">
        <f>IF(R1170="","",
IF(OR(R1172="Orçamento",R1171="",MAX('Tabela de Apoio'!$A:$A)&lt;=R1171),
R1170,
(INDEX('Tabela de Apoio'!$B:$B,MATCH('MAPA DE PREÇOS'!$O$8,'Tabela de Apoio'!$A:$A,1))/INDEX('Tabela de Apoio'!$B:$B,MATCH('MAPA DE PREÇOS'!R1171,'Tabela de Apoio'!$A:$A,1)-1))*R1170))</f>
        <v>173.76</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f t="shared" ref="B1175" si="3606">B1174</f>
        <v>56</v>
      </c>
      <c r="C1175" s="128">
        <f t="shared" ref="C1175" si="3607">C1174</f>
        <v>1</v>
      </c>
      <c r="D1175" s="127">
        <f t="shared" si="3416"/>
        <v>56</v>
      </c>
      <c r="E1175" s="201"/>
      <c r="F1175" s="93"/>
      <c r="G1175" s="203"/>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f t="shared" ref="B1176:C1176" si="3608">B1175</f>
        <v>56</v>
      </c>
      <c r="C1176" s="128">
        <f t="shared" si="3608"/>
        <v>1</v>
      </c>
      <c r="D1176" s="127">
        <f t="shared" si="3416"/>
        <v>56</v>
      </c>
      <c r="E1176" s="201"/>
      <c r="F1176" s="93"/>
      <c r="G1176" s="203"/>
      <c r="H1176" s="134">
        <f t="shared" ref="H1176" si="3609">COUNT($P1176:$XX1176)</f>
        <v>3</v>
      </c>
      <c r="I1176" s="132">
        <f t="shared" ref="I1176" si="3610">_xlfn.STDEV.P($P1175:$XX1176)/AVERAGE($P1175:$XX1176)</f>
        <v>9.467336966781964E-2</v>
      </c>
      <c r="J1176" s="7">
        <f>ROW()</f>
        <v>1176</v>
      </c>
      <c r="K1176" s="67"/>
      <c r="L1176" s="29" t="s">
        <v>10</v>
      </c>
      <c r="M1176" s="30">
        <f t="shared" ref="M1176" si="3611">IFERROR(
IF(COUNTA(P1170:AI1170)=COUNTIF(P1172:XX1172,"Orçamento"),MIN(M1181,M1178),
IF(M1179&lt;&gt;"",M1179,
IF(M1180&lt;&gt;"",M1180,
M1178
))),"")</f>
        <v>181.18666666666664</v>
      </c>
      <c r="N1176" s="71"/>
      <c r="O1176" s="27" t="s">
        <v>376</v>
      </c>
      <c r="P1176" s="106">
        <f t="shared" ref="P1176:AI1176" si="3612">IFERROR(IF(P1174="",
            "",
            IF(COUNT($P1174:$XX1174)&lt;=4,
               P1174,
               IF(OR(P1174&gt;(QUARTILE($P1174:$XX1174,3)+(QUARTILE($P1174:$XX1174,3)-QUARTILE($P1174:$XX1174,1))),
                     P1174&lt;(QUARTILE($P1174:$XX1174,1)-(QUARTILE($P1174:$XX1174,3)-QUARTILE($P1174:$XX1174,1)))
                  ),
               "DESCARTADO",P1174)
             )
  ),P1174)</f>
        <v>204.9</v>
      </c>
      <c r="Q1176" s="106">
        <f t="shared" si="3612"/>
        <v>164.9</v>
      </c>
      <c r="R1176" s="106">
        <f t="shared" si="3612"/>
        <v>173.76</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f t="shared" ref="B1177:B1231" si="3613">B1176</f>
        <v>56</v>
      </c>
      <c r="C1177" s="128">
        <f t="shared" ref="C1177:D1240" si="3614">C1176</f>
        <v>1</v>
      </c>
      <c r="D1177" s="127">
        <f t="shared" si="3416"/>
        <v>56</v>
      </c>
      <c r="E1177" s="201"/>
      <c r="F1177" s="93"/>
      <c r="G1177" s="203"/>
      <c r="H1177"/>
      <c r="I1177"/>
      <c r="J1177"/>
      <c r="K1177" s="66"/>
      <c r="L1177" s="29" t="s">
        <v>360</v>
      </c>
      <c r="M1177" s="30">
        <f t="shared" ref="M1177" si="3615">AVERAGE($P1176:$XX1176)</f>
        <v>181.18666666666664</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f t="shared" si="3613"/>
        <v>56</v>
      </c>
      <c r="C1178" s="128">
        <f t="shared" si="3614"/>
        <v>1</v>
      </c>
      <c r="D1178" s="127">
        <f t="shared" si="3614"/>
        <v>56</v>
      </c>
      <c r="E1178" s="201"/>
      <c r="F1178" s="93"/>
      <c r="G1178" s="203"/>
      <c r="H1178" s="134">
        <f t="shared" ref="H1178" si="3617">COUNT($P1178:$XX1178)</f>
        <v>3</v>
      </c>
      <c r="I1178" s="132">
        <f t="shared" ref="I1178" si="3618">_xlfn.STDEV.P($P1177:$XX1178)/AVERAGE($P1177:$XX1178)</f>
        <v>9.467336966781964E-2</v>
      </c>
      <c r="J1178" s="7">
        <f t="shared" ref="J1178" si="3619">IF(AND(H1178&gt;2,
OR(L1170="MÉDIA SANEADA",L1170="MEDIANA SANEADA",
AND(L1170="PREÇO ESTIMADO",NOT(AND(P1172="Orçamento",COUNTA(P1170:XX1170)=COUNTIF(P1172:XX1172,"Orçamento")))))),
ROW(),0)</f>
        <v>1178</v>
      </c>
      <c r="K1178" s="66"/>
      <c r="L1178" s="29" t="s">
        <v>361</v>
      </c>
      <c r="M1178" s="30">
        <f t="shared" ref="M1178" si="3620">MEDIAN($P1176:$XX1176)</f>
        <v>173.76</v>
      </c>
      <c r="N1178" s="71"/>
      <c r="O1178" s="27" t="str">
        <f t="shared" ref="O1178" si="3621">"1 RODADA"</f>
        <v>1 RODADA</v>
      </c>
      <c r="P1178" s="107">
        <f t="shared" ref="P1178:AI1178" si="3622">IF(P1176="","",IF((_xlfn.STDEV.P($P1175:$XX1176)/AVERAGE($P1175:$XX1176))&lt;=25%,P1176,IF(OR(P1176&gt;(AVERAGE($P1175:$XX1176)+_xlfn.STDEV.P($P1175:$XX1176)),P1176&lt;(AVERAGE($P1175:$XX1176)-_xlfn.STDEV.P($P1175:$XX1176))),"DESCARTADO",P1176)))</f>
        <v>204.9</v>
      </c>
      <c r="Q1178" s="107">
        <f t="shared" si="3622"/>
        <v>164.9</v>
      </c>
      <c r="R1178" s="107">
        <f t="shared" si="3622"/>
        <v>173.76</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f t="shared" si="3613"/>
        <v>56</v>
      </c>
      <c r="C1179" s="128">
        <f t="shared" si="3614"/>
        <v>1</v>
      </c>
      <c r="D1179" s="127">
        <f t="shared" si="3614"/>
        <v>56</v>
      </c>
      <c r="E1179" s="201"/>
      <c r="F1179" s="93"/>
      <c r="G1179" s="203"/>
      <c r="H1179"/>
      <c r="I1179"/>
      <c r="J1179"/>
      <c r="L1179" s="29" t="s">
        <v>38</v>
      </c>
      <c r="M1179" s="30">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181.18666666666664</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f t="shared" si="3613"/>
        <v>56</v>
      </c>
      <c r="C1180" s="128">
        <f t="shared" si="3614"/>
        <v>1</v>
      </c>
      <c r="D1180" s="127">
        <f t="shared" si="3614"/>
        <v>56</v>
      </c>
      <c r="E1180" s="201"/>
      <c r="F1180" s="93"/>
      <c r="G1180" s="203"/>
      <c r="H1180" s="134">
        <f t="shared" ref="H1180" si="3625">COUNT($P1180:$XX1180)</f>
        <v>3</v>
      </c>
      <c r="I1180" s="132">
        <f t="shared" ref="I1180" si="3626">_xlfn.STDEV.P($P1179:$XX1180)/AVERAGE($P1179:$XX1180)</f>
        <v>9.467336966781964E-2</v>
      </c>
      <c r="J1180" s="7">
        <f t="shared" ref="J1180" si="3627">IF(AND(H1180&gt;2,
OR(L1170="MÉDIA SANEADA",L1170="MEDIANA SANEADA",
AND(L1170="PREÇO ESTIMADO",NOT(AND(P1172="Orçamento",COUNTA(P1170:XX1170)=COUNTIF(P1172:XX1172,"Orçamento")))))),
ROW(),0)</f>
        <v>1180</v>
      </c>
      <c r="K1180" s="66"/>
      <c r="L1180" s="29" t="s">
        <v>362</v>
      </c>
      <c r="M1180" s="30">
        <f t="shared" ref="M1180" si="3628" xml:space="preserve">
IF(H1178&gt;2,MEDIAN(P1177:XX1178),
IF(H1180&gt;2,MEDIAN(P1179:XX1180),
IF(H1182&gt;2,MEDIAN(P1181:XX1182),
IF(H1184&gt;2,MEDIAN(P1183:XX1184),
IF(H1186&gt;2,MEDIAN(P1185:XX1186),
IF(H1188&gt;2,MEDIAN(P1187:XX1188),
MEDIAN(P1175:XX1176)))))))</f>
        <v>173.76</v>
      </c>
      <c r="N1180" s="71"/>
      <c r="O1180" s="27" t="str">
        <f t="shared" ref="O1180" si="3629">"2 RODADA"</f>
        <v>2 RODADA</v>
      </c>
      <c r="P1180" s="107">
        <f t="shared" ref="P1180:AI1180" si="3630">IF(P1178="","",IF((_xlfn.STDEV.P($P1177:$XX1178)/AVERAGE($P1177:$XX1178))&lt;=25%,P1178,IF(OR(P1178&gt;(AVERAGE($P1177:$XX1178)+_xlfn.STDEV.P($P1177:$XX1178)),P1178&lt;(AVERAGE($P1177:$XX1178)-_xlfn.STDEV.P($P1177:$XX1178))),"DESCARTADO",P1178)))</f>
        <v>204.9</v>
      </c>
      <c r="Q1180" s="107">
        <f t="shared" si="3630"/>
        <v>164.9</v>
      </c>
      <c r="R1180" s="107">
        <f t="shared" si="3630"/>
        <v>173.76</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f t="shared" si="3613"/>
        <v>56</v>
      </c>
      <c r="C1181" s="128">
        <f t="shared" si="3614"/>
        <v>1</v>
      </c>
      <c r="D1181" s="127">
        <f t="shared" si="3614"/>
        <v>56</v>
      </c>
      <c r="E1181" s="201"/>
      <c r="F1181" s="93"/>
      <c r="G1181" s="203"/>
      <c r="H1181"/>
      <c r="I1181"/>
      <c r="J1181"/>
      <c r="K1181" s="66"/>
      <c r="L1181" s="29" t="s">
        <v>359</v>
      </c>
      <c r="M1181" s="30">
        <f t="shared" ref="M1181" si="3631">HARMEAN($P1175:$XX1176)</f>
        <v>179.64313549267621</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f t="shared" si="3613"/>
        <v>56</v>
      </c>
      <c r="C1182" s="128">
        <f t="shared" si="3614"/>
        <v>1</v>
      </c>
      <c r="D1182" s="127">
        <f t="shared" si="3614"/>
        <v>56</v>
      </c>
      <c r="E1182" s="201"/>
      <c r="F1182" s="93"/>
      <c r="G1182" s="203"/>
      <c r="H1182" s="134">
        <f t="shared" ref="H1182" si="3633">COUNT($P1182:$XX1182)</f>
        <v>3</v>
      </c>
      <c r="I1182" s="132">
        <f t="shared" ref="I1182" si="3634">_xlfn.STDEV.P($P1181:$XX1182)/AVERAGE($P1181:$XX1182)</f>
        <v>9.467336966781964E-2</v>
      </c>
      <c r="J1182" s="7">
        <f t="shared" ref="J1182" si="3635">IF(AND(H1182&gt;2,
OR(L1170="MÉDIA SANEADA",L1170="MEDIANA SANEADA",
AND(L1170="PREÇO ESTIMADO",NOT(AND(P1172="Orçamento",COUNTA(P1170:XX1170)=COUNTIF(P1172:XX1172,"Orçamento")))))),
ROW(),0)</f>
        <v>1182</v>
      </c>
      <c r="K1182" s="66"/>
      <c r="L1182" s="29" t="s">
        <v>41</v>
      </c>
      <c r="M1182" s="30">
        <f t="shared" ref="M1182" si="3636">IFERROR(_xlfn.QUARTILE.EXC($P1176:$XX1176,1),"")</f>
        <v>164.9</v>
      </c>
      <c r="N1182" s="71"/>
      <c r="O1182" s="27" t="str">
        <f t="shared" ref="O1182" si="3637">"3 RODADA"</f>
        <v>3 RODADA</v>
      </c>
      <c r="P1182" s="107">
        <f t="shared" ref="P1182:AI1182" si="3638">IF(P1180="","",IF((_xlfn.STDEV.P($P1179:$XX1180)/AVERAGE($P1179:$XX1180))&lt;=25%,P1180,IF(OR(P1180&gt;(AVERAGE($P1179:$XX1180)+_xlfn.STDEV.P($P1179:$XX1180)),P1180&lt;(AVERAGE($P1179:$XX1180)-_xlfn.STDEV.P($P1179:$XX1180))),"DESCARTADO",P1180)))</f>
        <v>204.9</v>
      </c>
      <c r="Q1182" s="107">
        <f t="shared" si="3638"/>
        <v>164.9</v>
      </c>
      <c r="R1182" s="107">
        <f t="shared" si="3638"/>
        <v>173.76</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f t="shared" si="3613"/>
        <v>56</v>
      </c>
      <c r="C1183" s="128">
        <f t="shared" si="3614"/>
        <v>1</v>
      </c>
      <c r="D1183" s="127">
        <f t="shared" si="3614"/>
        <v>56</v>
      </c>
      <c r="E1183" s="201"/>
      <c r="F1183" s="93"/>
      <c r="G1183" s="203"/>
      <c r="H1183"/>
      <c r="I1183"/>
      <c r="J1183"/>
      <c r="K1183" s="66"/>
      <c r="L1183" s="29" t="s">
        <v>39</v>
      </c>
      <c r="M1183" s="30">
        <f t="shared" ref="M1183" si="3639">IFERROR(_xlfn.QUARTILE.EXC($P1176:$XX1176,3),"")</f>
        <v>204.9</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f t="shared" si="3613"/>
        <v>56</v>
      </c>
      <c r="C1184" s="128">
        <f t="shared" si="3614"/>
        <v>1</v>
      </c>
      <c r="D1184" s="127">
        <f t="shared" si="3614"/>
        <v>56</v>
      </c>
      <c r="E1184" s="201"/>
      <c r="F1184" s="93"/>
      <c r="G1184" s="203"/>
      <c r="H1184" s="134">
        <f t="shared" ref="H1184" si="3641">COUNT($P1184:$XX1184)</f>
        <v>3</v>
      </c>
      <c r="I1184" s="132">
        <f t="shared" ref="I1184" si="3642">_xlfn.STDEV.P($P1183:$XX1184)/AVERAGE($P1183:$XX1184)</f>
        <v>9.467336966781964E-2</v>
      </c>
      <c r="J1184" s="7">
        <f t="shared" ref="J1184" si="3643">IF(AND(H1184&gt;2,
OR(L1170="MÉDIA SANEADA",L1170="MEDIANA SANEADA",
AND(L1170="PREÇO ESTIMADO",NOT(AND(P1172="Orçamento",COUNTA(P1170:XX1170)=COUNTIF(P1172:XX1172,"Orçamento")))))),
ROW(),0)</f>
        <v>1184</v>
      </c>
      <c r="K1184" s="66"/>
      <c r="L1184" s="29" t="s">
        <v>42</v>
      </c>
      <c r="M1184" s="30">
        <f t="shared" ref="M1184" si="3644">MIN($P1176:$XX1176)</f>
        <v>164.9</v>
      </c>
      <c r="N1184" s="71"/>
      <c r="O1184" s="27" t="str">
        <f t="shared" ref="O1184" si="3645">"4 RODADA"</f>
        <v>4 RODADA</v>
      </c>
      <c r="P1184" s="107">
        <f t="shared" ref="P1184:AI1184" si="3646">IF(P1182="","",IF((_xlfn.STDEV.P($P1181:$XX1182)/AVERAGE($P1181:$XX1182))&lt;=25%,P1182,IF(OR(P1182&gt;(AVERAGE($P1181:$XX1182)+_xlfn.STDEV.P($P1181:$XX1182)),P1182&lt;(AVERAGE($P1181:$XX1182)-_xlfn.STDEV.P($P1181:$XX1182))),"DESCARTADO",P1182)))</f>
        <v>204.9</v>
      </c>
      <c r="Q1184" s="107">
        <f t="shared" si="3646"/>
        <v>164.9</v>
      </c>
      <c r="R1184" s="107">
        <f t="shared" si="3646"/>
        <v>173.76</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f t="shared" si="3613"/>
        <v>56</v>
      </c>
      <c r="C1185" s="128">
        <f t="shared" si="3614"/>
        <v>1</v>
      </c>
      <c r="D1185" s="127">
        <f t="shared" si="3614"/>
        <v>56</v>
      </c>
      <c r="E1185" s="201"/>
      <c r="F1185" s="93"/>
      <c r="G1185" s="203"/>
      <c r="H1185"/>
      <c r="I1185"/>
      <c r="J1185"/>
      <c r="K1185" s="66"/>
      <c r="L1185" s="29" t="s">
        <v>40</v>
      </c>
      <c r="M1185" s="30">
        <f t="shared" ref="M1185" si="3647">MAX($P1176:$XX1176)</f>
        <v>204.9</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f t="shared" si="3613"/>
        <v>56</v>
      </c>
      <c r="C1186" s="128">
        <f t="shared" si="3614"/>
        <v>1</v>
      </c>
      <c r="D1186" s="127">
        <f t="shared" si="3614"/>
        <v>56</v>
      </c>
      <c r="E1186" s="201"/>
      <c r="F1186" s="93"/>
      <c r="G1186" s="203"/>
      <c r="H1186" s="134">
        <f t="shared" ref="H1186" si="3649">COUNT($P1186:$XX1186)</f>
        <v>3</v>
      </c>
      <c r="I1186" s="132">
        <f t="shared" ref="I1186" si="3650">_xlfn.STDEV.P($P1185:$XX1186)/AVERAGE($P1185:$XX1186)</f>
        <v>9.467336966781964E-2</v>
      </c>
      <c r="J1186" s="7">
        <f t="shared" ref="J1186" si="3651">IF(AND(H1186&gt;2,
OR(L1170="MÉDIA SANEADA",L1170="MEDIANA SANEADA",
AND(L1170="PREÇO ESTIMADO",NOT(AND(P1172="Orçamento",COUNTA(P1170:XX1170)=COUNTIF(P1172:XX1172,"Orçamento")))))),
ROW(),0)</f>
        <v>1186</v>
      </c>
      <c r="K1186" s="66"/>
      <c r="N1186" s="71"/>
      <c r="O1186" s="27" t="str">
        <f t="shared" ref="O1186" si="3652">"5 RODADA"</f>
        <v>5 RODADA</v>
      </c>
      <c r="P1186" s="107">
        <f t="shared" ref="P1186:AI1186" si="3653">IF(P1184="","",IF((_xlfn.STDEV.P($P1183:$XX1184)/AVERAGE($P1183:$XX1184))&lt;=25%,P1184,IF(OR(P1184&gt;(AVERAGE($P1183:$XX1184)+_xlfn.STDEV.P($P1183:$XX1184)),P1184&lt;(AVERAGE($P1183:$XX1184)-_xlfn.STDEV.P($P1183:$XX1184))),"DESCARTADO",P1184)))</f>
        <v>204.9</v>
      </c>
      <c r="Q1186" s="107">
        <f t="shared" si="3653"/>
        <v>164.9</v>
      </c>
      <c r="R1186" s="107">
        <f t="shared" si="3653"/>
        <v>173.76</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f t="shared" si="3613"/>
        <v>56</v>
      </c>
      <c r="C1187" s="128">
        <f t="shared" si="3614"/>
        <v>1</v>
      </c>
      <c r="D1187" s="127">
        <f t="shared" si="3614"/>
        <v>56</v>
      </c>
      <c r="E1187" s="201"/>
      <c r="F1187" s="93"/>
      <c r="G1187" s="203"/>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f t="shared" si="3613"/>
        <v>56</v>
      </c>
      <c r="C1188" s="128">
        <f t="shared" si="3614"/>
        <v>1</v>
      </c>
      <c r="D1188" s="127">
        <f t="shared" si="3614"/>
        <v>56</v>
      </c>
      <c r="E1188" s="201"/>
      <c r="F1188" s="93"/>
      <c r="G1188" s="203"/>
      <c r="H1188" s="134">
        <f t="shared" ref="H1188" si="3655">COUNT($P1188:$XX1188)</f>
        <v>3</v>
      </c>
      <c r="I1188" s="132">
        <f t="shared" ref="I1188" si="3656">_xlfn.STDEV.P($P1187:$XX1188)/AVERAGE($P1187:$XX1188)</f>
        <v>9.467336966781964E-2</v>
      </c>
      <c r="J1188" s="7">
        <f t="shared" ref="J1188" si="3657">IF(AND(H1188&gt;2,
OR(L1170="MÉDIA SANEADA",L1170="MEDIANA SANEADA",
AND(L1170="PREÇO ESTIMADO",NOT(AND(P1172="Orçamento",COUNTA(P1170:XX1170)=COUNTIF(P1172:XX1172,"Orçamento")))))),
ROW(),0)</f>
        <v>1188</v>
      </c>
      <c r="N1188" s="71"/>
      <c r="O1188" s="27" t="str">
        <f t="shared" ref="O1188" si="3658">"6 RODADA"</f>
        <v>6 RODADA</v>
      </c>
      <c r="P1188" s="107">
        <f t="shared" ref="P1188:AI1188" si="3659">IFERROR(IF(P1186="","",IF((_xlfn.STDEV.P($P1185:$XX1186)/AVERAGE($P1185:$XX1186))&lt;=25%,P1186,IF(OR(P1186&gt;(AVERAGE($P1185:$XX1186)+_xlfn.STDEV.P($P1185:$XX1186)),P1186&lt;(AVERAGE($P1185:$XX1186)-_xlfn.STDEV.P($P1185:$XX1186))),"DESCARTADO",P1186))),)</f>
        <v>204.9</v>
      </c>
      <c r="Q1188" s="107">
        <f t="shared" si="3659"/>
        <v>164.9</v>
      </c>
      <c r="R1188" s="107">
        <f t="shared" si="3659"/>
        <v>173.76</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f t="shared" si="3613"/>
        <v>56</v>
      </c>
      <c r="C1189" s="128">
        <f t="shared" si="3614"/>
        <v>1</v>
      </c>
      <c r="D1189" s="127">
        <f t="shared" si="3614"/>
        <v>56</v>
      </c>
      <c r="E1189" s="201"/>
      <c r="F1189" s="136"/>
      <c r="G1189" s="203"/>
      <c r="H1189" s="206"/>
      <c r="I1189" s="206"/>
      <c r="J1189" s="207"/>
      <c r="K1189" s="67"/>
      <c r="L1189" s="1" t="s">
        <v>43</v>
      </c>
      <c r="M1189" s="143">
        <f t="shared" ref="M1189" si="3660">IFERROR(ROUND(M1170*M1172,2),"")</f>
        <v>181.19</v>
      </c>
      <c r="O1189" s="27" t="s">
        <v>363</v>
      </c>
      <c r="P1189" s="107">
        <f t="shared" ref="P1189:AI1210" si="3661">INDEX(P1176:P1188,MATCH(MAX($J1176:$J1188),$J1176:$J1188,0))</f>
        <v>204.9</v>
      </c>
      <c r="Q1189" s="107">
        <f t="shared" si="3661"/>
        <v>164.9</v>
      </c>
      <c r="R1189" s="107">
        <f t="shared" si="3661"/>
        <v>173.76</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f t="shared" ref="B1191" si="3662">LARGE(IFERROR(IF(B1189+1&gt;$H$8,"",B1189+1),""),1)</f>
        <v>57</v>
      </c>
      <c r="C1191" s="127">
        <f>IF(_xlfn.ISFORMULA(E1195),MAX(INDEX('BASE FORMAÇÃO'!A:A,B1191+1),1),E1195)</f>
        <v>1</v>
      </c>
      <c r="D1191" s="127">
        <f t="shared" ref="D1191" si="3663">IFERROR(IF(C1191=C1181,D1181+1,1),1)</f>
        <v>57</v>
      </c>
      <c r="E1191" s="38" t="s">
        <v>9</v>
      </c>
      <c r="F1191" s="73"/>
      <c r="G1191" s="38" t="s">
        <v>15</v>
      </c>
      <c r="H1191" s="135">
        <f>INDEX('BASE FORMAÇÃO'!B:B,B1191+1)</f>
        <v>0</v>
      </c>
      <c r="I1191" s="181" t="s">
        <v>16</v>
      </c>
      <c r="J1191" s="6">
        <f>INDEX('BASE FORMAÇÃO'!K:K,B1191+1)</f>
        <v>0</v>
      </c>
      <c r="K1191" s="65"/>
      <c r="L1191" s="184" t="s">
        <v>10</v>
      </c>
      <c r="M1191" s="186">
        <f t="shared" ref="M1191" si="3664">IF(OR(ISBLANK($O$8),ISBLANK($O$7),ISBLANK($H$8),ISBLANK($O$6),ISBLANK($O$5),ISBLANK($H$5)),"",IFERROR(IF(VLOOKUP(L1191,L1197:M1206,2,FALSE)&lt;1,ROUND(VLOOKUP(L1191,L1197:M1206,2,FALSE),4),ROUND(VLOOKUP(L1191,L1197:M1206,2,FALSE),2)),""))</f>
        <v>209.18</v>
      </c>
      <c r="N1191" s="69"/>
      <c r="O1191" s="27" t="s">
        <v>17</v>
      </c>
      <c r="P1191" s="113">
        <v>258.73</v>
      </c>
      <c r="Q1191" s="113">
        <v>192.9</v>
      </c>
      <c r="R1191" s="113">
        <v>175.9</v>
      </c>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f t="shared" ref="B1192:D1192" si="3665">B1191</f>
        <v>57</v>
      </c>
      <c r="C1192" s="128">
        <f t="shared" si="3665"/>
        <v>1</v>
      </c>
      <c r="D1192" s="127">
        <f t="shared" si="3665"/>
        <v>57</v>
      </c>
      <c r="E1192" s="188">
        <f t="shared" ref="E1192" si="3666">D1191</f>
        <v>57</v>
      </c>
      <c r="F1192" s="92"/>
      <c r="G1192" s="190" t="s">
        <v>1</v>
      </c>
      <c r="H1192" s="193" t="s">
        <v>657</v>
      </c>
      <c r="I1192" s="194"/>
      <c r="J1192" s="195"/>
      <c r="K1192" s="66"/>
      <c r="L1192" s="185"/>
      <c r="M1192" s="187"/>
      <c r="N1192" s="70"/>
      <c r="O1192" s="27" t="s">
        <v>13</v>
      </c>
      <c r="P1192" s="122">
        <v>46196</v>
      </c>
      <c r="Q1192" s="122">
        <v>46196</v>
      </c>
      <c r="R1192" s="122">
        <v>46196</v>
      </c>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f t="shared" ref="B1193:D1193" si="3667">B1192</f>
        <v>57</v>
      </c>
      <c r="C1193" s="128">
        <f t="shared" si="3667"/>
        <v>1</v>
      </c>
      <c r="D1193" s="127">
        <f t="shared" si="3667"/>
        <v>57</v>
      </c>
      <c r="E1193" s="189"/>
      <c r="F1193" s="93"/>
      <c r="G1193" s="191"/>
      <c r="H1193" s="196"/>
      <c r="I1193" s="196"/>
      <c r="J1193" s="197"/>
      <c r="K1193" s="64"/>
      <c r="L1193" s="130" t="s">
        <v>44</v>
      </c>
      <c r="M1193" s="131">
        <v>1</v>
      </c>
      <c r="N1193" s="71"/>
      <c r="O1193" s="27" t="s">
        <v>380</v>
      </c>
      <c r="P1193" s="114" t="s">
        <v>302</v>
      </c>
      <c r="Q1193" s="114" t="s">
        <v>302</v>
      </c>
      <c r="R1193" s="114" t="s">
        <v>302</v>
      </c>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f t="shared" ref="B1194:C1194" si="3668">B1193</f>
        <v>57</v>
      </c>
      <c r="C1194" s="128">
        <f t="shared" si="3668"/>
        <v>1</v>
      </c>
      <c r="D1194" s="127">
        <f t="shared" si="3614"/>
        <v>57</v>
      </c>
      <c r="E1194" s="38" t="s">
        <v>313</v>
      </c>
      <c r="F1194" s="93"/>
      <c r="G1194" s="192"/>
      <c r="H1194" s="198"/>
      <c r="I1194" s="198"/>
      <c r="J1194" s="199"/>
      <c r="K1194" s="64"/>
      <c r="L1194" s="1" t="s">
        <v>2</v>
      </c>
      <c r="M1194" s="6" t="s">
        <v>288</v>
      </c>
      <c r="N1194" s="71"/>
      <c r="O1194" s="27" t="s">
        <v>381</v>
      </c>
      <c r="P1194" s="182" t="s">
        <v>658</v>
      </c>
      <c r="Q1194" s="182" t="s">
        <v>659</v>
      </c>
      <c r="R1194" s="182" t="s">
        <v>660</v>
      </c>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f t="shared" ref="B1195:C1195" si="3669">B1193</f>
        <v>57</v>
      </c>
      <c r="C1195" s="128">
        <f t="shared" si="3669"/>
        <v>1</v>
      </c>
      <c r="D1195" s="127">
        <f t="shared" si="3614"/>
        <v>57</v>
      </c>
      <c r="E1195" s="200">
        <f t="shared" ref="E1195" si="3670">C1191</f>
        <v>1</v>
      </c>
      <c r="F1195" s="93"/>
      <c r="G1195" s="202" t="s">
        <v>304</v>
      </c>
      <c r="H1195" s="204"/>
      <c r="I1195" s="205"/>
      <c r="J1195" s="205"/>
      <c r="K1195" s="67"/>
      <c r="L1195" s="28" t="s">
        <v>303</v>
      </c>
      <c r="M1195" s="133">
        <f t="shared" ref="M1195" si="3671">IFERROR(INDEX(I1197:I1209,MATCH(MAX(J1197:J1209),J1197:J1209,0)),"")</f>
        <v>0.17076572726860062</v>
      </c>
      <c r="N1195" s="71"/>
      <c r="O1195" s="27" t="s">
        <v>18</v>
      </c>
      <c r="P1195" s="106">
        <f>IF(P1191="","",
IF(OR(P1193="Orçamento",P1192="",MAX('Tabela de Apoio'!$A:$A)&lt;=P1192),
P1191,
(INDEX('Tabela de Apoio'!$B:$B,MATCH('MAPA DE PREÇOS'!$O$8,'Tabela de Apoio'!$A:$A,1))/INDEX('Tabela de Apoio'!$B:$B,MATCH('MAPA DE PREÇOS'!P1192,'Tabela de Apoio'!$A:$A,1)-1))*P1191))</f>
        <v>258.73</v>
      </c>
      <c r="Q1195" s="106">
        <f>IF(Q1191="","",
IF(OR(Q1193="Orçamento",Q1192="",MAX('Tabela de Apoio'!$A:$A)&lt;=Q1192),
Q1191,
(INDEX('Tabela de Apoio'!$B:$B,MATCH('MAPA DE PREÇOS'!$O$8,'Tabela de Apoio'!$A:$A,1))/INDEX('Tabela de Apoio'!$B:$B,MATCH('MAPA DE PREÇOS'!Q1192,'Tabela de Apoio'!$A:$A,1)-1))*Q1191))</f>
        <v>192.9</v>
      </c>
      <c r="R1195" s="106">
        <f>IF(R1191="","",
IF(OR(R1193="Orçamento",R1192="",MAX('Tabela de Apoio'!$A:$A)&lt;=R1192),
R1191,
(INDEX('Tabela de Apoio'!$B:$B,MATCH('MAPA DE PREÇOS'!$O$8,'Tabela de Apoio'!$A:$A,1))/INDEX('Tabela de Apoio'!$B:$B,MATCH('MAPA DE PREÇOS'!R1192,'Tabela de Apoio'!$A:$A,1)-1))*R1191))</f>
        <v>175.9</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f t="shared" ref="B1196" si="3672">B1195</f>
        <v>57</v>
      </c>
      <c r="C1196" s="128">
        <f t="shared" ref="C1196" si="3673">C1195</f>
        <v>1</v>
      </c>
      <c r="D1196" s="127">
        <f t="shared" si="3614"/>
        <v>57</v>
      </c>
      <c r="E1196" s="201"/>
      <c r="F1196" s="93"/>
      <c r="G1196" s="203"/>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f t="shared" ref="B1197:C1197" si="3674">B1196</f>
        <v>57</v>
      </c>
      <c r="C1197" s="128">
        <f t="shared" si="3674"/>
        <v>1</v>
      </c>
      <c r="D1197" s="127">
        <f t="shared" si="3614"/>
        <v>57</v>
      </c>
      <c r="E1197" s="201"/>
      <c r="F1197" s="93"/>
      <c r="G1197" s="203"/>
      <c r="H1197" s="134">
        <f t="shared" ref="H1197" si="3675">COUNT($P1197:$XX1197)</f>
        <v>3</v>
      </c>
      <c r="I1197" s="132">
        <f t="shared" ref="I1197" si="3676">_xlfn.STDEV.P($P1196:$XX1197)/AVERAGE($P1196:$XX1197)</f>
        <v>0.17076572726860062</v>
      </c>
      <c r="J1197" s="7">
        <f>ROW()</f>
        <v>1197</v>
      </c>
      <c r="K1197" s="67"/>
      <c r="L1197" s="29" t="s">
        <v>10</v>
      </c>
      <c r="M1197" s="30">
        <f t="shared" ref="M1197" si="3677">IFERROR(
IF(COUNTA(P1191:AI1191)=COUNTIF(P1193:XX1193,"Orçamento"),MIN(M1202,M1199),
IF(M1200&lt;&gt;"",M1200,
IF(M1201&lt;&gt;"",M1201,
M1199
))),"")</f>
        <v>209.17666666666665</v>
      </c>
      <c r="N1197" s="71"/>
      <c r="O1197" s="27" t="s">
        <v>376</v>
      </c>
      <c r="P1197" s="106">
        <f t="shared" ref="P1197:AI1197" si="3678">IFERROR(IF(P1195="",
            "",
            IF(COUNT($P1195:$XX1195)&lt;=4,
               P1195,
               IF(OR(P1195&gt;(QUARTILE($P1195:$XX1195,3)+(QUARTILE($P1195:$XX1195,3)-QUARTILE($P1195:$XX1195,1))),
                     P1195&lt;(QUARTILE($P1195:$XX1195,1)-(QUARTILE($P1195:$XX1195,3)-QUARTILE($P1195:$XX1195,1)))
                  ),
               "DESCARTADO",P1195)
             )
  ),P1195)</f>
        <v>258.73</v>
      </c>
      <c r="Q1197" s="106">
        <f t="shared" si="3678"/>
        <v>192.9</v>
      </c>
      <c r="R1197" s="106">
        <f t="shared" si="3678"/>
        <v>175.9</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f t="shared" ref="B1198" si="3679">B1197</f>
        <v>57</v>
      </c>
      <c r="C1198" s="128">
        <f t="shared" ref="C1198" si="3680">C1197</f>
        <v>1</v>
      </c>
      <c r="D1198" s="127">
        <f t="shared" si="3614"/>
        <v>57</v>
      </c>
      <c r="E1198" s="201"/>
      <c r="F1198" s="93"/>
      <c r="G1198" s="203"/>
      <c r="H1198"/>
      <c r="I1198"/>
      <c r="J1198"/>
      <c r="K1198" s="66"/>
      <c r="L1198" s="29" t="s">
        <v>360</v>
      </c>
      <c r="M1198" s="30">
        <f t="shared" ref="M1198" si="3681">AVERAGE($P1197:$XX1197)</f>
        <v>209.17666666666665</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f t="shared" si="3613"/>
        <v>57</v>
      </c>
      <c r="C1199" s="128">
        <f t="shared" si="3614"/>
        <v>1</v>
      </c>
      <c r="D1199" s="127">
        <f t="shared" si="3614"/>
        <v>57</v>
      </c>
      <c r="E1199" s="201"/>
      <c r="F1199" s="93"/>
      <c r="G1199" s="203"/>
      <c r="H1199" s="134">
        <f t="shared" ref="H1199" si="3683">COUNT($P1199:$XX1199)</f>
        <v>3</v>
      </c>
      <c r="I1199" s="132">
        <f t="shared" ref="I1199" si="3684">_xlfn.STDEV.P($P1198:$XX1199)/AVERAGE($P1198:$XX1199)</f>
        <v>0.17076572726860062</v>
      </c>
      <c r="J1199" s="7">
        <f t="shared" ref="J1199" si="3685">IF(AND(H1199&gt;2,
OR(L1191="MÉDIA SANEADA",L1191="MEDIANA SANEADA",
AND(L1191="PREÇO ESTIMADO",NOT(AND(P1193="Orçamento",COUNTA(P1191:XX1191)=COUNTIF(P1193:XX1193,"Orçamento")))))),
ROW(),0)</f>
        <v>1199</v>
      </c>
      <c r="K1199" s="66"/>
      <c r="L1199" s="29" t="s">
        <v>361</v>
      </c>
      <c r="M1199" s="30">
        <f t="shared" ref="M1199" si="3686">MEDIAN($P1197:$XX1197)</f>
        <v>192.9</v>
      </c>
      <c r="N1199" s="71"/>
      <c r="O1199" s="27" t="str">
        <f t="shared" ref="O1199" si="3687">"1 RODADA"</f>
        <v>1 RODADA</v>
      </c>
      <c r="P1199" s="107">
        <f t="shared" ref="P1199:AI1199" si="3688">IF(P1197="","",IF((_xlfn.STDEV.P($P1196:$XX1197)/AVERAGE($P1196:$XX1197))&lt;=25%,P1197,IF(OR(P1197&gt;(AVERAGE($P1196:$XX1197)+_xlfn.STDEV.P($P1196:$XX1197)),P1197&lt;(AVERAGE($P1196:$XX1197)-_xlfn.STDEV.P($P1196:$XX1197))),"DESCARTADO",P1197)))</f>
        <v>258.73</v>
      </c>
      <c r="Q1199" s="107">
        <f t="shared" si="3688"/>
        <v>192.9</v>
      </c>
      <c r="R1199" s="107">
        <f t="shared" si="3688"/>
        <v>175.9</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f t="shared" si="3613"/>
        <v>57</v>
      </c>
      <c r="C1200" s="128">
        <f t="shared" si="3614"/>
        <v>1</v>
      </c>
      <c r="D1200" s="127">
        <f t="shared" si="3614"/>
        <v>57</v>
      </c>
      <c r="E1200" s="201"/>
      <c r="F1200" s="93"/>
      <c r="G1200" s="203"/>
      <c r="H1200"/>
      <c r="I1200"/>
      <c r="J1200"/>
      <c r="L1200" s="29" t="s">
        <v>38</v>
      </c>
      <c r="M1200" s="30">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209.17666666666665</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f t="shared" si="3613"/>
        <v>57</v>
      </c>
      <c r="C1201" s="128">
        <f t="shared" si="3614"/>
        <v>1</v>
      </c>
      <c r="D1201" s="127">
        <f t="shared" si="3614"/>
        <v>57</v>
      </c>
      <c r="E1201" s="201"/>
      <c r="F1201" s="93"/>
      <c r="G1201" s="203"/>
      <c r="H1201" s="134">
        <f t="shared" ref="H1201" si="3691">COUNT($P1201:$XX1201)</f>
        <v>3</v>
      </c>
      <c r="I1201" s="132">
        <f t="shared" ref="I1201" si="3692">_xlfn.STDEV.P($P1200:$XX1201)/AVERAGE($P1200:$XX1201)</f>
        <v>0.17076572726860062</v>
      </c>
      <c r="J1201" s="7">
        <f t="shared" ref="J1201" si="3693">IF(AND(H1201&gt;2,
OR(L1191="MÉDIA SANEADA",L1191="MEDIANA SANEADA",
AND(L1191="PREÇO ESTIMADO",NOT(AND(P1193="Orçamento",COUNTA(P1191:XX1191)=COUNTIF(P1193:XX1193,"Orçamento")))))),
ROW(),0)</f>
        <v>1201</v>
      </c>
      <c r="K1201" s="66"/>
      <c r="L1201" s="29" t="s">
        <v>362</v>
      </c>
      <c r="M1201" s="30">
        <f t="shared" ref="M1201" si="3694" xml:space="preserve">
IF(H1199&gt;2,MEDIAN(P1198:XX1199),
IF(H1201&gt;2,MEDIAN(P1200:XX1201),
IF(H1203&gt;2,MEDIAN(P1202:XX1203),
IF(H1205&gt;2,MEDIAN(P1204:XX1205),
IF(H1207&gt;2,MEDIAN(P1206:XX1207),
IF(H1209&gt;2,MEDIAN(P1208:XX1209),
MEDIAN(P1196:XX1197)))))))</f>
        <v>192.9</v>
      </c>
      <c r="N1201" s="71"/>
      <c r="O1201" s="27" t="str">
        <f t="shared" ref="O1201" si="3695">"2 RODADA"</f>
        <v>2 RODADA</v>
      </c>
      <c r="P1201" s="107">
        <f t="shared" ref="P1201:AI1201" si="3696">IF(P1199="","",IF((_xlfn.STDEV.P($P1198:$XX1199)/AVERAGE($P1198:$XX1199))&lt;=25%,P1199,IF(OR(P1199&gt;(AVERAGE($P1198:$XX1199)+_xlfn.STDEV.P($P1198:$XX1199)),P1199&lt;(AVERAGE($P1198:$XX1199)-_xlfn.STDEV.P($P1198:$XX1199))),"DESCARTADO",P1199)))</f>
        <v>258.73</v>
      </c>
      <c r="Q1201" s="107">
        <f t="shared" si="3696"/>
        <v>192.9</v>
      </c>
      <c r="R1201" s="107">
        <f t="shared" si="3696"/>
        <v>175.9</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f t="shared" si="3613"/>
        <v>57</v>
      </c>
      <c r="C1202" s="128">
        <f t="shared" si="3614"/>
        <v>1</v>
      </c>
      <c r="D1202" s="127">
        <f t="shared" si="3614"/>
        <v>57</v>
      </c>
      <c r="E1202" s="201"/>
      <c r="F1202" s="93"/>
      <c r="G1202" s="203"/>
      <c r="H1202"/>
      <c r="I1202"/>
      <c r="J1202"/>
      <c r="K1202" s="66"/>
      <c r="L1202" s="29" t="s">
        <v>359</v>
      </c>
      <c r="M1202" s="30">
        <f t="shared" ref="M1202" si="3697">HARMEAN($P1196:$XX1197)</f>
        <v>203.60911342721874</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f t="shared" si="3613"/>
        <v>57</v>
      </c>
      <c r="C1203" s="128">
        <f t="shared" si="3614"/>
        <v>1</v>
      </c>
      <c r="D1203" s="127">
        <f t="shared" si="3614"/>
        <v>57</v>
      </c>
      <c r="E1203" s="201"/>
      <c r="F1203" s="93"/>
      <c r="G1203" s="203"/>
      <c r="H1203" s="134">
        <f t="shared" ref="H1203" si="3699">COUNT($P1203:$XX1203)</f>
        <v>3</v>
      </c>
      <c r="I1203" s="132">
        <f t="shared" ref="I1203" si="3700">_xlfn.STDEV.P($P1202:$XX1203)/AVERAGE($P1202:$XX1203)</f>
        <v>0.17076572726860062</v>
      </c>
      <c r="J1203" s="7">
        <f t="shared" ref="J1203" si="3701">IF(AND(H1203&gt;2,
OR(L1191="MÉDIA SANEADA",L1191="MEDIANA SANEADA",
AND(L1191="PREÇO ESTIMADO",NOT(AND(P1193="Orçamento",COUNTA(P1191:XX1191)=COUNTIF(P1193:XX1193,"Orçamento")))))),
ROW(),0)</f>
        <v>1203</v>
      </c>
      <c r="K1203" s="66"/>
      <c r="L1203" s="29" t="s">
        <v>41</v>
      </c>
      <c r="M1203" s="30">
        <f t="shared" ref="M1203" si="3702">IFERROR(_xlfn.QUARTILE.EXC($P1197:$XX1197,1),"")</f>
        <v>175.9</v>
      </c>
      <c r="N1203" s="71"/>
      <c r="O1203" s="27" t="str">
        <f t="shared" ref="O1203" si="3703">"3 RODADA"</f>
        <v>3 RODADA</v>
      </c>
      <c r="P1203" s="107">
        <f t="shared" ref="P1203:AI1203" si="3704">IF(P1201="","",IF((_xlfn.STDEV.P($P1200:$XX1201)/AVERAGE($P1200:$XX1201))&lt;=25%,P1201,IF(OR(P1201&gt;(AVERAGE($P1200:$XX1201)+_xlfn.STDEV.P($P1200:$XX1201)),P1201&lt;(AVERAGE($P1200:$XX1201)-_xlfn.STDEV.P($P1200:$XX1201))),"DESCARTADO",P1201)))</f>
        <v>258.73</v>
      </c>
      <c r="Q1203" s="107">
        <f t="shared" si="3704"/>
        <v>192.9</v>
      </c>
      <c r="R1203" s="107">
        <f t="shared" si="3704"/>
        <v>175.9</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f t="shared" si="3613"/>
        <v>57</v>
      </c>
      <c r="C1204" s="128">
        <f t="shared" si="3614"/>
        <v>1</v>
      </c>
      <c r="D1204" s="127">
        <f t="shared" si="3614"/>
        <v>57</v>
      </c>
      <c r="E1204" s="201"/>
      <c r="F1204" s="93"/>
      <c r="G1204" s="203"/>
      <c r="H1204"/>
      <c r="I1204"/>
      <c r="J1204"/>
      <c r="K1204" s="66"/>
      <c r="L1204" s="29" t="s">
        <v>39</v>
      </c>
      <c r="M1204" s="30">
        <f t="shared" ref="M1204" si="3705">IFERROR(_xlfn.QUARTILE.EXC($P1197:$XX1197,3),"")</f>
        <v>258.73</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f t="shared" si="3613"/>
        <v>57</v>
      </c>
      <c r="C1205" s="128">
        <f t="shared" si="3614"/>
        <v>1</v>
      </c>
      <c r="D1205" s="127">
        <f t="shared" si="3614"/>
        <v>57</v>
      </c>
      <c r="E1205" s="201"/>
      <c r="F1205" s="93"/>
      <c r="G1205" s="203"/>
      <c r="H1205" s="134">
        <f t="shared" ref="H1205" si="3707">COUNT($P1205:$XX1205)</f>
        <v>3</v>
      </c>
      <c r="I1205" s="132">
        <f t="shared" ref="I1205" si="3708">_xlfn.STDEV.P($P1204:$XX1205)/AVERAGE($P1204:$XX1205)</f>
        <v>0.17076572726860062</v>
      </c>
      <c r="J1205" s="7">
        <f t="shared" ref="J1205" si="3709">IF(AND(H1205&gt;2,
OR(L1191="MÉDIA SANEADA",L1191="MEDIANA SANEADA",
AND(L1191="PREÇO ESTIMADO",NOT(AND(P1193="Orçamento",COUNTA(P1191:XX1191)=COUNTIF(P1193:XX1193,"Orçamento")))))),
ROW(),0)</f>
        <v>1205</v>
      </c>
      <c r="K1205" s="66"/>
      <c r="L1205" s="29" t="s">
        <v>42</v>
      </c>
      <c r="M1205" s="30">
        <f t="shared" ref="M1205" si="3710">MIN($P1197:$XX1197)</f>
        <v>175.9</v>
      </c>
      <c r="N1205" s="71"/>
      <c r="O1205" s="27" t="str">
        <f t="shared" ref="O1205" si="3711">"4 RODADA"</f>
        <v>4 RODADA</v>
      </c>
      <c r="P1205" s="107">
        <f t="shared" ref="P1205:AI1205" si="3712">IF(P1203="","",IF((_xlfn.STDEV.P($P1202:$XX1203)/AVERAGE($P1202:$XX1203))&lt;=25%,P1203,IF(OR(P1203&gt;(AVERAGE($P1202:$XX1203)+_xlfn.STDEV.P($P1202:$XX1203)),P1203&lt;(AVERAGE($P1202:$XX1203)-_xlfn.STDEV.P($P1202:$XX1203))),"DESCARTADO",P1203)))</f>
        <v>258.73</v>
      </c>
      <c r="Q1205" s="107">
        <f t="shared" si="3712"/>
        <v>192.9</v>
      </c>
      <c r="R1205" s="107">
        <f t="shared" si="3712"/>
        <v>175.9</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f t="shared" si="3613"/>
        <v>57</v>
      </c>
      <c r="C1206" s="128">
        <f t="shared" si="3614"/>
        <v>1</v>
      </c>
      <c r="D1206" s="127">
        <f t="shared" si="3614"/>
        <v>57</v>
      </c>
      <c r="E1206" s="201"/>
      <c r="F1206" s="93"/>
      <c r="G1206" s="203"/>
      <c r="H1206"/>
      <c r="I1206"/>
      <c r="J1206"/>
      <c r="K1206" s="66"/>
      <c r="L1206" s="29" t="s">
        <v>40</v>
      </c>
      <c r="M1206" s="30">
        <f t="shared" ref="M1206" si="3713">MAX($P1197:$XX1197)</f>
        <v>258.73</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f t="shared" si="3613"/>
        <v>57</v>
      </c>
      <c r="C1207" s="128">
        <f t="shared" si="3614"/>
        <v>1</v>
      </c>
      <c r="D1207" s="127">
        <f t="shared" si="3614"/>
        <v>57</v>
      </c>
      <c r="E1207" s="201"/>
      <c r="F1207" s="93"/>
      <c r="G1207" s="203"/>
      <c r="H1207" s="134">
        <f t="shared" ref="H1207" si="3715">COUNT($P1207:$XX1207)</f>
        <v>3</v>
      </c>
      <c r="I1207" s="132">
        <f t="shared" ref="I1207" si="3716">_xlfn.STDEV.P($P1206:$XX1207)/AVERAGE($P1206:$XX1207)</f>
        <v>0.17076572726860062</v>
      </c>
      <c r="J1207" s="7">
        <f t="shared" ref="J1207" si="3717">IF(AND(H1207&gt;2,
OR(L1191="MÉDIA SANEADA",L1191="MEDIANA SANEADA",
AND(L1191="PREÇO ESTIMADO",NOT(AND(P1193="Orçamento",COUNTA(P1191:XX1191)=COUNTIF(P1193:XX1193,"Orçamento")))))),
ROW(),0)</f>
        <v>1207</v>
      </c>
      <c r="K1207" s="66"/>
      <c r="N1207" s="71"/>
      <c r="O1207" s="27" t="str">
        <f t="shared" ref="O1207" si="3718">"5 RODADA"</f>
        <v>5 RODADA</v>
      </c>
      <c r="P1207" s="107">
        <f t="shared" ref="P1207:AI1207" si="3719">IF(P1205="","",IF((_xlfn.STDEV.P($P1204:$XX1205)/AVERAGE($P1204:$XX1205))&lt;=25%,P1205,IF(OR(P1205&gt;(AVERAGE($P1204:$XX1205)+_xlfn.STDEV.P($P1204:$XX1205)),P1205&lt;(AVERAGE($P1204:$XX1205)-_xlfn.STDEV.P($P1204:$XX1205))),"DESCARTADO",P1205)))</f>
        <v>258.73</v>
      </c>
      <c r="Q1207" s="107">
        <f t="shared" si="3719"/>
        <v>192.9</v>
      </c>
      <c r="R1207" s="107">
        <f t="shared" si="3719"/>
        <v>175.9</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f t="shared" si="3613"/>
        <v>57</v>
      </c>
      <c r="C1208" s="128">
        <f t="shared" si="3614"/>
        <v>1</v>
      </c>
      <c r="D1208" s="127">
        <f t="shared" si="3614"/>
        <v>57</v>
      </c>
      <c r="E1208" s="201"/>
      <c r="F1208" s="93"/>
      <c r="G1208" s="203"/>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f t="shared" si="3613"/>
        <v>57</v>
      </c>
      <c r="C1209" s="128">
        <f t="shared" si="3614"/>
        <v>1</v>
      </c>
      <c r="D1209" s="127">
        <f t="shared" si="3614"/>
        <v>57</v>
      </c>
      <c r="E1209" s="201"/>
      <c r="F1209" s="93"/>
      <c r="G1209" s="203"/>
      <c r="H1209" s="134">
        <f t="shared" ref="H1209" si="3721">COUNT($P1209:$XX1209)</f>
        <v>3</v>
      </c>
      <c r="I1209" s="132">
        <f t="shared" ref="I1209" si="3722">_xlfn.STDEV.P($P1208:$XX1209)/AVERAGE($P1208:$XX1209)</f>
        <v>0.17076572726860062</v>
      </c>
      <c r="J1209" s="7">
        <f t="shared" ref="J1209" si="3723">IF(AND(H1209&gt;2,
OR(L1191="MÉDIA SANEADA",L1191="MEDIANA SANEADA",
AND(L1191="PREÇO ESTIMADO",NOT(AND(P1193="Orçamento",COUNTA(P1191:XX1191)=COUNTIF(P1193:XX1193,"Orçamento")))))),
ROW(),0)</f>
        <v>1209</v>
      </c>
      <c r="N1209" s="71"/>
      <c r="O1209" s="27" t="str">
        <f t="shared" ref="O1209" si="3724">"6 RODADA"</f>
        <v>6 RODADA</v>
      </c>
      <c r="P1209" s="107">
        <f t="shared" ref="P1209:AI1209" si="3725">IFERROR(IF(P1207="","",IF((_xlfn.STDEV.P($P1206:$XX1207)/AVERAGE($P1206:$XX1207))&lt;=25%,P1207,IF(OR(P1207&gt;(AVERAGE($P1206:$XX1207)+_xlfn.STDEV.P($P1206:$XX1207)),P1207&lt;(AVERAGE($P1206:$XX1207)-_xlfn.STDEV.P($P1206:$XX1207))),"DESCARTADO",P1207))),)</f>
        <v>258.73</v>
      </c>
      <c r="Q1209" s="107">
        <f t="shared" si="3725"/>
        <v>192.9</v>
      </c>
      <c r="R1209" s="107">
        <f t="shared" si="3725"/>
        <v>175.9</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f t="shared" si="3613"/>
        <v>57</v>
      </c>
      <c r="C1210" s="128">
        <f t="shared" si="3614"/>
        <v>1</v>
      </c>
      <c r="D1210" s="127">
        <f t="shared" si="3614"/>
        <v>57</v>
      </c>
      <c r="E1210" s="201"/>
      <c r="F1210" s="136"/>
      <c r="G1210" s="203"/>
      <c r="H1210" s="206"/>
      <c r="I1210" s="206"/>
      <c r="J1210" s="207"/>
      <c r="K1210" s="67"/>
      <c r="L1210" s="1" t="s">
        <v>43</v>
      </c>
      <c r="M1210" s="143">
        <f t="shared" ref="M1210" si="3726">IFERROR(ROUND(M1191*M1193,2),"")</f>
        <v>209.18</v>
      </c>
      <c r="O1210" s="27" t="s">
        <v>363</v>
      </c>
      <c r="P1210" s="107">
        <f t="shared" ref="P1210:R1210" si="3727">INDEX(P1197:P1209,MATCH(MAX($J1197:$J1209),$J1197:$J1209,0))</f>
        <v>258.73</v>
      </c>
      <c r="Q1210" s="107">
        <f t="shared" si="3727"/>
        <v>192.9</v>
      </c>
      <c r="R1210" s="107">
        <f t="shared" si="3727"/>
        <v>175.9</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f t="shared" ref="B1212" si="3728">LARGE(IFERROR(IF(B1210+1&gt;$H$8,"",B1210+1),""),1)</f>
        <v>58</v>
      </c>
      <c r="C1212" s="127">
        <f>IF(_xlfn.ISFORMULA(E1216),MAX(INDEX('BASE FORMAÇÃO'!A:A,B1212+1),1),E1216)</f>
        <v>1</v>
      </c>
      <c r="D1212" s="127">
        <f t="shared" ref="D1212" si="3729">IFERROR(IF(C1212=C1202,D1202+1,1),1)</f>
        <v>58</v>
      </c>
      <c r="E1212" s="38" t="s">
        <v>9</v>
      </c>
      <c r="F1212" s="73"/>
      <c r="G1212" s="38" t="s">
        <v>15</v>
      </c>
      <c r="H1212" s="135">
        <f>INDEX('BASE FORMAÇÃO'!B:B,B1212+1)</f>
        <v>0</v>
      </c>
      <c r="I1212" s="181" t="s">
        <v>16</v>
      </c>
      <c r="J1212" s="6">
        <f>INDEX('BASE FORMAÇÃO'!K:K,B1212+1)</f>
        <v>0</v>
      </c>
      <c r="K1212" s="65"/>
      <c r="L1212" s="184" t="s">
        <v>10</v>
      </c>
      <c r="M1212" s="186">
        <f t="shared" ref="M1212" si="3730">IF(OR(ISBLANK($O$8),ISBLANK($O$7),ISBLANK($H$8),ISBLANK($O$6),ISBLANK($O$5),ISBLANK($H$5)),"",IFERROR(IF(VLOOKUP(L1212,L1218:M1227,2,FALSE)&lt;1,ROUND(VLOOKUP(L1212,L1218:M1227,2,FALSE),4),ROUND(VLOOKUP(L1212,L1218:M1227,2,FALSE),2)),""))</f>
        <v>99.11</v>
      </c>
      <c r="N1212" s="69"/>
      <c r="O1212" s="27" t="s">
        <v>17</v>
      </c>
      <c r="P1212" s="113">
        <v>84.27</v>
      </c>
      <c r="Q1212" s="113">
        <v>81</v>
      </c>
      <c r="R1212" s="113">
        <v>132.06</v>
      </c>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f t="shared" ref="B1213:D1213" si="3731">B1212</f>
        <v>58</v>
      </c>
      <c r="C1213" s="128">
        <f t="shared" si="3731"/>
        <v>1</v>
      </c>
      <c r="D1213" s="127">
        <f t="shared" si="3731"/>
        <v>58</v>
      </c>
      <c r="E1213" s="188">
        <f t="shared" ref="E1213" si="3732">D1212</f>
        <v>58</v>
      </c>
      <c r="F1213" s="92"/>
      <c r="G1213" s="190" t="s">
        <v>1</v>
      </c>
      <c r="H1213" s="193" t="s">
        <v>661</v>
      </c>
      <c r="I1213" s="194"/>
      <c r="J1213" s="195"/>
      <c r="K1213" s="66"/>
      <c r="L1213" s="185"/>
      <c r="M1213" s="187"/>
      <c r="N1213" s="70"/>
      <c r="O1213" s="27" t="s">
        <v>13</v>
      </c>
      <c r="P1213" s="122">
        <v>46196</v>
      </c>
      <c r="Q1213" s="122">
        <v>46196</v>
      </c>
      <c r="R1213" s="122">
        <v>46196</v>
      </c>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f t="shared" ref="B1214:D1214" si="3733">B1213</f>
        <v>58</v>
      </c>
      <c r="C1214" s="128">
        <f t="shared" si="3733"/>
        <v>1</v>
      </c>
      <c r="D1214" s="127">
        <f t="shared" si="3733"/>
        <v>58</v>
      </c>
      <c r="E1214" s="189"/>
      <c r="F1214" s="93"/>
      <c r="G1214" s="191"/>
      <c r="H1214" s="196"/>
      <c r="I1214" s="196"/>
      <c r="J1214" s="197"/>
      <c r="K1214" s="64"/>
      <c r="L1214" s="130" t="s">
        <v>44</v>
      </c>
      <c r="M1214" s="131">
        <v>1</v>
      </c>
      <c r="N1214" s="71"/>
      <c r="O1214" s="27" t="s">
        <v>380</v>
      </c>
      <c r="P1214" s="114" t="s">
        <v>302</v>
      </c>
      <c r="Q1214" s="114" t="s">
        <v>302</v>
      </c>
      <c r="R1214" s="114" t="s">
        <v>302</v>
      </c>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f t="shared" ref="B1215:C1215" si="3734">B1214</f>
        <v>58</v>
      </c>
      <c r="C1215" s="128">
        <f t="shared" si="3734"/>
        <v>1</v>
      </c>
      <c r="D1215" s="127">
        <f t="shared" si="3614"/>
        <v>58</v>
      </c>
      <c r="E1215" s="38" t="s">
        <v>313</v>
      </c>
      <c r="F1215" s="93"/>
      <c r="G1215" s="192"/>
      <c r="H1215" s="198"/>
      <c r="I1215" s="198"/>
      <c r="J1215" s="199"/>
      <c r="K1215" s="64"/>
      <c r="L1215" s="1" t="s">
        <v>2</v>
      </c>
      <c r="M1215" s="6" t="s">
        <v>288</v>
      </c>
      <c r="N1215" s="71"/>
      <c r="O1215" s="27" t="s">
        <v>381</v>
      </c>
      <c r="P1215" s="182" t="s">
        <v>662</v>
      </c>
      <c r="Q1215" s="182" t="s">
        <v>663</v>
      </c>
      <c r="R1215" s="182" t="s">
        <v>664</v>
      </c>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f t="shared" ref="B1216:C1216" si="3735">B1214</f>
        <v>58</v>
      </c>
      <c r="C1216" s="128">
        <f t="shared" si="3735"/>
        <v>1</v>
      </c>
      <c r="D1216" s="127">
        <f t="shared" si="3614"/>
        <v>58</v>
      </c>
      <c r="E1216" s="200">
        <f t="shared" ref="E1216" si="3736">C1212</f>
        <v>1</v>
      </c>
      <c r="F1216" s="93"/>
      <c r="G1216" s="202" t="s">
        <v>304</v>
      </c>
      <c r="H1216" s="204"/>
      <c r="I1216" s="205"/>
      <c r="J1216" s="205"/>
      <c r="K1216" s="67"/>
      <c r="L1216" s="28" t="s">
        <v>303</v>
      </c>
      <c r="M1216" s="133">
        <f t="shared" ref="M1216" si="3737">IFERROR(INDEX(I1218:I1230,MATCH(MAX(J1218:J1230),J1218:J1230,0)),"")</f>
        <v>0.2354694988366105</v>
      </c>
      <c r="N1216" s="71"/>
      <c r="O1216" s="27" t="s">
        <v>18</v>
      </c>
      <c r="P1216" s="106">
        <f>IF(P1212="","",
IF(OR(P1214="Orçamento",P1213="",MAX('Tabela de Apoio'!$A:$A)&lt;=P1213),
P1212,
(INDEX('Tabela de Apoio'!$B:$B,MATCH('MAPA DE PREÇOS'!$O$8,'Tabela de Apoio'!$A:$A,1))/INDEX('Tabela de Apoio'!$B:$B,MATCH('MAPA DE PREÇOS'!P1213,'Tabela de Apoio'!$A:$A,1)-1))*P1212))</f>
        <v>84.27</v>
      </c>
      <c r="Q1216" s="106">
        <f>IF(Q1212="","",
IF(OR(Q1214="Orçamento",Q1213="",MAX('Tabela de Apoio'!$A:$A)&lt;=Q1213),
Q1212,
(INDEX('Tabela de Apoio'!$B:$B,MATCH('MAPA DE PREÇOS'!$O$8,'Tabela de Apoio'!$A:$A,1))/INDEX('Tabela de Apoio'!$B:$B,MATCH('MAPA DE PREÇOS'!Q1213,'Tabela de Apoio'!$A:$A,1)-1))*Q1212))</f>
        <v>81</v>
      </c>
      <c r="R1216" s="106">
        <f>IF(R1212="","",
IF(OR(R1214="Orçamento",R1213="",MAX('Tabela de Apoio'!$A:$A)&lt;=R1213),
R1212,
(INDEX('Tabela de Apoio'!$B:$B,MATCH('MAPA DE PREÇOS'!$O$8,'Tabela de Apoio'!$A:$A,1))/INDEX('Tabela de Apoio'!$B:$B,MATCH('MAPA DE PREÇOS'!R1213,'Tabela de Apoio'!$A:$A,1)-1))*R1212))</f>
        <v>132.06</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f t="shared" ref="B1217" si="3738">B1216</f>
        <v>58</v>
      </c>
      <c r="C1217" s="128">
        <f t="shared" ref="C1217" si="3739">C1216</f>
        <v>1</v>
      </c>
      <c r="D1217" s="127">
        <f t="shared" si="3614"/>
        <v>58</v>
      </c>
      <c r="E1217" s="201"/>
      <c r="F1217" s="93"/>
      <c r="G1217" s="203"/>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f t="shared" ref="B1218:C1218" si="3740">B1217</f>
        <v>58</v>
      </c>
      <c r="C1218" s="128">
        <f t="shared" si="3740"/>
        <v>1</v>
      </c>
      <c r="D1218" s="127">
        <f t="shared" si="3614"/>
        <v>58</v>
      </c>
      <c r="E1218" s="201"/>
      <c r="F1218" s="93"/>
      <c r="G1218" s="203"/>
      <c r="H1218" s="134">
        <f t="shared" ref="H1218" si="3741">COUNT($P1218:$XX1218)</f>
        <v>3</v>
      </c>
      <c r="I1218" s="132">
        <f t="shared" ref="I1218" si="3742">_xlfn.STDEV.P($P1217:$XX1218)/AVERAGE($P1217:$XX1218)</f>
        <v>0.2354694988366105</v>
      </c>
      <c r="J1218" s="7">
        <f>ROW()</f>
        <v>1218</v>
      </c>
      <c r="K1218" s="67"/>
      <c r="L1218" s="29" t="s">
        <v>10</v>
      </c>
      <c r="M1218" s="30">
        <f t="shared" ref="M1218" si="3743">IFERROR(
IF(COUNTA(P1212:AI1212)=COUNTIF(P1214:XX1214,"Orçamento"),MIN(M1223,M1220),
IF(M1221&lt;&gt;"",M1221,
IF(M1222&lt;&gt;"",M1222,
M1220
))),"")</f>
        <v>99.11</v>
      </c>
      <c r="N1218" s="71"/>
      <c r="O1218" s="27" t="s">
        <v>376</v>
      </c>
      <c r="P1218" s="106">
        <f t="shared" ref="P1218:AI1218" si="3744">IFERROR(IF(P1216="",
            "",
            IF(COUNT($P1216:$XX1216)&lt;=4,
               P1216,
               IF(OR(P1216&gt;(QUARTILE($P1216:$XX1216,3)+(QUARTILE($P1216:$XX1216,3)-QUARTILE($P1216:$XX1216,1))),
                     P1216&lt;(QUARTILE($P1216:$XX1216,1)-(QUARTILE($P1216:$XX1216,3)-QUARTILE($P1216:$XX1216,1)))
                  ),
               "DESCARTADO",P1216)
             )
  ),P1216)</f>
        <v>84.27</v>
      </c>
      <c r="Q1218" s="106">
        <f t="shared" si="3744"/>
        <v>81</v>
      </c>
      <c r="R1218" s="106">
        <f t="shared" si="3744"/>
        <v>132.06</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f t="shared" ref="B1219" si="3745">B1218</f>
        <v>58</v>
      </c>
      <c r="C1219" s="128">
        <f t="shared" ref="C1219" si="3746">C1218</f>
        <v>1</v>
      </c>
      <c r="D1219" s="127">
        <f t="shared" si="3614"/>
        <v>58</v>
      </c>
      <c r="E1219" s="201"/>
      <c r="F1219" s="93"/>
      <c r="G1219" s="203"/>
      <c r="H1219"/>
      <c r="I1219"/>
      <c r="J1219"/>
      <c r="K1219" s="66"/>
      <c r="L1219" s="29" t="s">
        <v>360</v>
      </c>
      <c r="M1219" s="30">
        <f t="shared" ref="M1219" si="3747">AVERAGE($P1218:$XX1218)</f>
        <v>99.11</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f t="shared" si="3613"/>
        <v>58</v>
      </c>
      <c r="C1220" s="128">
        <f t="shared" si="3614"/>
        <v>1</v>
      </c>
      <c r="D1220" s="127">
        <f t="shared" si="3614"/>
        <v>58</v>
      </c>
      <c r="E1220" s="201"/>
      <c r="F1220" s="93"/>
      <c r="G1220" s="203"/>
      <c r="H1220" s="134">
        <f t="shared" ref="H1220" si="3749">COUNT($P1220:$XX1220)</f>
        <v>3</v>
      </c>
      <c r="I1220" s="132">
        <f t="shared" ref="I1220" si="3750">_xlfn.STDEV.P($P1219:$XX1220)/AVERAGE($P1219:$XX1220)</f>
        <v>0.2354694988366105</v>
      </c>
      <c r="J1220" s="7">
        <f t="shared" ref="J1220" si="3751">IF(AND(H1220&gt;2,
OR(L1212="MÉDIA SANEADA",L1212="MEDIANA SANEADA",
AND(L1212="PREÇO ESTIMADO",NOT(AND(P1214="Orçamento",COUNTA(P1212:XX1212)=COUNTIF(P1214:XX1214,"Orçamento")))))),
ROW(),0)</f>
        <v>1220</v>
      </c>
      <c r="K1220" s="66"/>
      <c r="L1220" s="29" t="s">
        <v>361</v>
      </c>
      <c r="M1220" s="30">
        <f t="shared" ref="M1220" si="3752">MEDIAN($P1218:$XX1218)</f>
        <v>84.27</v>
      </c>
      <c r="N1220" s="71"/>
      <c r="O1220" s="27" t="str">
        <f t="shared" ref="O1220" si="3753">"1 RODADA"</f>
        <v>1 RODADA</v>
      </c>
      <c r="P1220" s="107">
        <f t="shared" ref="P1220:AI1220" si="3754">IF(P1218="","",IF((_xlfn.STDEV.P($P1217:$XX1218)/AVERAGE($P1217:$XX1218))&lt;=25%,P1218,IF(OR(P1218&gt;(AVERAGE($P1217:$XX1218)+_xlfn.STDEV.P($P1217:$XX1218)),P1218&lt;(AVERAGE($P1217:$XX1218)-_xlfn.STDEV.P($P1217:$XX1218))),"DESCARTADO",P1218)))</f>
        <v>84.27</v>
      </c>
      <c r="Q1220" s="107">
        <f t="shared" si="3754"/>
        <v>81</v>
      </c>
      <c r="R1220" s="107">
        <f t="shared" si="3754"/>
        <v>132.06</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f t="shared" si="3613"/>
        <v>58</v>
      </c>
      <c r="C1221" s="128">
        <f t="shared" si="3614"/>
        <v>1</v>
      </c>
      <c r="D1221" s="127">
        <f t="shared" si="3614"/>
        <v>58</v>
      </c>
      <c r="E1221" s="201"/>
      <c r="F1221" s="93"/>
      <c r="G1221" s="203"/>
      <c r="H1221"/>
      <c r="I1221"/>
      <c r="J1221"/>
      <c r="L1221" s="29" t="s">
        <v>38</v>
      </c>
      <c r="M1221" s="30">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99.11</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f t="shared" si="3613"/>
        <v>58</v>
      </c>
      <c r="C1222" s="128">
        <f t="shared" si="3614"/>
        <v>1</v>
      </c>
      <c r="D1222" s="127">
        <f t="shared" si="3614"/>
        <v>58</v>
      </c>
      <c r="E1222" s="201"/>
      <c r="F1222" s="93"/>
      <c r="G1222" s="203"/>
      <c r="H1222" s="134">
        <f t="shared" ref="H1222" si="3757">COUNT($P1222:$XX1222)</f>
        <v>3</v>
      </c>
      <c r="I1222" s="132">
        <f t="shared" ref="I1222" si="3758">_xlfn.STDEV.P($P1221:$XX1222)/AVERAGE($P1221:$XX1222)</f>
        <v>0.2354694988366105</v>
      </c>
      <c r="J1222" s="7">
        <f t="shared" ref="J1222" si="3759">IF(AND(H1222&gt;2,
OR(L1212="MÉDIA SANEADA",L1212="MEDIANA SANEADA",
AND(L1212="PREÇO ESTIMADO",NOT(AND(P1214="Orçamento",COUNTA(P1212:XX1212)=COUNTIF(P1214:XX1214,"Orçamento")))))),
ROW(),0)</f>
        <v>1222</v>
      </c>
      <c r="K1222" s="66"/>
      <c r="L1222" s="29" t="s">
        <v>362</v>
      </c>
      <c r="M1222" s="30">
        <f t="shared" ref="M1222" si="3760" xml:space="preserve">
IF(H1220&gt;2,MEDIAN(P1219:XX1220),
IF(H1222&gt;2,MEDIAN(P1221:XX1222),
IF(H1224&gt;2,MEDIAN(P1223:XX1224),
IF(H1226&gt;2,MEDIAN(P1225:XX1226),
IF(H1228&gt;2,MEDIAN(P1227:XX1228),
IF(H1230&gt;2,MEDIAN(P1229:XX1230),
MEDIAN(P1217:XX1218)))))))</f>
        <v>84.27</v>
      </c>
      <c r="N1222" s="71"/>
      <c r="O1222" s="27" t="str">
        <f t="shared" ref="O1222" si="3761">"2 RODADA"</f>
        <v>2 RODADA</v>
      </c>
      <c r="P1222" s="107">
        <f t="shared" ref="P1222:AI1222" si="3762">IF(P1220="","",IF((_xlfn.STDEV.P($P1219:$XX1220)/AVERAGE($P1219:$XX1220))&lt;=25%,P1220,IF(OR(P1220&gt;(AVERAGE($P1219:$XX1220)+_xlfn.STDEV.P($P1219:$XX1220)),P1220&lt;(AVERAGE($P1219:$XX1220)-_xlfn.STDEV.P($P1219:$XX1220))),"DESCARTADO",P1220)))</f>
        <v>84.27</v>
      </c>
      <c r="Q1222" s="107">
        <f t="shared" si="3762"/>
        <v>81</v>
      </c>
      <c r="R1222" s="107">
        <f t="shared" si="3762"/>
        <v>132.06</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f t="shared" si="3613"/>
        <v>58</v>
      </c>
      <c r="C1223" s="128">
        <f t="shared" si="3614"/>
        <v>1</v>
      </c>
      <c r="D1223" s="127">
        <f t="shared" si="3614"/>
        <v>58</v>
      </c>
      <c r="E1223" s="201"/>
      <c r="F1223" s="93"/>
      <c r="G1223" s="203"/>
      <c r="H1223"/>
      <c r="I1223"/>
      <c r="J1223"/>
      <c r="K1223" s="66"/>
      <c r="L1223" s="29" t="s">
        <v>359</v>
      </c>
      <c r="M1223" s="30">
        <f t="shared" ref="M1223" si="3763">HARMEAN($P1217:$XX1218)</f>
        <v>94.385290202412321</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f t="shared" si="3613"/>
        <v>58</v>
      </c>
      <c r="C1224" s="128">
        <f t="shared" si="3614"/>
        <v>1</v>
      </c>
      <c r="D1224" s="127">
        <f t="shared" si="3614"/>
        <v>58</v>
      </c>
      <c r="E1224" s="201"/>
      <c r="F1224" s="93"/>
      <c r="G1224" s="203"/>
      <c r="H1224" s="134">
        <f t="shared" ref="H1224" si="3765">COUNT($P1224:$XX1224)</f>
        <v>3</v>
      </c>
      <c r="I1224" s="132">
        <f t="shared" ref="I1224" si="3766">_xlfn.STDEV.P($P1223:$XX1224)/AVERAGE($P1223:$XX1224)</f>
        <v>0.2354694988366105</v>
      </c>
      <c r="J1224" s="7">
        <f t="shared" ref="J1224" si="3767">IF(AND(H1224&gt;2,
OR(L1212="MÉDIA SANEADA",L1212="MEDIANA SANEADA",
AND(L1212="PREÇO ESTIMADO",NOT(AND(P1214="Orçamento",COUNTA(P1212:XX1212)=COUNTIF(P1214:XX1214,"Orçamento")))))),
ROW(),0)</f>
        <v>1224</v>
      </c>
      <c r="K1224" s="66"/>
      <c r="L1224" s="29" t="s">
        <v>41</v>
      </c>
      <c r="M1224" s="30">
        <f t="shared" ref="M1224" si="3768">IFERROR(_xlfn.QUARTILE.EXC($P1218:$XX1218,1),"")</f>
        <v>81</v>
      </c>
      <c r="N1224" s="71"/>
      <c r="O1224" s="27" t="str">
        <f t="shared" ref="O1224" si="3769">"3 RODADA"</f>
        <v>3 RODADA</v>
      </c>
      <c r="P1224" s="107">
        <f t="shared" ref="P1224:AI1224" si="3770">IF(P1222="","",IF((_xlfn.STDEV.P($P1221:$XX1222)/AVERAGE($P1221:$XX1222))&lt;=25%,P1222,IF(OR(P1222&gt;(AVERAGE($P1221:$XX1222)+_xlfn.STDEV.P($P1221:$XX1222)),P1222&lt;(AVERAGE($P1221:$XX1222)-_xlfn.STDEV.P($P1221:$XX1222))),"DESCARTADO",P1222)))</f>
        <v>84.27</v>
      </c>
      <c r="Q1224" s="107">
        <f t="shared" si="3770"/>
        <v>81</v>
      </c>
      <c r="R1224" s="107">
        <f t="shared" si="3770"/>
        <v>132.06</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f t="shared" si="3613"/>
        <v>58</v>
      </c>
      <c r="C1225" s="128">
        <f t="shared" si="3614"/>
        <v>1</v>
      </c>
      <c r="D1225" s="127">
        <f t="shared" si="3614"/>
        <v>58</v>
      </c>
      <c r="E1225" s="201"/>
      <c r="F1225" s="93"/>
      <c r="G1225" s="203"/>
      <c r="H1225"/>
      <c r="I1225"/>
      <c r="J1225"/>
      <c r="K1225" s="66"/>
      <c r="L1225" s="29" t="s">
        <v>39</v>
      </c>
      <c r="M1225" s="30">
        <f t="shared" ref="M1225" si="3771">IFERROR(_xlfn.QUARTILE.EXC($P1218:$XX1218,3),"")</f>
        <v>132.06</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f t="shared" si="3613"/>
        <v>58</v>
      </c>
      <c r="C1226" s="128">
        <f t="shared" si="3614"/>
        <v>1</v>
      </c>
      <c r="D1226" s="127">
        <f t="shared" si="3614"/>
        <v>58</v>
      </c>
      <c r="E1226" s="201"/>
      <c r="F1226" s="93"/>
      <c r="G1226" s="203"/>
      <c r="H1226" s="134">
        <f t="shared" ref="H1226" si="3773">COUNT($P1226:$XX1226)</f>
        <v>3</v>
      </c>
      <c r="I1226" s="132">
        <f t="shared" ref="I1226" si="3774">_xlfn.STDEV.P($P1225:$XX1226)/AVERAGE($P1225:$XX1226)</f>
        <v>0.2354694988366105</v>
      </c>
      <c r="J1226" s="7">
        <f t="shared" ref="J1226" si="3775">IF(AND(H1226&gt;2,
OR(L1212="MÉDIA SANEADA",L1212="MEDIANA SANEADA",
AND(L1212="PREÇO ESTIMADO",NOT(AND(P1214="Orçamento",COUNTA(P1212:XX1212)=COUNTIF(P1214:XX1214,"Orçamento")))))),
ROW(),0)</f>
        <v>1226</v>
      </c>
      <c r="K1226" s="66"/>
      <c r="L1226" s="29" t="s">
        <v>42</v>
      </c>
      <c r="M1226" s="30">
        <f t="shared" ref="M1226" si="3776">MIN($P1218:$XX1218)</f>
        <v>81</v>
      </c>
      <c r="N1226" s="71"/>
      <c r="O1226" s="27" t="str">
        <f t="shared" ref="O1226" si="3777">"4 RODADA"</f>
        <v>4 RODADA</v>
      </c>
      <c r="P1226" s="107">
        <f t="shared" ref="P1226:AI1226" si="3778">IF(P1224="","",IF((_xlfn.STDEV.P($P1223:$XX1224)/AVERAGE($P1223:$XX1224))&lt;=25%,P1224,IF(OR(P1224&gt;(AVERAGE($P1223:$XX1224)+_xlfn.STDEV.P($P1223:$XX1224)),P1224&lt;(AVERAGE($P1223:$XX1224)-_xlfn.STDEV.P($P1223:$XX1224))),"DESCARTADO",P1224)))</f>
        <v>84.27</v>
      </c>
      <c r="Q1226" s="107">
        <f t="shared" si="3778"/>
        <v>81</v>
      </c>
      <c r="R1226" s="107">
        <f t="shared" si="3778"/>
        <v>132.06</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f t="shared" si="3613"/>
        <v>58</v>
      </c>
      <c r="C1227" s="128">
        <f t="shared" si="3614"/>
        <v>1</v>
      </c>
      <c r="D1227" s="127">
        <f t="shared" si="3614"/>
        <v>58</v>
      </c>
      <c r="E1227" s="201"/>
      <c r="F1227" s="93"/>
      <c r="G1227" s="203"/>
      <c r="H1227"/>
      <c r="I1227"/>
      <c r="J1227"/>
      <c r="K1227" s="66"/>
      <c r="L1227" s="29" t="s">
        <v>40</v>
      </c>
      <c r="M1227" s="30">
        <f t="shared" ref="M1227" si="3779">MAX($P1218:$XX1218)</f>
        <v>132.06</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f t="shared" si="3613"/>
        <v>58</v>
      </c>
      <c r="C1228" s="128">
        <f t="shared" si="3614"/>
        <v>1</v>
      </c>
      <c r="D1228" s="127">
        <f t="shared" si="3614"/>
        <v>58</v>
      </c>
      <c r="E1228" s="201"/>
      <c r="F1228" s="93"/>
      <c r="G1228" s="203"/>
      <c r="H1228" s="134">
        <f t="shared" ref="H1228" si="3781">COUNT($P1228:$XX1228)</f>
        <v>3</v>
      </c>
      <c r="I1228" s="132">
        <f t="shared" ref="I1228" si="3782">_xlfn.STDEV.P($P1227:$XX1228)/AVERAGE($P1227:$XX1228)</f>
        <v>0.2354694988366105</v>
      </c>
      <c r="J1228" s="7">
        <f t="shared" ref="J1228" si="3783">IF(AND(H1228&gt;2,
OR(L1212="MÉDIA SANEADA",L1212="MEDIANA SANEADA",
AND(L1212="PREÇO ESTIMADO",NOT(AND(P1214="Orçamento",COUNTA(P1212:XX1212)=COUNTIF(P1214:XX1214,"Orçamento")))))),
ROW(),0)</f>
        <v>1228</v>
      </c>
      <c r="K1228" s="66"/>
      <c r="N1228" s="71"/>
      <c r="O1228" s="27" t="str">
        <f t="shared" ref="O1228" si="3784">"5 RODADA"</f>
        <v>5 RODADA</v>
      </c>
      <c r="P1228" s="107">
        <f t="shared" ref="P1228:AI1228" si="3785">IF(P1226="","",IF((_xlfn.STDEV.P($P1225:$XX1226)/AVERAGE($P1225:$XX1226))&lt;=25%,P1226,IF(OR(P1226&gt;(AVERAGE($P1225:$XX1226)+_xlfn.STDEV.P($P1225:$XX1226)),P1226&lt;(AVERAGE($P1225:$XX1226)-_xlfn.STDEV.P($P1225:$XX1226))),"DESCARTADO",P1226)))</f>
        <v>84.27</v>
      </c>
      <c r="Q1228" s="107">
        <f t="shared" si="3785"/>
        <v>81</v>
      </c>
      <c r="R1228" s="107">
        <f t="shared" si="3785"/>
        <v>132.06</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f t="shared" si="3613"/>
        <v>58</v>
      </c>
      <c r="C1229" s="128">
        <f t="shared" si="3614"/>
        <v>1</v>
      </c>
      <c r="D1229" s="127">
        <f t="shared" si="3614"/>
        <v>58</v>
      </c>
      <c r="E1229" s="201"/>
      <c r="F1229" s="93"/>
      <c r="G1229" s="203"/>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f t="shared" si="3613"/>
        <v>58</v>
      </c>
      <c r="C1230" s="128">
        <f t="shared" si="3614"/>
        <v>1</v>
      </c>
      <c r="D1230" s="127">
        <f t="shared" si="3614"/>
        <v>58</v>
      </c>
      <c r="E1230" s="201"/>
      <c r="F1230" s="93"/>
      <c r="G1230" s="203"/>
      <c r="H1230" s="134">
        <f t="shared" ref="H1230" si="3787">COUNT($P1230:$XX1230)</f>
        <v>3</v>
      </c>
      <c r="I1230" s="132">
        <f t="shared" ref="I1230" si="3788">_xlfn.STDEV.P($P1229:$XX1230)/AVERAGE($P1229:$XX1230)</f>
        <v>0.2354694988366105</v>
      </c>
      <c r="J1230" s="7">
        <f t="shared" ref="J1230" si="3789">IF(AND(H1230&gt;2,
OR(L1212="MÉDIA SANEADA",L1212="MEDIANA SANEADA",
AND(L1212="PREÇO ESTIMADO",NOT(AND(P1214="Orçamento",COUNTA(P1212:XX1212)=COUNTIF(P1214:XX1214,"Orçamento")))))),
ROW(),0)</f>
        <v>1230</v>
      </c>
      <c r="N1230" s="71"/>
      <c r="O1230" s="27" t="str">
        <f t="shared" ref="O1230" si="3790">"6 RODADA"</f>
        <v>6 RODADA</v>
      </c>
      <c r="P1230" s="107">
        <f t="shared" ref="P1230:AI1230" si="3791">IFERROR(IF(P1228="","",IF((_xlfn.STDEV.P($P1227:$XX1228)/AVERAGE($P1227:$XX1228))&lt;=25%,P1228,IF(OR(P1228&gt;(AVERAGE($P1227:$XX1228)+_xlfn.STDEV.P($P1227:$XX1228)),P1228&lt;(AVERAGE($P1227:$XX1228)-_xlfn.STDEV.P($P1227:$XX1228))),"DESCARTADO",P1228))),)</f>
        <v>84.27</v>
      </c>
      <c r="Q1230" s="107">
        <f t="shared" si="3791"/>
        <v>81</v>
      </c>
      <c r="R1230" s="107">
        <f t="shared" si="3791"/>
        <v>132.06</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f t="shared" si="3613"/>
        <v>58</v>
      </c>
      <c r="C1231" s="128">
        <f t="shared" si="3614"/>
        <v>1</v>
      </c>
      <c r="D1231" s="127">
        <f t="shared" si="3614"/>
        <v>58</v>
      </c>
      <c r="E1231" s="201"/>
      <c r="F1231" s="136"/>
      <c r="G1231" s="203"/>
      <c r="H1231" s="206"/>
      <c r="I1231" s="206"/>
      <c r="J1231" s="207"/>
      <c r="K1231" s="67"/>
      <c r="L1231" s="1" t="s">
        <v>43</v>
      </c>
      <c r="M1231" s="143">
        <f t="shared" ref="M1231" si="3792">IFERROR(ROUND(M1212*M1214,2),"")</f>
        <v>99.11</v>
      </c>
      <c r="O1231" s="27" t="s">
        <v>363</v>
      </c>
      <c r="P1231" s="107">
        <f t="shared" ref="P1231:AI1252" si="3793">INDEX(P1218:P1230,MATCH(MAX($J1218:$J1230),$J1218:$J1230,0))</f>
        <v>84.27</v>
      </c>
      <c r="Q1231" s="107">
        <f t="shared" si="3793"/>
        <v>81</v>
      </c>
      <c r="R1231" s="107">
        <f t="shared" si="3793"/>
        <v>132.06</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f t="shared" ref="B1233" si="3794">LARGE(IFERROR(IF(B1231+1&gt;$H$8,"",B1231+1),""),1)</f>
        <v>59</v>
      </c>
      <c r="C1233" s="127">
        <f>IF(_xlfn.ISFORMULA(E1237),MAX(INDEX('BASE FORMAÇÃO'!A:A,B1233+1),1),E1237)</f>
        <v>1</v>
      </c>
      <c r="D1233" s="127">
        <f t="shared" ref="D1233" si="3795">IFERROR(IF(C1233=C1223,D1223+1,1),1)</f>
        <v>59</v>
      </c>
      <c r="E1233" s="38" t="s">
        <v>9</v>
      </c>
      <c r="F1233" s="73"/>
      <c r="G1233" s="38" t="s">
        <v>15</v>
      </c>
      <c r="H1233" s="135">
        <f>INDEX('BASE FORMAÇÃO'!B:B,B1233+1)</f>
        <v>0</v>
      </c>
      <c r="I1233" s="181" t="s">
        <v>16</v>
      </c>
      <c r="J1233" s="6">
        <f>INDEX('BASE FORMAÇÃO'!K:K,B1233+1)</f>
        <v>0</v>
      </c>
      <c r="K1233" s="65"/>
      <c r="L1233" s="184" t="s">
        <v>10</v>
      </c>
      <c r="M1233" s="186">
        <f t="shared" ref="M1233" si="3796">IF(OR(ISBLANK($O$8),ISBLANK($O$7),ISBLANK($H$8),ISBLANK($O$6),ISBLANK($O$5),ISBLANK($H$5)),"",IFERROR(IF(VLOOKUP(L1233,L1239:M1248,2,FALSE)&lt;1,ROUND(VLOOKUP(L1233,L1239:M1248,2,FALSE),4),ROUND(VLOOKUP(L1233,L1239:M1248,2,FALSE),2)),""))</f>
        <v>31.63</v>
      </c>
      <c r="N1233" s="69"/>
      <c r="O1233" s="27" t="s">
        <v>17</v>
      </c>
      <c r="P1233" s="113">
        <v>32.99</v>
      </c>
      <c r="Q1233" s="113">
        <v>32.99</v>
      </c>
      <c r="R1233" s="113">
        <v>28.9</v>
      </c>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f t="shared" ref="B1234:D1234" si="3797">B1233</f>
        <v>59</v>
      </c>
      <c r="C1234" s="128">
        <f t="shared" si="3797"/>
        <v>1</v>
      </c>
      <c r="D1234" s="127">
        <f t="shared" si="3797"/>
        <v>59</v>
      </c>
      <c r="E1234" s="188">
        <f t="shared" ref="E1234" si="3798">D1233</f>
        <v>59</v>
      </c>
      <c r="F1234" s="92"/>
      <c r="G1234" s="190" t="s">
        <v>1</v>
      </c>
      <c r="H1234" s="193" t="s">
        <v>665</v>
      </c>
      <c r="I1234" s="194"/>
      <c r="J1234" s="195"/>
      <c r="K1234" s="66"/>
      <c r="L1234" s="185"/>
      <c r="M1234" s="187"/>
      <c r="N1234" s="70"/>
      <c r="O1234" s="27" t="s">
        <v>13</v>
      </c>
      <c r="P1234" s="122">
        <v>46196</v>
      </c>
      <c r="Q1234" s="122">
        <v>46196</v>
      </c>
      <c r="R1234" s="122">
        <v>46196</v>
      </c>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f t="shared" ref="B1235:D1235" si="3799">B1234</f>
        <v>59</v>
      </c>
      <c r="C1235" s="128">
        <f t="shared" si="3799"/>
        <v>1</v>
      </c>
      <c r="D1235" s="127">
        <f t="shared" si="3799"/>
        <v>59</v>
      </c>
      <c r="E1235" s="189"/>
      <c r="F1235" s="93"/>
      <c r="G1235" s="191"/>
      <c r="H1235" s="196"/>
      <c r="I1235" s="196"/>
      <c r="J1235" s="197"/>
      <c r="K1235" s="64"/>
      <c r="L1235" s="130" t="s">
        <v>44</v>
      </c>
      <c r="M1235" s="131">
        <v>2</v>
      </c>
      <c r="N1235" s="71"/>
      <c r="O1235" s="27" t="s">
        <v>380</v>
      </c>
      <c r="P1235" s="114" t="s">
        <v>302</v>
      </c>
      <c r="Q1235" s="114" t="s">
        <v>302</v>
      </c>
      <c r="R1235" s="114" t="s">
        <v>302</v>
      </c>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f t="shared" ref="B1236:C1236" si="3800">B1235</f>
        <v>59</v>
      </c>
      <c r="C1236" s="128">
        <f t="shared" si="3800"/>
        <v>1</v>
      </c>
      <c r="D1236" s="127">
        <f t="shared" si="3614"/>
        <v>59</v>
      </c>
      <c r="E1236" s="38" t="s">
        <v>313</v>
      </c>
      <c r="F1236" s="93"/>
      <c r="G1236" s="192"/>
      <c r="H1236" s="198"/>
      <c r="I1236" s="198"/>
      <c r="J1236" s="199"/>
      <c r="K1236" s="64"/>
      <c r="L1236" s="1" t="s">
        <v>2</v>
      </c>
      <c r="M1236" s="6" t="s">
        <v>288</v>
      </c>
      <c r="N1236" s="71"/>
      <c r="O1236" s="27" t="s">
        <v>381</v>
      </c>
      <c r="P1236" s="182" t="s">
        <v>666</v>
      </c>
      <c r="Q1236" s="182" t="s">
        <v>667</v>
      </c>
      <c r="R1236" s="182" t="s">
        <v>668</v>
      </c>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f t="shared" ref="B1237:C1237" si="3801">B1235</f>
        <v>59</v>
      </c>
      <c r="C1237" s="128">
        <f t="shared" si="3801"/>
        <v>1</v>
      </c>
      <c r="D1237" s="127">
        <f t="shared" si="3614"/>
        <v>59</v>
      </c>
      <c r="E1237" s="200">
        <f t="shared" ref="E1237" si="3802">C1233</f>
        <v>1</v>
      </c>
      <c r="F1237" s="93"/>
      <c r="G1237" s="202" t="s">
        <v>304</v>
      </c>
      <c r="H1237" s="204"/>
      <c r="I1237" s="205"/>
      <c r="J1237" s="205"/>
      <c r="K1237" s="67"/>
      <c r="L1237" s="28" t="s">
        <v>303</v>
      </c>
      <c r="M1237" s="133">
        <f t="shared" ref="M1237" si="3803">IFERROR(INDEX(I1239:I1251,MATCH(MAX(J1239:J1251),J1239:J1251,0)),"")</f>
        <v>6.0962620890661512E-2</v>
      </c>
      <c r="N1237" s="71"/>
      <c r="O1237" s="27" t="s">
        <v>18</v>
      </c>
      <c r="P1237" s="106">
        <f>IF(P1233="","",
IF(OR(P1235="Orçamento",P1234="",MAX('Tabela de Apoio'!$A:$A)&lt;=P1234),
P1233,
(INDEX('Tabela de Apoio'!$B:$B,MATCH('MAPA DE PREÇOS'!$O$8,'Tabela de Apoio'!$A:$A,1))/INDEX('Tabela de Apoio'!$B:$B,MATCH('MAPA DE PREÇOS'!P1234,'Tabela de Apoio'!$A:$A,1)-1))*P1233))</f>
        <v>32.99</v>
      </c>
      <c r="Q1237" s="106">
        <f>IF(Q1233="","",
IF(OR(Q1235="Orçamento",Q1234="",MAX('Tabela de Apoio'!$A:$A)&lt;=Q1234),
Q1233,
(INDEX('Tabela de Apoio'!$B:$B,MATCH('MAPA DE PREÇOS'!$O$8,'Tabela de Apoio'!$A:$A,1))/INDEX('Tabela de Apoio'!$B:$B,MATCH('MAPA DE PREÇOS'!Q1234,'Tabela de Apoio'!$A:$A,1)-1))*Q1233))</f>
        <v>32.99</v>
      </c>
      <c r="R1237" s="106">
        <f>IF(R1233="","",
IF(OR(R1235="Orçamento",R1234="",MAX('Tabela de Apoio'!$A:$A)&lt;=R1234),
R1233,
(INDEX('Tabela de Apoio'!$B:$B,MATCH('MAPA DE PREÇOS'!$O$8,'Tabela de Apoio'!$A:$A,1))/INDEX('Tabela de Apoio'!$B:$B,MATCH('MAPA DE PREÇOS'!R1234,'Tabela de Apoio'!$A:$A,1)-1))*R1233))</f>
        <v>28.9</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f t="shared" ref="B1238" si="3804">B1237</f>
        <v>59</v>
      </c>
      <c r="C1238" s="128">
        <f t="shared" ref="C1238" si="3805">C1237</f>
        <v>1</v>
      </c>
      <c r="D1238" s="127">
        <f t="shared" si="3614"/>
        <v>59</v>
      </c>
      <c r="E1238" s="201"/>
      <c r="F1238" s="93"/>
      <c r="G1238" s="203"/>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f t="shared" ref="B1239:C1239" si="3806">B1238</f>
        <v>59</v>
      </c>
      <c r="C1239" s="128">
        <f t="shared" si="3806"/>
        <v>1</v>
      </c>
      <c r="D1239" s="127">
        <f t="shared" si="3614"/>
        <v>59</v>
      </c>
      <c r="E1239" s="201"/>
      <c r="F1239" s="93"/>
      <c r="G1239" s="203"/>
      <c r="H1239" s="134">
        <f t="shared" ref="H1239" si="3807">COUNT($P1239:$XX1239)</f>
        <v>3</v>
      </c>
      <c r="I1239" s="132">
        <f t="shared" ref="I1239" si="3808">_xlfn.STDEV.P($P1238:$XX1239)/AVERAGE($P1238:$XX1239)</f>
        <v>6.0962620890661512E-2</v>
      </c>
      <c r="J1239" s="7">
        <f>ROW()</f>
        <v>1239</v>
      </c>
      <c r="K1239" s="67"/>
      <c r="L1239" s="29" t="s">
        <v>10</v>
      </c>
      <c r="M1239" s="30">
        <f t="shared" ref="M1239" si="3809">IFERROR(
IF(COUNTA(P1233:AI1233)=COUNTIF(P1235:XX1235,"Orçamento"),MIN(M1244,M1241),
IF(M1242&lt;&gt;"",M1242,
IF(M1243&lt;&gt;"",M1243,
M1241
))),"")</f>
        <v>31.626666666666665</v>
      </c>
      <c r="N1239" s="71"/>
      <c r="O1239" s="27" t="s">
        <v>376</v>
      </c>
      <c r="P1239" s="106">
        <f t="shared" ref="P1239:AI1239" si="3810">IFERROR(IF(P1237="",
            "",
            IF(COUNT($P1237:$XX1237)&lt;=4,
               P1237,
               IF(OR(P1237&gt;(QUARTILE($P1237:$XX1237,3)+(QUARTILE($P1237:$XX1237,3)-QUARTILE($P1237:$XX1237,1))),
                     P1237&lt;(QUARTILE($P1237:$XX1237,1)-(QUARTILE($P1237:$XX1237,3)-QUARTILE($P1237:$XX1237,1)))
                  ),
               "DESCARTADO",P1237)
             )
  ),P1237)</f>
        <v>32.99</v>
      </c>
      <c r="Q1239" s="106">
        <f t="shared" si="3810"/>
        <v>32.99</v>
      </c>
      <c r="R1239" s="106">
        <f t="shared" si="3810"/>
        <v>28.9</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f t="shared" ref="B1240:B1294" si="3811">B1239</f>
        <v>59</v>
      </c>
      <c r="C1240" s="128">
        <f t="shared" ref="C1240:D1303" si="3812">C1239</f>
        <v>1</v>
      </c>
      <c r="D1240" s="127">
        <f t="shared" si="3614"/>
        <v>59</v>
      </c>
      <c r="E1240" s="201"/>
      <c r="F1240" s="93"/>
      <c r="G1240" s="203"/>
      <c r="H1240"/>
      <c r="I1240"/>
      <c r="J1240"/>
      <c r="K1240" s="66"/>
      <c r="L1240" s="29" t="s">
        <v>360</v>
      </c>
      <c r="M1240" s="30">
        <f t="shared" ref="M1240" si="3813">AVERAGE($P1239:$XX1239)</f>
        <v>31.626666666666665</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f t="shared" si="3811"/>
        <v>59</v>
      </c>
      <c r="C1241" s="128">
        <f t="shared" si="3812"/>
        <v>1</v>
      </c>
      <c r="D1241" s="127">
        <f t="shared" si="3812"/>
        <v>59</v>
      </c>
      <c r="E1241" s="201"/>
      <c r="F1241" s="93"/>
      <c r="G1241" s="203"/>
      <c r="H1241" s="134">
        <f t="shared" ref="H1241" si="3815">COUNT($P1241:$XX1241)</f>
        <v>3</v>
      </c>
      <c r="I1241" s="132">
        <f t="shared" ref="I1241" si="3816">_xlfn.STDEV.P($P1240:$XX1241)/AVERAGE($P1240:$XX1241)</f>
        <v>6.0962620890661512E-2</v>
      </c>
      <c r="J1241" s="7">
        <f t="shared" ref="J1241" si="3817">IF(AND(H1241&gt;2,
OR(L1233="MÉDIA SANEADA",L1233="MEDIANA SANEADA",
AND(L1233="PREÇO ESTIMADO",NOT(AND(P1235="Orçamento",COUNTA(P1233:XX1233)=COUNTIF(P1235:XX1235,"Orçamento")))))),
ROW(),0)</f>
        <v>1241</v>
      </c>
      <c r="K1241" s="66"/>
      <c r="L1241" s="29" t="s">
        <v>361</v>
      </c>
      <c r="M1241" s="30">
        <f t="shared" ref="M1241" si="3818">MEDIAN($P1239:$XX1239)</f>
        <v>32.99</v>
      </c>
      <c r="N1241" s="71"/>
      <c r="O1241" s="27" t="str">
        <f t="shared" ref="O1241" si="3819">"1 RODADA"</f>
        <v>1 RODADA</v>
      </c>
      <c r="P1241" s="107">
        <f t="shared" ref="P1241:AI1241" si="3820">IF(P1239="","",IF((_xlfn.STDEV.P($P1238:$XX1239)/AVERAGE($P1238:$XX1239))&lt;=25%,P1239,IF(OR(P1239&gt;(AVERAGE($P1238:$XX1239)+_xlfn.STDEV.P($P1238:$XX1239)),P1239&lt;(AVERAGE($P1238:$XX1239)-_xlfn.STDEV.P($P1238:$XX1239))),"DESCARTADO",P1239)))</f>
        <v>32.99</v>
      </c>
      <c r="Q1241" s="107">
        <f t="shared" si="3820"/>
        <v>32.99</v>
      </c>
      <c r="R1241" s="107">
        <f t="shared" si="3820"/>
        <v>28.9</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f t="shared" si="3811"/>
        <v>59</v>
      </c>
      <c r="C1242" s="128">
        <f t="shared" si="3812"/>
        <v>1</v>
      </c>
      <c r="D1242" s="127">
        <f t="shared" si="3812"/>
        <v>59</v>
      </c>
      <c r="E1242" s="201"/>
      <c r="F1242" s="93"/>
      <c r="G1242" s="203"/>
      <c r="H1242"/>
      <c r="I1242"/>
      <c r="J1242"/>
      <c r="L1242" s="29" t="s">
        <v>38</v>
      </c>
      <c r="M1242" s="30">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31.626666666666665</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f t="shared" si="3811"/>
        <v>59</v>
      </c>
      <c r="C1243" s="128">
        <f t="shared" si="3812"/>
        <v>1</v>
      </c>
      <c r="D1243" s="127">
        <f t="shared" si="3812"/>
        <v>59</v>
      </c>
      <c r="E1243" s="201"/>
      <c r="F1243" s="93"/>
      <c r="G1243" s="203"/>
      <c r="H1243" s="134">
        <f t="shared" ref="H1243" si="3823">COUNT($P1243:$XX1243)</f>
        <v>3</v>
      </c>
      <c r="I1243" s="132">
        <f t="shared" ref="I1243" si="3824">_xlfn.STDEV.P($P1242:$XX1243)/AVERAGE($P1242:$XX1243)</f>
        <v>6.0962620890661512E-2</v>
      </c>
      <c r="J1243" s="7">
        <f t="shared" ref="J1243" si="3825">IF(AND(H1243&gt;2,
OR(L1233="MÉDIA SANEADA",L1233="MEDIANA SANEADA",
AND(L1233="PREÇO ESTIMADO",NOT(AND(P1235="Orçamento",COUNTA(P1233:XX1233)=COUNTIF(P1235:XX1235,"Orçamento")))))),
ROW(),0)</f>
        <v>1243</v>
      </c>
      <c r="K1243" s="66"/>
      <c r="L1243" s="29" t="s">
        <v>362</v>
      </c>
      <c r="M1243" s="30">
        <f t="shared" ref="M1243" si="3826" xml:space="preserve">
IF(H1241&gt;2,MEDIAN(P1240:XX1241),
IF(H1243&gt;2,MEDIAN(P1242:XX1243),
IF(H1245&gt;2,MEDIAN(P1244:XX1245),
IF(H1247&gt;2,MEDIAN(P1246:XX1247),
IF(H1249&gt;2,MEDIAN(P1248:XX1249),
IF(H1251&gt;2,MEDIAN(P1250:XX1251),
MEDIAN(P1238:XX1239)))))))</f>
        <v>32.99</v>
      </c>
      <c r="N1243" s="71"/>
      <c r="O1243" s="27" t="str">
        <f t="shared" ref="O1243" si="3827">"2 RODADA"</f>
        <v>2 RODADA</v>
      </c>
      <c r="P1243" s="107">
        <f t="shared" ref="P1243:AI1243" si="3828">IF(P1241="","",IF((_xlfn.STDEV.P($P1240:$XX1241)/AVERAGE($P1240:$XX1241))&lt;=25%,P1241,IF(OR(P1241&gt;(AVERAGE($P1240:$XX1241)+_xlfn.STDEV.P($P1240:$XX1241)),P1241&lt;(AVERAGE($P1240:$XX1241)-_xlfn.STDEV.P($P1240:$XX1241))),"DESCARTADO",P1241)))</f>
        <v>32.99</v>
      </c>
      <c r="Q1243" s="107">
        <f t="shared" si="3828"/>
        <v>32.99</v>
      </c>
      <c r="R1243" s="107">
        <f t="shared" si="3828"/>
        <v>28.9</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f t="shared" si="3811"/>
        <v>59</v>
      </c>
      <c r="C1244" s="128">
        <f t="shared" si="3812"/>
        <v>1</v>
      </c>
      <c r="D1244" s="127">
        <f t="shared" si="3812"/>
        <v>59</v>
      </c>
      <c r="E1244" s="201"/>
      <c r="F1244" s="93"/>
      <c r="G1244" s="203"/>
      <c r="H1244"/>
      <c r="I1244"/>
      <c r="J1244"/>
      <c r="K1244" s="66"/>
      <c r="L1244" s="29" t="s">
        <v>359</v>
      </c>
      <c r="M1244" s="30">
        <f t="shared" ref="M1244" si="3829">HARMEAN($P1238:$XX1239)</f>
        <v>31.503833021257847</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f t="shared" si="3811"/>
        <v>59</v>
      </c>
      <c r="C1245" s="128">
        <f t="shared" si="3812"/>
        <v>1</v>
      </c>
      <c r="D1245" s="127">
        <f t="shared" si="3812"/>
        <v>59</v>
      </c>
      <c r="E1245" s="201"/>
      <c r="F1245" s="93"/>
      <c r="G1245" s="203"/>
      <c r="H1245" s="134">
        <f t="shared" ref="H1245" si="3831">COUNT($P1245:$XX1245)</f>
        <v>3</v>
      </c>
      <c r="I1245" s="132">
        <f t="shared" ref="I1245" si="3832">_xlfn.STDEV.P($P1244:$XX1245)/AVERAGE($P1244:$XX1245)</f>
        <v>6.0962620890661512E-2</v>
      </c>
      <c r="J1245" s="7">
        <f t="shared" ref="J1245" si="3833">IF(AND(H1245&gt;2,
OR(L1233="MÉDIA SANEADA",L1233="MEDIANA SANEADA",
AND(L1233="PREÇO ESTIMADO",NOT(AND(P1235="Orçamento",COUNTA(P1233:XX1233)=COUNTIF(P1235:XX1235,"Orçamento")))))),
ROW(),0)</f>
        <v>1245</v>
      </c>
      <c r="K1245" s="66"/>
      <c r="L1245" s="29" t="s">
        <v>41</v>
      </c>
      <c r="M1245" s="30">
        <f t="shared" ref="M1245" si="3834">IFERROR(_xlfn.QUARTILE.EXC($P1239:$XX1239,1),"")</f>
        <v>28.9</v>
      </c>
      <c r="N1245" s="71"/>
      <c r="O1245" s="27" t="str">
        <f t="shared" ref="O1245" si="3835">"3 RODADA"</f>
        <v>3 RODADA</v>
      </c>
      <c r="P1245" s="107">
        <f t="shared" ref="P1245:AI1245" si="3836">IF(P1243="","",IF((_xlfn.STDEV.P($P1242:$XX1243)/AVERAGE($P1242:$XX1243))&lt;=25%,P1243,IF(OR(P1243&gt;(AVERAGE($P1242:$XX1243)+_xlfn.STDEV.P($P1242:$XX1243)),P1243&lt;(AVERAGE($P1242:$XX1243)-_xlfn.STDEV.P($P1242:$XX1243))),"DESCARTADO",P1243)))</f>
        <v>32.99</v>
      </c>
      <c r="Q1245" s="107">
        <f t="shared" si="3836"/>
        <v>32.99</v>
      </c>
      <c r="R1245" s="107">
        <f t="shared" si="3836"/>
        <v>28.9</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f t="shared" si="3811"/>
        <v>59</v>
      </c>
      <c r="C1246" s="128">
        <f t="shared" si="3812"/>
        <v>1</v>
      </c>
      <c r="D1246" s="127">
        <f t="shared" si="3812"/>
        <v>59</v>
      </c>
      <c r="E1246" s="201"/>
      <c r="F1246" s="93"/>
      <c r="G1246" s="203"/>
      <c r="H1246"/>
      <c r="I1246"/>
      <c r="J1246"/>
      <c r="K1246" s="66"/>
      <c r="L1246" s="29" t="s">
        <v>39</v>
      </c>
      <c r="M1246" s="30">
        <f t="shared" ref="M1246" si="3837">IFERROR(_xlfn.QUARTILE.EXC($P1239:$XX1239,3),"")</f>
        <v>32.99</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f t="shared" si="3811"/>
        <v>59</v>
      </c>
      <c r="C1247" s="128">
        <f t="shared" si="3812"/>
        <v>1</v>
      </c>
      <c r="D1247" s="127">
        <f t="shared" si="3812"/>
        <v>59</v>
      </c>
      <c r="E1247" s="201"/>
      <c r="F1247" s="93"/>
      <c r="G1247" s="203"/>
      <c r="H1247" s="134">
        <f t="shared" ref="H1247" si="3839">COUNT($P1247:$XX1247)</f>
        <v>3</v>
      </c>
      <c r="I1247" s="132">
        <f t="shared" ref="I1247" si="3840">_xlfn.STDEV.P($P1246:$XX1247)/AVERAGE($P1246:$XX1247)</f>
        <v>6.0962620890661512E-2</v>
      </c>
      <c r="J1247" s="7">
        <f t="shared" ref="J1247" si="3841">IF(AND(H1247&gt;2,
OR(L1233="MÉDIA SANEADA",L1233="MEDIANA SANEADA",
AND(L1233="PREÇO ESTIMADO",NOT(AND(P1235="Orçamento",COUNTA(P1233:XX1233)=COUNTIF(P1235:XX1235,"Orçamento")))))),
ROW(),0)</f>
        <v>1247</v>
      </c>
      <c r="K1247" s="66"/>
      <c r="L1247" s="29" t="s">
        <v>42</v>
      </c>
      <c r="M1247" s="30">
        <f t="shared" ref="M1247" si="3842">MIN($P1239:$XX1239)</f>
        <v>28.9</v>
      </c>
      <c r="N1247" s="71"/>
      <c r="O1247" s="27" t="str">
        <f t="shared" ref="O1247" si="3843">"4 RODADA"</f>
        <v>4 RODADA</v>
      </c>
      <c r="P1247" s="107">
        <f t="shared" ref="P1247:AI1247" si="3844">IF(P1245="","",IF((_xlfn.STDEV.P($P1244:$XX1245)/AVERAGE($P1244:$XX1245))&lt;=25%,P1245,IF(OR(P1245&gt;(AVERAGE($P1244:$XX1245)+_xlfn.STDEV.P($P1244:$XX1245)),P1245&lt;(AVERAGE($P1244:$XX1245)-_xlfn.STDEV.P($P1244:$XX1245))),"DESCARTADO",P1245)))</f>
        <v>32.99</v>
      </c>
      <c r="Q1247" s="107">
        <f t="shared" si="3844"/>
        <v>32.99</v>
      </c>
      <c r="R1247" s="107">
        <f t="shared" si="3844"/>
        <v>28.9</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f t="shared" si="3811"/>
        <v>59</v>
      </c>
      <c r="C1248" s="128">
        <f t="shared" si="3812"/>
        <v>1</v>
      </c>
      <c r="D1248" s="127">
        <f t="shared" si="3812"/>
        <v>59</v>
      </c>
      <c r="E1248" s="201"/>
      <c r="F1248" s="93"/>
      <c r="G1248" s="203"/>
      <c r="H1248"/>
      <c r="I1248"/>
      <c r="J1248"/>
      <c r="K1248" s="66"/>
      <c r="L1248" s="29" t="s">
        <v>40</v>
      </c>
      <c r="M1248" s="30">
        <f t="shared" ref="M1248" si="3845">MAX($P1239:$XX1239)</f>
        <v>32.99</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f t="shared" si="3811"/>
        <v>59</v>
      </c>
      <c r="C1249" s="128">
        <f t="shared" si="3812"/>
        <v>1</v>
      </c>
      <c r="D1249" s="127">
        <f t="shared" si="3812"/>
        <v>59</v>
      </c>
      <c r="E1249" s="201"/>
      <c r="F1249" s="93"/>
      <c r="G1249" s="203"/>
      <c r="H1249" s="134">
        <f t="shared" ref="H1249" si="3847">COUNT($P1249:$XX1249)</f>
        <v>3</v>
      </c>
      <c r="I1249" s="132">
        <f t="shared" ref="I1249" si="3848">_xlfn.STDEV.P($P1248:$XX1249)/AVERAGE($P1248:$XX1249)</f>
        <v>6.0962620890661512E-2</v>
      </c>
      <c r="J1249" s="7">
        <f t="shared" ref="J1249" si="3849">IF(AND(H1249&gt;2,
OR(L1233="MÉDIA SANEADA",L1233="MEDIANA SANEADA",
AND(L1233="PREÇO ESTIMADO",NOT(AND(P1235="Orçamento",COUNTA(P1233:XX1233)=COUNTIF(P1235:XX1235,"Orçamento")))))),
ROW(),0)</f>
        <v>1249</v>
      </c>
      <c r="K1249" s="66"/>
      <c r="N1249" s="71"/>
      <c r="O1249" s="27" t="str">
        <f t="shared" ref="O1249" si="3850">"5 RODADA"</f>
        <v>5 RODADA</v>
      </c>
      <c r="P1249" s="107">
        <f t="shared" ref="P1249:AI1249" si="3851">IF(P1247="","",IF((_xlfn.STDEV.P($P1246:$XX1247)/AVERAGE($P1246:$XX1247))&lt;=25%,P1247,IF(OR(P1247&gt;(AVERAGE($P1246:$XX1247)+_xlfn.STDEV.P($P1246:$XX1247)),P1247&lt;(AVERAGE($P1246:$XX1247)-_xlfn.STDEV.P($P1246:$XX1247))),"DESCARTADO",P1247)))</f>
        <v>32.99</v>
      </c>
      <c r="Q1249" s="107">
        <f t="shared" si="3851"/>
        <v>32.99</v>
      </c>
      <c r="R1249" s="107">
        <f t="shared" si="3851"/>
        <v>28.9</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f t="shared" si="3811"/>
        <v>59</v>
      </c>
      <c r="C1250" s="128">
        <f t="shared" si="3812"/>
        <v>1</v>
      </c>
      <c r="D1250" s="127">
        <f t="shared" si="3812"/>
        <v>59</v>
      </c>
      <c r="E1250" s="201"/>
      <c r="F1250" s="93"/>
      <c r="G1250" s="203"/>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f t="shared" si="3811"/>
        <v>59</v>
      </c>
      <c r="C1251" s="128">
        <f t="shared" si="3812"/>
        <v>1</v>
      </c>
      <c r="D1251" s="127">
        <f t="shared" si="3812"/>
        <v>59</v>
      </c>
      <c r="E1251" s="201"/>
      <c r="F1251" s="93"/>
      <c r="G1251" s="203"/>
      <c r="H1251" s="134">
        <f t="shared" ref="H1251" si="3853">COUNT($P1251:$XX1251)</f>
        <v>3</v>
      </c>
      <c r="I1251" s="132">
        <f t="shared" ref="I1251" si="3854">_xlfn.STDEV.P($P1250:$XX1251)/AVERAGE($P1250:$XX1251)</f>
        <v>6.0962620890661512E-2</v>
      </c>
      <c r="J1251" s="7">
        <f t="shared" ref="J1251" si="3855">IF(AND(H1251&gt;2,
OR(L1233="MÉDIA SANEADA",L1233="MEDIANA SANEADA",
AND(L1233="PREÇO ESTIMADO",NOT(AND(P1235="Orçamento",COUNTA(P1233:XX1233)=COUNTIF(P1235:XX1235,"Orçamento")))))),
ROW(),0)</f>
        <v>1251</v>
      </c>
      <c r="N1251" s="71"/>
      <c r="O1251" s="27" t="str">
        <f t="shared" ref="O1251" si="3856">"6 RODADA"</f>
        <v>6 RODADA</v>
      </c>
      <c r="P1251" s="107">
        <f t="shared" ref="P1251:AI1251" si="3857">IFERROR(IF(P1249="","",IF((_xlfn.STDEV.P($P1248:$XX1249)/AVERAGE($P1248:$XX1249))&lt;=25%,P1249,IF(OR(P1249&gt;(AVERAGE($P1248:$XX1249)+_xlfn.STDEV.P($P1248:$XX1249)),P1249&lt;(AVERAGE($P1248:$XX1249)-_xlfn.STDEV.P($P1248:$XX1249))),"DESCARTADO",P1249))),)</f>
        <v>32.99</v>
      </c>
      <c r="Q1251" s="107">
        <f t="shared" si="3857"/>
        <v>32.99</v>
      </c>
      <c r="R1251" s="107">
        <f t="shared" si="3857"/>
        <v>28.9</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f t="shared" si="3811"/>
        <v>59</v>
      </c>
      <c r="C1252" s="128">
        <f t="shared" si="3812"/>
        <v>1</v>
      </c>
      <c r="D1252" s="127">
        <f t="shared" si="3812"/>
        <v>59</v>
      </c>
      <c r="E1252" s="201"/>
      <c r="F1252" s="136"/>
      <c r="G1252" s="203"/>
      <c r="H1252" s="206"/>
      <c r="I1252" s="206"/>
      <c r="J1252" s="207"/>
      <c r="K1252" s="67"/>
      <c r="L1252" s="1" t="s">
        <v>43</v>
      </c>
      <c r="M1252" s="143">
        <f t="shared" ref="M1252" si="3858">IFERROR(ROUND(M1233*M1235,2),"")</f>
        <v>63.26</v>
      </c>
      <c r="O1252" s="27" t="s">
        <v>363</v>
      </c>
      <c r="P1252" s="107">
        <f t="shared" ref="P1252:R1252" si="3859">INDEX(P1239:P1251,MATCH(MAX($J1239:$J1251),$J1239:$J1251,0))</f>
        <v>32.99</v>
      </c>
      <c r="Q1252" s="107">
        <f t="shared" si="3859"/>
        <v>32.99</v>
      </c>
      <c r="R1252" s="107">
        <f t="shared" si="3859"/>
        <v>28.9</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f t="shared" ref="B1254" si="3860">LARGE(IFERROR(IF(B1252+1&gt;$H$8,"",B1252+1),""),1)</f>
        <v>60</v>
      </c>
      <c r="C1254" s="127">
        <f>IF(_xlfn.ISFORMULA(E1258),MAX(INDEX('BASE FORMAÇÃO'!A:A,B1254+1),1),E1258)</f>
        <v>1</v>
      </c>
      <c r="D1254" s="127">
        <f t="shared" ref="D1254" si="3861">IFERROR(IF(C1254=C1244,D1244+1,1),1)</f>
        <v>60</v>
      </c>
      <c r="E1254" s="38" t="s">
        <v>9</v>
      </c>
      <c r="F1254" s="73"/>
      <c r="G1254" s="38" t="s">
        <v>15</v>
      </c>
      <c r="H1254" s="135">
        <f>INDEX('BASE FORMAÇÃO'!B:B,B1254+1)</f>
        <v>0</v>
      </c>
      <c r="I1254" s="181" t="s">
        <v>16</v>
      </c>
      <c r="J1254" s="6">
        <f>INDEX('BASE FORMAÇÃO'!K:K,B1254+1)</f>
        <v>0</v>
      </c>
      <c r="K1254" s="65"/>
      <c r="L1254" s="184" t="s">
        <v>10</v>
      </c>
      <c r="M1254" s="186">
        <f t="shared" ref="M1254" si="3862">IF(OR(ISBLANK($O$8),ISBLANK($O$7),ISBLANK($H$8),ISBLANK($O$6),ISBLANK($O$5),ISBLANK($H$5)),"",IFERROR(IF(VLOOKUP(L1254,L1260:M1269,2,FALSE)&lt;1,ROUND(VLOOKUP(L1254,L1260:M1269,2,FALSE),4),ROUND(VLOOKUP(L1254,L1260:M1269,2,FALSE),2)),""))</f>
        <v>68.97</v>
      </c>
      <c r="N1254" s="69"/>
      <c r="O1254" s="27" t="s">
        <v>17</v>
      </c>
      <c r="P1254" s="113">
        <v>69.900000000000006</v>
      </c>
      <c r="Q1254" s="113">
        <v>69</v>
      </c>
      <c r="R1254" s="113">
        <v>68</v>
      </c>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f t="shared" ref="B1255:D1255" si="3863">B1254</f>
        <v>60</v>
      </c>
      <c r="C1255" s="128">
        <f t="shared" si="3863"/>
        <v>1</v>
      </c>
      <c r="D1255" s="127">
        <f t="shared" si="3863"/>
        <v>60</v>
      </c>
      <c r="E1255" s="188">
        <f t="shared" ref="E1255" si="3864">D1254</f>
        <v>60</v>
      </c>
      <c r="F1255" s="92"/>
      <c r="G1255" s="190" t="s">
        <v>1</v>
      </c>
      <c r="H1255" s="193" t="s">
        <v>669</v>
      </c>
      <c r="I1255" s="194"/>
      <c r="J1255" s="195"/>
      <c r="K1255" s="66"/>
      <c r="L1255" s="185"/>
      <c r="M1255" s="187"/>
      <c r="N1255" s="70"/>
      <c r="O1255" s="27" t="s">
        <v>13</v>
      </c>
      <c r="P1255" s="122">
        <v>46196</v>
      </c>
      <c r="Q1255" s="122">
        <v>46196</v>
      </c>
      <c r="R1255" s="122">
        <v>46196</v>
      </c>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f t="shared" ref="B1256:D1256" si="3865">B1255</f>
        <v>60</v>
      </c>
      <c r="C1256" s="128">
        <f t="shared" si="3865"/>
        <v>1</v>
      </c>
      <c r="D1256" s="127">
        <f t="shared" si="3865"/>
        <v>60</v>
      </c>
      <c r="E1256" s="189"/>
      <c r="F1256" s="93"/>
      <c r="G1256" s="191"/>
      <c r="H1256" s="196"/>
      <c r="I1256" s="196"/>
      <c r="J1256" s="197"/>
      <c r="K1256" s="64"/>
      <c r="L1256" s="130" t="s">
        <v>44</v>
      </c>
      <c r="M1256" s="131">
        <v>1</v>
      </c>
      <c r="N1256" s="71"/>
      <c r="O1256" s="27" t="s">
        <v>380</v>
      </c>
      <c r="P1256" s="114" t="s">
        <v>302</v>
      </c>
      <c r="Q1256" s="114" t="s">
        <v>302</v>
      </c>
      <c r="R1256" s="114" t="s">
        <v>302</v>
      </c>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f t="shared" ref="B1257:C1257" si="3866">B1256</f>
        <v>60</v>
      </c>
      <c r="C1257" s="128">
        <f t="shared" si="3866"/>
        <v>1</v>
      </c>
      <c r="D1257" s="127">
        <f t="shared" si="3812"/>
        <v>60</v>
      </c>
      <c r="E1257" s="38" t="s">
        <v>313</v>
      </c>
      <c r="F1257" s="93"/>
      <c r="G1257" s="192"/>
      <c r="H1257" s="198"/>
      <c r="I1257" s="198"/>
      <c r="J1257" s="199"/>
      <c r="K1257" s="64"/>
      <c r="L1257" s="1" t="s">
        <v>2</v>
      </c>
      <c r="M1257" s="6" t="s">
        <v>288</v>
      </c>
      <c r="N1257" s="71"/>
      <c r="O1257" s="27" t="s">
        <v>381</v>
      </c>
      <c r="P1257" s="182" t="s">
        <v>670</v>
      </c>
      <c r="Q1257" s="182" t="s">
        <v>671</v>
      </c>
      <c r="R1257" s="182" t="s">
        <v>672</v>
      </c>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f t="shared" ref="B1258:C1258" si="3867">B1256</f>
        <v>60</v>
      </c>
      <c r="C1258" s="128">
        <f t="shared" si="3867"/>
        <v>1</v>
      </c>
      <c r="D1258" s="127">
        <f t="shared" si="3812"/>
        <v>60</v>
      </c>
      <c r="E1258" s="200">
        <f t="shared" ref="E1258" si="3868">C1254</f>
        <v>1</v>
      </c>
      <c r="F1258" s="93"/>
      <c r="G1258" s="202" t="s">
        <v>304</v>
      </c>
      <c r="H1258" s="204"/>
      <c r="I1258" s="205"/>
      <c r="J1258" s="205"/>
      <c r="K1258" s="67"/>
      <c r="L1258" s="28" t="s">
        <v>303</v>
      </c>
      <c r="M1258" s="133">
        <f t="shared" ref="M1258" si="3869">IFERROR(INDEX(I1260:I1272,MATCH(MAX(J1260:J1272),J1260:J1272,0)),"")</f>
        <v>1.1252244298523778E-2</v>
      </c>
      <c r="N1258" s="71"/>
      <c r="O1258" s="27" t="s">
        <v>18</v>
      </c>
      <c r="P1258" s="106">
        <f>IF(P1254="","",
IF(OR(P1256="Orçamento",P1255="",MAX('Tabela de Apoio'!$A:$A)&lt;=P1255),
P1254,
(INDEX('Tabela de Apoio'!$B:$B,MATCH('MAPA DE PREÇOS'!$O$8,'Tabela de Apoio'!$A:$A,1))/INDEX('Tabela de Apoio'!$B:$B,MATCH('MAPA DE PREÇOS'!P1255,'Tabela de Apoio'!$A:$A,1)-1))*P1254))</f>
        <v>69.900000000000006</v>
      </c>
      <c r="Q1258" s="106">
        <f>IF(Q1254="","",
IF(OR(Q1256="Orçamento",Q1255="",MAX('Tabela de Apoio'!$A:$A)&lt;=Q1255),
Q1254,
(INDEX('Tabela de Apoio'!$B:$B,MATCH('MAPA DE PREÇOS'!$O$8,'Tabela de Apoio'!$A:$A,1))/INDEX('Tabela de Apoio'!$B:$B,MATCH('MAPA DE PREÇOS'!Q1255,'Tabela de Apoio'!$A:$A,1)-1))*Q1254))</f>
        <v>69</v>
      </c>
      <c r="R1258" s="106">
        <f>IF(R1254="","",
IF(OR(R1256="Orçamento",R1255="",MAX('Tabela de Apoio'!$A:$A)&lt;=R1255),
R1254,
(INDEX('Tabela de Apoio'!$B:$B,MATCH('MAPA DE PREÇOS'!$O$8,'Tabela de Apoio'!$A:$A,1))/INDEX('Tabela de Apoio'!$B:$B,MATCH('MAPA DE PREÇOS'!R1255,'Tabela de Apoio'!$A:$A,1)-1))*R1254))</f>
        <v>68</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f t="shared" ref="B1259" si="3870">B1258</f>
        <v>60</v>
      </c>
      <c r="C1259" s="128">
        <f t="shared" ref="C1259" si="3871">C1258</f>
        <v>1</v>
      </c>
      <c r="D1259" s="127">
        <f t="shared" si="3812"/>
        <v>60</v>
      </c>
      <c r="E1259" s="201"/>
      <c r="F1259" s="93"/>
      <c r="G1259" s="203"/>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f t="shared" ref="B1260:C1260" si="3872">B1259</f>
        <v>60</v>
      </c>
      <c r="C1260" s="128">
        <f t="shared" si="3872"/>
        <v>1</v>
      </c>
      <c r="D1260" s="127">
        <f t="shared" si="3812"/>
        <v>60</v>
      </c>
      <c r="E1260" s="201"/>
      <c r="F1260" s="93"/>
      <c r="G1260" s="203"/>
      <c r="H1260" s="134">
        <f t="shared" ref="H1260" si="3873">COUNT($P1260:$XX1260)</f>
        <v>3</v>
      </c>
      <c r="I1260" s="132">
        <f t="shared" ref="I1260" si="3874">_xlfn.STDEV.P($P1259:$XX1260)/AVERAGE($P1259:$XX1260)</f>
        <v>1.1252244298523778E-2</v>
      </c>
      <c r="J1260" s="7">
        <f>ROW()</f>
        <v>1260</v>
      </c>
      <c r="K1260" s="67"/>
      <c r="L1260" s="29" t="s">
        <v>10</v>
      </c>
      <c r="M1260" s="30">
        <f t="shared" ref="M1260" si="3875">IFERROR(
IF(COUNTA(P1254:AI1254)=COUNTIF(P1256:XX1256,"Orçamento"),MIN(M1265,M1262),
IF(M1263&lt;&gt;"",M1263,
IF(M1264&lt;&gt;"",M1264,
M1262
))),"")</f>
        <v>68.966666666666669</v>
      </c>
      <c r="N1260" s="71"/>
      <c r="O1260" s="27" t="s">
        <v>376</v>
      </c>
      <c r="P1260" s="106">
        <f t="shared" ref="P1260:AI1260" si="3876">IFERROR(IF(P1258="",
            "",
            IF(COUNT($P1258:$XX1258)&lt;=4,
               P1258,
               IF(OR(P1258&gt;(QUARTILE($P1258:$XX1258,3)+(QUARTILE($P1258:$XX1258,3)-QUARTILE($P1258:$XX1258,1))),
                     P1258&lt;(QUARTILE($P1258:$XX1258,1)-(QUARTILE($P1258:$XX1258,3)-QUARTILE($P1258:$XX1258,1)))
                  ),
               "DESCARTADO",P1258)
             )
  ),P1258)</f>
        <v>69.900000000000006</v>
      </c>
      <c r="Q1260" s="106">
        <f t="shared" si="3876"/>
        <v>69</v>
      </c>
      <c r="R1260" s="106">
        <f t="shared" si="3876"/>
        <v>68</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f t="shared" ref="B1261" si="3877">B1260</f>
        <v>60</v>
      </c>
      <c r="C1261" s="128">
        <f t="shared" ref="C1261" si="3878">C1260</f>
        <v>1</v>
      </c>
      <c r="D1261" s="127">
        <f t="shared" si="3812"/>
        <v>60</v>
      </c>
      <c r="E1261" s="201"/>
      <c r="F1261" s="93"/>
      <c r="G1261" s="203"/>
      <c r="H1261"/>
      <c r="I1261"/>
      <c r="J1261"/>
      <c r="K1261" s="66"/>
      <c r="L1261" s="29" t="s">
        <v>360</v>
      </c>
      <c r="M1261" s="30">
        <f t="shared" ref="M1261" si="3879">AVERAGE($P1260:$XX1260)</f>
        <v>68.966666666666669</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f t="shared" si="3811"/>
        <v>60</v>
      </c>
      <c r="C1262" s="128">
        <f t="shared" si="3812"/>
        <v>1</v>
      </c>
      <c r="D1262" s="127">
        <f t="shared" si="3812"/>
        <v>60</v>
      </c>
      <c r="E1262" s="201"/>
      <c r="F1262" s="93"/>
      <c r="G1262" s="203"/>
      <c r="H1262" s="134">
        <f t="shared" ref="H1262" si="3881">COUNT($P1262:$XX1262)</f>
        <v>3</v>
      </c>
      <c r="I1262" s="132">
        <f t="shared" ref="I1262" si="3882">_xlfn.STDEV.P($P1261:$XX1262)/AVERAGE($P1261:$XX1262)</f>
        <v>1.1252244298523778E-2</v>
      </c>
      <c r="J1262" s="7">
        <f t="shared" ref="J1262" si="3883">IF(AND(H1262&gt;2,
OR(L1254="MÉDIA SANEADA",L1254="MEDIANA SANEADA",
AND(L1254="PREÇO ESTIMADO",NOT(AND(P1256="Orçamento",COUNTA(P1254:XX1254)=COUNTIF(P1256:XX1256,"Orçamento")))))),
ROW(),0)</f>
        <v>1262</v>
      </c>
      <c r="K1262" s="66"/>
      <c r="L1262" s="29" t="s">
        <v>361</v>
      </c>
      <c r="M1262" s="30">
        <f t="shared" ref="M1262" si="3884">MEDIAN($P1260:$XX1260)</f>
        <v>69</v>
      </c>
      <c r="N1262" s="71"/>
      <c r="O1262" s="27" t="str">
        <f t="shared" ref="O1262" si="3885">"1 RODADA"</f>
        <v>1 RODADA</v>
      </c>
      <c r="P1262" s="107">
        <f t="shared" ref="P1262:AI1262" si="3886">IF(P1260="","",IF((_xlfn.STDEV.P($P1259:$XX1260)/AVERAGE($P1259:$XX1260))&lt;=25%,P1260,IF(OR(P1260&gt;(AVERAGE($P1259:$XX1260)+_xlfn.STDEV.P($P1259:$XX1260)),P1260&lt;(AVERAGE($P1259:$XX1260)-_xlfn.STDEV.P($P1259:$XX1260))),"DESCARTADO",P1260)))</f>
        <v>69.900000000000006</v>
      </c>
      <c r="Q1262" s="107">
        <f t="shared" si="3886"/>
        <v>69</v>
      </c>
      <c r="R1262" s="107">
        <f t="shared" si="3886"/>
        <v>68</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f t="shared" si="3811"/>
        <v>60</v>
      </c>
      <c r="C1263" s="128">
        <f t="shared" si="3812"/>
        <v>1</v>
      </c>
      <c r="D1263" s="127">
        <f t="shared" si="3812"/>
        <v>60</v>
      </c>
      <c r="E1263" s="201"/>
      <c r="F1263" s="93"/>
      <c r="G1263" s="203"/>
      <c r="H1263"/>
      <c r="I1263"/>
      <c r="J1263"/>
      <c r="L1263" s="29" t="s">
        <v>38</v>
      </c>
      <c r="M1263" s="30">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68.966666666666669</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f t="shared" si="3811"/>
        <v>60</v>
      </c>
      <c r="C1264" s="128">
        <f t="shared" si="3812"/>
        <v>1</v>
      </c>
      <c r="D1264" s="127">
        <f t="shared" si="3812"/>
        <v>60</v>
      </c>
      <c r="E1264" s="201"/>
      <c r="F1264" s="93"/>
      <c r="G1264" s="203"/>
      <c r="H1264" s="134">
        <f t="shared" ref="H1264" si="3889">COUNT($P1264:$XX1264)</f>
        <v>3</v>
      </c>
      <c r="I1264" s="132">
        <f t="shared" ref="I1264" si="3890">_xlfn.STDEV.P($P1263:$XX1264)/AVERAGE($P1263:$XX1264)</f>
        <v>1.1252244298523778E-2</v>
      </c>
      <c r="J1264" s="7">
        <f t="shared" ref="J1264" si="3891">IF(AND(H1264&gt;2,
OR(L1254="MÉDIA SANEADA",L1254="MEDIANA SANEADA",
AND(L1254="PREÇO ESTIMADO",NOT(AND(P1256="Orçamento",COUNTA(P1254:XX1254)=COUNTIF(P1256:XX1256,"Orçamento")))))),
ROW(),0)</f>
        <v>1264</v>
      </c>
      <c r="K1264" s="66"/>
      <c r="L1264" s="29" t="s">
        <v>362</v>
      </c>
      <c r="M1264" s="30">
        <f t="shared" ref="M1264" si="3892" xml:space="preserve">
IF(H1262&gt;2,MEDIAN(P1261:XX1262),
IF(H1264&gt;2,MEDIAN(P1263:XX1264),
IF(H1266&gt;2,MEDIAN(P1265:XX1266),
IF(H1268&gt;2,MEDIAN(P1267:XX1268),
IF(H1270&gt;2,MEDIAN(P1269:XX1270),
IF(H1272&gt;2,MEDIAN(P1271:XX1272),
MEDIAN(P1259:XX1260)))))))</f>
        <v>69</v>
      </c>
      <c r="N1264" s="71"/>
      <c r="O1264" s="27" t="str">
        <f t="shared" ref="O1264" si="3893">"2 RODADA"</f>
        <v>2 RODADA</v>
      </c>
      <c r="P1264" s="107">
        <f t="shared" ref="P1264:AI1264" si="3894">IF(P1262="","",IF((_xlfn.STDEV.P($P1261:$XX1262)/AVERAGE($P1261:$XX1262))&lt;=25%,P1262,IF(OR(P1262&gt;(AVERAGE($P1261:$XX1262)+_xlfn.STDEV.P($P1261:$XX1262)),P1262&lt;(AVERAGE($P1261:$XX1262)-_xlfn.STDEV.P($P1261:$XX1262))),"DESCARTADO",P1262)))</f>
        <v>69.900000000000006</v>
      </c>
      <c r="Q1264" s="107">
        <f t="shared" si="3894"/>
        <v>69</v>
      </c>
      <c r="R1264" s="107">
        <f t="shared" si="3894"/>
        <v>68</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f t="shared" si="3811"/>
        <v>60</v>
      </c>
      <c r="C1265" s="128">
        <f t="shared" si="3812"/>
        <v>1</v>
      </c>
      <c r="D1265" s="127">
        <f t="shared" si="3812"/>
        <v>60</v>
      </c>
      <c r="E1265" s="201"/>
      <c r="F1265" s="93"/>
      <c r="G1265" s="203"/>
      <c r="H1265"/>
      <c r="I1265"/>
      <c r="J1265"/>
      <c r="K1265" s="66"/>
      <c r="L1265" s="29" t="s">
        <v>359</v>
      </c>
      <c r="M1265" s="30">
        <f t="shared" ref="M1265" si="3895">HARMEAN($P1259:$XX1260)</f>
        <v>68.957927713883223</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f t="shared" si="3811"/>
        <v>60</v>
      </c>
      <c r="C1266" s="128">
        <f t="shared" si="3812"/>
        <v>1</v>
      </c>
      <c r="D1266" s="127">
        <f t="shared" si="3812"/>
        <v>60</v>
      </c>
      <c r="E1266" s="201"/>
      <c r="F1266" s="93"/>
      <c r="G1266" s="203"/>
      <c r="H1266" s="134">
        <f t="shared" ref="H1266" si="3897">COUNT($P1266:$XX1266)</f>
        <v>3</v>
      </c>
      <c r="I1266" s="132">
        <f t="shared" ref="I1266" si="3898">_xlfn.STDEV.P($P1265:$XX1266)/AVERAGE($P1265:$XX1266)</f>
        <v>1.1252244298523778E-2</v>
      </c>
      <c r="J1266" s="7">
        <f t="shared" ref="J1266" si="3899">IF(AND(H1266&gt;2,
OR(L1254="MÉDIA SANEADA",L1254="MEDIANA SANEADA",
AND(L1254="PREÇO ESTIMADO",NOT(AND(P1256="Orçamento",COUNTA(P1254:XX1254)=COUNTIF(P1256:XX1256,"Orçamento")))))),
ROW(),0)</f>
        <v>1266</v>
      </c>
      <c r="K1266" s="66"/>
      <c r="L1266" s="29" t="s">
        <v>41</v>
      </c>
      <c r="M1266" s="30">
        <f t="shared" ref="M1266" si="3900">IFERROR(_xlfn.QUARTILE.EXC($P1260:$XX1260,1),"")</f>
        <v>68</v>
      </c>
      <c r="N1266" s="71"/>
      <c r="O1266" s="27" t="str">
        <f t="shared" ref="O1266" si="3901">"3 RODADA"</f>
        <v>3 RODADA</v>
      </c>
      <c r="P1266" s="107">
        <f t="shared" ref="P1266:AI1266" si="3902">IF(P1264="","",IF((_xlfn.STDEV.P($P1263:$XX1264)/AVERAGE($P1263:$XX1264))&lt;=25%,P1264,IF(OR(P1264&gt;(AVERAGE($P1263:$XX1264)+_xlfn.STDEV.P($P1263:$XX1264)),P1264&lt;(AVERAGE($P1263:$XX1264)-_xlfn.STDEV.P($P1263:$XX1264))),"DESCARTADO",P1264)))</f>
        <v>69.900000000000006</v>
      </c>
      <c r="Q1266" s="107">
        <f t="shared" si="3902"/>
        <v>69</v>
      </c>
      <c r="R1266" s="107">
        <f t="shared" si="3902"/>
        <v>68</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f t="shared" si="3811"/>
        <v>60</v>
      </c>
      <c r="C1267" s="128">
        <f t="shared" si="3812"/>
        <v>1</v>
      </c>
      <c r="D1267" s="127">
        <f t="shared" si="3812"/>
        <v>60</v>
      </c>
      <c r="E1267" s="201"/>
      <c r="F1267" s="93"/>
      <c r="G1267" s="203"/>
      <c r="H1267"/>
      <c r="I1267"/>
      <c r="J1267"/>
      <c r="K1267" s="66"/>
      <c r="L1267" s="29" t="s">
        <v>39</v>
      </c>
      <c r="M1267" s="30">
        <f t="shared" ref="M1267" si="3903">IFERROR(_xlfn.QUARTILE.EXC($P1260:$XX1260,3),"")</f>
        <v>69.900000000000006</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f t="shared" si="3811"/>
        <v>60</v>
      </c>
      <c r="C1268" s="128">
        <f t="shared" si="3812"/>
        <v>1</v>
      </c>
      <c r="D1268" s="127">
        <f t="shared" si="3812"/>
        <v>60</v>
      </c>
      <c r="E1268" s="201"/>
      <c r="F1268" s="93"/>
      <c r="G1268" s="203"/>
      <c r="H1268" s="134">
        <f t="shared" ref="H1268" si="3905">COUNT($P1268:$XX1268)</f>
        <v>3</v>
      </c>
      <c r="I1268" s="132">
        <f t="shared" ref="I1268" si="3906">_xlfn.STDEV.P($P1267:$XX1268)/AVERAGE($P1267:$XX1268)</f>
        <v>1.1252244298523778E-2</v>
      </c>
      <c r="J1268" s="7">
        <f t="shared" ref="J1268" si="3907">IF(AND(H1268&gt;2,
OR(L1254="MÉDIA SANEADA",L1254="MEDIANA SANEADA",
AND(L1254="PREÇO ESTIMADO",NOT(AND(P1256="Orçamento",COUNTA(P1254:XX1254)=COUNTIF(P1256:XX1256,"Orçamento")))))),
ROW(),0)</f>
        <v>1268</v>
      </c>
      <c r="K1268" s="66"/>
      <c r="L1268" s="29" t="s">
        <v>42</v>
      </c>
      <c r="M1268" s="30">
        <f t="shared" ref="M1268" si="3908">MIN($P1260:$XX1260)</f>
        <v>68</v>
      </c>
      <c r="N1268" s="71"/>
      <c r="O1268" s="27" t="str">
        <f t="shared" ref="O1268" si="3909">"4 RODADA"</f>
        <v>4 RODADA</v>
      </c>
      <c r="P1268" s="107">
        <f t="shared" ref="P1268:AI1268" si="3910">IF(P1266="","",IF((_xlfn.STDEV.P($P1265:$XX1266)/AVERAGE($P1265:$XX1266))&lt;=25%,P1266,IF(OR(P1266&gt;(AVERAGE($P1265:$XX1266)+_xlfn.STDEV.P($P1265:$XX1266)),P1266&lt;(AVERAGE($P1265:$XX1266)-_xlfn.STDEV.P($P1265:$XX1266))),"DESCARTADO",P1266)))</f>
        <v>69.900000000000006</v>
      </c>
      <c r="Q1268" s="107">
        <f t="shared" si="3910"/>
        <v>69</v>
      </c>
      <c r="R1268" s="107">
        <f t="shared" si="3910"/>
        <v>68</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f t="shared" si="3811"/>
        <v>60</v>
      </c>
      <c r="C1269" s="128">
        <f t="shared" si="3812"/>
        <v>1</v>
      </c>
      <c r="D1269" s="127">
        <f t="shared" si="3812"/>
        <v>60</v>
      </c>
      <c r="E1269" s="201"/>
      <c r="F1269" s="93"/>
      <c r="G1269" s="203"/>
      <c r="H1269"/>
      <c r="I1269"/>
      <c r="J1269"/>
      <c r="K1269" s="66"/>
      <c r="L1269" s="29" t="s">
        <v>40</v>
      </c>
      <c r="M1269" s="30">
        <f t="shared" ref="M1269" si="3911">MAX($P1260:$XX1260)</f>
        <v>69.900000000000006</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f t="shared" si="3811"/>
        <v>60</v>
      </c>
      <c r="C1270" s="128">
        <f t="shared" si="3812"/>
        <v>1</v>
      </c>
      <c r="D1270" s="127">
        <f t="shared" si="3812"/>
        <v>60</v>
      </c>
      <c r="E1270" s="201"/>
      <c r="F1270" s="93"/>
      <c r="G1270" s="203"/>
      <c r="H1270" s="134">
        <f t="shared" ref="H1270" si="3913">COUNT($P1270:$XX1270)</f>
        <v>3</v>
      </c>
      <c r="I1270" s="132">
        <f t="shared" ref="I1270" si="3914">_xlfn.STDEV.P($P1269:$XX1270)/AVERAGE($P1269:$XX1270)</f>
        <v>1.1252244298523778E-2</v>
      </c>
      <c r="J1270" s="7">
        <f t="shared" ref="J1270" si="3915">IF(AND(H1270&gt;2,
OR(L1254="MÉDIA SANEADA",L1254="MEDIANA SANEADA",
AND(L1254="PREÇO ESTIMADO",NOT(AND(P1256="Orçamento",COUNTA(P1254:XX1254)=COUNTIF(P1256:XX1256,"Orçamento")))))),
ROW(),0)</f>
        <v>1270</v>
      </c>
      <c r="K1270" s="66"/>
      <c r="N1270" s="71"/>
      <c r="O1270" s="27" t="str">
        <f t="shared" ref="O1270" si="3916">"5 RODADA"</f>
        <v>5 RODADA</v>
      </c>
      <c r="P1270" s="107">
        <f t="shared" ref="P1270:AI1270" si="3917">IF(P1268="","",IF((_xlfn.STDEV.P($P1267:$XX1268)/AVERAGE($P1267:$XX1268))&lt;=25%,P1268,IF(OR(P1268&gt;(AVERAGE($P1267:$XX1268)+_xlfn.STDEV.P($P1267:$XX1268)),P1268&lt;(AVERAGE($P1267:$XX1268)-_xlfn.STDEV.P($P1267:$XX1268))),"DESCARTADO",P1268)))</f>
        <v>69.900000000000006</v>
      </c>
      <c r="Q1270" s="107">
        <f t="shared" si="3917"/>
        <v>69</v>
      </c>
      <c r="R1270" s="107">
        <f t="shared" si="3917"/>
        <v>68</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f t="shared" si="3811"/>
        <v>60</v>
      </c>
      <c r="C1271" s="128">
        <f t="shared" si="3812"/>
        <v>1</v>
      </c>
      <c r="D1271" s="127">
        <f t="shared" si="3812"/>
        <v>60</v>
      </c>
      <c r="E1271" s="201"/>
      <c r="F1271" s="93"/>
      <c r="G1271" s="203"/>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f t="shared" si="3811"/>
        <v>60</v>
      </c>
      <c r="C1272" s="128">
        <f t="shared" si="3812"/>
        <v>1</v>
      </c>
      <c r="D1272" s="127">
        <f t="shared" si="3812"/>
        <v>60</v>
      </c>
      <c r="E1272" s="201"/>
      <c r="F1272" s="93"/>
      <c r="G1272" s="203"/>
      <c r="H1272" s="134">
        <f t="shared" ref="H1272" si="3919">COUNT($P1272:$XX1272)</f>
        <v>3</v>
      </c>
      <c r="I1272" s="132">
        <f t="shared" ref="I1272" si="3920">_xlfn.STDEV.P($P1271:$XX1272)/AVERAGE($P1271:$XX1272)</f>
        <v>1.1252244298523778E-2</v>
      </c>
      <c r="J1272" s="7">
        <f t="shared" ref="J1272" si="3921">IF(AND(H1272&gt;2,
OR(L1254="MÉDIA SANEADA",L1254="MEDIANA SANEADA",
AND(L1254="PREÇO ESTIMADO",NOT(AND(P1256="Orçamento",COUNTA(P1254:XX1254)=COUNTIF(P1256:XX1256,"Orçamento")))))),
ROW(),0)</f>
        <v>1272</v>
      </c>
      <c r="N1272" s="71"/>
      <c r="O1272" s="27" t="str">
        <f t="shared" ref="O1272" si="3922">"6 RODADA"</f>
        <v>6 RODADA</v>
      </c>
      <c r="P1272" s="107">
        <f t="shared" ref="P1272:AI1272" si="3923">IFERROR(IF(P1270="","",IF((_xlfn.STDEV.P($P1269:$XX1270)/AVERAGE($P1269:$XX1270))&lt;=25%,P1270,IF(OR(P1270&gt;(AVERAGE($P1269:$XX1270)+_xlfn.STDEV.P($P1269:$XX1270)),P1270&lt;(AVERAGE($P1269:$XX1270)-_xlfn.STDEV.P($P1269:$XX1270))),"DESCARTADO",P1270))),)</f>
        <v>69.900000000000006</v>
      </c>
      <c r="Q1272" s="107">
        <f t="shared" si="3923"/>
        <v>69</v>
      </c>
      <c r="R1272" s="107">
        <f t="shared" si="3923"/>
        <v>68</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f t="shared" si="3811"/>
        <v>60</v>
      </c>
      <c r="C1273" s="128">
        <f t="shared" si="3812"/>
        <v>1</v>
      </c>
      <c r="D1273" s="127">
        <f t="shared" si="3812"/>
        <v>60</v>
      </c>
      <c r="E1273" s="201"/>
      <c r="F1273" s="136"/>
      <c r="G1273" s="203"/>
      <c r="H1273" s="206"/>
      <c r="I1273" s="206"/>
      <c r="J1273" s="207"/>
      <c r="K1273" s="67"/>
      <c r="L1273" s="1" t="s">
        <v>43</v>
      </c>
      <c r="M1273" s="143">
        <f t="shared" ref="M1273" si="3924">IFERROR(ROUND(M1254*M1256,2),"")</f>
        <v>68.97</v>
      </c>
      <c r="O1273" s="27" t="s">
        <v>363</v>
      </c>
      <c r="P1273" s="107">
        <f t="shared" ref="P1273:AI1294" si="3925">INDEX(P1260:P1272,MATCH(MAX($J1260:$J1272),$J1260:$J1272,0))</f>
        <v>69.900000000000006</v>
      </c>
      <c r="Q1273" s="107">
        <f t="shared" si="3925"/>
        <v>69</v>
      </c>
      <c r="R1273" s="107">
        <f t="shared" si="3925"/>
        <v>68</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f t="shared" ref="B1275" si="3926">LARGE(IFERROR(IF(B1273+1&gt;$H$8,"",B1273+1),""),1)</f>
        <v>61</v>
      </c>
      <c r="C1275" s="127">
        <f>IF(_xlfn.ISFORMULA(E1279),MAX(INDEX('BASE FORMAÇÃO'!A:A,B1275+1),1),E1279)</f>
        <v>1</v>
      </c>
      <c r="D1275" s="127">
        <f t="shared" ref="D1275" si="3927">IFERROR(IF(C1275=C1265,D1265+1,1),1)</f>
        <v>61</v>
      </c>
      <c r="E1275" s="38" t="s">
        <v>9</v>
      </c>
      <c r="F1275" s="73"/>
      <c r="G1275" s="38" t="s">
        <v>15</v>
      </c>
      <c r="H1275" s="135">
        <f>INDEX('BASE FORMAÇÃO'!B:B,B1275+1)</f>
        <v>0</v>
      </c>
      <c r="I1275" s="181" t="s">
        <v>16</v>
      </c>
      <c r="J1275" s="6">
        <f>INDEX('BASE FORMAÇÃO'!K:K,B1275+1)</f>
        <v>0</v>
      </c>
      <c r="K1275" s="65"/>
      <c r="L1275" s="184" t="s">
        <v>10</v>
      </c>
      <c r="M1275" s="186">
        <f t="shared" ref="M1275" si="3928">IF(OR(ISBLANK($O$8),ISBLANK($O$7),ISBLANK($H$8),ISBLANK($O$6),ISBLANK($O$5),ISBLANK($H$5)),"",IFERROR(IF(VLOOKUP(L1275,L1281:M1290,2,FALSE)&lt;1,ROUND(VLOOKUP(L1275,L1281:M1290,2,FALSE),4),ROUND(VLOOKUP(L1275,L1281:M1290,2,FALSE),2)),""))</f>
        <v>16.5</v>
      </c>
      <c r="N1275" s="69"/>
      <c r="O1275" s="27" t="s">
        <v>17</v>
      </c>
      <c r="P1275" s="113">
        <v>9.41</v>
      </c>
      <c r="Q1275" s="113">
        <v>16.5</v>
      </c>
      <c r="R1275" s="113">
        <v>22.9</v>
      </c>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f t="shared" ref="B1276:D1276" si="3929">B1275</f>
        <v>61</v>
      </c>
      <c r="C1276" s="128">
        <f t="shared" si="3929"/>
        <v>1</v>
      </c>
      <c r="D1276" s="127">
        <f t="shared" si="3929"/>
        <v>61</v>
      </c>
      <c r="E1276" s="188">
        <f t="shared" ref="E1276" si="3930">D1275</f>
        <v>61</v>
      </c>
      <c r="F1276" s="92"/>
      <c r="G1276" s="190" t="s">
        <v>1</v>
      </c>
      <c r="H1276" s="193" t="s">
        <v>673</v>
      </c>
      <c r="I1276" s="194"/>
      <c r="J1276" s="195"/>
      <c r="K1276" s="66"/>
      <c r="L1276" s="185"/>
      <c r="M1276" s="187"/>
      <c r="N1276" s="70"/>
      <c r="O1276" s="27" t="s">
        <v>13</v>
      </c>
      <c r="P1276" s="122">
        <v>46196</v>
      </c>
      <c r="Q1276" s="122">
        <v>46196</v>
      </c>
      <c r="R1276" s="122">
        <v>46196</v>
      </c>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f t="shared" ref="B1277:D1277" si="3931">B1276</f>
        <v>61</v>
      </c>
      <c r="C1277" s="128">
        <f t="shared" si="3931"/>
        <v>1</v>
      </c>
      <c r="D1277" s="127">
        <f t="shared" si="3931"/>
        <v>61</v>
      </c>
      <c r="E1277" s="189"/>
      <c r="F1277" s="93"/>
      <c r="G1277" s="191"/>
      <c r="H1277" s="196"/>
      <c r="I1277" s="196"/>
      <c r="J1277" s="197"/>
      <c r="K1277" s="64"/>
      <c r="L1277" s="130" t="s">
        <v>44</v>
      </c>
      <c r="M1277" s="131">
        <v>1</v>
      </c>
      <c r="N1277" s="71"/>
      <c r="O1277" s="27" t="s">
        <v>380</v>
      </c>
      <c r="P1277" s="114" t="s">
        <v>302</v>
      </c>
      <c r="Q1277" s="114" t="s">
        <v>302</v>
      </c>
      <c r="R1277" s="114" t="s">
        <v>302</v>
      </c>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f t="shared" ref="B1278:C1278" si="3932">B1277</f>
        <v>61</v>
      </c>
      <c r="C1278" s="128">
        <f t="shared" si="3932"/>
        <v>1</v>
      </c>
      <c r="D1278" s="127">
        <f t="shared" si="3812"/>
        <v>61</v>
      </c>
      <c r="E1278" s="38" t="s">
        <v>313</v>
      </c>
      <c r="F1278" s="93"/>
      <c r="G1278" s="192"/>
      <c r="H1278" s="198"/>
      <c r="I1278" s="198"/>
      <c r="J1278" s="199"/>
      <c r="K1278" s="64"/>
      <c r="L1278" s="1" t="s">
        <v>2</v>
      </c>
      <c r="M1278" s="6" t="s">
        <v>288</v>
      </c>
      <c r="N1278" s="71"/>
      <c r="O1278" s="27" t="s">
        <v>381</v>
      </c>
      <c r="P1278" s="182" t="s">
        <v>674</v>
      </c>
      <c r="Q1278" s="182" t="s">
        <v>675</v>
      </c>
      <c r="R1278" s="182" t="s">
        <v>676</v>
      </c>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f t="shared" ref="B1279:C1279" si="3933">B1277</f>
        <v>61</v>
      </c>
      <c r="C1279" s="128">
        <f t="shared" si="3933"/>
        <v>1</v>
      </c>
      <c r="D1279" s="127">
        <f t="shared" si="3812"/>
        <v>61</v>
      </c>
      <c r="E1279" s="200">
        <f t="shared" ref="E1279" si="3934">C1275</f>
        <v>1</v>
      </c>
      <c r="F1279" s="93"/>
      <c r="G1279" s="202" t="s">
        <v>304</v>
      </c>
      <c r="H1279" s="204"/>
      <c r="I1279" s="205"/>
      <c r="J1279" s="205"/>
      <c r="K1279" s="67"/>
      <c r="L1279" s="28" t="s">
        <v>303</v>
      </c>
      <c r="M1279" s="133">
        <f t="shared" ref="M1279" si="3935">IFERROR(INDEX(I1281:I1293,MATCH(MAX(J1281:J1293),J1281:J1293,0)),"")</f>
        <v>0.33863984551726184</v>
      </c>
      <c r="N1279" s="71"/>
      <c r="O1279" s="27" t="s">
        <v>18</v>
      </c>
      <c r="P1279" s="106">
        <f>IF(P1275="","",
IF(OR(P1277="Orçamento",P1276="",MAX('Tabela de Apoio'!$A:$A)&lt;=P1276),
P1275,
(INDEX('Tabela de Apoio'!$B:$B,MATCH('MAPA DE PREÇOS'!$O$8,'Tabela de Apoio'!$A:$A,1))/INDEX('Tabela de Apoio'!$B:$B,MATCH('MAPA DE PREÇOS'!P1276,'Tabela de Apoio'!$A:$A,1)-1))*P1275))</f>
        <v>9.41</v>
      </c>
      <c r="Q1279" s="106">
        <f>IF(Q1275="","",
IF(OR(Q1277="Orçamento",Q1276="",MAX('Tabela de Apoio'!$A:$A)&lt;=Q1276),
Q1275,
(INDEX('Tabela de Apoio'!$B:$B,MATCH('MAPA DE PREÇOS'!$O$8,'Tabela de Apoio'!$A:$A,1))/INDEX('Tabela de Apoio'!$B:$B,MATCH('MAPA DE PREÇOS'!Q1276,'Tabela de Apoio'!$A:$A,1)-1))*Q1275))</f>
        <v>16.5</v>
      </c>
      <c r="R1279" s="106">
        <f>IF(R1275="","",
IF(OR(R1277="Orçamento",R1276="",MAX('Tabela de Apoio'!$A:$A)&lt;=R1276),
R1275,
(INDEX('Tabela de Apoio'!$B:$B,MATCH('MAPA DE PREÇOS'!$O$8,'Tabela de Apoio'!$A:$A,1))/INDEX('Tabela de Apoio'!$B:$B,MATCH('MAPA DE PREÇOS'!R1276,'Tabela de Apoio'!$A:$A,1)-1))*R1275))</f>
        <v>22.9</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f t="shared" ref="B1280" si="3936">B1279</f>
        <v>61</v>
      </c>
      <c r="C1280" s="128">
        <f t="shared" ref="C1280" si="3937">C1279</f>
        <v>1</v>
      </c>
      <c r="D1280" s="127">
        <f t="shared" si="3812"/>
        <v>61</v>
      </c>
      <c r="E1280" s="201"/>
      <c r="F1280" s="93"/>
      <c r="G1280" s="203"/>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f t="shared" ref="B1281:C1281" si="3938">B1280</f>
        <v>61</v>
      </c>
      <c r="C1281" s="128">
        <f t="shared" si="3938"/>
        <v>1</v>
      </c>
      <c r="D1281" s="127">
        <f t="shared" si="3812"/>
        <v>61</v>
      </c>
      <c r="E1281" s="201"/>
      <c r="F1281" s="93"/>
      <c r="G1281" s="203"/>
      <c r="H1281" s="134">
        <f t="shared" ref="H1281" si="3939">COUNT($P1281:$XX1281)</f>
        <v>3</v>
      </c>
      <c r="I1281" s="132">
        <f t="shared" ref="I1281" si="3940">_xlfn.STDEV.P($P1280:$XX1281)/AVERAGE($P1280:$XX1281)</f>
        <v>0.33863984551726184</v>
      </c>
      <c r="J1281" s="7">
        <f>ROW()</f>
        <v>1281</v>
      </c>
      <c r="K1281" s="67"/>
      <c r="L1281" s="29" t="s">
        <v>10</v>
      </c>
      <c r="M1281" s="30">
        <f t="shared" ref="M1281" si="3941">IFERROR(
IF(COUNTA(P1275:AI1275)=COUNTIF(P1277:XX1277,"Orçamento"),MIN(M1286,M1283),
IF(M1284&lt;&gt;"",M1284,
IF(M1285&lt;&gt;"",M1285,
M1283
))),"")</f>
        <v>16.5</v>
      </c>
      <c r="N1281" s="71"/>
      <c r="O1281" s="27" t="s">
        <v>376</v>
      </c>
      <c r="P1281" s="106">
        <f t="shared" ref="P1281:AI1281" si="3942">IFERROR(IF(P1279="",
            "",
            IF(COUNT($P1279:$XX1279)&lt;=4,
               P1279,
               IF(OR(P1279&gt;(QUARTILE($P1279:$XX1279,3)+(QUARTILE($P1279:$XX1279,3)-QUARTILE($P1279:$XX1279,1))),
                     P1279&lt;(QUARTILE($P1279:$XX1279,1)-(QUARTILE($P1279:$XX1279,3)-QUARTILE($P1279:$XX1279,1)))
                  ),
               "DESCARTADO",P1279)
             )
  ),P1279)</f>
        <v>9.41</v>
      </c>
      <c r="Q1281" s="106">
        <f t="shared" si="3942"/>
        <v>16.5</v>
      </c>
      <c r="R1281" s="106">
        <f t="shared" si="3942"/>
        <v>22.9</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f t="shared" ref="B1282" si="3943">B1281</f>
        <v>61</v>
      </c>
      <c r="C1282" s="128">
        <f t="shared" ref="C1282" si="3944">C1281</f>
        <v>1</v>
      </c>
      <c r="D1282" s="127">
        <f t="shared" si="3812"/>
        <v>61</v>
      </c>
      <c r="E1282" s="201"/>
      <c r="F1282" s="93"/>
      <c r="G1282" s="203"/>
      <c r="H1282"/>
      <c r="I1282"/>
      <c r="J1282"/>
      <c r="K1282" s="66"/>
      <c r="L1282" s="29" t="s">
        <v>360</v>
      </c>
      <c r="M1282" s="30">
        <f t="shared" ref="M1282" si="3945">AVERAGE($P1281:$XX1281)</f>
        <v>16.27</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f t="shared" si="3811"/>
        <v>61</v>
      </c>
      <c r="C1283" s="128">
        <f t="shared" si="3812"/>
        <v>1</v>
      </c>
      <c r="D1283" s="127">
        <f t="shared" si="3812"/>
        <v>61</v>
      </c>
      <c r="E1283" s="201"/>
      <c r="F1283" s="93"/>
      <c r="G1283" s="203"/>
      <c r="H1283" s="134">
        <f t="shared" ref="H1283" si="3947">COUNT($P1283:$XX1283)</f>
        <v>1</v>
      </c>
      <c r="I1283" s="132">
        <f t="shared" ref="I1283" si="3948">_xlfn.STDEV.P($P1282:$XX1283)/AVERAGE($P1282:$XX1283)</f>
        <v>0</v>
      </c>
      <c r="J1283" s="7">
        <f t="shared" ref="J1283" si="3949">IF(AND(H1283&gt;2,
OR(L1275="MÉDIA SANEADA",L1275="MEDIANA SANEADA",
AND(L1275="PREÇO ESTIMADO",NOT(AND(P1277="Orçamento",COUNTA(P1275:XX1275)=COUNTIF(P1277:XX1277,"Orçamento")))))),
ROW(),0)</f>
        <v>0</v>
      </c>
      <c r="K1283" s="66"/>
      <c r="L1283" s="29" t="s">
        <v>361</v>
      </c>
      <c r="M1283" s="30">
        <f t="shared" ref="M1283" si="3950">MEDIAN($P1281:$XX1281)</f>
        <v>16.5</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DESCARTADO</v>
      </c>
      <c r="Q1283" s="107">
        <f t="shared" si="3952"/>
        <v>16.5</v>
      </c>
      <c r="R1283" s="107" t="str">
        <f t="shared" si="3952"/>
        <v>DESCARTADO</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f t="shared" si="3811"/>
        <v>61</v>
      </c>
      <c r="C1284" s="128">
        <f t="shared" si="3812"/>
        <v>1</v>
      </c>
      <c r="D1284" s="127">
        <f t="shared" si="3812"/>
        <v>61</v>
      </c>
      <c r="E1284" s="201"/>
      <c r="F1284" s="93"/>
      <c r="G1284" s="203"/>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f t="shared" si="3811"/>
        <v>61</v>
      </c>
      <c r="C1285" s="128">
        <f t="shared" si="3812"/>
        <v>1</v>
      </c>
      <c r="D1285" s="127">
        <f t="shared" si="3812"/>
        <v>61</v>
      </c>
      <c r="E1285" s="201"/>
      <c r="F1285" s="93"/>
      <c r="G1285" s="203"/>
      <c r="H1285" s="134">
        <f t="shared" ref="H1285" si="3955">COUNT($P1285:$XX1285)</f>
        <v>1</v>
      </c>
      <c r="I1285" s="132">
        <f t="shared" ref="I1285" si="3956">_xlfn.STDEV.P($P1284:$XX1285)/AVERAGE($P1284:$XX1285)</f>
        <v>0</v>
      </c>
      <c r="J1285" s="7">
        <f t="shared" ref="J1285" si="3957">IF(AND(H1285&gt;2,
OR(L1275="MÉDIA SANEADA",L1275="MEDIANA SANEADA",
AND(L1275="PREÇO ESTIMADO",NOT(AND(P1277="Orçamento",COUNTA(P1275:XX1275)=COUNTIF(P1277:XX1277,"Orçamento")))))),
ROW(),0)</f>
        <v>0</v>
      </c>
      <c r="K1285" s="66"/>
      <c r="L1285" s="29" t="s">
        <v>362</v>
      </c>
      <c r="M1285" s="30">
        <f t="shared" ref="M1285" si="3958" xml:space="preserve">
IF(H1283&gt;2,MEDIAN(P1282:XX1283),
IF(H1285&gt;2,MEDIAN(P1284:XX1285),
IF(H1287&gt;2,MEDIAN(P1286:XX1287),
IF(H1289&gt;2,MEDIAN(P1288:XX1289),
IF(H1291&gt;2,MEDIAN(P1290:XX1291),
IF(H1293&gt;2,MEDIAN(P1292:XX1293),
MEDIAN(P1280:XX1281)))))))</f>
        <v>16.5</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DESCARTADO</v>
      </c>
      <c r="Q1285" s="107">
        <f t="shared" si="3960"/>
        <v>16.5</v>
      </c>
      <c r="R1285" s="107" t="str">
        <f t="shared" si="3960"/>
        <v>DESCARTADO</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f t="shared" si="3811"/>
        <v>61</v>
      </c>
      <c r="C1286" s="128">
        <f t="shared" si="3812"/>
        <v>1</v>
      </c>
      <c r="D1286" s="127">
        <f t="shared" si="3812"/>
        <v>61</v>
      </c>
      <c r="E1286" s="201"/>
      <c r="F1286" s="93"/>
      <c r="G1286" s="203"/>
      <c r="H1286"/>
      <c r="I1286"/>
      <c r="J1286"/>
      <c r="K1286" s="66"/>
      <c r="L1286" s="29" t="s">
        <v>359</v>
      </c>
      <c r="M1286" s="30">
        <f t="shared" ref="M1286" si="3961">HARMEAN($P1280:$XX1281)</f>
        <v>14.248795758505166</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f t="shared" si="3811"/>
        <v>61</v>
      </c>
      <c r="C1287" s="128">
        <f t="shared" si="3812"/>
        <v>1</v>
      </c>
      <c r="D1287" s="127">
        <f t="shared" si="3812"/>
        <v>61</v>
      </c>
      <c r="E1287" s="201"/>
      <c r="F1287" s="93"/>
      <c r="G1287" s="203"/>
      <c r="H1287" s="134">
        <f t="shared" ref="H1287" si="3963">COUNT($P1287:$XX1287)</f>
        <v>1</v>
      </c>
      <c r="I1287" s="132">
        <f t="shared" ref="I1287" si="3964">_xlfn.STDEV.P($P1286:$XX1287)/AVERAGE($P1286:$XX1287)</f>
        <v>0</v>
      </c>
      <c r="J1287" s="7">
        <f t="shared" ref="J1287" si="3965">IF(AND(H1287&gt;2,
OR(L1275="MÉDIA SANEADA",L1275="MEDIANA SANEADA",
AND(L1275="PREÇO ESTIMADO",NOT(AND(P1277="Orçamento",COUNTA(P1275:XX1275)=COUNTIF(P1277:XX1277,"Orçamento")))))),
ROW(),0)</f>
        <v>0</v>
      </c>
      <c r="K1287" s="66"/>
      <c r="L1287" s="29" t="s">
        <v>41</v>
      </c>
      <c r="M1287" s="30">
        <f t="shared" ref="M1287" si="3966">IFERROR(_xlfn.QUARTILE.EXC($P1281:$XX1281,1),"")</f>
        <v>9.41</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DESCARTADO</v>
      </c>
      <c r="Q1287" s="107">
        <f t="shared" si="3968"/>
        <v>16.5</v>
      </c>
      <c r="R1287" s="107" t="str">
        <f t="shared" si="3968"/>
        <v>DESCARTADO</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f t="shared" si="3811"/>
        <v>61</v>
      </c>
      <c r="C1288" s="128">
        <f t="shared" si="3812"/>
        <v>1</v>
      </c>
      <c r="D1288" s="127">
        <f t="shared" si="3812"/>
        <v>61</v>
      </c>
      <c r="E1288" s="201"/>
      <c r="F1288" s="93"/>
      <c r="G1288" s="203"/>
      <c r="H1288"/>
      <c r="I1288"/>
      <c r="J1288"/>
      <c r="K1288" s="66"/>
      <c r="L1288" s="29" t="s">
        <v>39</v>
      </c>
      <c r="M1288" s="30">
        <f t="shared" ref="M1288" si="3969">IFERROR(_xlfn.QUARTILE.EXC($P1281:$XX1281,3),"")</f>
        <v>22.9</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f t="shared" si="3811"/>
        <v>61</v>
      </c>
      <c r="C1289" s="128">
        <f t="shared" si="3812"/>
        <v>1</v>
      </c>
      <c r="D1289" s="127">
        <f t="shared" si="3812"/>
        <v>61</v>
      </c>
      <c r="E1289" s="201"/>
      <c r="F1289" s="93"/>
      <c r="G1289" s="203"/>
      <c r="H1289" s="134">
        <f t="shared" ref="H1289" si="3971">COUNT($P1289:$XX1289)</f>
        <v>1</v>
      </c>
      <c r="I1289" s="132">
        <f t="shared" ref="I1289" si="3972">_xlfn.STDEV.P($P1288:$XX1289)/AVERAGE($P1288:$XX1289)</f>
        <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9.41</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DESCARTADO</v>
      </c>
      <c r="Q1289" s="107">
        <f t="shared" si="3976"/>
        <v>16.5</v>
      </c>
      <c r="R1289" s="107" t="str">
        <f t="shared" si="3976"/>
        <v>DESCARTADO</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f t="shared" si="3811"/>
        <v>61</v>
      </c>
      <c r="C1290" s="128">
        <f t="shared" si="3812"/>
        <v>1</v>
      </c>
      <c r="D1290" s="127">
        <f t="shared" si="3812"/>
        <v>61</v>
      </c>
      <c r="E1290" s="201"/>
      <c r="F1290" s="93"/>
      <c r="G1290" s="203"/>
      <c r="H1290"/>
      <c r="I1290"/>
      <c r="J1290"/>
      <c r="K1290" s="66"/>
      <c r="L1290" s="29" t="s">
        <v>40</v>
      </c>
      <c r="M1290" s="30">
        <f t="shared" ref="M1290" si="3977">MAX($P1281:$XX1281)</f>
        <v>22.9</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f t="shared" si="3811"/>
        <v>61</v>
      </c>
      <c r="C1291" s="128">
        <f t="shared" si="3812"/>
        <v>1</v>
      </c>
      <c r="D1291" s="127">
        <f t="shared" si="3812"/>
        <v>61</v>
      </c>
      <c r="E1291" s="201"/>
      <c r="F1291" s="93"/>
      <c r="G1291" s="203"/>
      <c r="H1291" s="134">
        <f t="shared" ref="H1291" si="3979">COUNT($P1291:$XX1291)</f>
        <v>1</v>
      </c>
      <c r="I1291" s="132">
        <f t="shared" ref="I1291" si="3980">_xlfn.STDEV.P($P1290:$XX1291)/AVERAGE($P1290:$XX1291)</f>
        <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DESCARTADO</v>
      </c>
      <c r="Q1291" s="107">
        <f t="shared" si="3983"/>
        <v>16.5</v>
      </c>
      <c r="R1291" s="107" t="str">
        <f t="shared" si="3983"/>
        <v>DESCARTADO</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f t="shared" si="3811"/>
        <v>61</v>
      </c>
      <c r="C1292" s="128">
        <f t="shared" si="3812"/>
        <v>1</v>
      </c>
      <c r="D1292" s="127">
        <f t="shared" si="3812"/>
        <v>61</v>
      </c>
      <c r="E1292" s="201"/>
      <c r="F1292" s="93"/>
      <c r="G1292" s="203"/>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f t="shared" si="3811"/>
        <v>61</v>
      </c>
      <c r="C1293" s="128">
        <f t="shared" si="3812"/>
        <v>1</v>
      </c>
      <c r="D1293" s="127">
        <f t="shared" si="3812"/>
        <v>61</v>
      </c>
      <c r="E1293" s="201"/>
      <c r="F1293" s="93"/>
      <c r="G1293" s="203"/>
      <c r="H1293" s="134">
        <f t="shared" ref="H1293" si="3985">COUNT($P1293:$XX1293)</f>
        <v>1</v>
      </c>
      <c r="I1293" s="132">
        <f t="shared" ref="I1293" si="3986">_xlfn.STDEV.P($P1292:$XX1293)/AVERAGE($P1292:$XX1293)</f>
        <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DESCARTADO</v>
      </c>
      <c r="Q1293" s="107">
        <f t="shared" si="3989"/>
        <v>16.5</v>
      </c>
      <c r="R1293" s="107" t="str">
        <f t="shared" si="3989"/>
        <v>DESCARTADO</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f t="shared" si="3811"/>
        <v>61</v>
      </c>
      <c r="C1294" s="128">
        <f t="shared" si="3812"/>
        <v>1</v>
      </c>
      <c r="D1294" s="127">
        <f t="shared" si="3812"/>
        <v>61</v>
      </c>
      <c r="E1294" s="201"/>
      <c r="F1294" s="136"/>
      <c r="G1294" s="203"/>
      <c r="H1294" s="206"/>
      <c r="I1294" s="206"/>
      <c r="J1294" s="207"/>
      <c r="K1294" s="67"/>
      <c r="L1294" s="1" t="s">
        <v>43</v>
      </c>
      <c r="M1294" s="143">
        <f t="shared" ref="M1294" si="3990">IFERROR(ROUND(M1275*M1277,2),"")</f>
        <v>16.5</v>
      </c>
      <c r="O1294" s="27" t="s">
        <v>363</v>
      </c>
      <c r="P1294" s="107">
        <f t="shared" ref="P1294:R1294" si="3991">INDEX(P1281:P1293,MATCH(MAX($J1281:$J1293),$J1281:$J1293,0))</f>
        <v>9.41</v>
      </c>
      <c r="Q1294" s="107">
        <f t="shared" si="3991"/>
        <v>16.5</v>
      </c>
      <c r="R1294" s="107">
        <f t="shared" si="3991"/>
        <v>22.9</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f t="shared" ref="B1296" si="3992">LARGE(IFERROR(IF(B1294+1&gt;$H$8,"",B1294+1),""),1)</f>
        <v>62</v>
      </c>
      <c r="C1296" s="127">
        <f>IF(_xlfn.ISFORMULA(E1300),MAX(INDEX('BASE FORMAÇÃO'!A:A,B1296+1),1),E1300)</f>
        <v>1</v>
      </c>
      <c r="D1296" s="127">
        <f t="shared" ref="D1296" si="3993">IFERROR(IF(C1296=C1286,D1286+1,1),1)</f>
        <v>62</v>
      </c>
      <c r="E1296" s="38" t="s">
        <v>9</v>
      </c>
      <c r="F1296" s="73"/>
      <c r="G1296" s="38" t="s">
        <v>15</v>
      </c>
      <c r="H1296" s="135">
        <f>INDEX('BASE FORMAÇÃO'!B:B,B1296+1)</f>
        <v>0</v>
      </c>
      <c r="I1296" s="181" t="s">
        <v>16</v>
      </c>
      <c r="J1296" s="6">
        <f>INDEX('BASE FORMAÇÃO'!K:K,B1296+1)</f>
        <v>0</v>
      </c>
      <c r="K1296" s="65"/>
      <c r="L1296" s="184" t="s">
        <v>10</v>
      </c>
      <c r="M1296" s="186">
        <f t="shared" ref="M1296" si="3994">IF(OR(ISBLANK($O$8),ISBLANK($O$7),ISBLANK($H$8),ISBLANK($O$6),ISBLANK($O$5),ISBLANK($H$5)),"",IFERROR(IF(VLOOKUP(L1296,L1302:M1311,2,FALSE)&lt;1,ROUND(VLOOKUP(L1296,L1302:M1311,2,FALSE),4),ROUND(VLOOKUP(L1296,L1302:M1311,2,FALSE),2)),""))</f>
        <v>14.4</v>
      </c>
      <c r="N1296" s="69"/>
      <c r="O1296" s="27" t="s">
        <v>17</v>
      </c>
      <c r="P1296" s="113">
        <v>13.06</v>
      </c>
      <c r="Q1296" s="113">
        <v>17.899999999999999</v>
      </c>
      <c r="R1296" s="113">
        <v>12.23</v>
      </c>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f t="shared" ref="B1297:D1297" si="3995">B1296</f>
        <v>62</v>
      </c>
      <c r="C1297" s="128">
        <f t="shared" si="3995"/>
        <v>1</v>
      </c>
      <c r="D1297" s="127">
        <f t="shared" si="3995"/>
        <v>62</v>
      </c>
      <c r="E1297" s="188">
        <f t="shared" ref="E1297" si="3996">D1296</f>
        <v>62</v>
      </c>
      <c r="F1297" s="92"/>
      <c r="G1297" s="190" t="s">
        <v>1</v>
      </c>
      <c r="H1297" s="193" t="s">
        <v>677</v>
      </c>
      <c r="I1297" s="194"/>
      <c r="J1297" s="195"/>
      <c r="K1297" s="66"/>
      <c r="L1297" s="185"/>
      <c r="M1297" s="187"/>
      <c r="N1297" s="70"/>
      <c r="O1297" s="27" t="s">
        <v>13</v>
      </c>
      <c r="P1297" s="122">
        <v>46196</v>
      </c>
      <c r="Q1297" s="122">
        <v>46196</v>
      </c>
      <c r="R1297" s="122">
        <v>46196</v>
      </c>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f t="shared" ref="B1298:D1298" si="3997">B1297</f>
        <v>62</v>
      </c>
      <c r="C1298" s="128">
        <f t="shared" si="3997"/>
        <v>1</v>
      </c>
      <c r="D1298" s="127">
        <f t="shared" si="3997"/>
        <v>62</v>
      </c>
      <c r="E1298" s="189"/>
      <c r="F1298" s="93"/>
      <c r="G1298" s="191"/>
      <c r="H1298" s="196"/>
      <c r="I1298" s="196"/>
      <c r="J1298" s="197"/>
      <c r="K1298" s="64"/>
      <c r="L1298" s="130" t="s">
        <v>44</v>
      </c>
      <c r="M1298" s="131">
        <v>1</v>
      </c>
      <c r="N1298" s="71"/>
      <c r="O1298" s="27" t="s">
        <v>380</v>
      </c>
      <c r="P1298" s="114" t="s">
        <v>302</v>
      </c>
      <c r="Q1298" s="114" t="s">
        <v>302</v>
      </c>
      <c r="R1298" s="114" t="s">
        <v>302</v>
      </c>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f t="shared" ref="B1299:C1299" si="3998">B1298</f>
        <v>62</v>
      </c>
      <c r="C1299" s="128">
        <f t="shared" si="3998"/>
        <v>1</v>
      </c>
      <c r="D1299" s="127">
        <f t="shared" si="3812"/>
        <v>62</v>
      </c>
      <c r="E1299" s="38" t="s">
        <v>313</v>
      </c>
      <c r="F1299" s="93"/>
      <c r="G1299" s="192"/>
      <c r="H1299" s="198"/>
      <c r="I1299" s="198"/>
      <c r="J1299" s="199"/>
      <c r="K1299" s="64"/>
      <c r="L1299" s="1" t="s">
        <v>2</v>
      </c>
      <c r="M1299" s="6" t="s">
        <v>288</v>
      </c>
      <c r="N1299" s="71"/>
      <c r="O1299" s="27" t="s">
        <v>381</v>
      </c>
      <c r="P1299" s="182" t="s">
        <v>678</v>
      </c>
      <c r="Q1299" s="182" t="s">
        <v>679</v>
      </c>
      <c r="R1299" s="182" t="s">
        <v>680</v>
      </c>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f t="shared" ref="B1300:C1300" si="3999">B1298</f>
        <v>62</v>
      </c>
      <c r="C1300" s="128">
        <f t="shared" si="3999"/>
        <v>1</v>
      </c>
      <c r="D1300" s="127">
        <f t="shared" si="3812"/>
        <v>62</v>
      </c>
      <c r="E1300" s="200">
        <f t="shared" ref="E1300" si="4000">C1296</f>
        <v>1</v>
      </c>
      <c r="F1300" s="93"/>
      <c r="G1300" s="202" t="s">
        <v>304</v>
      </c>
      <c r="H1300" s="204"/>
      <c r="I1300" s="205"/>
      <c r="J1300" s="205"/>
      <c r="K1300" s="67"/>
      <c r="L1300" s="28" t="s">
        <v>303</v>
      </c>
      <c r="M1300" s="133">
        <f t="shared" ref="M1300" si="4001">IFERROR(INDEX(I1302:I1314,MATCH(MAX(J1302:J1314),J1302:J1314,0)),"")</f>
        <v>0.17367199074176221</v>
      </c>
      <c r="N1300" s="71"/>
      <c r="O1300" s="27" t="s">
        <v>18</v>
      </c>
      <c r="P1300" s="106">
        <f>IF(P1296="","",
IF(OR(P1298="Orçamento",P1297="",MAX('Tabela de Apoio'!$A:$A)&lt;=P1297),
P1296,
(INDEX('Tabela de Apoio'!$B:$B,MATCH('MAPA DE PREÇOS'!$O$8,'Tabela de Apoio'!$A:$A,1))/INDEX('Tabela de Apoio'!$B:$B,MATCH('MAPA DE PREÇOS'!P1297,'Tabela de Apoio'!$A:$A,1)-1))*P1296))</f>
        <v>13.06</v>
      </c>
      <c r="Q1300" s="106">
        <f>IF(Q1296="","",
IF(OR(Q1298="Orçamento",Q1297="",MAX('Tabela de Apoio'!$A:$A)&lt;=Q1297),
Q1296,
(INDEX('Tabela de Apoio'!$B:$B,MATCH('MAPA DE PREÇOS'!$O$8,'Tabela de Apoio'!$A:$A,1))/INDEX('Tabela de Apoio'!$B:$B,MATCH('MAPA DE PREÇOS'!Q1297,'Tabela de Apoio'!$A:$A,1)-1))*Q1296))</f>
        <v>17.899999999999999</v>
      </c>
      <c r="R1300" s="106">
        <f>IF(R1296="","",
IF(OR(R1298="Orçamento",R1297="",MAX('Tabela de Apoio'!$A:$A)&lt;=R1297),
R1296,
(INDEX('Tabela de Apoio'!$B:$B,MATCH('MAPA DE PREÇOS'!$O$8,'Tabela de Apoio'!$A:$A,1))/INDEX('Tabela de Apoio'!$B:$B,MATCH('MAPA DE PREÇOS'!R1297,'Tabela de Apoio'!$A:$A,1)-1))*R1296))</f>
        <v>12.23</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f t="shared" ref="B1301" si="4002">B1300</f>
        <v>62</v>
      </c>
      <c r="C1301" s="128">
        <f t="shared" ref="C1301" si="4003">C1300</f>
        <v>1</v>
      </c>
      <c r="D1301" s="127">
        <f t="shared" si="3812"/>
        <v>62</v>
      </c>
      <c r="E1301" s="201"/>
      <c r="F1301" s="93"/>
      <c r="G1301" s="203"/>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f t="shared" ref="B1302:C1302" si="4004">B1301</f>
        <v>62</v>
      </c>
      <c r="C1302" s="128">
        <f t="shared" si="4004"/>
        <v>1</v>
      </c>
      <c r="D1302" s="127">
        <f t="shared" si="3812"/>
        <v>62</v>
      </c>
      <c r="E1302" s="201"/>
      <c r="F1302" s="93"/>
      <c r="G1302" s="203"/>
      <c r="H1302" s="134">
        <f t="shared" ref="H1302" si="4005">COUNT($P1302:$XX1302)</f>
        <v>3</v>
      </c>
      <c r="I1302" s="132">
        <f t="shared" ref="I1302" si="4006">_xlfn.STDEV.P($P1301:$XX1302)/AVERAGE($P1301:$XX1302)</f>
        <v>0.17367199074176221</v>
      </c>
      <c r="J1302" s="7">
        <f>ROW()</f>
        <v>1302</v>
      </c>
      <c r="K1302" s="67"/>
      <c r="L1302" s="29" t="s">
        <v>10</v>
      </c>
      <c r="M1302" s="30">
        <f t="shared" ref="M1302" si="4007">IFERROR(
IF(COUNTA(P1296:AI1296)=COUNTIF(P1298:XX1298,"Orçamento"),MIN(M1307,M1304),
IF(M1305&lt;&gt;"",M1305,
IF(M1306&lt;&gt;"",M1306,
M1304
))),"")</f>
        <v>14.396666666666667</v>
      </c>
      <c r="N1302" s="71"/>
      <c r="O1302" s="27" t="s">
        <v>376</v>
      </c>
      <c r="P1302" s="106">
        <f t="shared" ref="P1302:AI1302" si="4008">IFERROR(IF(P1300="",
            "",
            IF(COUNT($P1300:$XX1300)&lt;=4,
               P1300,
               IF(OR(P1300&gt;(QUARTILE($P1300:$XX1300,3)+(QUARTILE($P1300:$XX1300,3)-QUARTILE($P1300:$XX1300,1))),
                     P1300&lt;(QUARTILE($P1300:$XX1300,1)-(QUARTILE($P1300:$XX1300,3)-QUARTILE($P1300:$XX1300,1)))
                  ),
               "DESCARTADO",P1300)
             )
  ),P1300)</f>
        <v>13.06</v>
      </c>
      <c r="Q1302" s="106">
        <f t="shared" si="4008"/>
        <v>17.899999999999999</v>
      </c>
      <c r="R1302" s="106">
        <f t="shared" si="4008"/>
        <v>12.23</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f t="shared" ref="B1303:B1357" si="4009">B1302</f>
        <v>62</v>
      </c>
      <c r="C1303" s="128">
        <f t="shared" ref="C1303:D1366" si="4010">C1302</f>
        <v>1</v>
      </c>
      <c r="D1303" s="127">
        <f t="shared" si="3812"/>
        <v>62</v>
      </c>
      <c r="E1303" s="201"/>
      <c r="F1303" s="93"/>
      <c r="G1303" s="203"/>
      <c r="H1303"/>
      <c r="I1303"/>
      <c r="J1303"/>
      <c r="K1303" s="66"/>
      <c r="L1303" s="29" t="s">
        <v>360</v>
      </c>
      <c r="M1303" s="30">
        <f t="shared" ref="M1303" si="4011">AVERAGE($P1302:$XX1302)</f>
        <v>14.396666666666667</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f t="shared" si="4009"/>
        <v>62</v>
      </c>
      <c r="C1304" s="128">
        <f t="shared" si="4010"/>
        <v>1</v>
      </c>
      <c r="D1304" s="127">
        <f t="shared" si="4010"/>
        <v>62</v>
      </c>
      <c r="E1304" s="201"/>
      <c r="F1304" s="93"/>
      <c r="G1304" s="203"/>
      <c r="H1304" s="134">
        <f t="shared" ref="H1304" si="4013">COUNT($P1304:$XX1304)</f>
        <v>3</v>
      </c>
      <c r="I1304" s="132">
        <f t="shared" ref="I1304" si="4014">_xlfn.STDEV.P($P1303:$XX1304)/AVERAGE($P1303:$XX1304)</f>
        <v>0.17367199074176221</v>
      </c>
      <c r="J1304" s="7">
        <f t="shared" ref="J1304" si="4015">IF(AND(H1304&gt;2,
OR(L1296="MÉDIA SANEADA",L1296="MEDIANA SANEADA",
AND(L1296="PREÇO ESTIMADO",NOT(AND(P1298="Orçamento",COUNTA(P1296:XX1296)=COUNTIF(P1298:XX1298,"Orçamento")))))),
ROW(),0)</f>
        <v>1304</v>
      </c>
      <c r="K1304" s="66"/>
      <c r="L1304" s="29" t="s">
        <v>361</v>
      </c>
      <c r="M1304" s="30">
        <f t="shared" ref="M1304" si="4016">MEDIAN($P1302:$XX1302)</f>
        <v>13.06</v>
      </c>
      <c r="N1304" s="71"/>
      <c r="O1304" s="27" t="str">
        <f t="shared" ref="O1304" si="4017">"1 RODADA"</f>
        <v>1 RODADA</v>
      </c>
      <c r="P1304" s="107">
        <f t="shared" ref="P1304:AI1304" si="4018">IF(P1302="","",IF((_xlfn.STDEV.P($P1301:$XX1302)/AVERAGE($P1301:$XX1302))&lt;=25%,P1302,IF(OR(P1302&gt;(AVERAGE($P1301:$XX1302)+_xlfn.STDEV.P($P1301:$XX1302)),P1302&lt;(AVERAGE($P1301:$XX1302)-_xlfn.STDEV.P($P1301:$XX1302))),"DESCARTADO",P1302)))</f>
        <v>13.06</v>
      </c>
      <c r="Q1304" s="107">
        <f t="shared" si="4018"/>
        <v>17.899999999999999</v>
      </c>
      <c r="R1304" s="107">
        <f t="shared" si="4018"/>
        <v>12.23</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f t="shared" si="4009"/>
        <v>62</v>
      </c>
      <c r="C1305" s="128">
        <f t="shared" si="4010"/>
        <v>1</v>
      </c>
      <c r="D1305" s="127">
        <f t="shared" si="4010"/>
        <v>62</v>
      </c>
      <c r="E1305" s="201"/>
      <c r="F1305" s="93"/>
      <c r="G1305" s="203"/>
      <c r="H1305"/>
      <c r="I1305"/>
      <c r="J1305"/>
      <c r="L1305" s="29" t="s">
        <v>38</v>
      </c>
      <c r="M1305" s="30">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14.396666666666667</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f t="shared" si="4009"/>
        <v>62</v>
      </c>
      <c r="C1306" s="128">
        <f t="shared" si="4010"/>
        <v>1</v>
      </c>
      <c r="D1306" s="127">
        <f t="shared" si="4010"/>
        <v>62</v>
      </c>
      <c r="E1306" s="201"/>
      <c r="F1306" s="93"/>
      <c r="G1306" s="203"/>
      <c r="H1306" s="134">
        <f t="shared" ref="H1306" si="4021">COUNT($P1306:$XX1306)</f>
        <v>3</v>
      </c>
      <c r="I1306" s="132">
        <f t="shared" ref="I1306" si="4022">_xlfn.STDEV.P($P1305:$XX1306)/AVERAGE($P1305:$XX1306)</f>
        <v>0.17367199074176221</v>
      </c>
      <c r="J1306" s="7">
        <f t="shared" ref="J1306" si="4023">IF(AND(H1306&gt;2,
OR(L1296="MÉDIA SANEADA",L1296="MEDIANA SANEADA",
AND(L1296="PREÇO ESTIMADO",NOT(AND(P1298="Orçamento",COUNTA(P1296:XX1296)=COUNTIF(P1298:XX1298,"Orçamento")))))),
ROW(),0)</f>
        <v>1306</v>
      </c>
      <c r="K1306" s="66"/>
      <c r="L1306" s="29" t="s">
        <v>362</v>
      </c>
      <c r="M1306" s="30">
        <f t="shared" ref="M1306" si="4024" xml:space="preserve">
IF(H1304&gt;2,MEDIAN(P1303:XX1304),
IF(H1306&gt;2,MEDIAN(P1305:XX1306),
IF(H1308&gt;2,MEDIAN(P1307:XX1308),
IF(H1310&gt;2,MEDIAN(P1309:XX1310),
IF(H1312&gt;2,MEDIAN(P1311:XX1312),
IF(H1314&gt;2,MEDIAN(P1313:XX1314),
MEDIAN(P1301:XX1302)))))))</f>
        <v>13.06</v>
      </c>
      <c r="N1306" s="71"/>
      <c r="O1306" s="27" t="str">
        <f t="shared" ref="O1306" si="4025">"2 RODADA"</f>
        <v>2 RODADA</v>
      </c>
      <c r="P1306" s="107">
        <f t="shared" ref="P1306:AI1306" si="4026">IF(P1304="","",IF((_xlfn.STDEV.P($P1303:$XX1304)/AVERAGE($P1303:$XX1304))&lt;=25%,P1304,IF(OR(P1304&gt;(AVERAGE($P1303:$XX1304)+_xlfn.STDEV.P($P1303:$XX1304)),P1304&lt;(AVERAGE($P1303:$XX1304)-_xlfn.STDEV.P($P1303:$XX1304))),"DESCARTADO",P1304)))</f>
        <v>13.06</v>
      </c>
      <c r="Q1306" s="107">
        <f t="shared" si="4026"/>
        <v>17.899999999999999</v>
      </c>
      <c r="R1306" s="107">
        <f t="shared" si="4026"/>
        <v>12.23</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f t="shared" si="4009"/>
        <v>62</v>
      </c>
      <c r="C1307" s="128">
        <f t="shared" si="4010"/>
        <v>1</v>
      </c>
      <c r="D1307" s="127">
        <f t="shared" si="4010"/>
        <v>62</v>
      </c>
      <c r="E1307" s="201"/>
      <c r="F1307" s="93"/>
      <c r="G1307" s="203"/>
      <c r="H1307"/>
      <c r="I1307"/>
      <c r="J1307"/>
      <c r="K1307" s="66"/>
      <c r="L1307" s="29" t="s">
        <v>359</v>
      </c>
      <c r="M1307" s="30">
        <f t="shared" ref="M1307" si="4027">HARMEAN($P1301:$XX1302)</f>
        <v>14.005487881742896</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f t="shared" si="4009"/>
        <v>62</v>
      </c>
      <c r="C1308" s="128">
        <f t="shared" si="4010"/>
        <v>1</v>
      </c>
      <c r="D1308" s="127">
        <f t="shared" si="4010"/>
        <v>62</v>
      </c>
      <c r="E1308" s="201"/>
      <c r="F1308" s="93"/>
      <c r="G1308" s="203"/>
      <c r="H1308" s="134">
        <f t="shared" ref="H1308" si="4029">COUNT($P1308:$XX1308)</f>
        <v>3</v>
      </c>
      <c r="I1308" s="132">
        <f t="shared" ref="I1308" si="4030">_xlfn.STDEV.P($P1307:$XX1308)/AVERAGE($P1307:$XX1308)</f>
        <v>0.17367199074176221</v>
      </c>
      <c r="J1308" s="7">
        <f t="shared" ref="J1308" si="4031">IF(AND(H1308&gt;2,
OR(L1296="MÉDIA SANEADA",L1296="MEDIANA SANEADA",
AND(L1296="PREÇO ESTIMADO",NOT(AND(P1298="Orçamento",COUNTA(P1296:XX1296)=COUNTIF(P1298:XX1298,"Orçamento")))))),
ROW(),0)</f>
        <v>1308</v>
      </c>
      <c r="K1308" s="66"/>
      <c r="L1308" s="29" t="s">
        <v>41</v>
      </c>
      <c r="M1308" s="30">
        <f t="shared" ref="M1308" si="4032">IFERROR(_xlfn.QUARTILE.EXC($P1302:$XX1302,1),"")</f>
        <v>12.23</v>
      </c>
      <c r="N1308" s="71"/>
      <c r="O1308" s="27" t="str">
        <f t="shared" ref="O1308" si="4033">"3 RODADA"</f>
        <v>3 RODADA</v>
      </c>
      <c r="P1308" s="107">
        <f t="shared" ref="P1308:AI1308" si="4034">IF(P1306="","",IF((_xlfn.STDEV.P($P1305:$XX1306)/AVERAGE($P1305:$XX1306))&lt;=25%,P1306,IF(OR(P1306&gt;(AVERAGE($P1305:$XX1306)+_xlfn.STDEV.P($P1305:$XX1306)),P1306&lt;(AVERAGE($P1305:$XX1306)-_xlfn.STDEV.P($P1305:$XX1306))),"DESCARTADO",P1306)))</f>
        <v>13.06</v>
      </c>
      <c r="Q1308" s="107">
        <f t="shared" si="4034"/>
        <v>17.899999999999999</v>
      </c>
      <c r="R1308" s="107">
        <f t="shared" si="4034"/>
        <v>12.23</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f t="shared" si="4009"/>
        <v>62</v>
      </c>
      <c r="C1309" s="128">
        <f t="shared" si="4010"/>
        <v>1</v>
      </c>
      <c r="D1309" s="127">
        <f t="shared" si="4010"/>
        <v>62</v>
      </c>
      <c r="E1309" s="201"/>
      <c r="F1309" s="93"/>
      <c r="G1309" s="203"/>
      <c r="H1309"/>
      <c r="I1309"/>
      <c r="J1309"/>
      <c r="K1309" s="66"/>
      <c r="L1309" s="29" t="s">
        <v>39</v>
      </c>
      <c r="M1309" s="30">
        <f t="shared" ref="M1309" si="4035">IFERROR(_xlfn.QUARTILE.EXC($P1302:$XX1302,3),"")</f>
        <v>17.899999999999999</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f t="shared" si="4009"/>
        <v>62</v>
      </c>
      <c r="C1310" s="128">
        <f t="shared" si="4010"/>
        <v>1</v>
      </c>
      <c r="D1310" s="127">
        <f t="shared" si="4010"/>
        <v>62</v>
      </c>
      <c r="E1310" s="201"/>
      <c r="F1310" s="93"/>
      <c r="G1310" s="203"/>
      <c r="H1310" s="134">
        <f t="shared" ref="H1310" si="4037">COUNT($P1310:$XX1310)</f>
        <v>3</v>
      </c>
      <c r="I1310" s="132">
        <f t="shared" ref="I1310" si="4038">_xlfn.STDEV.P($P1309:$XX1310)/AVERAGE($P1309:$XX1310)</f>
        <v>0.17367199074176221</v>
      </c>
      <c r="J1310" s="7">
        <f t="shared" ref="J1310" si="4039">IF(AND(H1310&gt;2,
OR(L1296="MÉDIA SANEADA",L1296="MEDIANA SANEADA",
AND(L1296="PREÇO ESTIMADO",NOT(AND(P1298="Orçamento",COUNTA(P1296:XX1296)=COUNTIF(P1298:XX1298,"Orçamento")))))),
ROW(),0)</f>
        <v>1310</v>
      </c>
      <c r="K1310" s="66"/>
      <c r="L1310" s="29" t="s">
        <v>42</v>
      </c>
      <c r="M1310" s="30">
        <f t="shared" ref="M1310" si="4040">MIN($P1302:$XX1302)</f>
        <v>12.23</v>
      </c>
      <c r="N1310" s="71"/>
      <c r="O1310" s="27" t="str">
        <f t="shared" ref="O1310" si="4041">"4 RODADA"</f>
        <v>4 RODADA</v>
      </c>
      <c r="P1310" s="107">
        <f t="shared" ref="P1310:AI1310" si="4042">IF(P1308="","",IF((_xlfn.STDEV.P($P1307:$XX1308)/AVERAGE($P1307:$XX1308))&lt;=25%,P1308,IF(OR(P1308&gt;(AVERAGE($P1307:$XX1308)+_xlfn.STDEV.P($P1307:$XX1308)),P1308&lt;(AVERAGE($P1307:$XX1308)-_xlfn.STDEV.P($P1307:$XX1308))),"DESCARTADO",P1308)))</f>
        <v>13.06</v>
      </c>
      <c r="Q1310" s="107">
        <f t="shared" si="4042"/>
        <v>17.899999999999999</v>
      </c>
      <c r="R1310" s="107">
        <f t="shared" si="4042"/>
        <v>12.23</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f t="shared" si="4009"/>
        <v>62</v>
      </c>
      <c r="C1311" s="128">
        <f t="shared" si="4010"/>
        <v>1</v>
      </c>
      <c r="D1311" s="127">
        <f t="shared" si="4010"/>
        <v>62</v>
      </c>
      <c r="E1311" s="201"/>
      <c r="F1311" s="93"/>
      <c r="G1311" s="203"/>
      <c r="H1311"/>
      <c r="I1311"/>
      <c r="J1311"/>
      <c r="K1311" s="66"/>
      <c r="L1311" s="29" t="s">
        <v>40</v>
      </c>
      <c r="M1311" s="30">
        <f t="shared" ref="M1311" si="4043">MAX($P1302:$XX1302)</f>
        <v>17.899999999999999</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f t="shared" si="4009"/>
        <v>62</v>
      </c>
      <c r="C1312" s="128">
        <f t="shared" si="4010"/>
        <v>1</v>
      </c>
      <c r="D1312" s="127">
        <f t="shared" si="4010"/>
        <v>62</v>
      </c>
      <c r="E1312" s="201"/>
      <c r="F1312" s="93"/>
      <c r="G1312" s="203"/>
      <c r="H1312" s="134">
        <f t="shared" ref="H1312" si="4045">COUNT($P1312:$XX1312)</f>
        <v>3</v>
      </c>
      <c r="I1312" s="132">
        <f t="shared" ref="I1312" si="4046">_xlfn.STDEV.P($P1311:$XX1312)/AVERAGE($P1311:$XX1312)</f>
        <v>0.17367199074176221</v>
      </c>
      <c r="J1312" s="7">
        <f t="shared" ref="J1312" si="4047">IF(AND(H1312&gt;2,
OR(L1296="MÉDIA SANEADA",L1296="MEDIANA SANEADA",
AND(L1296="PREÇO ESTIMADO",NOT(AND(P1298="Orçamento",COUNTA(P1296:XX1296)=COUNTIF(P1298:XX1298,"Orçamento")))))),
ROW(),0)</f>
        <v>1312</v>
      </c>
      <c r="K1312" s="66"/>
      <c r="N1312" s="71"/>
      <c r="O1312" s="27" t="str">
        <f t="shared" ref="O1312" si="4048">"5 RODADA"</f>
        <v>5 RODADA</v>
      </c>
      <c r="P1312" s="107">
        <f t="shared" ref="P1312:AI1312" si="4049">IF(P1310="","",IF((_xlfn.STDEV.P($P1309:$XX1310)/AVERAGE($P1309:$XX1310))&lt;=25%,P1310,IF(OR(P1310&gt;(AVERAGE($P1309:$XX1310)+_xlfn.STDEV.P($P1309:$XX1310)),P1310&lt;(AVERAGE($P1309:$XX1310)-_xlfn.STDEV.P($P1309:$XX1310))),"DESCARTADO",P1310)))</f>
        <v>13.06</v>
      </c>
      <c r="Q1312" s="107">
        <f t="shared" si="4049"/>
        <v>17.899999999999999</v>
      </c>
      <c r="R1312" s="107">
        <f t="shared" si="4049"/>
        <v>12.23</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f t="shared" si="4009"/>
        <v>62</v>
      </c>
      <c r="C1313" s="128">
        <f t="shared" si="4010"/>
        <v>1</v>
      </c>
      <c r="D1313" s="127">
        <f t="shared" si="4010"/>
        <v>62</v>
      </c>
      <c r="E1313" s="201"/>
      <c r="F1313" s="93"/>
      <c r="G1313" s="203"/>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f t="shared" si="4009"/>
        <v>62</v>
      </c>
      <c r="C1314" s="128">
        <f t="shared" si="4010"/>
        <v>1</v>
      </c>
      <c r="D1314" s="127">
        <f t="shared" si="4010"/>
        <v>62</v>
      </c>
      <c r="E1314" s="201"/>
      <c r="F1314" s="93"/>
      <c r="G1314" s="203"/>
      <c r="H1314" s="134">
        <f t="shared" ref="H1314" si="4051">COUNT($P1314:$XX1314)</f>
        <v>3</v>
      </c>
      <c r="I1314" s="132">
        <f t="shared" ref="I1314" si="4052">_xlfn.STDEV.P($P1313:$XX1314)/AVERAGE($P1313:$XX1314)</f>
        <v>0.17367199074176221</v>
      </c>
      <c r="J1314" s="7">
        <f t="shared" ref="J1314" si="4053">IF(AND(H1314&gt;2,
OR(L1296="MÉDIA SANEADA",L1296="MEDIANA SANEADA",
AND(L1296="PREÇO ESTIMADO",NOT(AND(P1298="Orçamento",COUNTA(P1296:XX1296)=COUNTIF(P1298:XX1298,"Orçamento")))))),
ROW(),0)</f>
        <v>1314</v>
      </c>
      <c r="N1314" s="71"/>
      <c r="O1314" s="27" t="str">
        <f t="shared" ref="O1314" si="4054">"6 RODADA"</f>
        <v>6 RODADA</v>
      </c>
      <c r="P1314" s="107">
        <f t="shared" ref="P1314:AI1314" si="4055">IFERROR(IF(P1312="","",IF((_xlfn.STDEV.P($P1311:$XX1312)/AVERAGE($P1311:$XX1312))&lt;=25%,P1312,IF(OR(P1312&gt;(AVERAGE($P1311:$XX1312)+_xlfn.STDEV.P($P1311:$XX1312)),P1312&lt;(AVERAGE($P1311:$XX1312)-_xlfn.STDEV.P($P1311:$XX1312))),"DESCARTADO",P1312))),)</f>
        <v>13.06</v>
      </c>
      <c r="Q1314" s="107">
        <f t="shared" si="4055"/>
        <v>17.899999999999999</v>
      </c>
      <c r="R1314" s="107">
        <f t="shared" si="4055"/>
        <v>12.23</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f t="shared" si="4009"/>
        <v>62</v>
      </c>
      <c r="C1315" s="128">
        <f t="shared" si="4010"/>
        <v>1</v>
      </c>
      <c r="D1315" s="127">
        <f t="shared" si="4010"/>
        <v>62</v>
      </c>
      <c r="E1315" s="201"/>
      <c r="F1315" s="136"/>
      <c r="G1315" s="203"/>
      <c r="H1315" s="206"/>
      <c r="I1315" s="206"/>
      <c r="J1315" s="207"/>
      <c r="K1315" s="67"/>
      <c r="L1315" s="1" t="s">
        <v>43</v>
      </c>
      <c r="M1315" s="143">
        <f t="shared" ref="M1315" si="4056">IFERROR(ROUND(M1296*M1298,2),"")</f>
        <v>14.4</v>
      </c>
      <c r="O1315" s="27" t="s">
        <v>363</v>
      </c>
      <c r="P1315" s="107">
        <f t="shared" ref="P1315:AI1336" si="4057">INDEX(P1302:P1314,MATCH(MAX($J1302:$J1314),$J1302:$J1314,0))</f>
        <v>13.06</v>
      </c>
      <c r="Q1315" s="107">
        <f t="shared" si="4057"/>
        <v>17.899999999999999</v>
      </c>
      <c r="R1315" s="107">
        <f t="shared" si="4057"/>
        <v>12.23</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f t="shared" ref="B1317" si="4058">LARGE(IFERROR(IF(B1315+1&gt;$H$8,"",B1315+1),""),1)</f>
        <v>63</v>
      </c>
      <c r="C1317" s="127">
        <f>IF(_xlfn.ISFORMULA(E1321),MAX(INDEX('BASE FORMAÇÃO'!A:A,B1317+1),1),E1321)</f>
        <v>1</v>
      </c>
      <c r="D1317" s="127">
        <f t="shared" ref="D1317" si="4059">IFERROR(IF(C1317=C1307,D1307+1,1),1)</f>
        <v>63</v>
      </c>
      <c r="E1317" s="38" t="s">
        <v>9</v>
      </c>
      <c r="F1317" s="73"/>
      <c r="G1317" s="38" t="s">
        <v>15</v>
      </c>
      <c r="H1317" s="135">
        <f>INDEX('BASE FORMAÇÃO'!B:B,B1317+1)</f>
        <v>0</v>
      </c>
      <c r="I1317" s="181" t="s">
        <v>16</v>
      </c>
      <c r="J1317" s="6">
        <f>INDEX('BASE FORMAÇÃO'!K:K,B1317+1)</f>
        <v>0</v>
      </c>
      <c r="K1317" s="65"/>
      <c r="L1317" s="184" t="s">
        <v>10</v>
      </c>
      <c r="M1317" s="186">
        <f t="shared" ref="M1317" si="4060">IF(OR(ISBLANK($O$8),ISBLANK($O$7),ISBLANK($H$8),ISBLANK($O$6),ISBLANK($O$5),ISBLANK($H$5)),"",IFERROR(IF(VLOOKUP(L1317,L1323:M1332,2,FALSE)&lt;1,ROUND(VLOOKUP(L1317,L1323:M1332,2,FALSE),4),ROUND(VLOOKUP(L1317,L1323:M1332,2,FALSE),2)),""))</f>
        <v>80.569999999999993</v>
      </c>
      <c r="N1317" s="69"/>
      <c r="O1317" s="27" t="s">
        <v>17</v>
      </c>
      <c r="P1317" s="113">
        <v>81.99</v>
      </c>
      <c r="Q1317" s="113">
        <v>71.81</v>
      </c>
      <c r="R1317" s="113">
        <v>87.9</v>
      </c>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f t="shared" ref="B1318:D1318" si="4061">B1317</f>
        <v>63</v>
      </c>
      <c r="C1318" s="128">
        <f t="shared" si="4061"/>
        <v>1</v>
      </c>
      <c r="D1318" s="127">
        <f t="shared" si="4061"/>
        <v>63</v>
      </c>
      <c r="E1318" s="188">
        <f t="shared" ref="E1318" si="4062">D1317</f>
        <v>63</v>
      </c>
      <c r="F1318" s="92"/>
      <c r="G1318" s="190" t="s">
        <v>1</v>
      </c>
      <c r="H1318" s="193" t="s">
        <v>681</v>
      </c>
      <c r="I1318" s="194"/>
      <c r="J1318" s="195"/>
      <c r="K1318" s="66"/>
      <c r="L1318" s="185"/>
      <c r="M1318" s="187"/>
      <c r="N1318" s="70"/>
      <c r="O1318" s="27" t="s">
        <v>13</v>
      </c>
      <c r="P1318" s="122">
        <v>46196</v>
      </c>
      <c r="Q1318" s="122">
        <v>46196</v>
      </c>
      <c r="R1318" s="122">
        <v>46196</v>
      </c>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f t="shared" ref="B1319:D1319" si="4063">B1318</f>
        <v>63</v>
      </c>
      <c r="C1319" s="128">
        <f t="shared" si="4063"/>
        <v>1</v>
      </c>
      <c r="D1319" s="127">
        <f t="shared" si="4063"/>
        <v>63</v>
      </c>
      <c r="E1319" s="189"/>
      <c r="F1319" s="93"/>
      <c r="G1319" s="191"/>
      <c r="H1319" s="196"/>
      <c r="I1319" s="196"/>
      <c r="J1319" s="197"/>
      <c r="K1319" s="64"/>
      <c r="L1319" s="130" t="s">
        <v>44</v>
      </c>
      <c r="M1319" s="131">
        <v>12</v>
      </c>
      <c r="N1319" s="71"/>
      <c r="O1319" s="27" t="s">
        <v>380</v>
      </c>
      <c r="P1319" s="114" t="s">
        <v>302</v>
      </c>
      <c r="Q1319" s="114" t="s">
        <v>302</v>
      </c>
      <c r="R1319" s="114" t="s">
        <v>302</v>
      </c>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f t="shared" ref="B1320:C1320" si="4064">B1319</f>
        <v>63</v>
      </c>
      <c r="C1320" s="128">
        <f t="shared" si="4064"/>
        <v>1</v>
      </c>
      <c r="D1320" s="127">
        <f t="shared" si="4010"/>
        <v>63</v>
      </c>
      <c r="E1320" s="38" t="s">
        <v>313</v>
      </c>
      <c r="F1320" s="93"/>
      <c r="G1320" s="192"/>
      <c r="H1320" s="198"/>
      <c r="I1320" s="198"/>
      <c r="J1320" s="199"/>
      <c r="K1320" s="64"/>
      <c r="L1320" s="1" t="s">
        <v>2</v>
      </c>
      <c r="M1320" s="6" t="s">
        <v>288</v>
      </c>
      <c r="N1320" s="71"/>
      <c r="O1320" s="27" t="s">
        <v>381</v>
      </c>
      <c r="P1320" s="182" t="s">
        <v>682</v>
      </c>
      <c r="Q1320" s="182" t="s">
        <v>684</v>
      </c>
      <c r="R1320" s="182" t="s">
        <v>683</v>
      </c>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f t="shared" ref="B1321:C1321" si="4065">B1319</f>
        <v>63</v>
      </c>
      <c r="C1321" s="128">
        <f t="shared" si="4065"/>
        <v>1</v>
      </c>
      <c r="D1321" s="127">
        <f t="shared" si="4010"/>
        <v>63</v>
      </c>
      <c r="E1321" s="200">
        <f t="shared" ref="E1321" si="4066">C1317</f>
        <v>1</v>
      </c>
      <c r="F1321" s="93"/>
      <c r="G1321" s="202" t="s">
        <v>304</v>
      </c>
      <c r="H1321" s="204"/>
      <c r="I1321" s="205"/>
      <c r="J1321" s="205"/>
      <c r="K1321" s="67"/>
      <c r="L1321" s="28" t="s">
        <v>303</v>
      </c>
      <c r="M1321" s="133">
        <f t="shared" ref="M1321" si="4067">IFERROR(INDEX(I1323:I1335,MATCH(MAX(J1323:J1335),J1323:J1335,0)),"")</f>
        <v>8.2482883579465024E-2</v>
      </c>
      <c r="N1321" s="71"/>
      <c r="O1321" s="27" t="s">
        <v>18</v>
      </c>
      <c r="P1321" s="106">
        <f>IF(P1317="","",
IF(OR(P1319="Orçamento",P1318="",MAX('Tabela de Apoio'!$A:$A)&lt;=P1318),
P1317,
(INDEX('Tabela de Apoio'!$B:$B,MATCH('MAPA DE PREÇOS'!$O$8,'Tabela de Apoio'!$A:$A,1))/INDEX('Tabela de Apoio'!$B:$B,MATCH('MAPA DE PREÇOS'!P1318,'Tabela de Apoio'!$A:$A,1)-1))*P1317))</f>
        <v>81.99</v>
      </c>
      <c r="Q1321" s="106">
        <f>IF(Q1317="","",
IF(OR(Q1319="Orçamento",Q1318="",MAX('Tabela de Apoio'!$A:$A)&lt;=Q1318),
Q1317,
(INDEX('Tabela de Apoio'!$B:$B,MATCH('MAPA DE PREÇOS'!$O$8,'Tabela de Apoio'!$A:$A,1))/INDEX('Tabela de Apoio'!$B:$B,MATCH('MAPA DE PREÇOS'!Q1318,'Tabela de Apoio'!$A:$A,1)-1))*Q1317))</f>
        <v>71.81</v>
      </c>
      <c r="R1321" s="106">
        <f>IF(R1317="","",
IF(OR(R1319="Orçamento",R1318="",MAX('Tabela de Apoio'!$A:$A)&lt;=R1318),
R1317,
(INDEX('Tabela de Apoio'!$B:$B,MATCH('MAPA DE PREÇOS'!$O$8,'Tabela de Apoio'!$A:$A,1))/INDEX('Tabela de Apoio'!$B:$B,MATCH('MAPA DE PREÇOS'!R1318,'Tabela de Apoio'!$A:$A,1)-1))*R1317))</f>
        <v>87.9</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f t="shared" ref="B1322" si="4068">B1321</f>
        <v>63</v>
      </c>
      <c r="C1322" s="128">
        <f t="shared" ref="C1322" si="4069">C1321</f>
        <v>1</v>
      </c>
      <c r="D1322" s="127">
        <f t="shared" si="4010"/>
        <v>63</v>
      </c>
      <c r="E1322" s="201"/>
      <c r="F1322" s="93"/>
      <c r="G1322" s="203"/>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f t="shared" ref="B1323:C1323" si="4070">B1322</f>
        <v>63</v>
      </c>
      <c r="C1323" s="128">
        <f t="shared" si="4070"/>
        <v>1</v>
      </c>
      <c r="D1323" s="127">
        <f t="shared" si="4010"/>
        <v>63</v>
      </c>
      <c r="E1323" s="201"/>
      <c r="F1323" s="93"/>
      <c r="G1323" s="203"/>
      <c r="H1323" s="134">
        <f t="shared" ref="H1323" si="4071">COUNT($P1323:$XX1323)</f>
        <v>3</v>
      </c>
      <c r="I1323" s="132">
        <f t="shared" ref="I1323" si="4072">_xlfn.STDEV.P($P1322:$XX1323)/AVERAGE($P1322:$XX1323)</f>
        <v>8.2482883579465024E-2</v>
      </c>
      <c r="J1323" s="7">
        <f>ROW()</f>
        <v>1323</v>
      </c>
      <c r="K1323" s="67"/>
      <c r="L1323" s="29" t="s">
        <v>10</v>
      </c>
      <c r="M1323" s="30">
        <f t="shared" ref="M1323" si="4073">IFERROR(
IF(COUNTA(P1317:AI1317)=COUNTIF(P1319:XX1319,"Orçamento"),MIN(M1328,M1325),
IF(M1326&lt;&gt;"",M1326,
IF(M1327&lt;&gt;"",M1327,
M1325
))),"")</f>
        <v>80.566666666666677</v>
      </c>
      <c r="N1323" s="71"/>
      <c r="O1323" s="27" t="s">
        <v>376</v>
      </c>
      <c r="P1323" s="106">
        <f t="shared" ref="P1323:AI1323" si="4074">IFERROR(IF(P1321="",
            "",
            IF(COUNT($P1321:$XX1321)&lt;=4,
               P1321,
               IF(OR(P1321&gt;(QUARTILE($P1321:$XX1321,3)+(QUARTILE($P1321:$XX1321,3)-QUARTILE($P1321:$XX1321,1))),
                     P1321&lt;(QUARTILE($P1321:$XX1321,1)-(QUARTILE($P1321:$XX1321,3)-QUARTILE($P1321:$XX1321,1)))
                  ),
               "DESCARTADO",P1321)
             )
  ),P1321)</f>
        <v>81.99</v>
      </c>
      <c r="Q1323" s="106">
        <f t="shared" si="4074"/>
        <v>71.81</v>
      </c>
      <c r="R1323" s="106">
        <f t="shared" si="4074"/>
        <v>87.9</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f t="shared" ref="B1324" si="4075">B1323</f>
        <v>63</v>
      </c>
      <c r="C1324" s="128">
        <f t="shared" ref="C1324" si="4076">C1323</f>
        <v>1</v>
      </c>
      <c r="D1324" s="127">
        <f t="shared" si="4010"/>
        <v>63</v>
      </c>
      <c r="E1324" s="201"/>
      <c r="F1324" s="93"/>
      <c r="G1324" s="203"/>
      <c r="H1324"/>
      <c r="I1324"/>
      <c r="J1324"/>
      <c r="K1324" s="66"/>
      <c r="L1324" s="29" t="s">
        <v>360</v>
      </c>
      <c r="M1324" s="30">
        <f t="shared" ref="M1324" si="4077">AVERAGE($P1323:$XX1323)</f>
        <v>80.566666666666677</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f t="shared" si="4009"/>
        <v>63</v>
      </c>
      <c r="C1325" s="128">
        <f t="shared" si="4010"/>
        <v>1</v>
      </c>
      <c r="D1325" s="127">
        <f t="shared" si="4010"/>
        <v>63</v>
      </c>
      <c r="E1325" s="201"/>
      <c r="F1325" s="93"/>
      <c r="G1325" s="203"/>
      <c r="H1325" s="134">
        <f t="shared" ref="H1325" si="4079">COUNT($P1325:$XX1325)</f>
        <v>3</v>
      </c>
      <c r="I1325" s="132">
        <f t="shared" ref="I1325" si="4080">_xlfn.STDEV.P($P1324:$XX1325)/AVERAGE($P1324:$XX1325)</f>
        <v>8.2482883579465024E-2</v>
      </c>
      <c r="J1325" s="7">
        <f t="shared" ref="J1325" si="4081">IF(AND(H1325&gt;2,
OR(L1317="MÉDIA SANEADA",L1317="MEDIANA SANEADA",
AND(L1317="PREÇO ESTIMADO",NOT(AND(P1319="Orçamento",COUNTA(P1317:XX1317)=COUNTIF(P1319:XX1319,"Orçamento")))))),
ROW(),0)</f>
        <v>1325</v>
      </c>
      <c r="K1325" s="66"/>
      <c r="L1325" s="29" t="s">
        <v>361</v>
      </c>
      <c r="M1325" s="30">
        <f t="shared" ref="M1325" si="4082">MEDIAN($P1323:$XX1323)</f>
        <v>81.99</v>
      </c>
      <c r="N1325" s="71"/>
      <c r="O1325" s="27" t="str">
        <f t="shared" ref="O1325" si="4083">"1 RODADA"</f>
        <v>1 RODADA</v>
      </c>
      <c r="P1325" s="107">
        <f t="shared" ref="P1325:AI1325" si="4084">IF(P1323="","",IF((_xlfn.STDEV.P($P1322:$XX1323)/AVERAGE($P1322:$XX1323))&lt;=25%,P1323,IF(OR(P1323&gt;(AVERAGE($P1322:$XX1323)+_xlfn.STDEV.P($P1322:$XX1323)),P1323&lt;(AVERAGE($P1322:$XX1323)-_xlfn.STDEV.P($P1322:$XX1323))),"DESCARTADO",P1323)))</f>
        <v>81.99</v>
      </c>
      <c r="Q1325" s="107">
        <f t="shared" si="4084"/>
        <v>71.81</v>
      </c>
      <c r="R1325" s="107">
        <f t="shared" si="4084"/>
        <v>87.9</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f t="shared" si="4009"/>
        <v>63</v>
      </c>
      <c r="C1326" s="128">
        <f t="shared" si="4010"/>
        <v>1</v>
      </c>
      <c r="D1326" s="127">
        <f t="shared" si="4010"/>
        <v>63</v>
      </c>
      <c r="E1326" s="201"/>
      <c r="F1326" s="93"/>
      <c r="G1326" s="203"/>
      <c r="H1326"/>
      <c r="I1326"/>
      <c r="J1326"/>
      <c r="L1326" s="29" t="s">
        <v>38</v>
      </c>
      <c r="M1326" s="30">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80.566666666666677</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f t="shared" si="4009"/>
        <v>63</v>
      </c>
      <c r="C1327" s="128">
        <f t="shared" si="4010"/>
        <v>1</v>
      </c>
      <c r="D1327" s="127">
        <f t="shared" si="4010"/>
        <v>63</v>
      </c>
      <c r="E1327" s="201"/>
      <c r="F1327" s="93"/>
      <c r="G1327" s="203"/>
      <c r="H1327" s="134">
        <f t="shared" ref="H1327" si="4087">COUNT($P1327:$XX1327)</f>
        <v>3</v>
      </c>
      <c r="I1327" s="132">
        <f t="shared" ref="I1327" si="4088">_xlfn.STDEV.P($P1326:$XX1327)/AVERAGE($P1326:$XX1327)</f>
        <v>8.2482883579465024E-2</v>
      </c>
      <c r="J1327" s="7">
        <f t="shared" ref="J1327" si="4089">IF(AND(H1327&gt;2,
OR(L1317="MÉDIA SANEADA",L1317="MEDIANA SANEADA",
AND(L1317="PREÇO ESTIMADO",NOT(AND(P1319="Orçamento",COUNTA(P1317:XX1317)=COUNTIF(P1319:XX1319,"Orçamento")))))),
ROW(),0)</f>
        <v>1327</v>
      </c>
      <c r="K1327" s="66"/>
      <c r="L1327" s="29" t="s">
        <v>362</v>
      </c>
      <c r="M1327" s="30">
        <f t="shared" ref="M1327" si="4090" xml:space="preserve">
IF(H1325&gt;2,MEDIAN(P1324:XX1325),
IF(H1327&gt;2,MEDIAN(P1326:XX1327),
IF(H1329&gt;2,MEDIAN(P1328:XX1329),
IF(H1331&gt;2,MEDIAN(P1330:XX1331),
IF(H1333&gt;2,MEDIAN(P1332:XX1333),
IF(H1335&gt;2,MEDIAN(P1334:XX1335),
MEDIAN(P1322:XX1323)))))))</f>
        <v>81.99</v>
      </c>
      <c r="N1327" s="71"/>
      <c r="O1327" s="27" t="str">
        <f t="shared" ref="O1327" si="4091">"2 RODADA"</f>
        <v>2 RODADA</v>
      </c>
      <c r="P1327" s="107">
        <f t="shared" ref="P1327:AI1327" si="4092">IF(P1325="","",IF((_xlfn.STDEV.P($P1324:$XX1325)/AVERAGE($P1324:$XX1325))&lt;=25%,P1325,IF(OR(P1325&gt;(AVERAGE($P1324:$XX1325)+_xlfn.STDEV.P($P1324:$XX1325)),P1325&lt;(AVERAGE($P1324:$XX1325)-_xlfn.STDEV.P($P1324:$XX1325))),"DESCARTADO",P1325)))</f>
        <v>81.99</v>
      </c>
      <c r="Q1327" s="107">
        <f t="shared" si="4092"/>
        <v>71.81</v>
      </c>
      <c r="R1327" s="107">
        <f t="shared" si="4092"/>
        <v>87.9</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f t="shared" si="4009"/>
        <v>63</v>
      </c>
      <c r="C1328" s="128">
        <f t="shared" si="4010"/>
        <v>1</v>
      </c>
      <c r="D1328" s="127">
        <f t="shared" si="4010"/>
        <v>63</v>
      </c>
      <c r="E1328" s="201"/>
      <c r="F1328" s="93"/>
      <c r="G1328" s="203"/>
      <c r="H1328"/>
      <c r="I1328"/>
      <c r="J1328"/>
      <c r="K1328" s="66"/>
      <c r="L1328" s="29" t="s">
        <v>359</v>
      </c>
      <c r="M1328" s="30">
        <f t="shared" ref="M1328" si="4093">HARMEAN($P1322:$XX1323)</f>
        <v>80.002537215210992</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f t="shared" si="4009"/>
        <v>63</v>
      </c>
      <c r="C1329" s="128">
        <f t="shared" si="4010"/>
        <v>1</v>
      </c>
      <c r="D1329" s="127">
        <f t="shared" si="4010"/>
        <v>63</v>
      </c>
      <c r="E1329" s="201"/>
      <c r="F1329" s="93"/>
      <c r="G1329" s="203"/>
      <c r="H1329" s="134">
        <f t="shared" ref="H1329" si="4095">COUNT($P1329:$XX1329)</f>
        <v>3</v>
      </c>
      <c r="I1329" s="132">
        <f t="shared" ref="I1329" si="4096">_xlfn.STDEV.P($P1328:$XX1329)/AVERAGE($P1328:$XX1329)</f>
        <v>8.2482883579465024E-2</v>
      </c>
      <c r="J1329" s="7">
        <f t="shared" ref="J1329" si="4097">IF(AND(H1329&gt;2,
OR(L1317="MÉDIA SANEADA",L1317="MEDIANA SANEADA",
AND(L1317="PREÇO ESTIMADO",NOT(AND(P1319="Orçamento",COUNTA(P1317:XX1317)=COUNTIF(P1319:XX1319,"Orçamento")))))),
ROW(),0)</f>
        <v>1329</v>
      </c>
      <c r="K1329" s="66"/>
      <c r="L1329" s="29" t="s">
        <v>41</v>
      </c>
      <c r="M1329" s="30">
        <f t="shared" ref="M1329" si="4098">IFERROR(_xlfn.QUARTILE.EXC($P1323:$XX1323,1),"")</f>
        <v>71.81</v>
      </c>
      <c r="N1329" s="71"/>
      <c r="O1329" s="27" t="str">
        <f t="shared" ref="O1329" si="4099">"3 RODADA"</f>
        <v>3 RODADA</v>
      </c>
      <c r="P1329" s="107">
        <f t="shared" ref="P1329:AI1329" si="4100">IF(P1327="","",IF((_xlfn.STDEV.P($P1326:$XX1327)/AVERAGE($P1326:$XX1327))&lt;=25%,P1327,IF(OR(P1327&gt;(AVERAGE($P1326:$XX1327)+_xlfn.STDEV.P($P1326:$XX1327)),P1327&lt;(AVERAGE($P1326:$XX1327)-_xlfn.STDEV.P($P1326:$XX1327))),"DESCARTADO",P1327)))</f>
        <v>81.99</v>
      </c>
      <c r="Q1329" s="107">
        <f t="shared" si="4100"/>
        <v>71.81</v>
      </c>
      <c r="R1329" s="107">
        <f t="shared" si="4100"/>
        <v>87.9</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f t="shared" si="4009"/>
        <v>63</v>
      </c>
      <c r="C1330" s="128">
        <f t="shared" si="4010"/>
        <v>1</v>
      </c>
      <c r="D1330" s="127">
        <f t="shared" si="4010"/>
        <v>63</v>
      </c>
      <c r="E1330" s="201"/>
      <c r="F1330" s="93"/>
      <c r="G1330" s="203"/>
      <c r="H1330"/>
      <c r="I1330"/>
      <c r="J1330"/>
      <c r="K1330" s="66"/>
      <c r="L1330" s="29" t="s">
        <v>39</v>
      </c>
      <c r="M1330" s="30">
        <f t="shared" ref="M1330" si="4101">IFERROR(_xlfn.QUARTILE.EXC($P1323:$XX1323,3),"")</f>
        <v>87.9</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f t="shared" si="4009"/>
        <v>63</v>
      </c>
      <c r="C1331" s="128">
        <f t="shared" si="4010"/>
        <v>1</v>
      </c>
      <c r="D1331" s="127">
        <f t="shared" si="4010"/>
        <v>63</v>
      </c>
      <c r="E1331" s="201"/>
      <c r="F1331" s="93"/>
      <c r="G1331" s="203"/>
      <c r="H1331" s="134">
        <f t="shared" ref="H1331" si="4103">COUNT($P1331:$XX1331)</f>
        <v>3</v>
      </c>
      <c r="I1331" s="132">
        <f t="shared" ref="I1331" si="4104">_xlfn.STDEV.P($P1330:$XX1331)/AVERAGE($P1330:$XX1331)</f>
        <v>8.2482883579465024E-2</v>
      </c>
      <c r="J1331" s="7">
        <f t="shared" ref="J1331" si="4105">IF(AND(H1331&gt;2,
OR(L1317="MÉDIA SANEADA",L1317="MEDIANA SANEADA",
AND(L1317="PREÇO ESTIMADO",NOT(AND(P1319="Orçamento",COUNTA(P1317:XX1317)=COUNTIF(P1319:XX1319,"Orçamento")))))),
ROW(),0)</f>
        <v>1331</v>
      </c>
      <c r="K1331" s="66"/>
      <c r="L1331" s="29" t="s">
        <v>42</v>
      </c>
      <c r="M1331" s="30">
        <f t="shared" ref="M1331" si="4106">MIN($P1323:$XX1323)</f>
        <v>71.81</v>
      </c>
      <c r="N1331" s="71"/>
      <c r="O1331" s="27" t="str">
        <f t="shared" ref="O1331" si="4107">"4 RODADA"</f>
        <v>4 RODADA</v>
      </c>
      <c r="P1331" s="107">
        <f t="shared" ref="P1331:AI1331" si="4108">IF(P1329="","",IF((_xlfn.STDEV.P($P1328:$XX1329)/AVERAGE($P1328:$XX1329))&lt;=25%,P1329,IF(OR(P1329&gt;(AVERAGE($P1328:$XX1329)+_xlfn.STDEV.P($P1328:$XX1329)),P1329&lt;(AVERAGE($P1328:$XX1329)-_xlfn.STDEV.P($P1328:$XX1329))),"DESCARTADO",P1329)))</f>
        <v>81.99</v>
      </c>
      <c r="Q1331" s="107">
        <f t="shared" si="4108"/>
        <v>71.81</v>
      </c>
      <c r="R1331" s="107">
        <f t="shared" si="4108"/>
        <v>87.9</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f t="shared" si="4009"/>
        <v>63</v>
      </c>
      <c r="C1332" s="128">
        <f t="shared" si="4010"/>
        <v>1</v>
      </c>
      <c r="D1332" s="127">
        <f t="shared" si="4010"/>
        <v>63</v>
      </c>
      <c r="E1332" s="201"/>
      <c r="F1332" s="93"/>
      <c r="G1332" s="203"/>
      <c r="H1332"/>
      <c r="I1332"/>
      <c r="J1332"/>
      <c r="K1332" s="66"/>
      <c r="L1332" s="29" t="s">
        <v>40</v>
      </c>
      <c r="M1332" s="30">
        <f t="shared" ref="M1332" si="4109">MAX($P1323:$XX1323)</f>
        <v>87.9</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f t="shared" si="4009"/>
        <v>63</v>
      </c>
      <c r="C1333" s="128">
        <f t="shared" si="4010"/>
        <v>1</v>
      </c>
      <c r="D1333" s="127">
        <f t="shared" si="4010"/>
        <v>63</v>
      </c>
      <c r="E1333" s="201"/>
      <c r="F1333" s="93"/>
      <c r="G1333" s="203"/>
      <c r="H1333" s="134">
        <f t="shared" ref="H1333" si="4111">COUNT($P1333:$XX1333)</f>
        <v>3</v>
      </c>
      <c r="I1333" s="132">
        <f t="shared" ref="I1333" si="4112">_xlfn.STDEV.P($P1332:$XX1333)/AVERAGE($P1332:$XX1333)</f>
        <v>8.2482883579465024E-2</v>
      </c>
      <c r="J1333" s="7">
        <f t="shared" ref="J1333" si="4113">IF(AND(H1333&gt;2,
OR(L1317="MÉDIA SANEADA",L1317="MEDIANA SANEADA",
AND(L1317="PREÇO ESTIMADO",NOT(AND(P1319="Orçamento",COUNTA(P1317:XX1317)=COUNTIF(P1319:XX1319,"Orçamento")))))),
ROW(),0)</f>
        <v>1333</v>
      </c>
      <c r="K1333" s="66"/>
      <c r="N1333" s="71"/>
      <c r="O1333" s="27" t="str">
        <f t="shared" ref="O1333" si="4114">"5 RODADA"</f>
        <v>5 RODADA</v>
      </c>
      <c r="P1333" s="107">
        <f t="shared" ref="P1333:AI1333" si="4115">IF(P1331="","",IF((_xlfn.STDEV.P($P1330:$XX1331)/AVERAGE($P1330:$XX1331))&lt;=25%,P1331,IF(OR(P1331&gt;(AVERAGE($P1330:$XX1331)+_xlfn.STDEV.P($P1330:$XX1331)),P1331&lt;(AVERAGE($P1330:$XX1331)-_xlfn.STDEV.P($P1330:$XX1331))),"DESCARTADO",P1331)))</f>
        <v>81.99</v>
      </c>
      <c r="Q1333" s="107">
        <f t="shared" si="4115"/>
        <v>71.81</v>
      </c>
      <c r="R1333" s="107">
        <f t="shared" si="4115"/>
        <v>87.9</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f t="shared" si="4009"/>
        <v>63</v>
      </c>
      <c r="C1334" s="128">
        <f t="shared" si="4010"/>
        <v>1</v>
      </c>
      <c r="D1334" s="127">
        <f t="shared" si="4010"/>
        <v>63</v>
      </c>
      <c r="E1334" s="201"/>
      <c r="F1334" s="93"/>
      <c r="G1334" s="203"/>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f t="shared" si="4009"/>
        <v>63</v>
      </c>
      <c r="C1335" s="128">
        <f t="shared" si="4010"/>
        <v>1</v>
      </c>
      <c r="D1335" s="127">
        <f t="shared" si="4010"/>
        <v>63</v>
      </c>
      <c r="E1335" s="201"/>
      <c r="F1335" s="93"/>
      <c r="G1335" s="203"/>
      <c r="H1335" s="134">
        <f t="shared" ref="H1335" si="4117">COUNT($P1335:$XX1335)</f>
        <v>3</v>
      </c>
      <c r="I1335" s="132">
        <f t="shared" ref="I1335" si="4118">_xlfn.STDEV.P($P1334:$XX1335)/AVERAGE($P1334:$XX1335)</f>
        <v>8.2482883579465024E-2</v>
      </c>
      <c r="J1335" s="7">
        <f t="shared" ref="J1335" si="4119">IF(AND(H1335&gt;2,
OR(L1317="MÉDIA SANEADA",L1317="MEDIANA SANEADA",
AND(L1317="PREÇO ESTIMADO",NOT(AND(P1319="Orçamento",COUNTA(P1317:XX1317)=COUNTIF(P1319:XX1319,"Orçamento")))))),
ROW(),0)</f>
        <v>1335</v>
      </c>
      <c r="N1335" s="71"/>
      <c r="O1335" s="27" t="str">
        <f t="shared" ref="O1335" si="4120">"6 RODADA"</f>
        <v>6 RODADA</v>
      </c>
      <c r="P1335" s="107">
        <f t="shared" ref="P1335:AI1335" si="4121">IFERROR(IF(P1333="","",IF((_xlfn.STDEV.P($P1332:$XX1333)/AVERAGE($P1332:$XX1333))&lt;=25%,P1333,IF(OR(P1333&gt;(AVERAGE($P1332:$XX1333)+_xlfn.STDEV.P($P1332:$XX1333)),P1333&lt;(AVERAGE($P1332:$XX1333)-_xlfn.STDEV.P($P1332:$XX1333))),"DESCARTADO",P1333))),)</f>
        <v>81.99</v>
      </c>
      <c r="Q1335" s="107">
        <f t="shared" si="4121"/>
        <v>71.81</v>
      </c>
      <c r="R1335" s="107">
        <f t="shared" si="4121"/>
        <v>87.9</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f t="shared" si="4009"/>
        <v>63</v>
      </c>
      <c r="C1336" s="128">
        <f t="shared" si="4010"/>
        <v>1</v>
      </c>
      <c r="D1336" s="127">
        <f t="shared" si="4010"/>
        <v>63</v>
      </c>
      <c r="E1336" s="201"/>
      <c r="F1336" s="136"/>
      <c r="G1336" s="203"/>
      <c r="H1336" s="206"/>
      <c r="I1336" s="206"/>
      <c r="J1336" s="207"/>
      <c r="K1336" s="67"/>
      <c r="L1336" s="1" t="s">
        <v>43</v>
      </c>
      <c r="M1336" s="143">
        <f t="shared" ref="M1336" si="4122">IFERROR(ROUND(M1317*M1319,2),"")</f>
        <v>966.84</v>
      </c>
      <c r="O1336" s="27" t="s">
        <v>363</v>
      </c>
      <c r="P1336" s="107">
        <f t="shared" ref="P1336:R1336" si="4123">INDEX(P1323:P1335,MATCH(MAX($J1323:$J1335),$J1323:$J1335,0))</f>
        <v>81.99</v>
      </c>
      <c r="Q1336" s="107">
        <f t="shared" si="4123"/>
        <v>71.81</v>
      </c>
      <c r="R1336" s="107">
        <f t="shared" si="4123"/>
        <v>87.9</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f t="shared" ref="B1338" si="4124">LARGE(IFERROR(IF(B1336+1&gt;$H$8,"",B1336+1),""),1)</f>
        <v>64</v>
      </c>
      <c r="C1338" s="127">
        <f>IF(_xlfn.ISFORMULA(E1342),MAX(INDEX('BASE FORMAÇÃO'!A:A,B1338+1),1),E1342)</f>
        <v>1</v>
      </c>
      <c r="D1338" s="127">
        <f t="shared" ref="D1338" si="4125">IFERROR(IF(C1338=C1328,D1328+1,1),1)</f>
        <v>64</v>
      </c>
      <c r="E1338" s="38" t="s">
        <v>9</v>
      </c>
      <c r="F1338" s="73"/>
      <c r="G1338" s="38" t="s">
        <v>15</v>
      </c>
      <c r="H1338" s="135">
        <f>INDEX('BASE FORMAÇÃO'!B:B,B1338+1)</f>
        <v>0</v>
      </c>
      <c r="I1338" s="181" t="s">
        <v>16</v>
      </c>
      <c r="J1338" s="6">
        <f>INDEX('BASE FORMAÇÃO'!K:K,B1338+1)</f>
        <v>0</v>
      </c>
      <c r="K1338" s="65"/>
      <c r="L1338" s="184" t="s">
        <v>10</v>
      </c>
      <c r="M1338" s="186">
        <f t="shared" ref="M1338" si="4126">IF(OR(ISBLANK($O$8),ISBLANK($O$7),ISBLANK($H$8),ISBLANK($O$6),ISBLANK($O$5),ISBLANK($H$5)),"",IFERROR(IF(VLOOKUP(L1338,L1344:M1353,2,FALSE)&lt;1,ROUND(VLOOKUP(L1338,L1344:M1353,2,FALSE),4),ROUND(VLOOKUP(L1338,L1344:M1353,2,FALSE),2)),""))</f>
        <v>33.43</v>
      </c>
      <c r="N1338" s="69"/>
      <c r="O1338" s="27" t="s">
        <v>17</v>
      </c>
      <c r="P1338" s="113">
        <v>33.99</v>
      </c>
      <c r="Q1338" s="113">
        <v>31.41</v>
      </c>
      <c r="R1338" s="113">
        <v>34.9</v>
      </c>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f t="shared" ref="B1339:D1339" si="4127">B1338</f>
        <v>64</v>
      </c>
      <c r="C1339" s="128">
        <f t="shared" si="4127"/>
        <v>1</v>
      </c>
      <c r="D1339" s="127">
        <f t="shared" si="4127"/>
        <v>64</v>
      </c>
      <c r="E1339" s="188">
        <f t="shared" ref="E1339" si="4128">D1338</f>
        <v>64</v>
      </c>
      <c r="F1339" s="92"/>
      <c r="G1339" s="190" t="s">
        <v>1</v>
      </c>
      <c r="H1339" s="193" t="s">
        <v>685</v>
      </c>
      <c r="I1339" s="194"/>
      <c r="J1339" s="195"/>
      <c r="K1339" s="66"/>
      <c r="L1339" s="185"/>
      <c r="M1339" s="187"/>
      <c r="N1339" s="70"/>
      <c r="O1339" s="27" t="s">
        <v>13</v>
      </c>
      <c r="P1339" s="122">
        <v>46196</v>
      </c>
      <c r="Q1339" s="122">
        <v>46196</v>
      </c>
      <c r="R1339" s="122">
        <v>46196</v>
      </c>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f t="shared" ref="B1340:D1340" si="4129">B1339</f>
        <v>64</v>
      </c>
      <c r="C1340" s="128">
        <f t="shared" si="4129"/>
        <v>1</v>
      </c>
      <c r="D1340" s="127">
        <f t="shared" si="4129"/>
        <v>64</v>
      </c>
      <c r="E1340" s="189"/>
      <c r="F1340" s="93"/>
      <c r="G1340" s="191"/>
      <c r="H1340" s="196"/>
      <c r="I1340" s="196"/>
      <c r="J1340" s="197"/>
      <c r="K1340" s="64"/>
      <c r="L1340" s="130" t="s">
        <v>44</v>
      </c>
      <c r="M1340" s="131">
        <v>5</v>
      </c>
      <c r="N1340" s="71"/>
      <c r="O1340" s="27" t="s">
        <v>380</v>
      </c>
      <c r="P1340" s="114" t="s">
        <v>302</v>
      </c>
      <c r="Q1340" s="114" t="s">
        <v>302</v>
      </c>
      <c r="R1340" s="114" t="s">
        <v>302</v>
      </c>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f t="shared" ref="B1341:C1341" si="4130">B1340</f>
        <v>64</v>
      </c>
      <c r="C1341" s="128">
        <f t="shared" si="4130"/>
        <v>1</v>
      </c>
      <c r="D1341" s="127">
        <f t="shared" si="4010"/>
        <v>64</v>
      </c>
      <c r="E1341" s="38" t="s">
        <v>313</v>
      </c>
      <c r="F1341" s="93"/>
      <c r="G1341" s="192"/>
      <c r="H1341" s="198"/>
      <c r="I1341" s="198"/>
      <c r="J1341" s="199"/>
      <c r="K1341" s="64"/>
      <c r="L1341" s="1" t="s">
        <v>2</v>
      </c>
      <c r="M1341" s="6" t="s">
        <v>288</v>
      </c>
      <c r="N1341" s="71"/>
      <c r="O1341" s="27" t="s">
        <v>381</v>
      </c>
      <c r="P1341" s="182" t="s">
        <v>686</v>
      </c>
      <c r="Q1341" s="182" t="s">
        <v>687</v>
      </c>
      <c r="R1341" s="182" t="s">
        <v>688</v>
      </c>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f t="shared" ref="B1342:C1342" si="4131">B1340</f>
        <v>64</v>
      </c>
      <c r="C1342" s="128">
        <f t="shared" si="4131"/>
        <v>1</v>
      </c>
      <c r="D1342" s="127">
        <f t="shared" si="4010"/>
        <v>64</v>
      </c>
      <c r="E1342" s="200">
        <f t="shared" ref="E1342" si="4132">C1338</f>
        <v>1</v>
      </c>
      <c r="F1342" s="93"/>
      <c r="G1342" s="202" t="s">
        <v>304</v>
      </c>
      <c r="H1342" s="204"/>
      <c r="I1342" s="205"/>
      <c r="J1342" s="205"/>
      <c r="K1342" s="67"/>
      <c r="L1342" s="28" t="s">
        <v>303</v>
      </c>
      <c r="M1342" s="133">
        <f t="shared" ref="M1342" si="4133">IFERROR(INDEX(I1344:I1356,MATCH(MAX(J1344:J1356),J1344:J1356,0)),"")</f>
        <v>4.4212149041138883E-2</v>
      </c>
      <c r="N1342" s="71"/>
      <c r="O1342" s="27" t="s">
        <v>18</v>
      </c>
      <c r="P1342" s="106">
        <f>IF(P1338="","",
IF(OR(P1340="Orçamento",P1339="",MAX('Tabela de Apoio'!$A:$A)&lt;=P1339),
P1338,
(INDEX('Tabela de Apoio'!$B:$B,MATCH('MAPA DE PREÇOS'!$O$8,'Tabela de Apoio'!$A:$A,1))/INDEX('Tabela de Apoio'!$B:$B,MATCH('MAPA DE PREÇOS'!P1339,'Tabela de Apoio'!$A:$A,1)-1))*P1338))</f>
        <v>33.99</v>
      </c>
      <c r="Q1342" s="106">
        <f>IF(Q1338="","",
IF(OR(Q1340="Orçamento",Q1339="",MAX('Tabela de Apoio'!$A:$A)&lt;=Q1339),
Q1338,
(INDEX('Tabela de Apoio'!$B:$B,MATCH('MAPA DE PREÇOS'!$O$8,'Tabela de Apoio'!$A:$A,1))/INDEX('Tabela de Apoio'!$B:$B,MATCH('MAPA DE PREÇOS'!Q1339,'Tabela de Apoio'!$A:$A,1)-1))*Q1338))</f>
        <v>31.41</v>
      </c>
      <c r="R1342" s="106">
        <f>IF(R1338="","",
IF(OR(R1340="Orçamento",R1339="",MAX('Tabela de Apoio'!$A:$A)&lt;=R1339),
R1338,
(INDEX('Tabela de Apoio'!$B:$B,MATCH('MAPA DE PREÇOS'!$O$8,'Tabela de Apoio'!$A:$A,1))/INDEX('Tabela de Apoio'!$B:$B,MATCH('MAPA DE PREÇOS'!R1339,'Tabela de Apoio'!$A:$A,1)-1))*R1338))</f>
        <v>34.9</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f t="shared" ref="B1343" si="4134">B1342</f>
        <v>64</v>
      </c>
      <c r="C1343" s="128">
        <f t="shared" ref="C1343" si="4135">C1342</f>
        <v>1</v>
      </c>
      <c r="D1343" s="127">
        <f t="shared" si="4010"/>
        <v>64</v>
      </c>
      <c r="E1343" s="201"/>
      <c r="F1343" s="93"/>
      <c r="G1343" s="203"/>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f t="shared" ref="B1344:C1344" si="4136">B1343</f>
        <v>64</v>
      </c>
      <c r="C1344" s="128">
        <f t="shared" si="4136"/>
        <v>1</v>
      </c>
      <c r="D1344" s="127">
        <f t="shared" si="4010"/>
        <v>64</v>
      </c>
      <c r="E1344" s="201"/>
      <c r="F1344" s="93"/>
      <c r="G1344" s="203"/>
      <c r="H1344" s="134">
        <f t="shared" ref="H1344" si="4137">COUNT($P1344:$XX1344)</f>
        <v>3</v>
      </c>
      <c r="I1344" s="132">
        <f t="shared" ref="I1344" si="4138">_xlfn.STDEV.P($P1343:$XX1344)/AVERAGE($P1343:$XX1344)</f>
        <v>4.4212149041138883E-2</v>
      </c>
      <c r="J1344" s="7">
        <f>ROW()</f>
        <v>1344</v>
      </c>
      <c r="K1344" s="67"/>
      <c r="L1344" s="29" t="s">
        <v>10</v>
      </c>
      <c r="M1344" s="30">
        <f t="shared" ref="M1344" si="4139">IFERROR(
IF(COUNTA(P1338:AI1338)=COUNTIF(P1340:XX1340,"Orçamento"),MIN(M1349,M1346),
IF(M1347&lt;&gt;"",M1347,
IF(M1348&lt;&gt;"",M1348,
M1346
))),"")</f>
        <v>33.433333333333337</v>
      </c>
      <c r="N1344" s="71"/>
      <c r="O1344" s="27" t="s">
        <v>376</v>
      </c>
      <c r="P1344" s="106">
        <f t="shared" ref="P1344:AI1344" si="4140">IFERROR(IF(P1342="",
            "",
            IF(COUNT($P1342:$XX1342)&lt;=4,
               P1342,
               IF(OR(P1342&gt;(QUARTILE($P1342:$XX1342,3)+(QUARTILE($P1342:$XX1342,3)-QUARTILE($P1342:$XX1342,1))),
                     P1342&lt;(QUARTILE($P1342:$XX1342,1)-(QUARTILE($P1342:$XX1342,3)-QUARTILE($P1342:$XX1342,1)))
                  ),
               "DESCARTADO",P1342)
             )
  ),P1342)</f>
        <v>33.99</v>
      </c>
      <c r="Q1344" s="106">
        <f t="shared" si="4140"/>
        <v>31.41</v>
      </c>
      <c r="R1344" s="106">
        <f t="shared" si="4140"/>
        <v>34.9</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f t="shared" ref="B1345" si="4141">B1344</f>
        <v>64</v>
      </c>
      <c r="C1345" s="128">
        <f t="shared" ref="C1345" si="4142">C1344</f>
        <v>1</v>
      </c>
      <c r="D1345" s="127">
        <f t="shared" si="4010"/>
        <v>64</v>
      </c>
      <c r="E1345" s="201"/>
      <c r="F1345" s="93"/>
      <c r="G1345" s="203"/>
      <c r="H1345"/>
      <c r="I1345"/>
      <c r="J1345"/>
      <c r="K1345" s="66"/>
      <c r="L1345" s="29" t="s">
        <v>360</v>
      </c>
      <c r="M1345" s="30">
        <f t="shared" ref="M1345" si="4143">AVERAGE($P1344:$XX1344)</f>
        <v>33.433333333333337</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f t="shared" si="4009"/>
        <v>64</v>
      </c>
      <c r="C1346" s="128">
        <f t="shared" si="4010"/>
        <v>1</v>
      </c>
      <c r="D1346" s="127">
        <f t="shared" si="4010"/>
        <v>64</v>
      </c>
      <c r="E1346" s="201"/>
      <c r="F1346" s="93"/>
      <c r="G1346" s="203"/>
      <c r="H1346" s="134">
        <f t="shared" ref="H1346" si="4145">COUNT($P1346:$XX1346)</f>
        <v>3</v>
      </c>
      <c r="I1346" s="132">
        <f t="shared" ref="I1346" si="4146">_xlfn.STDEV.P($P1345:$XX1346)/AVERAGE($P1345:$XX1346)</f>
        <v>4.4212149041138883E-2</v>
      </c>
      <c r="J1346" s="7">
        <f t="shared" ref="J1346" si="4147">IF(AND(H1346&gt;2,
OR(L1338="MÉDIA SANEADA",L1338="MEDIANA SANEADA",
AND(L1338="PREÇO ESTIMADO",NOT(AND(P1340="Orçamento",COUNTA(P1338:XX1338)=COUNTIF(P1340:XX1340,"Orçamento")))))),
ROW(),0)</f>
        <v>1346</v>
      </c>
      <c r="K1346" s="66"/>
      <c r="L1346" s="29" t="s">
        <v>361</v>
      </c>
      <c r="M1346" s="30">
        <f t="shared" ref="M1346" si="4148">MEDIAN($P1344:$XX1344)</f>
        <v>33.99</v>
      </c>
      <c r="N1346" s="71"/>
      <c r="O1346" s="27" t="str">
        <f t="shared" ref="O1346" si="4149">"1 RODADA"</f>
        <v>1 RODADA</v>
      </c>
      <c r="P1346" s="107">
        <f t="shared" ref="P1346:AI1346" si="4150">IF(P1344="","",IF((_xlfn.STDEV.P($P1343:$XX1344)/AVERAGE($P1343:$XX1344))&lt;=25%,P1344,IF(OR(P1344&gt;(AVERAGE($P1343:$XX1344)+_xlfn.STDEV.P($P1343:$XX1344)),P1344&lt;(AVERAGE($P1343:$XX1344)-_xlfn.STDEV.P($P1343:$XX1344))),"DESCARTADO",P1344)))</f>
        <v>33.99</v>
      </c>
      <c r="Q1346" s="107">
        <f t="shared" si="4150"/>
        <v>31.41</v>
      </c>
      <c r="R1346" s="107">
        <f t="shared" si="4150"/>
        <v>34.9</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f t="shared" si="4009"/>
        <v>64</v>
      </c>
      <c r="C1347" s="128">
        <f t="shared" si="4010"/>
        <v>1</v>
      </c>
      <c r="D1347" s="127">
        <f t="shared" si="4010"/>
        <v>64</v>
      </c>
      <c r="E1347" s="201"/>
      <c r="F1347" s="93"/>
      <c r="G1347" s="203"/>
      <c r="H1347"/>
      <c r="I1347"/>
      <c r="J1347"/>
      <c r="L1347" s="29" t="s">
        <v>38</v>
      </c>
      <c r="M1347" s="30">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33.433333333333337</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f t="shared" si="4009"/>
        <v>64</v>
      </c>
      <c r="C1348" s="128">
        <f t="shared" si="4010"/>
        <v>1</v>
      </c>
      <c r="D1348" s="127">
        <f t="shared" si="4010"/>
        <v>64</v>
      </c>
      <c r="E1348" s="201"/>
      <c r="F1348" s="93"/>
      <c r="G1348" s="203"/>
      <c r="H1348" s="134">
        <f t="shared" ref="H1348" si="4153">COUNT($P1348:$XX1348)</f>
        <v>3</v>
      </c>
      <c r="I1348" s="132">
        <f t="shared" ref="I1348" si="4154">_xlfn.STDEV.P($P1347:$XX1348)/AVERAGE($P1347:$XX1348)</f>
        <v>4.4212149041138883E-2</v>
      </c>
      <c r="J1348" s="7">
        <f t="shared" ref="J1348" si="4155">IF(AND(H1348&gt;2,
OR(L1338="MÉDIA SANEADA",L1338="MEDIANA SANEADA",
AND(L1338="PREÇO ESTIMADO",NOT(AND(P1340="Orçamento",COUNTA(P1338:XX1338)=COUNTIF(P1340:XX1340,"Orçamento")))))),
ROW(),0)</f>
        <v>1348</v>
      </c>
      <c r="K1348" s="66"/>
      <c r="L1348" s="29" t="s">
        <v>362</v>
      </c>
      <c r="M1348" s="30">
        <f t="shared" ref="M1348" si="4156" xml:space="preserve">
IF(H1346&gt;2,MEDIAN(P1345:XX1346),
IF(H1348&gt;2,MEDIAN(P1347:XX1348),
IF(H1350&gt;2,MEDIAN(P1349:XX1350),
IF(H1352&gt;2,MEDIAN(P1351:XX1352),
IF(H1354&gt;2,MEDIAN(P1353:XX1354),
IF(H1356&gt;2,MEDIAN(P1355:XX1356),
MEDIAN(P1343:XX1344)))))))</f>
        <v>33.99</v>
      </c>
      <c r="N1348" s="71"/>
      <c r="O1348" s="27" t="str">
        <f t="shared" ref="O1348" si="4157">"2 RODADA"</f>
        <v>2 RODADA</v>
      </c>
      <c r="P1348" s="107">
        <f t="shared" ref="P1348:AI1348" si="4158">IF(P1346="","",IF((_xlfn.STDEV.P($P1345:$XX1346)/AVERAGE($P1345:$XX1346))&lt;=25%,P1346,IF(OR(P1346&gt;(AVERAGE($P1345:$XX1346)+_xlfn.STDEV.P($P1345:$XX1346)),P1346&lt;(AVERAGE($P1345:$XX1346)-_xlfn.STDEV.P($P1345:$XX1346))),"DESCARTADO",P1346)))</f>
        <v>33.99</v>
      </c>
      <c r="Q1348" s="107">
        <f t="shared" si="4158"/>
        <v>31.41</v>
      </c>
      <c r="R1348" s="107">
        <f t="shared" si="4158"/>
        <v>34.9</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f t="shared" si="4009"/>
        <v>64</v>
      </c>
      <c r="C1349" s="128">
        <f t="shared" si="4010"/>
        <v>1</v>
      </c>
      <c r="D1349" s="127">
        <f t="shared" si="4010"/>
        <v>64</v>
      </c>
      <c r="E1349" s="201"/>
      <c r="F1349" s="93"/>
      <c r="G1349" s="203"/>
      <c r="H1349"/>
      <c r="I1349"/>
      <c r="J1349"/>
      <c r="K1349" s="66"/>
      <c r="L1349" s="29" t="s">
        <v>359</v>
      </c>
      <c r="M1349" s="30">
        <f t="shared" ref="M1349" si="4159">HARMEAN($P1343:$XX1344)</f>
        <v>33.36643747851361</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f t="shared" si="4009"/>
        <v>64</v>
      </c>
      <c r="C1350" s="128">
        <f t="shared" si="4010"/>
        <v>1</v>
      </c>
      <c r="D1350" s="127">
        <f t="shared" si="4010"/>
        <v>64</v>
      </c>
      <c r="E1350" s="201"/>
      <c r="F1350" s="93"/>
      <c r="G1350" s="203"/>
      <c r="H1350" s="134">
        <f t="shared" ref="H1350" si="4161">COUNT($P1350:$XX1350)</f>
        <v>3</v>
      </c>
      <c r="I1350" s="132">
        <f t="shared" ref="I1350" si="4162">_xlfn.STDEV.P($P1349:$XX1350)/AVERAGE($P1349:$XX1350)</f>
        <v>4.4212149041138883E-2</v>
      </c>
      <c r="J1350" s="7">
        <f t="shared" ref="J1350" si="4163">IF(AND(H1350&gt;2,
OR(L1338="MÉDIA SANEADA",L1338="MEDIANA SANEADA",
AND(L1338="PREÇO ESTIMADO",NOT(AND(P1340="Orçamento",COUNTA(P1338:XX1338)=COUNTIF(P1340:XX1340,"Orçamento")))))),
ROW(),0)</f>
        <v>1350</v>
      </c>
      <c r="K1350" s="66"/>
      <c r="L1350" s="29" t="s">
        <v>41</v>
      </c>
      <c r="M1350" s="30">
        <f t="shared" ref="M1350" si="4164">IFERROR(_xlfn.QUARTILE.EXC($P1344:$XX1344,1),"")</f>
        <v>31.41</v>
      </c>
      <c r="N1350" s="71"/>
      <c r="O1350" s="27" t="str">
        <f t="shared" ref="O1350" si="4165">"3 RODADA"</f>
        <v>3 RODADA</v>
      </c>
      <c r="P1350" s="107">
        <f t="shared" ref="P1350:AI1350" si="4166">IF(P1348="","",IF((_xlfn.STDEV.P($P1347:$XX1348)/AVERAGE($P1347:$XX1348))&lt;=25%,P1348,IF(OR(P1348&gt;(AVERAGE($P1347:$XX1348)+_xlfn.STDEV.P($P1347:$XX1348)),P1348&lt;(AVERAGE($P1347:$XX1348)-_xlfn.STDEV.P($P1347:$XX1348))),"DESCARTADO",P1348)))</f>
        <v>33.99</v>
      </c>
      <c r="Q1350" s="107">
        <f t="shared" si="4166"/>
        <v>31.41</v>
      </c>
      <c r="R1350" s="107">
        <f t="shared" si="4166"/>
        <v>34.9</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f t="shared" si="4009"/>
        <v>64</v>
      </c>
      <c r="C1351" s="128">
        <f t="shared" si="4010"/>
        <v>1</v>
      </c>
      <c r="D1351" s="127">
        <f t="shared" si="4010"/>
        <v>64</v>
      </c>
      <c r="E1351" s="201"/>
      <c r="F1351" s="93"/>
      <c r="G1351" s="203"/>
      <c r="H1351"/>
      <c r="I1351"/>
      <c r="J1351"/>
      <c r="K1351" s="66"/>
      <c r="L1351" s="29" t="s">
        <v>39</v>
      </c>
      <c r="M1351" s="30">
        <f t="shared" ref="M1351" si="4167">IFERROR(_xlfn.QUARTILE.EXC($P1344:$XX1344,3),"")</f>
        <v>34.9</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f t="shared" si="4009"/>
        <v>64</v>
      </c>
      <c r="C1352" s="128">
        <f t="shared" si="4010"/>
        <v>1</v>
      </c>
      <c r="D1352" s="127">
        <f t="shared" si="4010"/>
        <v>64</v>
      </c>
      <c r="E1352" s="201"/>
      <c r="F1352" s="93"/>
      <c r="G1352" s="203"/>
      <c r="H1352" s="134">
        <f t="shared" ref="H1352" si="4169">COUNT($P1352:$XX1352)</f>
        <v>3</v>
      </c>
      <c r="I1352" s="132">
        <f t="shared" ref="I1352" si="4170">_xlfn.STDEV.P($P1351:$XX1352)/AVERAGE($P1351:$XX1352)</f>
        <v>4.4212149041138883E-2</v>
      </c>
      <c r="J1352" s="7">
        <f t="shared" ref="J1352" si="4171">IF(AND(H1352&gt;2,
OR(L1338="MÉDIA SANEADA",L1338="MEDIANA SANEADA",
AND(L1338="PREÇO ESTIMADO",NOT(AND(P1340="Orçamento",COUNTA(P1338:XX1338)=COUNTIF(P1340:XX1340,"Orçamento")))))),
ROW(),0)</f>
        <v>1352</v>
      </c>
      <c r="K1352" s="66"/>
      <c r="L1352" s="29" t="s">
        <v>42</v>
      </c>
      <c r="M1352" s="30">
        <f t="shared" ref="M1352" si="4172">MIN($P1344:$XX1344)</f>
        <v>31.41</v>
      </c>
      <c r="N1352" s="71"/>
      <c r="O1352" s="27" t="str">
        <f t="shared" ref="O1352" si="4173">"4 RODADA"</f>
        <v>4 RODADA</v>
      </c>
      <c r="P1352" s="107">
        <f t="shared" ref="P1352:AI1352" si="4174">IF(P1350="","",IF((_xlfn.STDEV.P($P1349:$XX1350)/AVERAGE($P1349:$XX1350))&lt;=25%,P1350,IF(OR(P1350&gt;(AVERAGE($P1349:$XX1350)+_xlfn.STDEV.P($P1349:$XX1350)),P1350&lt;(AVERAGE($P1349:$XX1350)-_xlfn.STDEV.P($P1349:$XX1350))),"DESCARTADO",P1350)))</f>
        <v>33.99</v>
      </c>
      <c r="Q1352" s="107">
        <f t="shared" si="4174"/>
        <v>31.41</v>
      </c>
      <c r="R1352" s="107">
        <f t="shared" si="4174"/>
        <v>34.9</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f t="shared" si="4009"/>
        <v>64</v>
      </c>
      <c r="C1353" s="128">
        <f t="shared" si="4010"/>
        <v>1</v>
      </c>
      <c r="D1353" s="127">
        <f t="shared" si="4010"/>
        <v>64</v>
      </c>
      <c r="E1353" s="201"/>
      <c r="F1353" s="93"/>
      <c r="G1353" s="203"/>
      <c r="H1353"/>
      <c r="I1353"/>
      <c r="J1353"/>
      <c r="K1353" s="66"/>
      <c r="L1353" s="29" t="s">
        <v>40</v>
      </c>
      <c r="M1353" s="30">
        <f t="shared" ref="M1353" si="4175">MAX($P1344:$XX1344)</f>
        <v>34.9</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f t="shared" si="4009"/>
        <v>64</v>
      </c>
      <c r="C1354" s="128">
        <f t="shared" si="4010"/>
        <v>1</v>
      </c>
      <c r="D1354" s="127">
        <f t="shared" si="4010"/>
        <v>64</v>
      </c>
      <c r="E1354" s="201"/>
      <c r="F1354" s="93"/>
      <c r="G1354" s="203"/>
      <c r="H1354" s="134">
        <f t="shared" ref="H1354" si="4177">COUNT($P1354:$XX1354)</f>
        <v>3</v>
      </c>
      <c r="I1354" s="132">
        <f t="shared" ref="I1354" si="4178">_xlfn.STDEV.P($P1353:$XX1354)/AVERAGE($P1353:$XX1354)</f>
        <v>4.4212149041138883E-2</v>
      </c>
      <c r="J1354" s="7">
        <f t="shared" ref="J1354" si="4179">IF(AND(H1354&gt;2,
OR(L1338="MÉDIA SANEADA",L1338="MEDIANA SANEADA",
AND(L1338="PREÇO ESTIMADO",NOT(AND(P1340="Orçamento",COUNTA(P1338:XX1338)=COUNTIF(P1340:XX1340,"Orçamento")))))),
ROW(),0)</f>
        <v>1354</v>
      </c>
      <c r="K1354" s="66"/>
      <c r="N1354" s="71"/>
      <c r="O1354" s="27" t="str">
        <f t="shared" ref="O1354" si="4180">"5 RODADA"</f>
        <v>5 RODADA</v>
      </c>
      <c r="P1354" s="107">
        <f t="shared" ref="P1354:AI1354" si="4181">IF(P1352="","",IF((_xlfn.STDEV.P($P1351:$XX1352)/AVERAGE($P1351:$XX1352))&lt;=25%,P1352,IF(OR(P1352&gt;(AVERAGE($P1351:$XX1352)+_xlfn.STDEV.P($P1351:$XX1352)),P1352&lt;(AVERAGE($P1351:$XX1352)-_xlfn.STDEV.P($P1351:$XX1352))),"DESCARTADO",P1352)))</f>
        <v>33.99</v>
      </c>
      <c r="Q1354" s="107">
        <f t="shared" si="4181"/>
        <v>31.41</v>
      </c>
      <c r="R1354" s="107">
        <f t="shared" si="4181"/>
        <v>34.9</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f t="shared" si="4009"/>
        <v>64</v>
      </c>
      <c r="C1355" s="128">
        <f t="shared" si="4010"/>
        <v>1</v>
      </c>
      <c r="D1355" s="127">
        <f t="shared" si="4010"/>
        <v>64</v>
      </c>
      <c r="E1355" s="201"/>
      <c r="F1355" s="93"/>
      <c r="G1355" s="203"/>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f t="shared" si="4009"/>
        <v>64</v>
      </c>
      <c r="C1356" s="128">
        <f t="shared" si="4010"/>
        <v>1</v>
      </c>
      <c r="D1356" s="127">
        <f t="shared" si="4010"/>
        <v>64</v>
      </c>
      <c r="E1356" s="201"/>
      <c r="F1356" s="93"/>
      <c r="G1356" s="203"/>
      <c r="H1356" s="134">
        <f t="shared" ref="H1356" si="4183">COUNT($P1356:$XX1356)</f>
        <v>3</v>
      </c>
      <c r="I1356" s="132">
        <f t="shared" ref="I1356" si="4184">_xlfn.STDEV.P($P1355:$XX1356)/AVERAGE($P1355:$XX1356)</f>
        <v>4.4212149041138883E-2</v>
      </c>
      <c r="J1356" s="7">
        <f t="shared" ref="J1356" si="4185">IF(AND(H1356&gt;2,
OR(L1338="MÉDIA SANEADA",L1338="MEDIANA SANEADA",
AND(L1338="PREÇO ESTIMADO",NOT(AND(P1340="Orçamento",COUNTA(P1338:XX1338)=COUNTIF(P1340:XX1340,"Orçamento")))))),
ROW(),0)</f>
        <v>1356</v>
      </c>
      <c r="N1356" s="71"/>
      <c r="O1356" s="27" t="str">
        <f t="shared" ref="O1356" si="4186">"6 RODADA"</f>
        <v>6 RODADA</v>
      </c>
      <c r="P1356" s="107">
        <f t="shared" ref="P1356:AI1356" si="4187">IFERROR(IF(P1354="","",IF((_xlfn.STDEV.P($P1353:$XX1354)/AVERAGE($P1353:$XX1354))&lt;=25%,P1354,IF(OR(P1354&gt;(AVERAGE($P1353:$XX1354)+_xlfn.STDEV.P($P1353:$XX1354)),P1354&lt;(AVERAGE($P1353:$XX1354)-_xlfn.STDEV.P($P1353:$XX1354))),"DESCARTADO",P1354))),)</f>
        <v>33.99</v>
      </c>
      <c r="Q1356" s="107">
        <f t="shared" si="4187"/>
        <v>31.41</v>
      </c>
      <c r="R1356" s="107">
        <f t="shared" si="4187"/>
        <v>34.9</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f t="shared" si="4009"/>
        <v>64</v>
      </c>
      <c r="C1357" s="128">
        <f t="shared" si="4010"/>
        <v>1</v>
      </c>
      <c r="D1357" s="127">
        <f t="shared" si="4010"/>
        <v>64</v>
      </c>
      <c r="E1357" s="201"/>
      <c r="F1357" s="136"/>
      <c r="G1357" s="203"/>
      <c r="H1357" s="206"/>
      <c r="I1357" s="206"/>
      <c r="J1357" s="207"/>
      <c r="K1357" s="67"/>
      <c r="L1357" s="1" t="s">
        <v>43</v>
      </c>
      <c r="M1357" s="143">
        <f t="shared" ref="M1357" si="4188">IFERROR(ROUND(M1338*M1340,2),"")</f>
        <v>167.15</v>
      </c>
      <c r="O1357" s="27" t="s">
        <v>363</v>
      </c>
      <c r="P1357" s="107">
        <f t="shared" ref="P1357:AI1378" si="4189">INDEX(P1344:P1356,MATCH(MAX($J1344:$J1356),$J1344:$J1356,0))</f>
        <v>33.99</v>
      </c>
      <c r="Q1357" s="107">
        <f t="shared" si="4189"/>
        <v>31.41</v>
      </c>
      <c r="R1357" s="107">
        <f t="shared" si="4189"/>
        <v>34.9</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f t="shared" ref="B1359" si="4190">LARGE(IFERROR(IF(B1357+1&gt;$H$8,"",B1357+1),""),1)</f>
        <v>65</v>
      </c>
      <c r="C1359" s="127">
        <f>IF(_xlfn.ISFORMULA(E1363),MAX(INDEX('BASE FORMAÇÃO'!A:A,B1359+1),1),E1363)</f>
        <v>1</v>
      </c>
      <c r="D1359" s="127">
        <f t="shared" ref="D1359" si="4191">IFERROR(IF(C1359=C1349,D1349+1,1),1)</f>
        <v>65</v>
      </c>
      <c r="E1359" s="38" t="s">
        <v>9</v>
      </c>
      <c r="F1359" s="73"/>
      <c r="G1359" s="38" t="s">
        <v>15</v>
      </c>
      <c r="H1359" s="135">
        <f>INDEX('BASE FORMAÇÃO'!B:B,B1359+1)</f>
        <v>0</v>
      </c>
      <c r="I1359" s="181" t="s">
        <v>16</v>
      </c>
      <c r="J1359" s="6">
        <f>INDEX('BASE FORMAÇÃO'!K:K,B1359+1)</f>
        <v>0</v>
      </c>
      <c r="K1359" s="65"/>
      <c r="L1359" s="184" t="s">
        <v>10</v>
      </c>
      <c r="M1359" s="186">
        <f t="shared" ref="M1359" si="4192">IF(OR(ISBLANK($O$8),ISBLANK($O$7),ISBLANK($H$8),ISBLANK($O$6),ISBLANK($O$5),ISBLANK($H$5)),"",IFERROR(IF(VLOOKUP(L1359,L1365:M1374,2,FALSE)&lt;1,ROUND(VLOOKUP(L1359,L1365:M1374,2,FALSE),4),ROUND(VLOOKUP(L1359,L1365:M1374,2,FALSE),2)),""))</f>
        <v>19.23</v>
      </c>
      <c r="N1359" s="69"/>
      <c r="O1359" s="27" t="s">
        <v>17</v>
      </c>
      <c r="P1359" s="113">
        <v>17.899999999999999</v>
      </c>
      <c r="Q1359" s="113">
        <v>19.899999999999999</v>
      </c>
      <c r="R1359" s="113">
        <v>19.899999999999999</v>
      </c>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f t="shared" ref="B1360:D1360" si="4193">B1359</f>
        <v>65</v>
      </c>
      <c r="C1360" s="128">
        <f t="shared" si="4193"/>
        <v>1</v>
      </c>
      <c r="D1360" s="127">
        <f t="shared" si="4193"/>
        <v>65</v>
      </c>
      <c r="E1360" s="188">
        <f t="shared" ref="E1360" si="4194">D1359</f>
        <v>65</v>
      </c>
      <c r="F1360" s="92"/>
      <c r="G1360" s="190" t="s">
        <v>1</v>
      </c>
      <c r="H1360" s="193" t="s">
        <v>689</v>
      </c>
      <c r="I1360" s="194"/>
      <c r="J1360" s="195"/>
      <c r="K1360" s="66"/>
      <c r="L1360" s="185"/>
      <c r="M1360" s="187"/>
      <c r="N1360" s="70"/>
      <c r="O1360" s="27" t="s">
        <v>13</v>
      </c>
      <c r="P1360" s="122">
        <v>46196</v>
      </c>
      <c r="Q1360" s="122">
        <v>46196</v>
      </c>
      <c r="R1360" s="122">
        <v>46196</v>
      </c>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f t="shared" ref="B1361:D1361" si="4195">B1360</f>
        <v>65</v>
      </c>
      <c r="C1361" s="128">
        <f t="shared" si="4195"/>
        <v>1</v>
      </c>
      <c r="D1361" s="127">
        <f t="shared" si="4195"/>
        <v>65</v>
      </c>
      <c r="E1361" s="189"/>
      <c r="F1361" s="93"/>
      <c r="G1361" s="191"/>
      <c r="H1361" s="196"/>
      <c r="I1361" s="196"/>
      <c r="J1361" s="197"/>
      <c r="K1361" s="64"/>
      <c r="L1361" s="130" t="s">
        <v>44</v>
      </c>
      <c r="M1361" s="131">
        <v>11</v>
      </c>
      <c r="N1361" s="71"/>
      <c r="O1361" s="27" t="s">
        <v>380</v>
      </c>
      <c r="P1361" s="114" t="s">
        <v>302</v>
      </c>
      <c r="Q1361" s="114" t="s">
        <v>302</v>
      </c>
      <c r="R1361" s="114" t="s">
        <v>302</v>
      </c>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f t="shared" ref="B1362:C1362" si="4196">B1361</f>
        <v>65</v>
      </c>
      <c r="C1362" s="128">
        <f t="shared" si="4196"/>
        <v>1</v>
      </c>
      <c r="D1362" s="127">
        <f t="shared" si="4010"/>
        <v>65</v>
      </c>
      <c r="E1362" s="38" t="s">
        <v>313</v>
      </c>
      <c r="F1362" s="93"/>
      <c r="G1362" s="192"/>
      <c r="H1362" s="198"/>
      <c r="I1362" s="198"/>
      <c r="J1362" s="199"/>
      <c r="K1362" s="64"/>
      <c r="L1362" s="1" t="s">
        <v>2</v>
      </c>
      <c r="M1362" s="6" t="s">
        <v>288</v>
      </c>
      <c r="N1362" s="71"/>
      <c r="O1362" s="27" t="s">
        <v>381</v>
      </c>
      <c r="P1362" s="182" t="s">
        <v>690</v>
      </c>
      <c r="Q1362" s="182" t="s">
        <v>691</v>
      </c>
      <c r="R1362" s="182" t="s">
        <v>692</v>
      </c>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f t="shared" ref="B1363:C1363" si="4197">B1361</f>
        <v>65</v>
      </c>
      <c r="C1363" s="128">
        <f t="shared" si="4197"/>
        <v>1</v>
      </c>
      <c r="D1363" s="127">
        <f t="shared" si="4010"/>
        <v>65</v>
      </c>
      <c r="E1363" s="200">
        <f t="shared" ref="E1363" si="4198">C1359</f>
        <v>1</v>
      </c>
      <c r="F1363" s="93"/>
      <c r="G1363" s="202" t="s">
        <v>304</v>
      </c>
      <c r="H1363" s="204"/>
      <c r="I1363" s="205"/>
      <c r="J1363" s="205"/>
      <c r="K1363" s="67"/>
      <c r="L1363" s="28" t="s">
        <v>303</v>
      </c>
      <c r="M1363" s="133">
        <f t="shared" ref="M1363" si="4199">IFERROR(INDEX(I1365:I1377,MATCH(MAX(J1365:J1377),J1365:J1377,0)),"")</f>
        <v>4.901953422437072E-2</v>
      </c>
      <c r="N1363" s="71"/>
      <c r="O1363" s="27" t="s">
        <v>18</v>
      </c>
      <c r="P1363" s="106">
        <f>IF(P1359="","",
IF(OR(P1361="Orçamento",P1360="",MAX('Tabela de Apoio'!$A:$A)&lt;=P1360),
P1359,
(INDEX('Tabela de Apoio'!$B:$B,MATCH('MAPA DE PREÇOS'!$O$8,'Tabela de Apoio'!$A:$A,1))/INDEX('Tabela de Apoio'!$B:$B,MATCH('MAPA DE PREÇOS'!P1360,'Tabela de Apoio'!$A:$A,1)-1))*P1359))</f>
        <v>17.899999999999999</v>
      </c>
      <c r="Q1363" s="106">
        <f>IF(Q1359="","",
IF(OR(Q1361="Orçamento",Q1360="",MAX('Tabela de Apoio'!$A:$A)&lt;=Q1360),
Q1359,
(INDEX('Tabela de Apoio'!$B:$B,MATCH('MAPA DE PREÇOS'!$O$8,'Tabela de Apoio'!$A:$A,1))/INDEX('Tabela de Apoio'!$B:$B,MATCH('MAPA DE PREÇOS'!Q1360,'Tabela de Apoio'!$A:$A,1)-1))*Q1359))</f>
        <v>19.899999999999999</v>
      </c>
      <c r="R1363" s="106">
        <f>IF(R1359="","",
IF(OR(R1361="Orçamento",R1360="",MAX('Tabela de Apoio'!$A:$A)&lt;=R1360),
R1359,
(INDEX('Tabela de Apoio'!$B:$B,MATCH('MAPA DE PREÇOS'!$O$8,'Tabela de Apoio'!$A:$A,1))/INDEX('Tabela de Apoio'!$B:$B,MATCH('MAPA DE PREÇOS'!R1360,'Tabela de Apoio'!$A:$A,1)-1))*R1359))</f>
        <v>19.899999999999999</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f t="shared" ref="B1364" si="4200">B1363</f>
        <v>65</v>
      </c>
      <c r="C1364" s="128">
        <f t="shared" ref="C1364" si="4201">C1363</f>
        <v>1</v>
      </c>
      <c r="D1364" s="127">
        <f t="shared" si="4010"/>
        <v>65</v>
      </c>
      <c r="E1364" s="201"/>
      <c r="F1364" s="93"/>
      <c r="G1364" s="203"/>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f t="shared" ref="B1365:C1365" si="4202">B1364</f>
        <v>65</v>
      </c>
      <c r="C1365" s="128">
        <f t="shared" si="4202"/>
        <v>1</v>
      </c>
      <c r="D1365" s="127">
        <f t="shared" si="4010"/>
        <v>65</v>
      </c>
      <c r="E1365" s="201"/>
      <c r="F1365" s="93"/>
      <c r="G1365" s="203"/>
      <c r="H1365" s="134">
        <f t="shared" ref="H1365" si="4203">COUNT($P1365:$XX1365)</f>
        <v>3</v>
      </c>
      <c r="I1365" s="132">
        <f t="shared" ref="I1365" si="4204">_xlfn.STDEV.P($P1364:$XX1365)/AVERAGE($P1364:$XX1365)</f>
        <v>4.901953422437072E-2</v>
      </c>
      <c r="J1365" s="7">
        <f>ROW()</f>
        <v>1365</v>
      </c>
      <c r="K1365" s="67"/>
      <c r="L1365" s="29" t="s">
        <v>10</v>
      </c>
      <c r="M1365" s="30">
        <f t="shared" ref="M1365" si="4205">IFERROR(
IF(COUNTA(P1359:AI1359)=COUNTIF(P1361:XX1361,"Orçamento"),MIN(M1370,M1367),
IF(M1368&lt;&gt;"",M1368,
IF(M1369&lt;&gt;"",M1369,
M1367
))),"")</f>
        <v>19.233333333333331</v>
      </c>
      <c r="N1365" s="71"/>
      <c r="O1365" s="27" t="s">
        <v>376</v>
      </c>
      <c r="P1365" s="106">
        <f t="shared" ref="P1365:AI1365" si="4206">IFERROR(IF(P1363="",
            "",
            IF(COUNT($P1363:$XX1363)&lt;=4,
               P1363,
               IF(OR(P1363&gt;(QUARTILE($P1363:$XX1363,3)+(QUARTILE($P1363:$XX1363,3)-QUARTILE($P1363:$XX1363,1))),
                     P1363&lt;(QUARTILE($P1363:$XX1363,1)-(QUARTILE($P1363:$XX1363,3)-QUARTILE($P1363:$XX1363,1)))
                  ),
               "DESCARTADO",P1363)
             )
  ),P1363)</f>
        <v>17.899999999999999</v>
      </c>
      <c r="Q1365" s="106">
        <f t="shared" si="4206"/>
        <v>19.899999999999999</v>
      </c>
      <c r="R1365" s="106">
        <f t="shared" si="4206"/>
        <v>19.899999999999999</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f t="shared" ref="B1366:B1420" si="4207">B1365</f>
        <v>65</v>
      </c>
      <c r="C1366" s="128">
        <f t="shared" ref="C1366:D1429" si="4208">C1365</f>
        <v>1</v>
      </c>
      <c r="D1366" s="127">
        <f t="shared" si="4010"/>
        <v>65</v>
      </c>
      <c r="E1366" s="201"/>
      <c r="F1366" s="93"/>
      <c r="G1366" s="203"/>
      <c r="H1366"/>
      <c r="I1366"/>
      <c r="J1366"/>
      <c r="K1366" s="66"/>
      <c r="L1366" s="29" t="s">
        <v>360</v>
      </c>
      <c r="M1366" s="30">
        <f t="shared" ref="M1366" si="4209">AVERAGE($P1365:$XX1365)</f>
        <v>19.233333333333331</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f t="shared" si="4207"/>
        <v>65</v>
      </c>
      <c r="C1367" s="128">
        <f t="shared" si="4208"/>
        <v>1</v>
      </c>
      <c r="D1367" s="127">
        <f t="shared" si="4208"/>
        <v>65</v>
      </c>
      <c r="E1367" s="201"/>
      <c r="F1367" s="93"/>
      <c r="G1367" s="203"/>
      <c r="H1367" s="134">
        <f t="shared" ref="H1367" si="4211">COUNT($P1367:$XX1367)</f>
        <v>3</v>
      </c>
      <c r="I1367" s="132">
        <f t="shared" ref="I1367" si="4212">_xlfn.STDEV.P($P1366:$XX1367)/AVERAGE($P1366:$XX1367)</f>
        <v>4.901953422437072E-2</v>
      </c>
      <c r="J1367" s="7">
        <f t="shared" ref="J1367" si="4213">IF(AND(H1367&gt;2,
OR(L1359="MÉDIA SANEADA",L1359="MEDIANA SANEADA",
AND(L1359="PREÇO ESTIMADO",NOT(AND(P1361="Orçamento",COUNTA(P1359:XX1359)=COUNTIF(P1361:XX1361,"Orçamento")))))),
ROW(),0)</f>
        <v>1367</v>
      </c>
      <c r="K1367" s="66"/>
      <c r="L1367" s="29" t="s">
        <v>361</v>
      </c>
      <c r="M1367" s="30">
        <f t="shared" ref="M1367" si="4214">MEDIAN($P1365:$XX1365)</f>
        <v>19.899999999999999</v>
      </c>
      <c r="N1367" s="71"/>
      <c r="O1367" s="27" t="str">
        <f t="shared" ref="O1367" si="4215">"1 RODADA"</f>
        <v>1 RODADA</v>
      </c>
      <c r="P1367" s="107">
        <f t="shared" ref="P1367:AI1367" si="4216">IF(P1365="","",IF((_xlfn.STDEV.P($P1364:$XX1365)/AVERAGE($P1364:$XX1365))&lt;=25%,P1365,IF(OR(P1365&gt;(AVERAGE($P1364:$XX1365)+_xlfn.STDEV.P($P1364:$XX1365)),P1365&lt;(AVERAGE($P1364:$XX1365)-_xlfn.STDEV.P($P1364:$XX1365))),"DESCARTADO",P1365)))</f>
        <v>17.899999999999999</v>
      </c>
      <c r="Q1367" s="107">
        <f t="shared" si="4216"/>
        <v>19.899999999999999</v>
      </c>
      <c r="R1367" s="107">
        <f t="shared" si="4216"/>
        <v>19.899999999999999</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f t="shared" si="4207"/>
        <v>65</v>
      </c>
      <c r="C1368" s="128">
        <f t="shared" si="4208"/>
        <v>1</v>
      </c>
      <c r="D1368" s="127">
        <f t="shared" si="4208"/>
        <v>65</v>
      </c>
      <c r="E1368" s="201"/>
      <c r="F1368" s="93"/>
      <c r="G1368" s="203"/>
      <c r="H1368"/>
      <c r="I1368"/>
      <c r="J1368"/>
      <c r="L1368" s="29" t="s">
        <v>38</v>
      </c>
      <c r="M1368" s="30">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19.233333333333331</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f t="shared" si="4207"/>
        <v>65</v>
      </c>
      <c r="C1369" s="128">
        <f t="shared" si="4208"/>
        <v>1</v>
      </c>
      <c r="D1369" s="127">
        <f t="shared" si="4208"/>
        <v>65</v>
      </c>
      <c r="E1369" s="201"/>
      <c r="F1369" s="93"/>
      <c r="G1369" s="203"/>
      <c r="H1369" s="134">
        <f t="shared" ref="H1369" si="4219">COUNT($P1369:$XX1369)</f>
        <v>3</v>
      </c>
      <c r="I1369" s="132">
        <f t="shared" ref="I1369" si="4220">_xlfn.STDEV.P($P1368:$XX1369)/AVERAGE($P1368:$XX1369)</f>
        <v>4.901953422437072E-2</v>
      </c>
      <c r="J1369" s="7">
        <f t="shared" ref="J1369" si="4221">IF(AND(H1369&gt;2,
OR(L1359="MÉDIA SANEADA",L1359="MEDIANA SANEADA",
AND(L1359="PREÇO ESTIMADO",NOT(AND(P1361="Orçamento",COUNTA(P1359:XX1359)=COUNTIF(P1361:XX1361,"Orçamento")))))),
ROW(),0)</f>
        <v>1369</v>
      </c>
      <c r="K1369" s="66"/>
      <c r="L1369" s="29" t="s">
        <v>362</v>
      </c>
      <c r="M1369" s="30">
        <f t="shared" ref="M1369" si="4222" xml:space="preserve">
IF(H1367&gt;2,MEDIAN(P1366:XX1367),
IF(H1369&gt;2,MEDIAN(P1368:XX1369),
IF(H1371&gt;2,MEDIAN(P1370:XX1371),
IF(H1373&gt;2,MEDIAN(P1372:XX1373),
IF(H1375&gt;2,MEDIAN(P1374:XX1375),
IF(H1377&gt;2,MEDIAN(P1376:XX1377),
MEDIAN(P1364:XX1365)))))))</f>
        <v>19.899999999999999</v>
      </c>
      <c r="N1369" s="71"/>
      <c r="O1369" s="27" t="str">
        <f t="shared" ref="O1369" si="4223">"2 RODADA"</f>
        <v>2 RODADA</v>
      </c>
      <c r="P1369" s="107">
        <f t="shared" ref="P1369:AI1369" si="4224">IF(P1367="","",IF((_xlfn.STDEV.P($P1366:$XX1367)/AVERAGE($P1366:$XX1367))&lt;=25%,P1367,IF(OR(P1367&gt;(AVERAGE($P1366:$XX1367)+_xlfn.STDEV.P($P1366:$XX1367)),P1367&lt;(AVERAGE($P1366:$XX1367)-_xlfn.STDEV.P($P1366:$XX1367))),"DESCARTADO",P1367)))</f>
        <v>17.899999999999999</v>
      </c>
      <c r="Q1369" s="107">
        <f t="shared" si="4224"/>
        <v>19.899999999999999</v>
      </c>
      <c r="R1369" s="107">
        <f t="shared" si="4224"/>
        <v>19.899999999999999</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f t="shared" si="4207"/>
        <v>65</v>
      </c>
      <c r="C1370" s="128">
        <f t="shared" si="4208"/>
        <v>1</v>
      </c>
      <c r="D1370" s="127">
        <f t="shared" si="4208"/>
        <v>65</v>
      </c>
      <c r="E1370" s="201"/>
      <c r="F1370" s="93"/>
      <c r="G1370" s="203"/>
      <c r="H1370"/>
      <c r="I1370"/>
      <c r="J1370"/>
      <c r="K1370" s="66"/>
      <c r="L1370" s="29" t="s">
        <v>359</v>
      </c>
      <c r="M1370" s="30">
        <f t="shared" ref="M1370" si="4225">HARMEAN($P1364:$XX1365)</f>
        <v>19.185457809694793</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f t="shared" si="4207"/>
        <v>65</v>
      </c>
      <c r="C1371" s="128">
        <f t="shared" si="4208"/>
        <v>1</v>
      </c>
      <c r="D1371" s="127">
        <f t="shared" si="4208"/>
        <v>65</v>
      </c>
      <c r="E1371" s="201"/>
      <c r="F1371" s="93"/>
      <c r="G1371" s="203"/>
      <c r="H1371" s="134">
        <f t="shared" ref="H1371" si="4227">COUNT($P1371:$XX1371)</f>
        <v>3</v>
      </c>
      <c r="I1371" s="132">
        <f t="shared" ref="I1371" si="4228">_xlfn.STDEV.P($P1370:$XX1371)/AVERAGE($P1370:$XX1371)</f>
        <v>4.901953422437072E-2</v>
      </c>
      <c r="J1371" s="7">
        <f t="shared" ref="J1371" si="4229">IF(AND(H1371&gt;2,
OR(L1359="MÉDIA SANEADA",L1359="MEDIANA SANEADA",
AND(L1359="PREÇO ESTIMADO",NOT(AND(P1361="Orçamento",COUNTA(P1359:XX1359)=COUNTIF(P1361:XX1361,"Orçamento")))))),
ROW(),0)</f>
        <v>1371</v>
      </c>
      <c r="K1371" s="66"/>
      <c r="L1371" s="29" t="s">
        <v>41</v>
      </c>
      <c r="M1371" s="30">
        <f t="shared" ref="M1371" si="4230">IFERROR(_xlfn.QUARTILE.EXC($P1365:$XX1365,1),"")</f>
        <v>17.899999999999999</v>
      </c>
      <c r="N1371" s="71"/>
      <c r="O1371" s="27" t="str">
        <f t="shared" ref="O1371" si="4231">"3 RODADA"</f>
        <v>3 RODADA</v>
      </c>
      <c r="P1371" s="107">
        <f t="shared" ref="P1371:AI1371" si="4232">IF(P1369="","",IF((_xlfn.STDEV.P($P1368:$XX1369)/AVERAGE($P1368:$XX1369))&lt;=25%,P1369,IF(OR(P1369&gt;(AVERAGE($P1368:$XX1369)+_xlfn.STDEV.P($P1368:$XX1369)),P1369&lt;(AVERAGE($P1368:$XX1369)-_xlfn.STDEV.P($P1368:$XX1369))),"DESCARTADO",P1369)))</f>
        <v>17.899999999999999</v>
      </c>
      <c r="Q1371" s="107">
        <f t="shared" si="4232"/>
        <v>19.899999999999999</v>
      </c>
      <c r="R1371" s="107">
        <f t="shared" si="4232"/>
        <v>19.899999999999999</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f t="shared" si="4207"/>
        <v>65</v>
      </c>
      <c r="C1372" s="128">
        <f t="shared" si="4208"/>
        <v>1</v>
      </c>
      <c r="D1372" s="127">
        <f t="shared" si="4208"/>
        <v>65</v>
      </c>
      <c r="E1372" s="201"/>
      <c r="F1372" s="93"/>
      <c r="G1372" s="203"/>
      <c r="H1372"/>
      <c r="I1372"/>
      <c r="J1372"/>
      <c r="K1372" s="66"/>
      <c r="L1372" s="29" t="s">
        <v>39</v>
      </c>
      <c r="M1372" s="30">
        <f t="shared" ref="M1372" si="4233">IFERROR(_xlfn.QUARTILE.EXC($P1365:$XX1365,3),"")</f>
        <v>19.899999999999999</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f t="shared" si="4207"/>
        <v>65</v>
      </c>
      <c r="C1373" s="128">
        <f t="shared" si="4208"/>
        <v>1</v>
      </c>
      <c r="D1373" s="127">
        <f t="shared" si="4208"/>
        <v>65</v>
      </c>
      <c r="E1373" s="201"/>
      <c r="F1373" s="93"/>
      <c r="G1373" s="203"/>
      <c r="H1373" s="134">
        <f t="shared" ref="H1373" si="4235">COUNT($P1373:$XX1373)</f>
        <v>3</v>
      </c>
      <c r="I1373" s="132">
        <f t="shared" ref="I1373" si="4236">_xlfn.STDEV.P($P1372:$XX1373)/AVERAGE($P1372:$XX1373)</f>
        <v>4.901953422437072E-2</v>
      </c>
      <c r="J1373" s="7">
        <f t="shared" ref="J1373" si="4237">IF(AND(H1373&gt;2,
OR(L1359="MÉDIA SANEADA",L1359="MEDIANA SANEADA",
AND(L1359="PREÇO ESTIMADO",NOT(AND(P1361="Orçamento",COUNTA(P1359:XX1359)=COUNTIF(P1361:XX1361,"Orçamento")))))),
ROW(),0)</f>
        <v>1373</v>
      </c>
      <c r="K1373" s="66"/>
      <c r="L1373" s="29" t="s">
        <v>42</v>
      </c>
      <c r="M1373" s="30">
        <f t="shared" ref="M1373" si="4238">MIN($P1365:$XX1365)</f>
        <v>17.899999999999999</v>
      </c>
      <c r="N1373" s="71"/>
      <c r="O1373" s="27" t="str">
        <f t="shared" ref="O1373" si="4239">"4 RODADA"</f>
        <v>4 RODADA</v>
      </c>
      <c r="P1373" s="107">
        <f t="shared" ref="P1373:AI1373" si="4240">IF(P1371="","",IF((_xlfn.STDEV.P($P1370:$XX1371)/AVERAGE($P1370:$XX1371))&lt;=25%,P1371,IF(OR(P1371&gt;(AVERAGE($P1370:$XX1371)+_xlfn.STDEV.P($P1370:$XX1371)),P1371&lt;(AVERAGE($P1370:$XX1371)-_xlfn.STDEV.P($P1370:$XX1371))),"DESCARTADO",P1371)))</f>
        <v>17.899999999999999</v>
      </c>
      <c r="Q1373" s="107">
        <f t="shared" si="4240"/>
        <v>19.899999999999999</v>
      </c>
      <c r="R1373" s="107">
        <f t="shared" si="4240"/>
        <v>19.899999999999999</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f t="shared" si="4207"/>
        <v>65</v>
      </c>
      <c r="C1374" s="128">
        <f t="shared" si="4208"/>
        <v>1</v>
      </c>
      <c r="D1374" s="127">
        <f t="shared" si="4208"/>
        <v>65</v>
      </c>
      <c r="E1374" s="201"/>
      <c r="F1374" s="93"/>
      <c r="G1374" s="203"/>
      <c r="H1374"/>
      <c r="I1374"/>
      <c r="J1374"/>
      <c r="K1374" s="66"/>
      <c r="L1374" s="29" t="s">
        <v>40</v>
      </c>
      <c r="M1374" s="30">
        <f t="shared" ref="M1374" si="4241">MAX($P1365:$XX1365)</f>
        <v>19.899999999999999</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f t="shared" si="4207"/>
        <v>65</v>
      </c>
      <c r="C1375" s="128">
        <f t="shared" si="4208"/>
        <v>1</v>
      </c>
      <c r="D1375" s="127">
        <f t="shared" si="4208"/>
        <v>65</v>
      </c>
      <c r="E1375" s="201"/>
      <c r="F1375" s="93"/>
      <c r="G1375" s="203"/>
      <c r="H1375" s="134">
        <f t="shared" ref="H1375" si="4243">COUNT($P1375:$XX1375)</f>
        <v>3</v>
      </c>
      <c r="I1375" s="132">
        <f t="shared" ref="I1375" si="4244">_xlfn.STDEV.P($P1374:$XX1375)/AVERAGE($P1374:$XX1375)</f>
        <v>4.901953422437072E-2</v>
      </c>
      <c r="J1375" s="7">
        <f t="shared" ref="J1375" si="4245">IF(AND(H1375&gt;2,
OR(L1359="MÉDIA SANEADA",L1359="MEDIANA SANEADA",
AND(L1359="PREÇO ESTIMADO",NOT(AND(P1361="Orçamento",COUNTA(P1359:XX1359)=COUNTIF(P1361:XX1361,"Orçamento")))))),
ROW(),0)</f>
        <v>1375</v>
      </c>
      <c r="K1375" s="66"/>
      <c r="N1375" s="71"/>
      <c r="O1375" s="27" t="str">
        <f t="shared" ref="O1375" si="4246">"5 RODADA"</f>
        <v>5 RODADA</v>
      </c>
      <c r="P1375" s="107">
        <f t="shared" ref="P1375:AI1375" si="4247">IF(P1373="","",IF((_xlfn.STDEV.P($P1372:$XX1373)/AVERAGE($P1372:$XX1373))&lt;=25%,P1373,IF(OR(P1373&gt;(AVERAGE($P1372:$XX1373)+_xlfn.STDEV.P($P1372:$XX1373)),P1373&lt;(AVERAGE($P1372:$XX1373)-_xlfn.STDEV.P($P1372:$XX1373))),"DESCARTADO",P1373)))</f>
        <v>17.899999999999999</v>
      </c>
      <c r="Q1375" s="107">
        <f t="shared" si="4247"/>
        <v>19.899999999999999</v>
      </c>
      <c r="R1375" s="107">
        <f t="shared" si="4247"/>
        <v>19.899999999999999</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f t="shared" si="4207"/>
        <v>65</v>
      </c>
      <c r="C1376" s="128">
        <f t="shared" si="4208"/>
        <v>1</v>
      </c>
      <c r="D1376" s="127">
        <f t="shared" si="4208"/>
        <v>65</v>
      </c>
      <c r="E1376" s="201"/>
      <c r="F1376" s="93"/>
      <c r="G1376" s="203"/>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f t="shared" si="4207"/>
        <v>65</v>
      </c>
      <c r="C1377" s="128">
        <f t="shared" si="4208"/>
        <v>1</v>
      </c>
      <c r="D1377" s="127">
        <f t="shared" si="4208"/>
        <v>65</v>
      </c>
      <c r="E1377" s="201"/>
      <c r="F1377" s="93"/>
      <c r="G1377" s="203"/>
      <c r="H1377" s="134">
        <f t="shared" ref="H1377" si="4249">COUNT($P1377:$XX1377)</f>
        <v>3</v>
      </c>
      <c r="I1377" s="132">
        <f t="shared" ref="I1377" si="4250">_xlfn.STDEV.P($P1376:$XX1377)/AVERAGE($P1376:$XX1377)</f>
        <v>4.901953422437072E-2</v>
      </c>
      <c r="J1377" s="7">
        <f t="shared" ref="J1377" si="4251">IF(AND(H1377&gt;2,
OR(L1359="MÉDIA SANEADA",L1359="MEDIANA SANEADA",
AND(L1359="PREÇO ESTIMADO",NOT(AND(P1361="Orçamento",COUNTA(P1359:XX1359)=COUNTIF(P1361:XX1361,"Orçamento")))))),
ROW(),0)</f>
        <v>1377</v>
      </c>
      <c r="N1377" s="71"/>
      <c r="O1377" s="27" t="str">
        <f t="shared" ref="O1377" si="4252">"6 RODADA"</f>
        <v>6 RODADA</v>
      </c>
      <c r="P1377" s="107">
        <f t="shared" ref="P1377:AI1377" si="4253">IFERROR(IF(P1375="","",IF((_xlfn.STDEV.P($P1374:$XX1375)/AVERAGE($P1374:$XX1375))&lt;=25%,P1375,IF(OR(P1375&gt;(AVERAGE($P1374:$XX1375)+_xlfn.STDEV.P($P1374:$XX1375)),P1375&lt;(AVERAGE($P1374:$XX1375)-_xlfn.STDEV.P($P1374:$XX1375))),"DESCARTADO",P1375))),)</f>
        <v>17.899999999999999</v>
      </c>
      <c r="Q1377" s="107">
        <f t="shared" si="4253"/>
        <v>19.899999999999999</v>
      </c>
      <c r="R1377" s="107">
        <f t="shared" si="4253"/>
        <v>19.899999999999999</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f t="shared" si="4207"/>
        <v>65</v>
      </c>
      <c r="C1378" s="128">
        <f t="shared" si="4208"/>
        <v>1</v>
      </c>
      <c r="D1378" s="127">
        <f t="shared" si="4208"/>
        <v>65</v>
      </c>
      <c r="E1378" s="201"/>
      <c r="F1378" s="136"/>
      <c r="G1378" s="203"/>
      <c r="H1378" s="206"/>
      <c r="I1378" s="206"/>
      <c r="J1378" s="207"/>
      <c r="K1378" s="67"/>
      <c r="L1378" s="1" t="s">
        <v>43</v>
      </c>
      <c r="M1378" s="143">
        <f t="shared" ref="M1378" si="4254">IFERROR(ROUND(M1359*M1361,2),"")</f>
        <v>211.53</v>
      </c>
      <c r="O1378" s="27" t="s">
        <v>363</v>
      </c>
      <c r="P1378" s="107">
        <f t="shared" ref="P1378:R1378" si="4255">INDEX(P1365:P1377,MATCH(MAX($J1365:$J1377),$J1365:$J1377,0))</f>
        <v>17.899999999999999</v>
      </c>
      <c r="Q1378" s="107">
        <f t="shared" si="4255"/>
        <v>19.899999999999999</v>
      </c>
      <c r="R1378" s="107">
        <f t="shared" si="4255"/>
        <v>19.899999999999999</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f t="shared" ref="B1380" si="4256">LARGE(IFERROR(IF(B1378+1&gt;$H$8,"",B1378+1),""),1)</f>
        <v>66</v>
      </c>
      <c r="C1380" s="127">
        <f>IF(_xlfn.ISFORMULA(E1384),MAX(INDEX('BASE FORMAÇÃO'!A:A,B1380+1),1),E1384)</f>
        <v>1</v>
      </c>
      <c r="D1380" s="127">
        <f t="shared" ref="D1380" si="4257">IFERROR(IF(C1380=C1370,D1370+1,1),1)</f>
        <v>66</v>
      </c>
      <c r="E1380" s="38" t="s">
        <v>9</v>
      </c>
      <c r="F1380" s="73"/>
      <c r="G1380" s="38" t="s">
        <v>15</v>
      </c>
      <c r="H1380" s="135">
        <f>INDEX('BASE FORMAÇÃO'!B:B,B1380+1)</f>
        <v>0</v>
      </c>
      <c r="I1380" s="181" t="s">
        <v>16</v>
      </c>
      <c r="J1380" s="6">
        <f>INDEX('BASE FORMAÇÃO'!K:K,B1380+1)</f>
        <v>0</v>
      </c>
      <c r="K1380" s="65"/>
      <c r="L1380" s="184" t="s">
        <v>10</v>
      </c>
      <c r="M1380" s="186">
        <f t="shared" ref="M1380" si="4258">IF(OR(ISBLANK($O$8),ISBLANK($O$7),ISBLANK($H$8),ISBLANK($O$6),ISBLANK($O$5),ISBLANK($H$5)),"",IFERROR(IF(VLOOKUP(L1380,L1386:M1395,2,FALSE)&lt;1,ROUND(VLOOKUP(L1380,L1386:M1395,2,FALSE),4),ROUND(VLOOKUP(L1380,L1386:M1395,2,FALSE),2)),""))</f>
        <v>14.12</v>
      </c>
      <c r="N1380" s="69"/>
      <c r="O1380" s="27" t="s">
        <v>17</v>
      </c>
      <c r="P1380" s="113">
        <v>12.99</v>
      </c>
      <c r="Q1380" s="113">
        <v>13.04</v>
      </c>
      <c r="R1380" s="113">
        <v>16.329999999999998</v>
      </c>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f t="shared" ref="B1381:D1381" si="4259">B1380</f>
        <v>66</v>
      </c>
      <c r="C1381" s="128">
        <f t="shared" si="4259"/>
        <v>1</v>
      </c>
      <c r="D1381" s="127">
        <f t="shared" si="4259"/>
        <v>66</v>
      </c>
      <c r="E1381" s="188">
        <f t="shared" ref="E1381" si="4260">D1380</f>
        <v>66</v>
      </c>
      <c r="F1381" s="92"/>
      <c r="G1381" s="190" t="s">
        <v>1</v>
      </c>
      <c r="H1381" s="193" t="s">
        <v>693</v>
      </c>
      <c r="I1381" s="194"/>
      <c r="J1381" s="195"/>
      <c r="K1381" s="66"/>
      <c r="L1381" s="185"/>
      <c r="M1381" s="187"/>
      <c r="N1381" s="70"/>
      <c r="O1381" s="27" t="s">
        <v>13</v>
      </c>
      <c r="P1381" s="122">
        <v>46196</v>
      </c>
      <c r="Q1381" s="122">
        <v>46196</v>
      </c>
      <c r="R1381" s="122">
        <v>46196</v>
      </c>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f t="shared" ref="B1382:D1382" si="4261">B1381</f>
        <v>66</v>
      </c>
      <c r="C1382" s="128">
        <f t="shared" si="4261"/>
        <v>1</v>
      </c>
      <c r="D1382" s="127">
        <f t="shared" si="4261"/>
        <v>66</v>
      </c>
      <c r="E1382" s="189"/>
      <c r="F1382" s="93"/>
      <c r="G1382" s="191"/>
      <c r="H1382" s="196"/>
      <c r="I1382" s="196"/>
      <c r="J1382" s="197"/>
      <c r="K1382" s="64"/>
      <c r="L1382" s="130" t="s">
        <v>44</v>
      </c>
      <c r="M1382" s="131">
        <v>4</v>
      </c>
      <c r="N1382" s="71"/>
      <c r="O1382" s="27" t="s">
        <v>380</v>
      </c>
      <c r="P1382" s="114" t="s">
        <v>302</v>
      </c>
      <c r="Q1382" s="114" t="s">
        <v>302</v>
      </c>
      <c r="R1382" s="114" t="s">
        <v>302</v>
      </c>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f t="shared" ref="B1383:C1383" si="4262">B1382</f>
        <v>66</v>
      </c>
      <c r="C1383" s="128">
        <f t="shared" si="4262"/>
        <v>1</v>
      </c>
      <c r="D1383" s="127">
        <f t="shared" si="4208"/>
        <v>66</v>
      </c>
      <c r="E1383" s="38" t="s">
        <v>313</v>
      </c>
      <c r="F1383" s="93"/>
      <c r="G1383" s="192"/>
      <c r="H1383" s="198"/>
      <c r="I1383" s="198"/>
      <c r="J1383" s="199"/>
      <c r="K1383" s="64"/>
      <c r="L1383" s="1" t="s">
        <v>2</v>
      </c>
      <c r="M1383" s="6" t="s">
        <v>288</v>
      </c>
      <c r="N1383" s="71"/>
      <c r="O1383" s="27" t="s">
        <v>381</v>
      </c>
      <c r="P1383" s="182" t="s">
        <v>694</v>
      </c>
      <c r="Q1383" s="182" t="s">
        <v>695</v>
      </c>
      <c r="R1383" s="182" t="s">
        <v>696</v>
      </c>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f t="shared" ref="B1384:C1384" si="4263">B1382</f>
        <v>66</v>
      </c>
      <c r="C1384" s="128">
        <f t="shared" si="4263"/>
        <v>1</v>
      </c>
      <c r="D1384" s="127">
        <f t="shared" si="4208"/>
        <v>66</v>
      </c>
      <c r="E1384" s="200">
        <f t="shared" ref="E1384" si="4264">C1380</f>
        <v>1</v>
      </c>
      <c r="F1384" s="93"/>
      <c r="G1384" s="202" t="s">
        <v>304</v>
      </c>
      <c r="H1384" s="204"/>
      <c r="I1384" s="205"/>
      <c r="J1384" s="205"/>
      <c r="K1384" s="67"/>
      <c r="L1384" s="28" t="s">
        <v>303</v>
      </c>
      <c r="M1384" s="133">
        <f t="shared" ref="M1384" si="4265">IFERROR(INDEX(I1386:I1398,MATCH(MAX(J1386:J1398),J1386:J1398,0)),"")</f>
        <v>0.1106826697233886</v>
      </c>
      <c r="N1384" s="71"/>
      <c r="O1384" s="27" t="s">
        <v>18</v>
      </c>
      <c r="P1384" s="106">
        <f>IF(P1380="","",
IF(OR(P1382="Orçamento",P1381="",MAX('Tabela de Apoio'!$A:$A)&lt;=P1381),
P1380,
(INDEX('Tabela de Apoio'!$B:$B,MATCH('MAPA DE PREÇOS'!$O$8,'Tabela de Apoio'!$A:$A,1))/INDEX('Tabela de Apoio'!$B:$B,MATCH('MAPA DE PREÇOS'!P1381,'Tabela de Apoio'!$A:$A,1)-1))*P1380))</f>
        <v>12.99</v>
      </c>
      <c r="Q1384" s="106">
        <f>IF(Q1380="","",
IF(OR(Q1382="Orçamento",Q1381="",MAX('Tabela de Apoio'!$A:$A)&lt;=Q1381),
Q1380,
(INDEX('Tabela de Apoio'!$B:$B,MATCH('MAPA DE PREÇOS'!$O$8,'Tabela de Apoio'!$A:$A,1))/INDEX('Tabela de Apoio'!$B:$B,MATCH('MAPA DE PREÇOS'!Q1381,'Tabela de Apoio'!$A:$A,1)-1))*Q1380))</f>
        <v>13.04</v>
      </c>
      <c r="R1384" s="106">
        <f>IF(R1380="","",
IF(OR(R1382="Orçamento",R1381="",MAX('Tabela de Apoio'!$A:$A)&lt;=R1381),
R1380,
(INDEX('Tabela de Apoio'!$B:$B,MATCH('MAPA DE PREÇOS'!$O$8,'Tabela de Apoio'!$A:$A,1))/INDEX('Tabela de Apoio'!$B:$B,MATCH('MAPA DE PREÇOS'!R1381,'Tabela de Apoio'!$A:$A,1)-1))*R1380))</f>
        <v>16.329999999999998</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f t="shared" ref="B1385" si="4266">B1384</f>
        <v>66</v>
      </c>
      <c r="C1385" s="128">
        <f t="shared" ref="C1385" si="4267">C1384</f>
        <v>1</v>
      </c>
      <c r="D1385" s="127">
        <f t="shared" si="4208"/>
        <v>66</v>
      </c>
      <c r="E1385" s="201"/>
      <c r="F1385" s="93"/>
      <c r="G1385" s="203"/>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f t="shared" ref="B1386:C1386" si="4268">B1385</f>
        <v>66</v>
      </c>
      <c r="C1386" s="128">
        <f t="shared" si="4268"/>
        <v>1</v>
      </c>
      <c r="D1386" s="127">
        <f t="shared" si="4208"/>
        <v>66</v>
      </c>
      <c r="E1386" s="201"/>
      <c r="F1386" s="93"/>
      <c r="G1386" s="203"/>
      <c r="H1386" s="134">
        <f t="shared" ref="H1386" si="4269">COUNT($P1386:$XX1386)</f>
        <v>3</v>
      </c>
      <c r="I1386" s="132">
        <f t="shared" ref="I1386" si="4270">_xlfn.STDEV.P($P1385:$XX1386)/AVERAGE($P1385:$XX1386)</f>
        <v>0.1106826697233886</v>
      </c>
      <c r="J1386" s="7">
        <f>ROW()</f>
        <v>1386</v>
      </c>
      <c r="K1386" s="67"/>
      <c r="L1386" s="29" t="s">
        <v>10</v>
      </c>
      <c r="M1386" s="30">
        <f t="shared" ref="M1386" si="4271">IFERROR(
IF(COUNTA(P1380:AI1380)=COUNTIF(P1382:XX1382,"Orçamento"),MIN(M1391,M1388),
IF(M1389&lt;&gt;"",M1389,
IF(M1390&lt;&gt;"",M1390,
M1388
))),"")</f>
        <v>14.12</v>
      </c>
      <c r="N1386" s="71"/>
      <c r="O1386" s="27" t="s">
        <v>376</v>
      </c>
      <c r="P1386" s="106">
        <f t="shared" ref="P1386:AI1386" si="4272">IFERROR(IF(P1384="",
            "",
            IF(COUNT($P1384:$XX1384)&lt;=4,
               P1384,
               IF(OR(P1384&gt;(QUARTILE($P1384:$XX1384,3)+(QUARTILE($P1384:$XX1384,3)-QUARTILE($P1384:$XX1384,1))),
                     P1384&lt;(QUARTILE($P1384:$XX1384,1)-(QUARTILE($P1384:$XX1384,3)-QUARTILE($P1384:$XX1384,1)))
                  ),
               "DESCARTADO",P1384)
             )
  ),P1384)</f>
        <v>12.99</v>
      </c>
      <c r="Q1386" s="106">
        <f t="shared" si="4272"/>
        <v>13.04</v>
      </c>
      <c r="R1386" s="106">
        <f t="shared" si="4272"/>
        <v>16.329999999999998</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f t="shared" ref="B1387" si="4273">B1386</f>
        <v>66</v>
      </c>
      <c r="C1387" s="128">
        <f t="shared" ref="C1387" si="4274">C1386</f>
        <v>1</v>
      </c>
      <c r="D1387" s="127">
        <f t="shared" si="4208"/>
        <v>66</v>
      </c>
      <c r="E1387" s="201"/>
      <c r="F1387" s="93"/>
      <c r="G1387" s="203"/>
      <c r="H1387"/>
      <c r="I1387"/>
      <c r="J1387"/>
      <c r="K1387" s="66"/>
      <c r="L1387" s="29" t="s">
        <v>360</v>
      </c>
      <c r="M1387" s="30">
        <f t="shared" ref="M1387" si="4275">AVERAGE($P1386:$XX1386)</f>
        <v>14.12</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f t="shared" si="4207"/>
        <v>66</v>
      </c>
      <c r="C1388" s="128">
        <f t="shared" si="4208"/>
        <v>1</v>
      </c>
      <c r="D1388" s="127">
        <f t="shared" si="4208"/>
        <v>66</v>
      </c>
      <c r="E1388" s="201"/>
      <c r="F1388" s="93"/>
      <c r="G1388" s="203"/>
      <c r="H1388" s="134">
        <f t="shared" ref="H1388" si="4277">COUNT($P1388:$XX1388)</f>
        <v>3</v>
      </c>
      <c r="I1388" s="132">
        <f t="shared" ref="I1388" si="4278">_xlfn.STDEV.P($P1387:$XX1388)/AVERAGE($P1387:$XX1388)</f>
        <v>0.1106826697233886</v>
      </c>
      <c r="J1388" s="7">
        <f t="shared" ref="J1388" si="4279">IF(AND(H1388&gt;2,
OR(L1380="MÉDIA SANEADA",L1380="MEDIANA SANEADA",
AND(L1380="PREÇO ESTIMADO",NOT(AND(P1382="Orçamento",COUNTA(P1380:XX1380)=COUNTIF(P1382:XX1382,"Orçamento")))))),
ROW(),0)</f>
        <v>1388</v>
      </c>
      <c r="K1388" s="66"/>
      <c r="L1388" s="29" t="s">
        <v>361</v>
      </c>
      <c r="M1388" s="30">
        <f t="shared" ref="M1388" si="4280">MEDIAN($P1386:$XX1386)</f>
        <v>13.04</v>
      </c>
      <c r="N1388" s="71"/>
      <c r="O1388" s="27" t="str">
        <f t="shared" ref="O1388" si="4281">"1 RODADA"</f>
        <v>1 RODADA</v>
      </c>
      <c r="P1388" s="107">
        <f t="shared" ref="P1388:AI1388" si="4282">IF(P1386="","",IF((_xlfn.STDEV.P($P1385:$XX1386)/AVERAGE($P1385:$XX1386))&lt;=25%,P1386,IF(OR(P1386&gt;(AVERAGE($P1385:$XX1386)+_xlfn.STDEV.P($P1385:$XX1386)),P1386&lt;(AVERAGE($P1385:$XX1386)-_xlfn.STDEV.P($P1385:$XX1386))),"DESCARTADO",P1386)))</f>
        <v>12.99</v>
      </c>
      <c r="Q1388" s="107">
        <f t="shared" si="4282"/>
        <v>13.04</v>
      </c>
      <c r="R1388" s="107">
        <f t="shared" si="4282"/>
        <v>16.329999999999998</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f t="shared" si="4207"/>
        <v>66</v>
      </c>
      <c r="C1389" s="128">
        <f t="shared" si="4208"/>
        <v>1</v>
      </c>
      <c r="D1389" s="127">
        <f t="shared" si="4208"/>
        <v>66</v>
      </c>
      <c r="E1389" s="201"/>
      <c r="F1389" s="93"/>
      <c r="G1389" s="203"/>
      <c r="H1389"/>
      <c r="I1389"/>
      <c r="J1389"/>
      <c r="L1389" s="29" t="s">
        <v>38</v>
      </c>
      <c r="M1389" s="30">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14.12</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f t="shared" si="4207"/>
        <v>66</v>
      </c>
      <c r="C1390" s="128">
        <f t="shared" si="4208"/>
        <v>1</v>
      </c>
      <c r="D1390" s="127">
        <f t="shared" si="4208"/>
        <v>66</v>
      </c>
      <c r="E1390" s="201"/>
      <c r="F1390" s="93"/>
      <c r="G1390" s="203"/>
      <c r="H1390" s="134">
        <f t="shared" ref="H1390" si="4285">COUNT($P1390:$XX1390)</f>
        <v>3</v>
      </c>
      <c r="I1390" s="132">
        <f t="shared" ref="I1390" si="4286">_xlfn.STDEV.P($P1389:$XX1390)/AVERAGE($P1389:$XX1390)</f>
        <v>0.1106826697233886</v>
      </c>
      <c r="J1390" s="7">
        <f t="shared" ref="J1390" si="4287">IF(AND(H1390&gt;2,
OR(L1380="MÉDIA SANEADA",L1380="MEDIANA SANEADA",
AND(L1380="PREÇO ESTIMADO",NOT(AND(P1382="Orçamento",COUNTA(P1380:XX1380)=COUNTIF(P1382:XX1382,"Orçamento")))))),
ROW(),0)</f>
        <v>1390</v>
      </c>
      <c r="K1390" s="66"/>
      <c r="L1390" s="29" t="s">
        <v>362</v>
      </c>
      <c r="M1390" s="30">
        <f t="shared" ref="M1390" si="4288" xml:space="preserve">
IF(H1388&gt;2,MEDIAN(P1387:XX1388),
IF(H1390&gt;2,MEDIAN(P1389:XX1390),
IF(H1392&gt;2,MEDIAN(P1391:XX1392),
IF(H1394&gt;2,MEDIAN(P1393:XX1394),
IF(H1396&gt;2,MEDIAN(P1395:XX1396),
IF(H1398&gt;2,MEDIAN(P1397:XX1398),
MEDIAN(P1385:XX1386)))))))</f>
        <v>13.04</v>
      </c>
      <c r="N1390" s="71"/>
      <c r="O1390" s="27" t="str">
        <f t="shared" ref="O1390" si="4289">"2 RODADA"</f>
        <v>2 RODADA</v>
      </c>
      <c r="P1390" s="107">
        <f t="shared" ref="P1390:AI1390" si="4290">IF(P1388="","",IF((_xlfn.STDEV.P($P1387:$XX1388)/AVERAGE($P1387:$XX1388))&lt;=25%,P1388,IF(OR(P1388&gt;(AVERAGE($P1387:$XX1388)+_xlfn.STDEV.P($P1387:$XX1388)),P1388&lt;(AVERAGE($P1387:$XX1388)-_xlfn.STDEV.P($P1387:$XX1388))),"DESCARTADO",P1388)))</f>
        <v>12.99</v>
      </c>
      <c r="Q1390" s="107">
        <f t="shared" si="4290"/>
        <v>13.04</v>
      </c>
      <c r="R1390" s="107">
        <f t="shared" si="4290"/>
        <v>16.329999999999998</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f t="shared" si="4207"/>
        <v>66</v>
      </c>
      <c r="C1391" s="128">
        <f t="shared" si="4208"/>
        <v>1</v>
      </c>
      <c r="D1391" s="127">
        <f t="shared" si="4208"/>
        <v>66</v>
      </c>
      <c r="E1391" s="201"/>
      <c r="F1391" s="93"/>
      <c r="G1391" s="203"/>
      <c r="H1391"/>
      <c r="I1391"/>
      <c r="J1391"/>
      <c r="K1391" s="66"/>
      <c r="L1391" s="29" t="s">
        <v>359</v>
      </c>
      <c r="M1391" s="30">
        <f t="shared" ref="M1391" si="4291">HARMEAN($P1385:$XX1386)</f>
        <v>13.959565797165324</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f t="shared" si="4207"/>
        <v>66</v>
      </c>
      <c r="C1392" s="128">
        <f t="shared" si="4208"/>
        <v>1</v>
      </c>
      <c r="D1392" s="127">
        <f t="shared" si="4208"/>
        <v>66</v>
      </c>
      <c r="E1392" s="201"/>
      <c r="F1392" s="93"/>
      <c r="G1392" s="203"/>
      <c r="H1392" s="134">
        <f t="shared" ref="H1392" si="4293">COUNT($P1392:$XX1392)</f>
        <v>3</v>
      </c>
      <c r="I1392" s="132">
        <f t="shared" ref="I1392" si="4294">_xlfn.STDEV.P($P1391:$XX1392)/AVERAGE($P1391:$XX1392)</f>
        <v>0.1106826697233886</v>
      </c>
      <c r="J1392" s="7">
        <f t="shared" ref="J1392" si="4295">IF(AND(H1392&gt;2,
OR(L1380="MÉDIA SANEADA",L1380="MEDIANA SANEADA",
AND(L1380="PREÇO ESTIMADO",NOT(AND(P1382="Orçamento",COUNTA(P1380:XX1380)=COUNTIF(P1382:XX1382,"Orçamento")))))),
ROW(),0)</f>
        <v>1392</v>
      </c>
      <c r="K1392" s="66"/>
      <c r="L1392" s="29" t="s">
        <v>41</v>
      </c>
      <c r="M1392" s="30">
        <f t="shared" ref="M1392" si="4296">IFERROR(_xlfn.QUARTILE.EXC($P1386:$XX1386,1),"")</f>
        <v>12.99</v>
      </c>
      <c r="N1392" s="71"/>
      <c r="O1392" s="27" t="str">
        <f t="shared" ref="O1392" si="4297">"3 RODADA"</f>
        <v>3 RODADA</v>
      </c>
      <c r="P1392" s="107">
        <f t="shared" ref="P1392:AI1392" si="4298">IF(P1390="","",IF((_xlfn.STDEV.P($P1389:$XX1390)/AVERAGE($P1389:$XX1390))&lt;=25%,P1390,IF(OR(P1390&gt;(AVERAGE($P1389:$XX1390)+_xlfn.STDEV.P($P1389:$XX1390)),P1390&lt;(AVERAGE($P1389:$XX1390)-_xlfn.STDEV.P($P1389:$XX1390))),"DESCARTADO",P1390)))</f>
        <v>12.99</v>
      </c>
      <c r="Q1392" s="107">
        <f t="shared" si="4298"/>
        <v>13.04</v>
      </c>
      <c r="R1392" s="107">
        <f t="shared" si="4298"/>
        <v>16.329999999999998</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f t="shared" si="4207"/>
        <v>66</v>
      </c>
      <c r="C1393" s="128">
        <f t="shared" si="4208"/>
        <v>1</v>
      </c>
      <c r="D1393" s="127">
        <f t="shared" si="4208"/>
        <v>66</v>
      </c>
      <c r="E1393" s="201"/>
      <c r="F1393" s="93"/>
      <c r="G1393" s="203"/>
      <c r="H1393"/>
      <c r="I1393"/>
      <c r="J1393"/>
      <c r="K1393" s="66"/>
      <c r="L1393" s="29" t="s">
        <v>39</v>
      </c>
      <c r="M1393" s="30">
        <f t="shared" ref="M1393" si="4299">IFERROR(_xlfn.QUARTILE.EXC($P1386:$XX1386,3),"")</f>
        <v>16.329999999999998</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f t="shared" si="4207"/>
        <v>66</v>
      </c>
      <c r="C1394" s="128">
        <f t="shared" si="4208"/>
        <v>1</v>
      </c>
      <c r="D1394" s="127">
        <f t="shared" si="4208"/>
        <v>66</v>
      </c>
      <c r="E1394" s="201"/>
      <c r="F1394" s="93"/>
      <c r="G1394" s="203"/>
      <c r="H1394" s="134">
        <f t="shared" ref="H1394" si="4301">COUNT($P1394:$XX1394)</f>
        <v>3</v>
      </c>
      <c r="I1394" s="132">
        <f t="shared" ref="I1394" si="4302">_xlfn.STDEV.P($P1393:$XX1394)/AVERAGE($P1393:$XX1394)</f>
        <v>0.1106826697233886</v>
      </c>
      <c r="J1394" s="7">
        <f t="shared" ref="J1394" si="4303">IF(AND(H1394&gt;2,
OR(L1380="MÉDIA SANEADA",L1380="MEDIANA SANEADA",
AND(L1380="PREÇO ESTIMADO",NOT(AND(P1382="Orçamento",COUNTA(P1380:XX1380)=COUNTIF(P1382:XX1382,"Orçamento")))))),
ROW(),0)</f>
        <v>1394</v>
      </c>
      <c r="K1394" s="66"/>
      <c r="L1394" s="29" t="s">
        <v>42</v>
      </c>
      <c r="M1394" s="30">
        <f t="shared" ref="M1394" si="4304">MIN($P1386:$XX1386)</f>
        <v>12.99</v>
      </c>
      <c r="N1394" s="71"/>
      <c r="O1394" s="27" t="str">
        <f t="shared" ref="O1394" si="4305">"4 RODADA"</f>
        <v>4 RODADA</v>
      </c>
      <c r="P1394" s="107">
        <f t="shared" ref="P1394:AI1394" si="4306">IF(P1392="","",IF((_xlfn.STDEV.P($P1391:$XX1392)/AVERAGE($P1391:$XX1392))&lt;=25%,P1392,IF(OR(P1392&gt;(AVERAGE($P1391:$XX1392)+_xlfn.STDEV.P($P1391:$XX1392)),P1392&lt;(AVERAGE($P1391:$XX1392)-_xlfn.STDEV.P($P1391:$XX1392))),"DESCARTADO",P1392)))</f>
        <v>12.99</v>
      </c>
      <c r="Q1394" s="107">
        <f t="shared" si="4306"/>
        <v>13.04</v>
      </c>
      <c r="R1394" s="107">
        <f t="shared" si="4306"/>
        <v>16.329999999999998</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f t="shared" si="4207"/>
        <v>66</v>
      </c>
      <c r="C1395" s="128">
        <f t="shared" si="4208"/>
        <v>1</v>
      </c>
      <c r="D1395" s="127">
        <f t="shared" si="4208"/>
        <v>66</v>
      </c>
      <c r="E1395" s="201"/>
      <c r="F1395" s="93"/>
      <c r="G1395" s="203"/>
      <c r="H1395"/>
      <c r="I1395"/>
      <c r="J1395"/>
      <c r="K1395" s="66"/>
      <c r="L1395" s="29" t="s">
        <v>40</v>
      </c>
      <c r="M1395" s="30">
        <f t="shared" ref="M1395" si="4307">MAX($P1386:$XX1386)</f>
        <v>16.329999999999998</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f t="shared" si="4207"/>
        <v>66</v>
      </c>
      <c r="C1396" s="128">
        <f t="shared" si="4208"/>
        <v>1</v>
      </c>
      <c r="D1396" s="127">
        <f t="shared" si="4208"/>
        <v>66</v>
      </c>
      <c r="E1396" s="201"/>
      <c r="F1396" s="93"/>
      <c r="G1396" s="203"/>
      <c r="H1396" s="134">
        <f t="shared" ref="H1396" si="4309">COUNT($P1396:$XX1396)</f>
        <v>3</v>
      </c>
      <c r="I1396" s="132">
        <f t="shared" ref="I1396" si="4310">_xlfn.STDEV.P($P1395:$XX1396)/AVERAGE($P1395:$XX1396)</f>
        <v>0.1106826697233886</v>
      </c>
      <c r="J1396" s="7">
        <f t="shared" ref="J1396" si="4311">IF(AND(H1396&gt;2,
OR(L1380="MÉDIA SANEADA",L1380="MEDIANA SANEADA",
AND(L1380="PREÇO ESTIMADO",NOT(AND(P1382="Orçamento",COUNTA(P1380:XX1380)=COUNTIF(P1382:XX1382,"Orçamento")))))),
ROW(),0)</f>
        <v>1396</v>
      </c>
      <c r="K1396" s="66"/>
      <c r="N1396" s="71"/>
      <c r="O1396" s="27" t="str">
        <f t="shared" ref="O1396" si="4312">"5 RODADA"</f>
        <v>5 RODADA</v>
      </c>
      <c r="P1396" s="107">
        <f t="shared" ref="P1396:AI1396" si="4313">IF(P1394="","",IF((_xlfn.STDEV.P($P1393:$XX1394)/AVERAGE($P1393:$XX1394))&lt;=25%,P1394,IF(OR(P1394&gt;(AVERAGE($P1393:$XX1394)+_xlfn.STDEV.P($P1393:$XX1394)),P1394&lt;(AVERAGE($P1393:$XX1394)-_xlfn.STDEV.P($P1393:$XX1394))),"DESCARTADO",P1394)))</f>
        <v>12.99</v>
      </c>
      <c r="Q1396" s="107">
        <f t="shared" si="4313"/>
        <v>13.04</v>
      </c>
      <c r="R1396" s="107">
        <f t="shared" si="4313"/>
        <v>16.329999999999998</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f t="shared" si="4207"/>
        <v>66</v>
      </c>
      <c r="C1397" s="128">
        <f t="shared" si="4208"/>
        <v>1</v>
      </c>
      <c r="D1397" s="127">
        <f t="shared" si="4208"/>
        <v>66</v>
      </c>
      <c r="E1397" s="201"/>
      <c r="F1397" s="93"/>
      <c r="G1397" s="203"/>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f t="shared" si="4207"/>
        <v>66</v>
      </c>
      <c r="C1398" s="128">
        <f t="shared" si="4208"/>
        <v>1</v>
      </c>
      <c r="D1398" s="127">
        <f t="shared" si="4208"/>
        <v>66</v>
      </c>
      <c r="E1398" s="201"/>
      <c r="F1398" s="93"/>
      <c r="G1398" s="203"/>
      <c r="H1398" s="134">
        <f t="shared" ref="H1398" si="4315">COUNT($P1398:$XX1398)</f>
        <v>3</v>
      </c>
      <c r="I1398" s="132">
        <f t="shared" ref="I1398" si="4316">_xlfn.STDEV.P($P1397:$XX1398)/AVERAGE($P1397:$XX1398)</f>
        <v>0.1106826697233886</v>
      </c>
      <c r="J1398" s="7">
        <f t="shared" ref="J1398" si="4317">IF(AND(H1398&gt;2,
OR(L1380="MÉDIA SANEADA",L1380="MEDIANA SANEADA",
AND(L1380="PREÇO ESTIMADO",NOT(AND(P1382="Orçamento",COUNTA(P1380:XX1380)=COUNTIF(P1382:XX1382,"Orçamento")))))),
ROW(),0)</f>
        <v>1398</v>
      </c>
      <c r="N1398" s="71"/>
      <c r="O1398" s="27" t="str">
        <f t="shared" ref="O1398" si="4318">"6 RODADA"</f>
        <v>6 RODADA</v>
      </c>
      <c r="P1398" s="107">
        <f t="shared" ref="P1398:AI1398" si="4319">IFERROR(IF(P1396="","",IF((_xlfn.STDEV.P($P1395:$XX1396)/AVERAGE($P1395:$XX1396))&lt;=25%,P1396,IF(OR(P1396&gt;(AVERAGE($P1395:$XX1396)+_xlfn.STDEV.P($P1395:$XX1396)),P1396&lt;(AVERAGE($P1395:$XX1396)-_xlfn.STDEV.P($P1395:$XX1396))),"DESCARTADO",P1396))),)</f>
        <v>12.99</v>
      </c>
      <c r="Q1398" s="107">
        <f t="shared" si="4319"/>
        <v>13.04</v>
      </c>
      <c r="R1398" s="107">
        <f t="shared" si="4319"/>
        <v>16.329999999999998</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f t="shared" si="4207"/>
        <v>66</v>
      </c>
      <c r="C1399" s="128">
        <f t="shared" si="4208"/>
        <v>1</v>
      </c>
      <c r="D1399" s="127">
        <f t="shared" si="4208"/>
        <v>66</v>
      </c>
      <c r="E1399" s="201"/>
      <c r="F1399" s="136"/>
      <c r="G1399" s="203"/>
      <c r="H1399" s="206"/>
      <c r="I1399" s="206"/>
      <c r="J1399" s="207"/>
      <c r="K1399" s="67"/>
      <c r="L1399" s="1" t="s">
        <v>43</v>
      </c>
      <c r="M1399" s="143">
        <f t="shared" ref="M1399" si="4320">IFERROR(ROUND(M1380*M1382,2),"")</f>
        <v>56.48</v>
      </c>
      <c r="O1399" s="27" t="s">
        <v>363</v>
      </c>
      <c r="P1399" s="107">
        <f t="shared" ref="P1399:AI1420" si="4321">INDEX(P1386:P1398,MATCH(MAX($J1386:$J1398),$J1386:$J1398,0))</f>
        <v>12.99</v>
      </c>
      <c r="Q1399" s="107">
        <f t="shared" si="4321"/>
        <v>13.04</v>
      </c>
      <c r="R1399" s="107">
        <f t="shared" si="4321"/>
        <v>16.329999999999998</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f t="shared" ref="B1401" si="4322">LARGE(IFERROR(IF(B1399+1&gt;$H$8,"",B1399+1),""),1)</f>
        <v>67</v>
      </c>
      <c r="C1401" s="127">
        <f>IF(_xlfn.ISFORMULA(E1405),MAX(INDEX('BASE FORMAÇÃO'!A:A,B1401+1),1),E1405)</f>
        <v>1</v>
      </c>
      <c r="D1401" s="127">
        <f t="shared" ref="D1401" si="4323">IFERROR(IF(C1401=C1391,D1391+1,1),1)</f>
        <v>67</v>
      </c>
      <c r="E1401" s="38" t="s">
        <v>9</v>
      </c>
      <c r="F1401" s="73"/>
      <c r="G1401" s="38" t="s">
        <v>15</v>
      </c>
      <c r="H1401" s="135">
        <f>INDEX('BASE FORMAÇÃO'!B:B,B1401+1)</f>
        <v>0</v>
      </c>
      <c r="I1401" s="181" t="s">
        <v>16</v>
      </c>
      <c r="J1401" s="6">
        <f>INDEX('BASE FORMAÇÃO'!K:K,B1401+1)</f>
        <v>0</v>
      </c>
      <c r="K1401" s="65"/>
      <c r="L1401" s="184" t="s">
        <v>10</v>
      </c>
      <c r="M1401" s="186">
        <f t="shared" ref="M1401" si="4324">IF(OR(ISBLANK($O$8),ISBLANK($O$7),ISBLANK($H$8),ISBLANK($O$6),ISBLANK($O$5),ISBLANK($H$5)),"",IFERROR(IF(VLOOKUP(L1401,L1407:M1416,2,FALSE)&lt;1,ROUND(VLOOKUP(L1401,L1407:M1416,2,FALSE),4),ROUND(VLOOKUP(L1401,L1407:M1416,2,FALSE),2)),""))</f>
        <v>53.73</v>
      </c>
      <c r="N1401" s="69"/>
      <c r="O1401" s="27" t="s">
        <v>17</v>
      </c>
      <c r="P1401" s="113">
        <v>51.93</v>
      </c>
      <c r="Q1401" s="113">
        <v>53.9</v>
      </c>
      <c r="R1401" s="113">
        <v>55.35</v>
      </c>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f t="shared" ref="B1402:D1402" si="4325">B1401</f>
        <v>67</v>
      </c>
      <c r="C1402" s="128">
        <f t="shared" si="4325"/>
        <v>1</v>
      </c>
      <c r="D1402" s="127">
        <f t="shared" si="4325"/>
        <v>67</v>
      </c>
      <c r="E1402" s="188">
        <f t="shared" ref="E1402" si="4326">D1401</f>
        <v>67</v>
      </c>
      <c r="F1402" s="92"/>
      <c r="G1402" s="190" t="s">
        <v>1</v>
      </c>
      <c r="H1402" s="193" t="s">
        <v>697</v>
      </c>
      <c r="I1402" s="194"/>
      <c r="J1402" s="195"/>
      <c r="K1402" s="66"/>
      <c r="L1402" s="185"/>
      <c r="M1402" s="187"/>
      <c r="N1402" s="70"/>
      <c r="O1402" s="27" t="s">
        <v>13</v>
      </c>
      <c r="P1402" s="122">
        <v>46196</v>
      </c>
      <c r="Q1402" s="122">
        <v>46196</v>
      </c>
      <c r="R1402" s="122">
        <v>46196</v>
      </c>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f t="shared" ref="B1403:D1403" si="4327">B1402</f>
        <v>67</v>
      </c>
      <c r="C1403" s="128">
        <f t="shared" si="4327"/>
        <v>1</v>
      </c>
      <c r="D1403" s="127">
        <f t="shared" si="4327"/>
        <v>67</v>
      </c>
      <c r="E1403" s="189"/>
      <c r="F1403" s="93"/>
      <c r="G1403" s="191"/>
      <c r="H1403" s="196"/>
      <c r="I1403" s="196"/>
      <c r="J1403" s="197"/>
      <c r="K1403" s="64"/>
      <c r="L1403" s="130" t="s">
        <v>44</v>
      </c>
      <c r="M1403" s="131">
        <v>4</v>
      </c>
      <c r="N1403" s="71"/>
      <c r="O1403" s="27" t="s">
        <v>380</v>
      </c>
      <c r="P1403" s="114" t="s">
        <v>302</v>
      </c>
      <c r="Q1403" s="114" t="s">
        <v>302</v>
      </c>
      <c r="R1403" s="114" t="s">
        <v>302</v>
      </c>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f t="shared" ref="B1404:C1404" si="4328">B1403</f>
        <v>67</v>
      </c>
      <c r="C1404" s="128">
        <f t="shared" si="4328"/>
        <v>1</v>
      </c>
      <c r="D1404" s="127">
        <f t="shared" si="4208"/>
        <v>67</v>
      </c>
      <c r="E1404" s="38" t="s">
        <v>313</v>
      </c>
      <c r="F1404" s="93"/>
      <c r="G1404" s="192"/>
      <c r="H1404" s="198"/>
      <c r="I1404" s="198"/>
      <c r="J1404" s="199"/>
      <c r="K1404" s="64"/>
      <c r="L1404" s="1" t="s">
        <v>2</v>
      </c>
      <c r="M1404" s="6" t="s">
        <v>288</v>
      </c>
      <c r="N1404" s="71"/>
      <c r="O1404" s="27" t="s">
        <v>381</v>
      </c>
      <c r="P1404" s="182" t="s">
        <v>698</v>
      </c>
      <c r="Q1404" s="182" t="s">
        <v>699</v>
      </c>
      <c r="R1404" s="182" t="s">
        <v>700</v>
      </c>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f t="shared" ref="B1405:C1405" si="4329">B1403</f>
        <v>67</v>
      </c>
      <c r="C1405" s="128">
        <f t="shared" si="4329"/>
        <v>1</v>
      </c>
      <c r="D1405" s="127">
        <f t="shared" si="4208"/>
        <v>67</v>
      </c>
      <c r="E1405" s="200">
        <f t="shared" ref="E1405" si="4330">C1401</f>
        <v>1</v>
      </c>
      <c r="F1405" s="93"/>
      <c r="G1405" s="202" t="s">
        <v>304</v>
      </c>
      <c r="H1405" s="204"/>
      <c r="I1405" s="205"/>
      <c r="J1405" s="205"/>
      <c r="K1405" s="67"/>
      <c r="L1405" s="28" t="s">
        <v>303</v>
      </c>
      <c r="M1405" s="133">
        <f t="shared" ref="M1405" si="4331">IFERROR(INDEX(I1407:I1419,MATCH(MAX(J1407:J1419),J1407:J1419,0)),"")</f>
        <v>2.608720328628715E-2</v>
      </c>
      <c r="N1405" s="71"/>
      <c r="O1405" s="27" t="s">
        <v>18</v>
      </c>
      <c r="P1405" s="106">
        <f>IF(P1401="","",
IF(OR(P1403="Orçamento",P1402="",MAX('Tabela de Apoio'!$A:$A)&lt;=P1402),
P1401,
(INDEX('Tabela de Apoio'!$B:$B,MATCH('MAPA DE PREÇOS'!$O$8,'Tabela de Apoio'!$A:$A,1))/INDEX('Tabela de Apoio'!$B:$B,MATCH('MAPA DE PREÇOS'!P1402,'Tabela de Apoio'!$A:$A,1)-1))*P1401))</f>
        <v>51.93</v>
      </c>
      <c r="Q1405" s="106">
        <f>IF(Q1401="","",
IF(OR(Q1403="Orçamento",Q1402="",MAX('Tabela de Apoio'!$A:$A)&lt;=Q1402),
Q1401,
(INDEX('Tabela de Apoio'!$B:$B,MATCH('MAPA DE PREÇOS'!$O$8,'Tabela de Apoio'!$A:$A,1))/INDEX('Tabela de Apoio'!$B:$B,MATCH('MAPA DE PREÇOS'!Q1402,'Tabela de Apoio'!$A:$A,1)-1))*Q1401))</f>
        <v>53.9</v>
      </c>
      <c r="R1405" s="106">
        <f>IF(R1401="","",
IF(OR(R1403="Orçamento",R1402="",MAX('Tabela de Apoio'!$A:$A)&lt;=R1402),
R1401,
(INDEX('Tabela de Apoio'!$B:$B,MATCH('MAPA DE PREÇOS'!$O$8,'Tabela de Apoio'!$A:$A,1))/INDEX('Tabela de Apoio'!$B:$B,MATCH('MAPA DE PREÇOS'!R1402,'Tabela de Apoio'!$A:$A,1)-1))*R1401))</f>
        <v>55.35</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f t="shared" ref="B1406" si="4332">B1405</f>
        <v>67</v>
      </c>
      <c r="C1406" s="128">
        <f t="shared" ref="C1406" si="4333">C1405</f>
        <v>1</v>
      </c>
      <c r="D1406" s="127">
        <f t="shared" si="4208"/>
        <v>67</v>
      </c>
      <c r="E1406" s="201"/>
      <c r="F1406" s="93"/>
      <c r="G1406" s="203"/>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f t="shared" ref="B1407:C1407" si="4334">B1406</f>
        <v>67</v>
      </c>
      <c r="C1407" s="128">
        <f t="shared" si="4334"/>
        <v>1</v>
      </c>
      <c r="D1407" s="127">
        <f t="shared" si="4208"/>
        <v>67</v>
      </c>
      <c r="E1407" s="201"/>
      <c r="F1407" s="93"/>
      <c r="G1407" s="203"/>
      <c r="H1407" s="134">
        <f t="shared" ref="H1407" si="4335">COUNT($P1407:$XX1407)</f>
        <v>3</v>
      </c>
      <c r="I1407" s="132">
        <f t="shared" ref="I1407" si="4336">_xlfn.STDEV.P($P1406:$XX1407)/AVERAGE($P1406:$XX1407)</f>
        <v>2.608720328628715E-2</v>
      </c>
      <c r="J1407" s="7">
        <f>ROW()</f>
        <v>1407</v>
      </c>
      <c r="K1407" s="67"/>
      <c r="L1407" s="29" t="s">
        <v>10</v>
      </c>
      <c r="M1407" s="30">
        <f t="shared" ref="M1407" si="4337">IFERROR(
IF(COUNTA(P1401:AI1401)=COUNTIF(P1403:XX1403,"Orçamento"),MIN(M1412,M1409),
IF(M1410&lt;&gt;"",M1410,
IF(M1411&lt;&gt;"",M1411,
M1409
))),"")</f>
        <v>53.726666666666667</v>
      </c>
      <c r="N1407" s="71"/>
      <c r="O1407" s="27" t="s">
        <v>376</v>
      </c>
      <c r="P1407" s="106">
        <f t="shared" ref="P1407:AI1407" si="4338">IFERROR(IF(P1405="",
            "",
            IF(COUNT($P1405:$XX1405)&lt;=4,
               P1405,
               IF(OR(P1405&gt;(QUARTILE($P1405:$XX1405,3)+(QUARTILE($P1405:$XX1405,3)-QUARTILE($P1405:$XX1405,1))),
                     P1405&lt;(QUARTILE($P1405:$XX1405,1)-(QUARTILE($P1405:$XX1405,3)-QUARTILE($P1405:$XX1405,1)))
                  ),
               "DESCARTADO",P1405)
             )
  ),P1405)</f>
        <v>51.93</v>
      </c>
      <c r="Q1407" s="106">
        <f t="shared" si="4338"/>
        <v>53.9</v>
      </c>
      <c r="R1407" s="106">
        <f t="shared" si="4338"/>
        <v>55.35</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f t="shared" ref="B1408" si="4339">B1407</f>
        <v>67</v>
      </c>
      <c r="C1408" s="128">
        <f t="shared" ref="C1408" si="4340">C1407</f>
        <v>1</v>
      </c>
      <c r="D1408" s="127">
        <f t="shared" si="4208"/>
        <v>67</v>
      </c>
      <c r="E1408" s="201"/>
      <c r="F1408" s="93"/>
      <c r="G1408" s="203"/>
      <c r="H1408"/>
      <c r="I1408"/>
      <c r="J1408"/>
      <c r="K1408" s="66"/>
      <c r="L1408" s="29" t="s">
        <v>360</v>
      </c>
      <c r="M1408" s="30">
        <f t="shared" ref="M1408" si="4341">AVERAGE($P1407:$XX1407)</f>
        <v>53.726666666666667</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f t="shared" si="4207"/>
        <v>67</v>
      </c>
      <c r="C1409" s="128">
        <f t="shared" si="4208"/>
        <v>1</v>
      </c>
      <c r="D1409" s="127">
        <f t="shared" si="4208"/>
        <v>67</v>
      </c>
      <c r="E1409" s="201"/>
      <c r="F1409" s="93"/>
      <c r="G1409" s="203"/>
      <c r="H1409" s="134">
        <f t="shared" ref="H1409" si="4343">COUNT($P1409:$XX1409)</f>
        <v>3</v>
      </c>
      <c r="I1409" s="132">
        <f t="shared" ref="I1409" si="4344">_xlfn.STDEV.P($P1408:$XX1409)/AVERAGE($P1408:$XX1409)</f>
        <v>2.608720328628715E-2</v>
      </c>
      <c r="J1409" s="7">
        <f t="shared" ref="J1409" si="4345">IF(AND(H1409&gt;2,
OR(L1401="MÉDIA SANEADA",L1401="MEDIANA SANEADA",
AND(L1401="PREÇO ESTIMADO",NOT(AND(P1403="Orçamento",COUNTA(P1401:XX1401)=COUNTIF(P1403:XX1403,"Orçamento")))))),
ROW(),0)</f>
        <v>1409</v>
      </c>
      <c r="K1409" s="66"/>
      <c r="L1409" s="29" t="s">
        <v>361</v>
      </c>
      <c r="M1409" s="30">
        <f t="shared" ref="M1409" si="4346">MEDIAN($P1407:$XX1407)</f>
        <v>53.9</v>
      </c>
      <c r="N1409" s="71"/>
      <c r="O1409" s="27" t="str">
        <f t="shared" ref="O1409" si="4347">"1 RODADA"</f>
        <v>1 RODADA</v>
      </c>
      <c r="P1409" s="107">
        <f t="shared" ref="P1409:AI1409" si="4348">IF(P1407="","",IF((_xlfn.STDEV.P($P1406:$XX1407)/AVERAGE($P1406:$XX1407))&lt;=25%,P1407,IF(OR(P1407&gt;(AVERAGE($P1406:$XX1407)+_xlfn.STDEV.P($P1406:$XX1407)),P1407&lt;(AVERAGE($P1406:$XX1407)-_xlfn.STDEV.P($P1406:$XX1407))),"DESCARTADO",P1407)))</f>
        <v>51.93</v>
      </c>
      <c r="Q1409" s="107">
        <f t="shared" si="4348"/>
        <v>53.9</v>
      </c>
      <c r="R1409" s="107">
        <f t="shared" si="4348"/>
        <v>55.35</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f t="shared" si="4207"/>
        <v>67</v>
      </c>
      <c r="C1410" s="128">
        <f t="shared" si="4208"/>
        <v>1</v>
      </c>
      <c r="D1410" s="127">
        <f t="shared" si="4208"/>
        <v>67</v>
      </c>
      <c r="E1410" s="201"/>
      <c r="F1410" s="93"/>
      <c r="G1410" s="203"/>
      <c r="H1410"/>
      <c r="I1410"/>
      <c r="J1410"/>
      <c r="L1410" s="29" t="s">
        <v>38</v>
      </c>
      <c r="M1410" s="30">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53.726666666666667</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f t="shared" si="4207"/>
        <v>67</v>
      </c>
      <c r="C1411" s="128">
        <f t="shared" si="4208"/>
        <v>1</v>
      </c>
      <c r="D1411" s="127">
        <f t="shared" si="4208"/>
        <v>67</v>
      </c>
      <c r="E1411" s="201"/>
      <c r="F1411" s="93"/>
      <c r="G1411" s="203"/>
      <c r="H1411" s="134">
        <f t="shared" ref="H1411" si="4351">COUNT($P1411:$XX1411)</f>
        <v>3</v>
      </c>
      <c r="I1411" s="132">
        <f t="shared" ref="I1411" si="4352">_xlfn.STDEV.P($P1410:$XX1411)/AVERAGE($P1410:$XX1411)</f>
        <v>2.608720328628715E-2</v>
      </c>
      <c r="J1411" s="7">
        <f t="shared" ref="J1411" si="4353">IF(AND(H1411&gt;2,
OR(L1401="MÉDIA SANEADA",L1401="MEDIANA SANEADA",
AND(L1401="PREÇO ESTIMADO",NOT(AND(P1403="Orçamento",COUNTA(P1401:XX1401)=COUNTIF(P1403:XX1403,"Orçamento")))))),
ROW(),0)</f>
        <v>1411</v>
      </c>
      <c r="K1411" s="66"/>
      <c r="L1411" s="29" t="s">
        <v>362</v>
      </c>
      <c r="M1411" s="30">
        <f t="shared" ref="M1411" si="4354" xml:space="preserve">
IF(H1409&gt;2,MEDIAN(P1408:XX1409),
IF(H1411&gt;2,MEDIAN(P1410:XX1411),
IF(H1413&gt;2,MEDIAN(P1412:XX1413),
IF(H1415&gt;2,MEDIAN(P1414:XX1415),
IF(H1417&gt;2,MEDIAN(P1416:XX1417),
IF(H1419&gt;2,MEDIAN(P1418:XX1419),
MEDIAN(P1406:XX1407)))))))</f>
        <v>53.9</v>
      </c>
      <c r="N1411" s="71"/>
      <c r="O1411" s="27" t="str">
        <f t="shared" ref="O1411" si="4355">"2 RODADA"</f>
        <v>2 RODADA</v>
      </c>
      <c r="P1411" s="107">
        <f t="shared" ref="P1411:AI1411" si="4356">IF(P1409="","",IF((_xlfn.STDEV.P($P1408:$XX1409)/AVERAGE($P1408:$XX1409))&lt;=25%,P1409,IF(OR(P1409&gt;(AVERAGE($P1408:$XX1409)+_xlfn.STDEV.P($P1408:$XX1409)),P1409&lt;(AVERAGE($P1408:$XX1409)-_xlfn.STDEV.P($P1408:$XX1409))),"DESCARTADO",P1409)))</f>
        <v>51.93</v>
      </c>
      <c r="Q1411" s="107">
        <f t="shared" si="4356"/>
        <v>53.9</v>
      </c>
      <c r="R1411" s="107">
        <f t="shared" si="4356"/>
        <v>55.35</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f t="shared" si="4207"/>
        <v>67</v>
      </c>
      <c r="C1412" s="128">
        <f t="shared" si="4208"/>
        <v>1</v>
      </c>
      <c r="D1412" s="127">
        <f t="shared" si="4208"/>
        <v>67</v>
      </c>
      <c r="E1412" s="201"/>
      <c r="F1412" s="93"/>
      <c r="G1412" s="203"/>
      <c r="H1412"/>
      <c r="I1412"/>
      <c r="J1412"/>
      <c r="K1412" s="66"/>
      <c r="L1412" s="29" t="s">
        <v>359</v>
      </c>
      <c r="M1412" s="30">
        <f t="shared" ref="M1412" si="4357">HARMEAN($P1406:$XX1407)</f>
        <v>53.689915761950189</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f t="shared" si="4207"/>
        <v>67</v>
      </c>
      <c r="C1413" s="128">
        <f t="shared" si="4208"/>
        <v>1</v>
      </c>
      <c r="D1413" s="127">
        <f t="shared" si="4208"/>
        <v>67</v>
      </c>
      <c r="E1413" s="201"/>
      <c r="F1413" s="93"/>
      <c r="G1413" s="203"/>
      <c r="H1413" s="134">
        <f t="shared" ref="H1413" si="4359">COUNT($P1413:$XX1413)</f>
        <v>3</v>
      </c>
      <c r="I1413" s="132">
        <f t="shared" ref="I1413" si="4360">_xlfn.STDEV.P($P1412:$XX1413)/AVERAGE($P1412:$XX1413)</f>
        <v>2.608720328628715E-2</v>
      </c>
      <c r="J1413" s="7">
        <f t="shared" ref="J1413" si="4361">IF(AND(H1413&gt;2,
OR(L1401="MÉDIA SANEADA",L1401="MEDIANA SANEADA",
AND(L1401="PREÇO ESTIMADO",NOT(AND(P1403="Orçamento",COUNTA(P1401:XX1401)=COUNTIF(P1403:XX1403,"Orçamento")))))),
ROW(),0)</f>
        <v>1413</v>
      </c>
      <c r="K1413" s="66"/>
      <c r="L1413" s="29" t="s">
        <v>41</v>
      </c>
      <c r="M1413" s="30">
        <f t="shared" ref="M1413" si="4362">IFERROR(_xlfn.QUARTILE.EXC($P1407:$XX1407,1),"")</f>
        <v>51.93</v>
      </c>
      <c r="N1413" s="71"/>
      <c r="O1413" s="27" t="str">
        <f t="shared" ref="O1413" si="4363">"3 RODADA"</f>
        <v>3 RODADA</v>
      </c>
      <c r="P1413" s="107">
        <f t="shared" ref="P1413:AI1413" si="4364">IF(P1411="","",IF((_xlfn.STDEV.P($P1410:$XX1411)/AVERAGE($P1410:$XX1411))&lt;=25%,P1411,IF(OR(P1411&gt;(AVERAGE($P1410:$XX1411)+_xlfn.STDEV.P($P1410:$XX1411)),P1411&lt;(AVERAGE($P1410:$XX1411)-_xlfn.STDEV.P($P1410:$XX1411))),"DESCARTADO",P1411)))</f>
        <v>51.93</v>
      </c>
      <c r="Q1413" s="107">
        <f t="shared" si="4364"/>
        <v>53.9</v>
      </c>
      <c r="R1413" s="107">
        <f t="shared" si="4364"/>
        <v>55.35</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f t="shared" si="4207"/>
        <v>67</v>
      </c>
      <c r="C1414" s="128">
        <f t="shared" si="4208"/>
        <v>1</v>
      </c>
      <c r="D1414" s="127">
        <f t="shared" si="4208"/>
        <v>67</v>
      </c>
      <c r="E1414" s="201"/>
      <c r="F1414" s="93"/>
      <c r="G1414" s="203"/>
      <c r="H1414"/>
      <c r="I1414"/>
      <c r="J1414"/>
      <c r="K1414" s="66"/>
      <c r="L1414" s="29" t="s">
        <v>39</v>
      </c>
      <c r="M1414" s="30">
        <f t="shared" ref="M1414" si="4365">IFERROR(_xlfn.QUARTILE.EXC($P1407:$XX1407,3),"")</f>
        <v>55.35</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f t="shared" si="4207"/>
        <v>67</v>
      </c>
      <c r="C1415" s="128">
        <f t="shared" si="4208"/>
        <v>1</v>
      </c>
      <c r="D1415" s="127">
        <f t="shared" si="4208"/>
        <v>67</v>
      </c>
      <c r="E1415" s="201"/>
      <c r="F1415" s="93"/>
      <c r="G1415" s="203"/>
      <c r="H1415" s="134">
        <f t="shared" ref="H1415" si="4367">COUNT($P1415:$XX1415)</f>
        <v>3</v>
      </c>
      <c r="I1415" s="132">
        <f t="shared" ref="I1415" si="4368">_xlfn.STDEV.P($P1414:$XX1415)/AVERAGE($P1414:$XX1415)</f>
        <v>2.608720328628715E-2</v>
      </c>
      <c r="J1415" s="7">
        <f t="shared" ref="J1415" si="4369">IF(AND(H1415&gt;2,
OR(L1401="MÉDIA SANEADA",L1401="MEDIANA SANEADA",
AND(L1401="PREÇO ESTIMADO",NOT(AND(P1403="Orçamento",COUNTA(P1401:XX1401)=COUNTIF(P1403:XX1403,"Orçamento")))))),
ROW(),0)</f>
        <v>1415</v>
      </c>
      <c r="K1415" s="66"/>
      <c r="L1415" s="29" t="s">
        <v>42</v>
      </c>
      <c r="M1415" s="30">
        <f t="shared" ref="M1415" si="4370">MIN($P1407:$XX1407)</f>
        <v>51.93</v>
      </c>
      <c r="N1415" s="71"/>
      <c r="O1415" s="27" t="str">
        <f t="shared" ref="O1415" si="4371">"4 RODADA"</f>
        <v>4 RODADA</v>
      </c>
      <c r="P1415" s="107">
        <f t="shared" ref="P1415:AI1415" si="4372">IF(P1413="","",IF((_xlfn.STDEV.P($P1412:$XX1413)/AVERAGE($P1412:$XX1413))&lt;=25%,P1413,IF(OR(P1413&gt;(AVERAGE($P1412:$XX1413)+_xlfn.STDEV.P($P1412:$XX1413)),P1413&lt;(AVERAGE($P1412:$XX1413)-_xlfn.STDEV.P($P1412:$XX1413))),"DESCARTADO",P1413)))</f>
        <v>51.93</v>
      </c>
      <c r="Q1415" s="107">
        <f t="shared" si="4372"/>
        <v>53.9</v>
      </c>
      <c r="R1415" s="107">
        <f t="shared" si="4372"/>
        <v>55.35</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f t="shared" si="4207"/>
        <v>67</v>
      </c>
      <c r="C1416" s="128">
        <f t="shared" si="4208"/>
        <v>1</v>
      </c>
      <c r="D1416" s="127">
        <f t="shared" si="4208"/>
        <v>67</v>
      </c>
      <c r="E1416" s="201"/>
      <c r="F1416" s="93"/>
      <c r="G1416" s="203"/>
      <c r="H1416"/>
      <c r="I1416"/>
      <c r="J1416"/>
      <c r="K1416" s="66"/>
      <c r="L1416" s="29" t="s">
        <v>40</v>
      </c>
      <c r="M1416" s="30">
        <f t="shared" ref="M1416" si="4373">MAX($P1407:$XX1407)</f>
        <v>55.35</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f t="shared" si="4207"/>
        <v>67</v>
      </c>
      <c r="C1417" s="128">
        <f t="shared" si="4208"/>
        <v>1</v>
      </c>
      <c r="D1417" s="127">
        <f t="shared" si="4208"/>
        <v>67</v>
      </c>
      <c r="E1417" s="201"/>
      <c r="F1417" s="93"/>
      <c r="G1417" s="203"/>
      <c r="H1417" s="134">
        <f t="shared" ref="H1417" si="4375">COUNT($P1417:$XX1417)</f>
        <v>3</v>
      </c>
      <c r="I1417" s="132">
        <f t="shared" ref="I1417" si="4376">_xlfn.STDEV.P($P1416:$XX1417)/AVERAGE($P1416:$XX1417)</f>
        <v>2.608720328628715E-2</v>
      </c>
      <c r="J1417" s="7">
        <f t="shared" ref="J1417" si="4377">IF(AND(H1417&gt;2,
OR(L1401="MÉDIA SANEADA",L1401="MEDIANA SANEADA",
AND(L1401="PREÇO ESTIMADO",NOT(AND(P1403="Orçamento",COUNTA(P1401:XX1401)=COUNTIF(P1403:XX1403,"Orçamento")))))),
ROW(),0)</f>
        <v>1417</v>
      </c>
      <c r="K1417" s="66"/>
      <c r="N1417" s="71"/>
      <c r="O1417" s="27" t="str">
        <f t="shared" ref="O1417" si="4378">"5 RODADA"</f>
        <v>5 RODADA</v>
      </c>
      <c r="P1417" s="107">
        <f t="shared" ref="P1417:AI1417" si="4379">IF(P1415="","",IF((_xlfn.STDEV.P($P1414:$XX1415)/AVERAGE($P1414:$XX1415))&lt;=25%,P1415,IF(OR(P1415&gt;(AVERAGE($P1414:$XX1415)+_xlfn.STDEV.P($P1414:$XX1415)),P1415&lt;(AVERAGE($P1414:$XX1415)-_xlfn.STDEV.P($P1414:$XX1415))),"DESCARTADO",P1415)))</f>
        <v>51.93</v>
      </c>
      <c r="Q1417" s="107">
        <f t="shared" si="4379"/>
        <v>53.9</v>
      </c>
      <c r="R1417" s="107">
        <f t="shared" si="4379"/>
        <v>55.35</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f t="shared" si="4207"/>
        <v>67</v>
      </c>
      <c r="C1418" s="128">
        <f t="shared" si="4208"/>
        <v>1</v>
      </c>
      <c r="D1418" s="127">
        <f t="shared" si="4208"/>
        <v>67</v>
      </c>
      <c r="E1418" s="201"/>
      <c r="F1418" s="93"/>
      <c r="G1418" s="203"/>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f t="shared" si="4207"/>
        <v>67</v>
      </c>
      <c r="C1419" s="128">
        <f t="shared" si="4208"/>
        <v>1</v>
      </c>
      <c r="D1419" s="127">
        <f t="shared" si="4208"/>
        <v>67</v>
      </c>
      <c r="E1419" s="201"/>
      <c r="F1419" s="93"/>
      <c r="G1419" s="203"/>
      <c r="H1419" s="134">
        <f t="shared" ref="H1419" si="4381">COUNT($P1419:$XX1419)</f>
        <v>3</v>
      </c>
      <c r="I1419" s="132">
        <f t="shared" ref="I1419" si="4382">_xlfn.STDEV.P($P1418:$XX1419)/AVERAGE($P1418:$XX1419)</f>
        <v>2.608720328628715E-2</v>
      </c>
      <c r="J1419" s="7">
        <f t="shared" ref="J1419" si="4383">IF(AND(H1419&gt;2,
OR(L1401="MÉDIA SANEADA",L1401="MEDIANA SANEADA",
AND(L1401="PREÇO ESTIMADO",NOT(AND(P1403="Orçamento",COUNTA(P1401:XX1401)=COUNTIF(P1403:XX1403,"Orçamento")))))),
ROW(),0)</f>
        <v>1419</v>
      </c>
      <c r="N1419" s="71"/>
      <c r="O1419" s="27" t="str">
        <f t="shared" ref="O1419" si="4384">"6 RODADA"</f>
        <v>6 RODADA</v>
      </c>
      <c r="P1419" s="107">
        <f t="shared" ref="P1419:AI1419" si="4385">IFERROR(IF(P1417="","",IF((_xlfn.STDEV.P($P1416:$XX1417)/AVERAGE($P1416:$XX1417))&lt;=25%,P1417,IF(OR(P1417&gt;(AVERAGE($P1416:$XX1417)+_xlfn.STDEV.P($P1416:$XX1417)),P1417&lt;(AVERAGE($P1416:$XX1417)-_xlfn.STDEV.P($P1416:$XX1417))),"DESCARTADO",P1417))),)</f>
        <v>51.93</v>
      </c>
      <c r="Q1419" s="107">
        <f t="shared" si="4385"/>
        <v>53.9</v>
      </c>
      <c r="R1419" s="107">
        <f t="shared" si="4385"/>
        <v>55.35</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f t="shared" si="4207"/>
        <v>67</v>
      </c>
      <c r="C1420" s="128">
        <f t="shared" si="4208"/>
        <v>1</v>
      </c>
      <c r="D1420" s="127">
        <f t="shared" si="4208"/>
        <v>67</v>
      </c>
      <c r="E1420" s="201"/>
      <c r="F1420" s="136"/>
      <c r="G1420" s="203"/>
      <c r="H1420" s="206"/>
      <c r="I1420" s="206"/>
      <c r="J1420" s="207"/>
      <c r="K1420" s="67"/>
      <c r="L1420" s="1" t="s">
        <v>43</v>
      </c>
      <c r="M1420" s="143">
        <f t="shared" ref="M1420" si="4386">IFERROR(ROUND(M1401*M1403,2),"")</f>
        <v>214.92</v>
      </c>
      <c r="O1420" s="27" t="s">
        <v>363</v>
      </c>
      <c r="P1420" s="107">
        <f t="shared" ref="P1420:R1420" si="4387">INDEX(P1407:P1419,MATCH(MAX($J1407:$J1419),$J1407:$J1419,0))</f>
        <v>51.93</v>
      </c>
      <c r="Q1420" s="107">
        <f t="shared" si="4387"/>
        <v>53.9</v>
      </c>
      <c r="R1420" s="107">
        <f t="shared" si="4387"/>
        <v>55.35</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f t="shared" ref="B1422" si="4388">LARGE(IFERROR(IF(B1420+1&gt;$H$8,"",B1420+1),""),1)</f>
        <v>68</v>
      </c>
      <c r="C1422" s="127">
        <f>IF(_xlfn.ISFORMULA(E1426),MAX(INDEX('BASE FORMAÇÃO'!A:A,B1422+1),1),E1426)</f>
        <v>1</v>
      </c>
      <c r="D1422" s="127">
        <f t="shared" ref="D1422" si="4389">IFERROR(IF(C1422=C1412,D1412+1,1),1)</f>
        <v>68</v>
      </c>
      <c r="E1422" s="38" t="s">
        <v>9</v>
      </c>
      <c r="F1422" s="73"/>
      <c r="G1422" s="38" t="s">
        <v>15</v>
      </c>
      <c r="H1422" s="135">
        <f>INDEX('BASE FORMAÇÃO'!B:B,B1422+1)</f>
        <v>0</v>
      </c>
      <c r="I1422" s="181" t="s">
        <v>16</v>
      </c>
      <c r="J1422" s="6">
        <f>INDEX('BASE FORMAÇÃO'!K:K,B1422+1)</f>
        <v>0</v>
      </c>
      <c r="K1422" s="65"/>
      <c r="L1422" s="184" t="s">
        <v>10</v>
      </c>
      <c r="M1422" s="186">
        <f t="shared" ref="M1422" si="4390">IF(OR(ISBLANK($O$8),ISBLANK($O$7),ISBLANK($H$8),ISBLANK($O$6),ISBLANK($O$5),ISBLANK($H$5)),"",IFERROR(IF(VLOOKUP(L1422,L1428:M1437,2,FALSE)&lt;1,ROUND(VLOOKUP(L1422,L1428:M1437,2,FALSE),4),ROUND(VLOOKUP(L1422,L1428:M1437,2,FALSE),2)),""))</f>
        <v>63.27</v>
      </c>
      <c r="N1422" s="69"/>
      <c r="O1422" s="27" t="s">
        <v>17</v>
      </c>
      <c r="P1422" s="113">
        <v>68.900000000000006</v>
      </c>
      <c r="Q1422" s="113">
        <v>44</v>
      </c>
      <c r="R1422" s="113">
        <v>76.900000000000006</v>
      </c>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f t="shared" ref="B1423:D1423" si="4391">B1422</f>
        <v>68</v>
      </c>
      <c r="C1423" s="128">
        <f t="shared" si="4391"/>
        <v>1</v>
      </c>
      <c r="D1423" s="127">
        <f t="shared" si="4391"/>
        <v>68</v>
      </c>
      <c r="E1423" s="188">
        <f t="shared" ref="E1423" si="4392">D1422</f>
        <v>68</v>
      </c>
      <c r="F1423" s="92"/>
      <c r="G1423" s="190" t="s">
        <v>1</v>
      </c>
      <c r="H1423" s="193" t="s">
        <v>702</v>
      </c>
      <c r="I1423" s="194"/>
      <c r="J1423" s="195"/>
      <c r="K1423" s="66"/>
      <c r="L1423" s="185"/>
      <c r="M1423" s="187"/>
      <c r="N1423" s="70"/>
      <c r="O1423" s="27" t="s">
        <v>13</v>
      </c>
      <c r="P1423" s="122">
        <v>46196</v>
      </c>
      <c r="Q1423" s="122">
        <v>46196</v>
      </c>
      <c r="R1423" s="122">
        <v>46196</v>
      </c>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f t="shared" ref="B1424:D1424" si="4393">B1423</f>
        <v>68</v>
      </c>
      <c r="C1424" s="128">
        <f t="shared" si="4393"/>
        <v>1</v>
      </c>
      <c r="D1424" s="127">
        <f t="shared" si="4393"/>
        <v>68</v>
      </c>
      <c r="E1424" s="189"/>
      <c r="F1424" s="93"/>
      <c r="G1424" s="191"/>
      <c r="H1424" s="196"/>
      <c r="I1424" s="196"/>
      <c r="J1424" s="197"/>
      <c r="K1424" s="64"/>
      <c r="L1424" s="130" t="s">
        <v>44</v>
      </c>
      <c r="M1424" s="131">
        <v>4</v>
      </c>
      <c r="N1424" s="71"/>
      <c r="O1424" s="27" t="s">
        <v>380</v>
      </c>
      <c r="P1424" s="114" t="s">
        <v>302</v>
      </c>
      <c r="Q1424" s="114" t="s">
        <v>302</v>
      </c>
      <c r="R1424" s="114" t="s">
        <v>302</v>
      </c>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f t="shared" ref="B1425:C1425" si="4394">B1424</f>
        <v>68</v>
      </c>
      <c r="C1425" s="128">
        <f t="shared" si="4394"/>
        <v>1</v>
      </c>
      <c r="D1425" s="127">
        <f t="shared" si="4208"/>
        <v>68</v>
      </c>
      <c r="E1425" s="38" t="s">
        <v>313</v>
      </c>
      <c r="F1425" s="93"/>
      <c r="G1425" s="192"/>
      <c r="H1425" s="198"/>
      <c r="I1425" s="198"/>
      <c r="J1425" s="199"/>
      <c r="K1425" s="64"/>
      <c r="L1425" s="1" t="s">
        <v>2</v>
      </c>
      <c r="M1425" s="6" t="s">
        <v>288</v>
      </c>
      <c r="N1425" s="71"/>
      <c r="O1425" s="27" t="s">
        <v>381</v>
      </c>
      <c r="P1425" s="182" t="s">
        <v>701</v>
      </c>
      <c r="Q1425" s="182" t="s">
        <v>703</v>
      </c>
      <c r="R1425" s="182" t="s">
        <v>704</v>
      </c>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f t="shared" ref="B1426:C1426" si="4395">B1424</f>
        <v>68</v>
      </c>
      <c r="C1426" s="128">
        <f t="shared" si="4395"/>
        <v>1</v>
      </c>
      <c r="D1426" s="127">
        <f t="shared" si="4208"/>
        <v>68</v>
      </c>
      <c r="E1426" s="200">
        <f t="shared" ref="E1426" si="4396">C1422</f>
        <v>1</v>
      </c>
      <c r="F1426" s="93"/>
      <c r="G1426" s="202" t="s">
        <v>304</v>
      </c>
      <c r="H1426" s="204"/>
      <c r="I1426" s="205"/>
      <c r="J1426" s="205"/>
      <c r="K1426" s="67"/>
      <c r="L1426" s="28" t="s">
        <v>303</v>
      </c>
      <c r="M1426" s="133">
        <f t="shared" ref="M1426" si="4397">IFERROR(INDEX(I1428:I1440,MATCH(MAX(J1428:J1440),J1428:J1440,0)),"")</f>
        <v>0.22143730057831418</v>
      </c>
      <c r="N1426" s="71"/>
      <c r="O1426" s="27" t="s">
        <v>18</v>
      </c>
      <c r="P1426" s="106">
        <f>IF(P1422="","",
IF(OR(P1424="Orçamento",P1423="",MAX('Tabela de Apoio'!$A:$A)&lt;=P1423),
P1422,
(INDEX('Tabela de Apoio'!$B:$B,MATCH('MAPA DE PREÇOS'!$O$8,'Tabela de Apoio'!$A:$A,1))/INDEX('Tabela de Apoio'!$B:$B,MATCH('MAPA DE PREÇOS'!P1423,'Tabela de Apoio'!$A:$A,1)-1))*P1422))</f>
        <v>68.900000000000006</v>
      </c>
      <c r="Q1426" s="106">
        <f>IF(Q1422="","",
IF(OR(Q1424="Orçamento",Q1423="",MAX('Tabela de Apoio'!$A:$A)&lt;=Q1423),
Q1422,
(INDEX('Tabela de Apoio'!$B:$B,MATCH('MAPA DE PREÇOS'!$O$8,'Tabela de Apoio'!$A:$A,1))/INDEX('Tabela de Apoio'!$B:$B,MATCH('MAPA DE PREÇOS'!Q1423,'Tabela de Apoio'!$A:$A,1)-1))*Q1422))</f>
        <v>44</v>
      </c>
      <c r="R1426" s="106">
        <f>IF(R1422="","",
IF(OR(R1424="Orçamento",R1423="",MAX('Tabela de Apoio'!$A:$A)&lt;=R1423),
R1422,
(INDEX('Tabela de Apoio'!$B:$B,MATCH('MAPA DE PREÇOS'!$O$8,'Tabela de Apoio'!$A:$A,1))/INDEX('Tabela de Apoio'!$B:$B,MATCH('MAPA DE PREÇOS'!R1423,'Tabela de Apoio'!$A:$A,1)-1))*R1422))</f>
        <v>76.900000000000006</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f t="shared" ref="B1427" si="4398">B1426</f>
        <v>68</v>
      </c>
      <c r="C1427" s="128">
        <f t="shared" ref="C1427" si="4399">C1426</f>
        <v>1</v>
      </c>
      <c r="D1427" s="127">
        <f t="shared" si="4208"/>
        <v>68</v>
      </c>
      <c r="E1427" s="201"/>
      <c r="F1427" s="93"/>
      <c r="G1427" s="203"/>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f t="shared" ref="B1428:C1428" si="4400">B1427</f>
        <v>68</v>
      </c>
      <c r="C1428" s="128">
        <f t="shared" si="4400"/>
        <v>1</v>
      </c>
      <c r="D1428" s="127">
        <f t="shared" si="4208"/>
        <v>68</v>
      </c>
      <c r="E1428" s="201"/>
      <c r="F1428" s="93"/>
      <c r="G1428" s="203"/>
      <c r="H1428" s="134">
        <f t="shared" ref="H1428" si="4401">COUNT($P1428:$XX1428)</f>
        <v>3</v>
      </c>
      <c r="I1428" s="132">
        <f t="shared" ref="I1428" si="4402">_xlfn.STDEV.P($P1427:$XX1428)/AVERAGE($P1427:$XX1428)</f>
        <v>0.22143730057831418</v>
      </c>
      <c r="J1428" s="7">
        <f>ROW()</f>
        <v>1428</v>
      </c>
      <c r="K1428" s="67"/>
      <c r="L1428" s="29" t="s">
        <v>10</v>
      </c>
      <c r="M1428" s="30">
        <f t="shared" ref="M1428" si="4403">IFERROR(
IF(COUNTA(P1422:AI1422)=COUNTIF(P1424:XX1424,"Orçamento"),MIN(M1433,M1430),
IF(M1431&lt;&gt;"",M1431,
IF(M1432&lt;&gt;"",M1432,
M1430
))),"")</f>
        <v>63.266666666666673</v>
      </c>
      <c r="N1428" s="71"/>
      <c r="O1428" s="27" t="s">
        <v>376</v>
      </c>
      <c r="P1428" s="106">
        <f t="shared" ref="P1428:AI1428" si="4404">IFERROR(IF(P1426="",
            "",
            IF(COUNT($P1426:$XX1426)&lt;=4,
               P1426,
               IF(OR(P1426&gt;(QUARTILE($P1426:$XX1426,3)+(QUARTILE($P1426:$XX1426,3)-QUARTILE($P1426:$XX1426,1))),
                     P1426&lt;(QUARTILE($P1426:$XX1426,1)-(QUARTILE($P1426:$XX1426,3)-QUARTILE($P1426:$XX1426,1)))
                  ),
               "DESCARTADO",P1426)
             )
  ),P1426)</f>
        <v>68.900000000000006</v>
      </c>
      <c r="Q1428" s="106">
        <f t="shared" si="4404"/>
        <v>44</v>
      </c>
      <c r="R1428" s="106">
        <f t="shared" si="4404"/>
        <v>76.900000000000006</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f t="shared" ref="B1429:B1483" si="4405">B1428</f>
        <v>68</v>
      </c>
      <c r="C1429" s="128">
        <f t="shared" ref="C1429:D1492" si="4406">C1428</f>
        <v>1</v>
      </c>
      <c r="D1429" s="127">
        <f t="shared" si="4208"/>
        <v>68</v>
      </c>
      <c r="E1429" s="201"/>
      <c r="F1429" s="93"/>
      <c r="G1429" s="203"/>
      <c r="H1429"/>
      <c r="I1429"/>
      <c r="J1429"/>
      <c r="K1429" s="66"/>
      <c r="L1429" s="29" t="s">
        <v>360</v>
      </c>
      <c r="M1429" s="30">
        <f t="shared" ref="M1429" si="4407">AVERAGE($P1428:$XX1428)</f>
        <v>63.266666666666673</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f t="shared" si="4405"/>
        <v>68</v>
      </c>
      <c r="C1430" s="128">
        <f t="shared" si="4406"/>
        <v>1</v>
      </c>
      <c r="D1430" s="127">
        <f t="shared" si="4406"/>
        <v>68</v>
      </c>
      <c r="E1430" s="201"/>
      <c r="F1430" s="93"/>
      <c r="G1430" s="203"/>
      <c r="H1430" s="134">
        <f t="shared" ref="H1430" si="4409">COUNT($P1430:$XX1430)</f>
        <v>3</v>
      </c>
      <c r="I1430" s="132">
        <f t="shared" ref="I1430" si="4410">_xlfn.STDEV.P($P1429:$XX1430)/AVERAGE($P1429:$XX1430)</f>
        <v>0.22143730057831418</v>
      </c>
      <c r="J1430" s="7">
        <f t="shared" ref="J1430" si="4411">IF(AND(H1430&gt;2,
OR(L1422="MÉDIA SANEADA",L1422="MEDIANA SANEADA",
AND(L1422="PREÇO ESTIMADO",NOT(AND(P1424="Orçamento",COUNTA(P1422:XX1422)=COUNTIF(P1424:XX1424,"Orçamento")))))),
ROW(),0)</f>
        <v>1430</v>
      </c>
      <c r="K1430" s="66"/>
      <c r="L1430" s="29" t="s">
        <v>361</v>
      </c>
      <c r="M1430" s="30">
        <f t="shared" ref="M1430" si="4412">MEDIAN($P1428:$XX1428)</f>
        <v>68.900000000000006</v>
      </c>
      <c r="N1430" s="71"/>
      <c r="O1430" s="27" t="str">
        <f t="shared" ref="O1430" si="4413">"1 RODADA"</f>
        <v>1 RODADA</v>
      </c>
      <c r="P1430" s="107">
        <f t="shared" ref="P1430:AI1430" si="4414">IF(P1428="","",IF((_xlfn.STDEV.P($P1427:$XX1428)/AVERAGE($P1427:$XX1428))&lt;=25%,P1428,IF(OR(P1428&gt;(AVERAGE($P1427:$XX1428)+_xlfn.STDEV.P($P1427:$XX1428)),P1428&lt;(AVERAGE($P1427:$XX1428)-_xlfn.STDEV.P($P1427:$XX1428))),"DESCARTADO",P1428)))</f>
        <v>68.900000000000006</v>
      </c>
      <c r="Q1430" s="107">
        <f t="shared" si="4414"/>
        <v>44</v>
      </c>
      <c r="R1430" s="107">
        <f t="shared" si="4414"/>
        <v>76.900000000000006</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f t="shared" si="4405"/>
        <v>68</v>
      </c>
      <c r="C1431" s="128">
        <f t="shared" si="4406"/>
        <v>1</v>
      </c>
      <c r="D1431" s="127">
        <f t="shared" si="4406"/>
        <v>68</v>
      </c>
      <c r="E1431" s="201"/>
      <c r="F1431" s="93"/>
      <c r="G1431" s="203"/>
      <c r="H1431"/>
      <c r="I1431"/>
      <c r="J1431"/>
      <c r="L1431" s="29" t="s">
        <v>38</v>
      </c>
      <c r="M1431" s="30">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63.266666666666673</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f t="shared" si="4405"/>
        <v>68</v>
      </c>
      <c r="C1432" s="128">
        <f t="shared" si="4406"/>
        <v>1</v>
      </c>
      <c r="D1432" s="127">
        <f t="shared" si="4406"/>
        <v>68</v>
      </c>
      <c r="E1432" s="201"/>
      <c r="F1432" s="93"/>
      <c r="G1432" s="203"/>
      <c r="H1432" s="134">
        <f t="shared" ref="H1432" si="4417">COUNT($P1432:$XX1432)</f>
        <v>3</v>
      </c>
      <c r="I1432" s="132">
        <f t="shared" ref="I1432" si="4418">_xlfn.STDEV.P($P1431:$XX1432)/AVERAGE($P1431:$XX1432)</f>
        <v>0.22143730057831418</v>
      </c>
      <c r="J1432" s="7">
        <f t="shared" ref="J1432" si="4419">IF(AND(H1432&gt;2,
OR(L1422="MÉDIA SANEADA",L1422="MEDIANA SANEADA",
AND(L1422="PREÇO ESTIMADO",NOT(AND(P1424="Orçamento",COUNTA(P1422:XX1422)=COUNTIF(P1424:XX1424,"Orçamento")))))),
ROW(),0)</f>
        <v>1432</v>
      </c>
      <c r="K1432" s="66"/>
      <c r="L1432" s="29" t="s">
        <v>362</v>
      </c>
      <c r="M1432" s="30">
        <f t="shared" ref="M1432" si="4420" xml:space="preserve">
IF(H1430&gt;2,MEDIAN(P1429:XX1430),
IF(H1432&gt;2,MEDIAN(P1431:XX1432),
IF(H1434&gt;2,MEDIAN(P1433:XX1434),
IF(H1436&gt;2,MEDIAN(P1435:XX1436),
IF(H1438&gt;2,MEDIAN(P1437:XX1438),
IF(H1440&gt;2,MEDIAN(P1439:XX1440),
MEDIAN(P1427:XX1428)))))))</f>
        <v>68.900000000000006</v>
      </c>
      <c r="N1432" s="71"/>
      <c r="O1432" s="27" t="str">
        <f t="shared" ref="O1432" si="4421">"2 RODADA"</f>
        <v>2 RODADA</v>
      </c>
      <c r="P1432" s="107">
        <f t="shared" ref="P1432:AI1432" si="4422">IF(P1430="","",IF((_xlfn.STDEV.P($P1429:$XX1430)/AVERAGE($P1429:$XX1430))&lt;=25%,P1430,IF(OR(P1430&gt;(AVERAGE($P1429:$XX1430)+_xlfn.STDEV.P($P1429:$XX1430)),P1430&lt;(AVERAGE($P1429:$XX1430)-_xlfn.STDEV.P($P1429:$XX1430))),"DESCARTADO",P1430)))</f>
        <v>68.900000000000006</v>
      </c>
      <c r="Q1432" s="107">
        <f t="shared" si="4422"/>
        <v>44</v>
      </c>
      <c r="R1432" s="107">
        <f t="shared" si="4422"/>
        <v>76.900000000000006</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f t="shared" si="4405"/>
        <v>68</v>
      </c>
      <c r="C1433" s="128">
        <f t="shared" si="4406"/>
        <v>1</v>
      </c>
      <c r="D1433" s="127">
        <f t="shared" si="4406"/>
        <v>68</v>
      </c>
      <c r="E1433" s="201"/>
      <c r="F1433" s="93"/>
      <c r="G1433" s="203"/>
      <c r="H1433"/>
      <c r="I1433"/>
      <c r="J1433"/>
      <c r="K1433" s="66"/>
      <c r="L1433" s="29" t="s">
        <v>359</v>
      </c>
      <c r="M1433" s="30">
        <f t="shared" ref="M1433" si="4423">HARMEAN($P1427:$XX1428)</f>
        <v>59.707478736273444</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f t="shared" si="4405"/>
        <v>68</v>
      </c>
      <c r="C1434" s="128">
        <f t="shared" si="4406"/>
        <v>1</v>
      </c>
      <c r="D1434" s="127">
        <f t="shared" si="4406"/>
        <v>68</v>
      </c>
      <c r="E1434" s="201"/>
      <c r="F1434" s="93"/>
      <c r="G1434" s="203"/>
      <c r="H1434" s="134">
        <f t="shared" ref="H1434" si="4425">COUNT($P1434:$XX1434)</f>
        <v>3</v>
      </c>
      <c r="I1434" s="132">
        <f t="shared" ref="I1434" si="4426">_xlfn.STDEV.P($P1433:$XX1434)/AVERAGE($P1433:$XX1434)</f>
        <v>0.22143730057831418</v>
      </c>
      <c r="J1434" s="7">
        <f t="shared" ref="J1434" si="4427">IF(AND(H1434&gt;2,
OR(L1422="MÉDIA SANEADA",L1422="MEDIANA SANEADA",
AND(L1422="PREÇO ESTIMADO",NOT(AND(P1424="Orçamento",COUNTA(P1422:XX1422)=COUNTIF(P1424:XX1424,"Orçamento")))))),
ROW(),0)</f>
        <v>1434</v>
      </c>
      <c r="K1434" s="66"/>
      <c r="L1434" s="29" t="s">
        <v>41</v>
      </c>
      <c r="M1434" s="30">
        <f t="shared" ref="M1434" si="4428">IFERROR(_xlfn.QUARTILE.EXC($P1428:$XX1428,1),"")</f>
        <v>44</v>
      </c>
      <c r="N1434" s="71"/>
      <c r="O1434" s="27" t="str">
        <f t="shared" ref="O1434" si="4429">"3 RODADA"</f>
        <v>3 RODADA</v>
      </c>
      <c r="P1434" s="107">
        <f t="shared" ref="P1434:AI1434" si="4430">IF(P1432="","",IF((_xlfn.STDEV.P($P1431:$XX1432)/AVERAGE($P1431:$XX1432))&lt;=25%,P1432,IF(OR(P1432&gt;(AVERAGE($P1431:$XX1432)+_xlfn.STDEV.P($P1431:$XX1432)),P1432&lt;(AVERAGE($P1431:$XX1432)-_xlfn.STDEV.P($P1431:$XX1432))),"DESCARTADO",P1432)))</f>
        <v>68.900000000000006</v>
      </c>
      <c r="Q1434" s="107">
        <f t="shared" si="4430"/>
        <v>44</v>
      </c>
      <c r="R1434" s="107">
        <f t="shared" si="4430"/>
        <v>76.900000000000006</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f t="shared" si="4405"/>
        <v>68</v>
      </c>
      <c r="C1435" s="128">
        <f t="shared" si="4406"/>
        <v>1</v>
      </c>
      <c r="D1435" s="127">
        <f t="shared" si="4406"/>
        <v>68</v>
      </c>
      <c r="E1435" s="201"/>
      <c r="F1435" s="93"/>
      <c r="G1435" s="203"/>
      <c r="H1435"/>
      <c r="I1435"/>
      <c r="J1435"/>
      <c r="K1435" s="66"/>
      <c r="L1435" s="29" t="s">
        <v>39</v>
      </c>
      <c r="M1435" s="30">
        <f t="shared" ref="M1435" si="4431">IFERROR(_xlfn.QUARTILE.EXC($P1428:$XX1428,3),"")</f>
        <v>76.900000000000006</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f t="shared" si="4405"/>
        <v>68</v>
      </c>
      <c r="C1436" s="128">
        <f t="shared" si="4406"/>
        <v>1</v>
      </c>
      <c r="D1436" s="127">
        <f t="shared" si="4406"/>
        <v>68</v>
      </c>
      <c r="E1436" s="201"/>
      <c r="F1436" s="93"/>
      <c r="G1436" s="203"/>
      <c r="H1436" s="134">
        <f t="shared" ref="H1436" si="4433">COUNT($P1436:$XX1436)</f>
        <v>3</v>
      </c>
      <c r="I1436" s="132">
        <f t="shared" ref="I1436" si="4434">_xlfn.STDEV.P($P1435:$XX1436)/AVERAGE($P1435:$XX1436)</f>
        <v>0.22143730057831418</v>
      </c>
      <c r="J1436" s="7">
        <f t="shared" ref="J1436" si="4435">IF(AND(H1436&gt;2,
OR(L1422="MÉDIA SANEADA",L1422="MEDIANA SANEADA",
AND(L1422="PREÇO ESTIMADO",NOT(AND(P1424="Orçamento",COUNTA(P1422:XX1422)=COUNTIF(P1424:XX1424,"Orçamento")))))),
ROW(),0)</f>
        <v>1436</v>
      </c>
      <c r="K1436" s="66"/>
      <c r="L1436" s="29" t="s">
        <v>42</v>
      </c>
      <c r="M1436" s="30">
        <f t="shared" ref="M1436" si="4436">MIN($P1428:$XX1428)</f>
        <v>44</v>
      </c>
      <c r="N1436" s="71"/>
      <c r="O1436" s="27" t="str">
        <f t="shared" ref="O1436" si="4437">"4 RODADA"</f>
        <v>4 RODADA</v>
      </c>
      <c r="P1436" s="107">
        <f t="shared" ref="P1436:AI1436" si="4438">IF(P1434="","",IF((_xlfn.STDEV.P($P1433:$XX1434)/AVERAGE($P1433:$XX1434))&lt;=25%,P1434,IF(OR(P1434&gt;(AVERAGE($P1433:$XX1434)+_xlfn.STDEV.P($P1433:$XX1434)),P1434&lt;(AVERAGE($P1433:$XX1434)-_xlfn.STDEV.P($P1433:$XX1434))),"DESCARTADO",P1434)))</f>
        <v>68.900000000000006</v>
      </c>
      <c r="Q1436" s="107">
        <f t="shared" si="4438"/>
        <v>44</v>
      </c>
      <c r="R1436" s="107">
        <f t="shared" si="4438"/>
        <v>76.900000000000006</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f t="shared" si="4405"/>
        <v>68</v>
      </c>
      <c r="C1437" s="128">
        <f t="shared" si="4406"/>
        <v>1</v>
      </c>
      <c r="D1437" s="127">
        <f t="shared" si="4406"/>
        <v>68</v>
      </c>
      <c r="E1437" s="201"/>
      <c r="F1437" s="93"/>
      <c r="G1437" s="203"/>
      <c r="H1437"/>
      <c r="I1437"/>
      <c r="J1437"/>
      <c r="K1437" s="66"/>
      <c r="L1437" s="29" t="s">
        <v>40</v>
      </c>
      <c r="M1437" s="30">
        <f t="shared" ref="M1437" si="4439">MAX($P1428:$XX1428)</f>
        <v>76.900000000000006</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f t="shared" si="4405"/>
        <v>68</v>
      </c>
      <c r="C1438" s="128">
        <f t="shared" si="4406"/>
        <v>1</v>
      </c>
      <c r="D1438" s="127">
        <f t="shared" si="4406"/>
        <v>68</v>
      </c>
      <c r="E1438" s="201"/>
      <c r="F1438" s="93"/>
      <c r="G1438" s="203"/>
      <c r="H1438" s="134">
        <f t="shared" ref="H1438" si="4441">COUNT($P1438:$XX1438)</f>
        <v>3</v>
      </c>
      <c r="I1438" s="132">
        <f t="shared" ref="I1438" si="4442">_xlfn.STDEV.P($P1437:$XX1438)/AVERAGE($P1437:$XX1438)</f>
        <v>0.22143730057831418</v>
      </c>
      <c r="J1438" s="7">
        <f t="shared" ref="J1438" si="4443">IF(AND(H1438&gt;2,
OR(L1422="MÉDIA SANEADA",L1422="MEDIANA SANEADA",
AND(L1422="PREÇO ESTIMADO",NOT(AND(P1424="Orçamento",COUNTA(P1422:XX1422)=COUNTIF(P1424:XX1424,"Orçamento")))))),
ROW(),0)</f>
        <v>1438</v>
      </c>
      <c r="K1438" s="66"/>
      <c r="N1438" s="71"/>
      <c r="O1438" s="27" t="str">
        <f t="shared" ref="O1438" si="4444">"5 RODADA"</f>
        <v>5 RODADA</v>
      </c>
      <c r="P1438" s="107">
        <f t="shared" ref="P1438:AI1438" si="4445">IF(P1436="","",IF((_xlfn.STDEV.P($P1435:$XX1436)/AVERAGE($P1435:$XX1436))&lt;=25%,P1436,IF(OR(P1436&gt;(AVERAGE($P1435:$XX1436)+_xlfn.STDEV.P($P1435:$XX1436)),P1436&lt;(AVERAGE($P1435:$XX1436)-_xlfn.STDEV.P($P1435:$XX1436))),"DESCARTADO",P1436)))</f>
        <v>68.900000000000006</v>
      </c>
      <c r="Q1438" s="107">
        <f t="shared" si="4445"/>
        <v>44</v>
      </c>
      <c r="R1438" s="107">
        <f t="shared" si="4445"/>
        <v>76.900000000000006</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f t="shared" si="4405"/>
        <v>68</v>
      </c>
      <c r="C1439" s="128">
        <f t="shared" si="4406"/>
        <v>1</v>
      </c>
      <c r="D1439" s="127">
        <f t="shared" si="4406"/>
        <v>68</v>
      </c>
      <c r="E1439" s="201"/>
      <c r="F1439" s="93"/>
      <c r="G1439" s="203"/>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f t="shared" si="4405"/>
        <v>68</v>
      </c>
      <c r="C1440" s="128">
        <f t="shared" si="4406"/>
        <v>1</v>
      </c>
      <c r="D1440" s="127">
        <f t="shared" si="4406"/>
        <v>68</v>
      </c>
      <c r="E1440" s="201"/>
      <c r="F1440" s="93"/>
      <c r="G1440" s="203"/>
      <c r="H1440" s="134">
        <f t="shared" ref="H1440" si="4447">COUNT($P1440:$XX1440)</f>
        <v>3</v>
      </c>
      <c r="I1440" s="132">
        <f t="shared" ref="I1440" si="4448">_xlfn.STDEV.P($P1439:$XX1440)/AVERAGE($P1439:$XX1440)</f>
        <v>0.22143730057831418</v>
      </c>
      <c r="J1440" s="7">
        <f t="shared" ref="J1440" si="4449">IF(AND(H1440&gt;2,
OR(L1422="MÉDIA SANEADA",L1422="MEDIANA SANEADA",
AND(L1422="PREÇO ESTIMADO",NOT(AND(P1424="Orçamento",COUNTA(P1422:XX1422)=COUNTIF(P1424:XX1424,"Orçamento")))))),
ROW(),0)</f>
        <v>1440</v>
      </c>
      <c r="N1440" s="71"/>
      <c r="O1440" s="27" t="str">
        <f t="shared" ref="O1440" si="4450">"6 RODADA"</f>
        <v>6 RODADA</v>
      </c>
      <c r="P1440" s="107">
        <f t="shared" ref="P1440:AI1440" si="4451">IFERROR(IF(P1438="","",IF((_xlfn.STDEV.P($P1437:$XX1438)/AVERAGE($P1437:$XX1438))&lt;=25%,P1438,IF(OR(P1438&gt;(AVERAGE($P1437:$XX1438)+_xlfn.STDEV.P($P1437:$XX1438)),P1438&lt;(AVERAGE($P1437:$XX1438)-_xlfn.STDEV.P($P1437:$XX1438))),"DESCARTADO",P1438))),)</f>
        <v>68.900000000000006</v>
      </c>
      <c r="Q1440" s="107">
        <f t="shared" si="4451"/>
        <v>44</v>
      </c>
      <c r="R1440" s="107">
        <f t="shared" si="4451"/>
        <v>76.900000000000006</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f t="shared" si="4405"/>
        <v>68</v>
      </c>
      <c r="C1441" s="128">
        <f t="shared" si="4406"/>
        <v>1</v>
      </c>
      <c r="D1441" s="127">
        <f t="shared" si="4406"/>
        <v>68</v>
      </c>
      <c r="E1441" s="201"/>
      <c r="F1441" s="136"/>
      <c r="G1441" s="203"/>
      <c r="H1441" s="206"/>
      <c r="I1441" s="206"/>
      <c r="J1441" s="207"/>
      <c r="K1441" s="67"/>
      <c r="L1441" s="1" t="s">
        <v>43</v>
      </c>
      <c r="M1441" s="143">
        <f t="shared" ref="M1441" si="4452">IFERROR(ROUND(M1422*M1424,2),"")</f>
        <v>253.08</v>
      </c>
      <c r="O1441" s="27" t="s">
        <v>363</v>
      </c>
      <c r="P1441" s="107">
        <f t="shared" ref="P1441:AI1462" si="4453">INDEX(P1428:P1440,MATCH(MAX($J1428:$J1440),$J1428:$J1440,0))</f>
        <v>68.900000000000006</v>
      </c>
      <c r="Q1441" s="107">
        <f t="shared" si="4453"/>
        <v>44</v>
      </c>
      <c r="R1441" s="107">
        <f t="shared" si="4453"/>
        <v>76.900000000000006</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f t="shared" ref="B1443" si="4454">LARGE(IFERROR(IF(B1441+1&gt;$H$8,"",B1441+1),""),1)</f>
        <v>69</v>
      </c>
      <c r="C1443" s="127">
        <f>IF(_xlfn.ISFORMULA(E1447),MAX(INDEX('BASE FORMAÇÃO'!A:A,B1443+1),1),E1447)</f>
        <v>1</v>
      </c>
      <c r="D1443" s="127">
        <f t="shared" ref="D1443" si="4455">IFERROR(IF(C1443=C1433,D1433+1,1),1)</f>
        <v>69</v>
      </c>
      <c r="E1443" s="38" t="s">
        <v>9</v>
      </c>
      <c r="F1443" s="73"/>
      <c r="G1443" s="38" t="s">
        <v>15</v>
      </c>
      <c r="H1443" s="135">
        <f>INDEX('BASE FORMAÇÃO'!B:B,B1443+1)</f>
        <v>0</v>
      </c>
      <c r="I1443" s="181" t="s">
        <v>16</v>
      </c>
      <c r="J1443" s="6">
        <f>INDEX('BASE FORMAÇÃO'!K:K,B1443+1)</f>
        <v>0</v>
      </c>
      <c r="K1443" s="65"/>
      <c r="L1443" s="184" t="s">
        <v>10</v>
      </c>
      <c r="M1443" s="186">
        <f t="shared" ref="M1443" si="4456">IF(OR(ISBLANK($O$8),ISBLANK($O$7),ISBLANK($H$8),ISBLANK($O$6),ISBLANK($O$5),ISBLANK($H$5)),"",IFERROR(IF(VLOOKUP(L1443,L1449:M1458,2,FALSE)&lt;1,ROUND(VLOOKUP(L1443,L1449:M1458,2,FALSE),4),ROUND(VLOOKUP(L1443,L1449:M1458,2,FALSE),2)),""))</f>
        <v>94.24</v>
      </c>
      <c r="N1443" s="69"/>
      <c r="O1443" s="27" t="s">
        <v>17</v>
      </c>
      <c r="P1443" s="113">
        <v>76.900000000000006</v>
      </c>
      <c r="Q1443" s="113">
        <v>92.93</v>
      </c>
      <c r="R1443" s="113">
        <v>112.9</v>
      </c>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f t="shared" ref="B1444:D1444" si="4457">B1443</f>
        <v>69</v>
      </c>
      <c r="C1444" s="128">
        <f t="shared" si="4457"/>
        <v>1</v>
      </c>
      <c r="D1444" s="127">
        <f t="shared" si="4457"/>
        <v>69</v>
      </c>
      <c r="E1444" s="188">
        <f t="shared" ref="E1444" si="4458">D1443</f>
        <v>69</v>
      </c>
      <c r="F1444" s="92"/>
      <c r="G1444" s="190" t="s">
        <v>1</v>
      </c>
      <c r="H1444" s="193" t="s">
        <v>705</v>
      </c>
      <c r="I1444" s="194"/>
      <c r="J1444" s="195"/>
      <c r="K1444" s="66"/>
      <c r="L1444" s="185"/>
      <c r="M1444" s="187"/>
      <c r="N1444" s="70"/>
      <c r="O1444" s="27" t="s">
        <v>13</v>
      </c>
      <c r="P1444" s="122">
        <v>46196</v>
      </c>
      <c r="Q1444" s="122">
        <v>46196</v>
      </c>
      <c r="R1444" s="122">
        <v>46196</v>
      </c>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f t="shared" ref="B1445:D1445" si="4459">B1444</f>
        <v>69</v>
      </c>
      <c r="C1445" s="128">
        <f t="shared" si="4459"/>
        <v>1</v>
      </c>
      <c r="D1445" s="127">
        <f t="shared" si="4459"/>
        <v>69</v>
      </c>
      <c r="E1445" s="189"/>
      <c r="F1445" s="93"/>
      <c r="G1445" s="191"/>
      <c r="H1445" s="196"/>
      <c r="I1445" s="196"/>
      <c r="J1445" s="197"/>
      <c r="K1445" s="64"/>
      <c r="L1445" s="130" t="s">
        <v>44</v>
      </c>
      <c r="M1445" s="131">
        <v>4</v>
      </c>
      <c r="N1445" s="71"/>
      <c r="O1445" s="27" t="s">
        <v>380</v>
      </c>
      <c r="P1445" s="114" t="s">
        <v>302</v>
      </c>
      <c r="Q1445" s="114" t="s">
        <v>302</v>
      </c>
      <c r="R1445" s="114" t="s">
        <v>302</v>
      </c>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f t="shared" ref="B1446:C1446" si="4460">B1445</f>
        <v>69</v>
      </c>
      <c r="C1446" s="128">
        <f t="shared" si="4460"/>
        <v>1</v>
      </c>
      <c r="D1446" s="127">
        <f t="shared" si="4406"/>
        <v>69</v>
      </c>
      <c r="E1446" s="38" t="s">
        <v>313</v>
      </c>
      <c r="F1446" s="93"/>
      <c r="G1446" s="192"/>
      <c r="H1446" s="198"/>
      <c r="I1446" s="198"/>
      <c r="J1446" s="199"/>
      <c r="K1446" s="64"/>
      <c r="L1446" s="1" t="s">
        <v>2</v>
      </c>
      <c r="M1446" s="6" t="s">
        <v>288</v>
      </c>
      <c r="N1446" s="71"/>
      <c r="O1446" s="27" t="s">
        <v>381</v>
      </c>
      <c r="P1446" s="182" t="s">
        <v>706</v>
      </c>
      <c r="Q1446" s="182" t="s">
        <v>707</v>
      </c>
      <c r="R1446" s="182" t="s">
        <v>708</v>
      </c>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f t="shared" ref="B1447:C1447" si="4461">B1445</f>
        <v>69</v>
      </c>
      <c r="C1447" s="128">
        <f t="shared" si="4461"/>
        <v>1</v>
      </c>
      <c r="D1447" s="127">
        <f t="shared" si="4406"/>
        <v>69</v>
      </c>
      <c r="E1447" s="200">
        <f t="shared" ref="E1447" si="4462">C1443</f>
        <v>1</v>
      </c>
      <c r="F1447" s="93"/>
      <c r="G1447" s="202" t="s">
        <v>304</v>
      </c>
      <c r="H1447" s="204"/>
      <c r="I1447" s="205"/>
      <c r="J1447" s="205"/>
      <c r="K1447" s="67"/>
      <c r="L1447" s="28" t="s">
        <v>303</v>
      </c>
      <c r="M1447" s="133">
        <f t="shared" ref="M1447" si="4463">IFERROR(INDEX(I1449:I1461,MATCH(MAX(J1449:J1461),J1449:J1461,0)),"")</f>
        <v>0.15625773099659551</v>
      </c>
      <c r="N1447" s="71"/>
      <c r="O1447" s="27" t="s">
        <v>18</v>
      </c>
      <c r="P1447" s="106">
        <f>IF(P1443="","",
IF(OR(P1445="Orçamento",P1444="",MAX('Tabela de Apoio'!$A:$A)&lt;=P1444),
P1443,
(INDEX('Tabela de Apoio'!$B:$B,MATCH('MAPA DE PREÇOS'!$O$8,'Tabela de Apoio'!$A:$A,1))/INDEX('Tabela de Apoio'!$B:$B,MATCH('MAPA DE PREÇOS'!P1444,'Tabela de Apoio'!$A:$A,1)-1))*P1443))</f>
        <v>76.900000000000006</v>
      </c>
      <c r="Q1447" s="106">
        <f>IF(Q1443="","",
IF(OR(Q1445="Orçamento",Q1444="",MAX('Tabela de Apoio'!$A:$A)&lt;=Q1444),
Q1443,
(INDEX('Tabela de Apoio'!$B:$B,MATCH('MAPA DE PREÇOS'!$O$8,'Tabela de Apoio'!$A:$A,1))/INDEX('Tabela de Apoio'!$B:$B,MATCH('MAPA DE PREÇOS'!Q1444,'Tabela de Apoio'!$A:$A,1)-1))*Q1443))</f>
        <v>92.93</v>
      </c>
      <c r="R1447" s="106">
        <f>IF(R1443="","",
IF(OR(R1445="Orçamento",R1444="",MAX('Tabela de Apoio'!$A:$A)&lt;=R1444),
R1443,
(INDEX('Tabela de Apoio'!$B:$B,MATCH('MAPA DE PREÇOS'!$O$8,'Tabela de Apoio'!$A:$A,1))/INDEX('Tabela de Apoio'!$B:$B,MATCH('MAPA DE PREÇOS'!R1444,'Tabela de Apoio'!$A:$A,1)-1))*R1443))</f>
        <v>112.9</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f t="shared" ref="B1448" si="4464">B1447</f>
        <v>69</v>
      </c>
      <c r="C1448" s="128">
        <f t="shared" ref="C1448" si="4465">C1447</f>
        <v>1</v>
      </c>
      <c r="D1448" s="127">
        <f t="shared" si="4406"/>
        <v>69</v>
      </c>
      <c r="E1448" s="201"/>
      <c r="F1448" s="93"/>
      <c r="G1448" s="203"/>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f t="shared" ref="B1449:C1449" si="4466">B1448</f>
        <v>69</v>
      </c>
      <c r="C1449" s="128">
        <f t="shared" si="4466"/>
        <v>1</v>
      </c>
      <c r="D1449" s="127">
        <f t="shared" si="4406"/>
        <v>69</v>
      </c>
      <c r="E1449" s="201"/>
      <c r="F1449" s="93"/>
      <c r="G1449" s="203"/>
      <c r="H1449" s="134">
        <f t="shared" ref="H1449" si="4467">COUNT($P1449:$XX1449)</f>
        <v>3</v>
      </c>
      <c r="I1449" s="132">
        <f t="shared" ref="I1449" si="4468">_xlfn.STDEV.P($P1448:$XX1449)/AVERAGE($P1448:$XX1449)</f>
        <v>0.15625773099659551</v>
      </c>
      <c r="J1449" s="7">
        <f>ROW()</f>
        <v>1449</v>
      </c>
      <c r="K1449" s="67"/>
      <c r="L1449" s="29" t="s">
        <v>10</v>
      </c>
      <c r="M1449" s="30">
        <f t="shared" ref="M1449" si="4469">IFERROR(
IF(COUNTA(P1443:AI1443)=COUNTIF(P1445:XX1445,"Orçamento"),MIN(M1454,M1451),
IF(M1452&lt;&gt;"",M1452,
IF(M1453&lt;&gt;"",M1453,
M1451
))),"")</f>
        <v>94.243333333333339</v>
      </c>
      <c r="N1449" s="71"/>
      <c r="O1449" s="27" t="s">
        <v>376</v>
      </c>
      <c r="P1449" s="106">
        <f t="shared" ref="P1449:AI1449" si="4470">IFERROR(IF(P1447="",
            "",
            IF(COUNT($P1447:$XX1447)&lt;=4,
               P1447,
               IF(OR(P1447&gt;(QUARTILE($P1447:$XX1447,3)+(QUARTILE($P1447:$XX1447,3)-QUARTILE($P1447:$XX1447,1))),
                     P1447&lt;(QUARTILE($P1447:$XX1447,1)-(QUARTILE($P1447:$XX1447,3)-QUARTILE($P1447:$XX1447,1)))
                  ),
               "DESCARTADO",P1447)
             )
  ),P1447)</f>
        <v>76.900000000000006</v>
      </c>
      <c r="Q1449" s="106">
        <f t="shared" si="4470"/>
        <v>92.93</v>
      </c>
      <c r="R1449" s="106">
        <f t="shared" si="4470"/>
        <v>112.9</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f t="shared" ref="B1450" si="4471">B1449</f>
        <v>69</v>
      </c>
      <c r="C1450" s="128">
        <f t="shared" ref="C1450" si="4472">C1449</f>
        <v>1</v>
      </c>
      <c r="D1450" s="127">
        <f t="shared" si="4406"/>
        <v>69</v>
      </c>
      <c r="E1450" s="201"/>
      <c r="F1450" s="93"/>
      <c r="G1450" s="203"/>
      <c r="H1450"/>
      <c r="I1450"/>
      <c r="J1450"/>
      <c r="K1450" s="66"/>
      <c r="L1450" s="29" t="s">
        <v>360</v>
      </c>
      <c r="M1450" s="30">
        <f t="shared" ref="M1450" si="4473">AVERAGE($P1449:$XX1449)</f>
        <v>94.243333333333339</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f t="shared" si="4405"/>
        <v>69</v>
      </c>
      <c r="C1451" s="128">
        <f t="shared" si="4406"/>
        <v>1</v>
      </c>
      <c r="D1451" s="127">
        <f t="shared" si="4406"/>
        <v>69</v>
      </c>
      <c r="E1451" s="201"/>
      <c r="F1451" s="93"/>
      <c r="G1451" s="203"/>
      <c r="H1451" s="134">
        <f t="shared" ref="H1451" si="4475">COUNT($P1451:$XX1451)</f>
        <v>3</v>
      </c>
      <c r="I1451" s="132">
        <f t="shared" ref="I1451" si="4476">_xlfn.STDEV.P($P1450:$XX1451)/AVERAGE($P1450:$XX1451)</f>
        <v>0.15625773099659551</v>
      </c>
      <c r="J1451" s="7">
        <f t="shared" ref="J1451" si="4477">IF(AND(H1451&gt;2,
OR(L1443="MÉDIA SANEADA",L1443="MEDIANA SANEADA",
AND(L1443="PREÇO ESTIMADO",NOT(AND(P1445="Orçamento",COUNTA(P1443:XX1443)=COUNTIF(P1445:XX1445,"Orçamento")))))),
ROW(),0)</f>
        <v>1451</v>
      </c>
      <c r="K1451" s="66"/>
      <c r="L1451" s="29" t="s">
        <v>361</v>
      </c>
      <c r="M1451" s="30">
        <f t="shared" ref="M1451" si="4478">MEDIAN($P1449:$XX1449)</f>
        <v>92.93</v>
      </c>
      <c r="N1451" s="71"/>
      <c r="O1451" s="27" t="str">
        <f t="shared" ref="O1451" si="4479">"1 RODADA"</f>
        <v>1 RODADA</v>
      </c>
      <c r="P1451" s="107">
        <f t="shared" ref="P1451:AI1451" si="4480">IF(P1449="","",IF((_xlfn.STDEV.P($P1448:$XX1449)/AVERAGE($P1448:$XX1449))&lt;=25%,P1449,IF(OR(P1449&gt;(AVERAGE($P1448:$XX1449)+_xlfn.STDEV.P($P1448:$XX1449)),P1449&lt;(AVERAGE($P1448:$XX1449)-_xlfn.STDEV.P($P1448:$XX1449))),"DESCARTADO",P1449)))</f>
        <v>76.900000000000006</v>
      </c>
      <c r="Q1451" s="107">
        <f t="shared" si="4480"/>
        <v>92.93</v>
      </c>
      <c r="R1451" s="107">
        <f t="shared" si="4480"/>
        <v>112.9</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f t="shared" si="4405"/>
        <v>69</v>
      </c>
      <c r="C1452" s="128">
        <f t="shared" si="4406"/>
        <v>1</v>
      </c>
      <c r="D1452" s="127">
        <f t="shared" si="4406"/>
        <v>69</v>
      </c>
      <c r="E1452" s="201"/>
      <c r="F1452" s="93"/>
      <c r="G1452" s="203"/>
      <c r="H1452"/>
      <c r="I1452"/>
      <c r="J1452"/>
      <c r="L1452" s="29" t="s">
        <v>38</v>
      </c>
      <c r="M1452" s="30">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94.243333333333339</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f t="shared" si="4405"/>
        <v>69</v>
      </c>
      <c r="C1453" s="128">
        <f t="shared" si="4406"/>
        <v>1</v>
      </c>
      <c r="D1453" s="127">
        <f t="shared" si="4406"/>
        <v>69</v>
      </c>
      <c r="E1453" s="201"/>
      <c r="F1453" s="93"/>
      <c r="G1453" s="203"/>
      <c r="H1453" s="134">
        <f t="shared" ref="H1453" si="4483">COUNT($P1453:$XX1453)</f>
        <v>3</v>
      </c>
      <c r="I1453" s="132">
        <f t="shared" ref="I1453" si="4484">_xlfn.STDEV.P($P1452:$XX1453)/AVERAGE($P1452:$XX1453)</f>
        <v>0.15625773099659551</v>
      </c>
      <c r="J1453" s="7">
        <f t="shared" ref="J1453" si="4485">IF(AND(H1453&gt;2,
OR(L1443="MÉDIA SANEADA",L1443="MEDIANA SANEADA",
AND(L1443="PREÇO ESTIMADO",NOT(AND(P1445="Orçamento",COUNTA(P1443:XX1443)=COUNTIF(P1445:XX1445,"Orçamento")))))),
ROW(),0)</f>
        <v>1453</v>
      </c>
      <c r="K1453" s="66"/>
      <c r="L1453" s="29" t="s">
        <v>362</v>
      </c>
      <c r="M1453" s="30">
        <f t="shared" ref="M1453" si="4486" xml:space="preserve">
IF(H1451&gt;2,MEDIAN(P1450:XX1451),
IF(H1453&gt;2,MEDIAN(P1452:XX1453),
IF(H1455&gt;2,MEDIAN(P1454:XX1455),
IF(H1457&gt;2,MEDIAN(P1456:XX1457),
IF(H1459&gt;2,MEDIAN(P1458:XX1459),
IF(H1461&gt;2,MEDIAN(P1460:XX1461),
MEDIAN(P1448:XX1449)))))))</f>
        <v>92.93</v>
      </c>
      <c r="N1453" s="71"/>
      <c r="O1453" s="27" t="str">
        <f t="shared" ref="O1453" si="4487">"2 RODADA"</f>
        <v>2 RODADA</v>
      </c>
      <c r="P1453" s="107">
        <f t="shared" ref="P1453:AI1453" si="4488">IF(P1451="","",IF((_xlfn.STDEV.P($P1450:$XX1451)/AVERAGE($P1450:$XX1451))&lt;=25%,P1451,IF(OR(P1451&gt;(AVERAGE($P1450:$XX1451)+_xlfn.STDEV.P($P1450:$XX1451)),P1451&lt;(AVERAGE($P1450:$XX1451)-_xlfn.STDEV.P($P1450:$XX1451))),"DESCARTADO",P1451)))</f>
        <v>76.900000000000006</v>
      </c>
      <c r="Q1453" s="107">
        <f t="shared" si="4488"/>
        <v>92.93</v>
      </c>
      <c r="R1453" s="107">
        <f t="shared" si="4488"/>
        <v>112.9</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f t="shared" si="4405"/>
        <v>69</v>
      </c>
      <c r="C1454" s="128">
        <f t="shared" si="4406"/>
        <v>1</v>
      </c>
      <c r="D1454" s="127">
        <f t="shared" si="4406"/>
        <v>69</v>
      </c>
      <c r="E1454" s="201"/>
      <c r="F1454" s="93"/>
      <c r="G1454" s="203"/>
      <c r="H1454"/>
      <c r="I1454"/>
      <c r="J1454"/>
      <c r="K1454" s="66"/>
      <c r="L1454" s="29" t="s">
        <v>359</v>
      </c>
      <c r="M1454" s="30">
        <f t="shared" ref="M1454" si="4489">HARMEAN($P1448:$XX1449)</f>
        <v>91.962240295676438</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f t="shared" si="4405"/>
        <v>69</v>
      </c>
      <c r="C1455" s="128">
        <f t="shared" si="4406"/>
        <v>1</v>
      </c>
      <c r="D1455" s="127">
        <f t="shared" si="4406"/>
        <v>69</v>
      </c>
      <c r="E1455" s="201"/>
      <c r="F1455" s="93"/>
      <c r="G1455" s="203"/>
      <c r="H1455" s="134">
        <f t="shared" ref="H1455" si="4491">COUNT($P1455:$XX1455)</f>
        <v>3</v>
      </c>
      <c r="I1455" s="132">
        <f t="shared" ref="I1455" si="4492">_xlfn.STDEV.P($P1454:$XX1455)/AVERAGE($P1454:$XX1455)</f>
        <v>0.15625773099659551</v>
      </c>
      <c r="J1455" s="7">
        <f t="shared" ref="J1455" si="4493">IF(AND(H1455&gt;2,
OR(L1443="MÉDIA SANEADA",L1443="MEDIANA SANEADA",
AND(L1443="PREÇO ESTIMADO",NOT(AND(P1445="Orçamento",COUNTA(P1443:XX1443)=COUNTIF(P1445:XX1445,"Orçamento")))))),
ROW(),0)</f>
        <v>1455</v>
      </c>
      <c r="K1455" s="66"/>
      <c r="L1455" s="29" t="s">
        <v>41</v>
      </c>
      <c r="M1455" s="30">
        <f t="shared" ref="M1455" si="4494">IFERROR(_xlfn.QUARTILE.EXC($P1449:$XX1449,1),"")</f>
        <v>76.900000000000006</v>
      </c>
      <c r="N1455" s="71"/>
      <c r="O1455" s="27" t="str">
        <f t="shared" ref="O1455" si="4495">"3 RODADA"</f>
        <v>3 RODADA</v>
      </c>
      <c r="P1455" s="107">
        <f t="shared" ref="P1455:AI1455" si="4496">IF(P1453="","",IF((_xlfn.STDEV.P($P1452:$XX1453)/AVERAGE($P1452:$XX1453))&lt;=25%,P1453,IF(OR(P1453&gt;(AVERAGE($P1452:$XX1453)+_xlfn.STDEV.P($P1452:$XX1453)),P1453&lt;(AVERAGE($P1452:$XX1453)-_xlfn.STDEV.P($P1452:$XX1453))),"DESCARTADO",P1453)))</f>
        <v>76.900000000000006</v>
      </c>
      <c r="Q1455" s="107">
        <f t="shared" si="4496"/>
        <v>92.93</v>
      </c>
      <c r="R1455" s="107">
        <f t="shared" si="4496"/>
        <v>112.9</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f t="shared" si="4405"/>
        <v>69</v>
      </c>
      <c r="C1456" s="128">
        <f t="shared" si="4406"/>
        <v>1</v>
      </c>
      <c r="D1456" s="127">
        <f t="shared" si="4406"/>
        <v>69</v>
      </c>
      <c r="E1456" s="201"/>
      <c r="F1456" s="93"/>
      <c r="G1456" s="203"/>
      <c r="H1456"/>
      <c r="I1456"/>
      <c r="J1456"/>
      <c r="K1456" s="66"/>
      <c r="L1456" s="29" t="s">
        <v>39</v>
      </c>
      <c r="M1456" s="30">
        <f t="shared" ref="M1456" si="4497">IFERROR(_xlfn.QUARTILE.EXC($P1449:$XX1449,3),"")</f>
        <v>112.9</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f t="shared" si="4405"/>
        <v>69</v>
      </c>
      <c r="C1457" s="128">
        <f t="shared" si="4406"/>
        <v>1</v>
      </c>
      <c r="D1457" s="127">
        <f t="shared" si="4406"/>
        <v>69</v>
      </c>
      <c r="E1457" s="201"/>
      <c r="F1457" s="93"/>
      <c r="G1457" s="203"/>
      <c r="H1457" s="134">
        <f t="shared" ref="H1457" si="4499">COUNT($P1457:$XX1457)</f>
        <v>3</v>
      </c>
      <c r="I1457" s="132">
        <f t="shared" ref="I1457" si="4500">_xlfn.STDEV.P($P1456:$XX1457)/AVERAGE($P1456:$XX1457)</f>
        <v>0.15625773099659551</v>
      </c>
      <c r="J1457" s="7">
        <f t="shared" ref="J1457" si="4501">IF(AND(H1457&gt;2,
OR(L1443="MÉDIA SANEADA",L1443="MEDIANA SANEADA",
AND(L1443="PREÇO ESTIMADO",NOT(AND(P1445="Orçamento",COUNTA(P1443:XX1443)=COUNTIF(P1445:XX1445,"Orçamento")))))),
ROW(),0)</f>
        <v>1457</v>
      </c>
      <c r="K1457" s="66"/>
      <c r="L1457" s="29" t="s">
        <v>42</v>
      </c>
      <c r="M1457" s="30">
        <f t="shared" ref="M1457" si="4502">MIN($P1449:$XX1449)</f>
        <v>76.900000000000006</v>
      </c>
      <c r="N1457" s="71"/>
      <c r="O1457" s="27" t="str">
        <f t="shared" ref="O1457" si="4503">"4 RODADA"</f>
        <v>4 RODADA</v>
      </c>
      <c r="P1457" s="107">
        <f t="shared" ref="P1457:AI1457" si="4504">IF(P1455="","",IF((_xlfn.STDEV.P($P1454:$XX1455)/AVERAGE($P1454:$XX1455))&lt;=25%,P1455,IF(OR(P1455&gt;(AVERAGE($P1454:$XX1455)+_xlfn.STDEV.P($P1454:$XX1455)),P1455&lt;(AVERAGE($P1454:$XX1455)-_xlfn.STDEV.P($P1454:$XX1455))),"DESCARTADO",P1455)))</f>
        <v>76.900000000000006</v>
      </c>
      <c r="Q1457" s="107">
        <f t="shared" si="4504"/>
        <v>92.93</v>
      </c>
      <c r="R1457" s="107">
        <f t="shared" si="4504"/>
        <v>112.9</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f t="shared" si="4405"/>
        <v>69</v>
      </c>
      <c r="C1458" s="128">
        <f t="shared" si="4406"/>
        <v>1</v>
      </c>
      <c r="D1458" s="127">
        <f t="shared" si="4406"/>
        <v>69</v>
      </c>
      <c r="E1458" s="201"/>
      <c r="F1458" s="93"/>
      <c r="G1458" s="203"/>
      <c r="H1458"/>
      <c r="I1458"/>
      <c r="J1458"/>
      <c r="K1458" s="66"/>
      <c r="L1458" s="29" t="s">
        <v>40</v>
      </c>
      <c r="M1458" s="30">
        <f t="shared" ref="M1458" si="4505">MAX($P1449:$XX1449)</f>
        <v>112.9</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f t="shared" si="4405"/>
        <v>69</v>
      </c>
      <c r="C1459" s="128">
        <f t="shared" si="4406"/>
        <v>1</v>
      </c>
      <c r="D1459" s="127">
        <f t="shared" si="4406"/>
        <v>69</v>
      </c>
      <c r="E1459" s="201"/>
      <c r="F1459" s="93"/>
      <c r="G1459" s="203"/>
      <c r="H1459" s="134">
        <f t="shared" ref="H1459" si="4507">COUNT($P1459:$XX1459)</f>
        <v>3</v>
      </c>
      <c r="I1459" s="132">
        <f t="shared" ref="I1459" si="4508">_xlfn.STDEV.P($P1458:$XX1459)/AVERAGE($P1458:$XX1459)</f>
        <v>0.15625773099659551</v>
      </c>
      <c r="J1459" s="7">
        <f t="shared" ref="J1459" si="4509">IF(AND(H1459&gt;2,
OR(L1443="MÉDIA SANEADA",L1443="MEDIANA SANEADA",
AND(L1443="PREÇO ESTIMADO",NOT(AND(P1445="Orçamento",COUNTA(P1443:XX1443)=COUNTIF(P1445:XX1445,"Orçamento")))))),
ROW(),0)</f>
        <v>1459</v>
      </c>
      <c r="K1459" s="66"/>
      <c r="N1459" s="71"/>
      <c r="O1459" s="27" t="str">
        <f t="shared" ref="O1459" si="4510">"5 RODADA"</f>
        <v>5 RODADA</v>
      </c>
      <c r="P1459" s="107">
        <f t="shared" ref="P1459:AI1459" si="4511">IF(P1457="","",IF((_xlfn.STDEV.P($P1456:$XX1457)/AVERAGE($P1456:$XX1457))&lt;=25%,P1457,IF(OR(P1457&gt;(AVERAGE($P1456:$XX1457)+_xlfn.STDEV.P($P1456:$XX1457)),P1457&lt;(AVERAGE($P1456:$XX1457)-_xlfn.STDEV.P($P1456:$XX1457))),"DESCARTADO",P1457)))</f>
        <v>76.900000000000006</v>
      </c>
      <c r="Q1459" s="107">
        <f t="shared" si="4511"/>
        <v>92.93</v>
      </c>
      <c r="R1459" s="107">
        <f t="shared" si="4511"/>
        <v>112.9</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f t="shared" si="4405"/>
        <v>69</v>
      </c>
      <c r="C1460" s="128">
        <f t="shared" si="4406"/>
        <v>1</v>
      </c>
      <c r="D1460" s="127">
        <f t="shared" si="4406"/>
        <v>69</v>
      </c>
      <c r="E1460" s="201"/>
      <c r="F1460" s="93"/>
      <c r="G1460" s="203"/>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f t="shared" si="4405"/>
        <v>69</v>
      </c>
      <c r="C1461" s="128">
        <f t="shared" si="4406"/>
        <v>1</v>
      </c>
      <c r="D1461" s="127">
        <f t="shared" si="4406"/>
        <v>69</v>
      </c>
      <c r="E1461" s="201"/>
      <c r="F1461" s="93"/>
      <c r="G1461" s="203"/>
      <c r="H1461" s="134">
        <f t="shared" ref="H1461" si="4513">COUNT($P1461:$XX1461)</f>
        <v>3</v>
      </c>
      <c r="I1461" s="132">
        <f t="shared" ref="I1461" si="4514">_xlfn.STDEV.P($P1460:$XX1461)/AVERAGE($P1460:$XX1461)</f>
        <v>0.15625773099659551</v>
      </c>
      <c r="J1461" s="7">
        <f t="shared" ref="J1461" si="4515">IF(AND(H1461&gt;2,
OR(L1443="MÉDIA SANEADA",L1443="MEDIANA SANEADA",
AND(L1443="PREÇO ESTIMADO",NOT(AND(P1445="Orçamento",COUNTA(P1443:XX1443)=COUNTIF(P1445:XX1445,"Orçamento")))))),
ROW(),0)</f>
        <v>1461</v>
      </c>
      <c r="N1461" s="71"/>
      <c r="O1461" s="27" t="str">
        <f t="shared" ref="O1461" si="4516">"6 RODADA"</f>
        <v>6 RODADA</v>
      </c>
      <c r="P1461" s="107">
        <f t="shared" ref="P1461:AI1461" si="4517">IFERROR(IF(P1459="","",IF((_xlfn.STDEV.P($P1458:$XX1459)/AVERAGE($P1458:$XX1459))&lt;=25%,P1459,IF(OR(P1459&gt;(AVERAGE($P1458:$XX1459)+_xlfn.STDEV.P($P1458:$XX1459)),P1459&lt;(AVERAGE($P1458:$XX1459)-_xlfn.STDEV.P($P1458:$XX1459))),"DESCARTADO",P1459))),)</f>
        <v>76.900000000000006</v>
      </c>
      <c r="Q1461" s="107">
        <f t="shared" si="4517"/>
        <v>92.93</v>
      </c>
      <c r="R1461" s="107">
        <f t="shared" si="4517"/>
        <v>112.9</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f t="shared" si="4405"/>
        <v>69</v>
      </c>
      <c r="C1462" s="128">
        <f t="shared" si="4406"/>
        <v>1</v>
      </c>
      <c r="D1462" s="127">
        <f t="shared" si="4406"/>
        <v>69</v>
      </c>
      <c r="E1462" s="201"/>
      <c r="F1462" s="136"/>
      <c r="G1462" s="203"/>
      <c r="H1462" s="206"/>
      <c r="I1462" s="206"/>
      <c r="J1462" s="207"/>
      <c r="K1462" s="67"/>
      <c r="L1462" s="1" t="s">
        <v>43</v>
      </c>
      <c r="M1462" s="143">
        <f t="shared" ref="M1462" si="4518">IFERROR(ROUND(M1443*M1445,2),"")</f>
        <v>376.96</v>
      </c>
      <c r="O1462" s="27" t="s">
        <v>363</v>
      </c>
      <c r="P1462" s="107">
        <f t="shared" ref="P1462:R1462" si="4519">INDEX(P1449:P1461,MATCH(MAX($J1449:$J1461),$J1449:$J1461,0))</f>
        <v>76.900000000000006</v>
      </c>
      <c r="Q1462" s="107">
        <f t="shared" si="4519"/>
        <v>92.93</v>
      </c>
      <c r="R1462" s="107">
        <f t="shared" si="4519"/>
        <v>112.9</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f t="shared" ref="B1464" si="4520">LARGE(IFERROR(IF(B1462+1&gt;$H$8,"",B1462+1),""),1)</f>
        <v>70</v>
      </c>
      <c r="C1464" s="127">
        <f>IF(_xlfn.ISFORMULA(E1468),MAX(INDEX('BASE FORMAÇÃO'!A:A,B1464+1),1),E1468)</f>
        <v>1</v>
      </c>
      <c r="D1464" s="127">
        <f t="shared" ref="D1464" si="4521">IFERROR(IF(C1464=C1454,D1454+1,1),1)</f>
        <v>70</v>
      </c>
      <c r="E1464" s="38" t="s">
        <v>9</v>
      </c>
      <c r="F1464" s="73"/>
      <c r="G1464" s="38" t="s">
        <v>15</v>
      </c>
      <c r="H1464" s="135">
        <f>INDEX('BASE FORMAÇÃO'!B:B,B1464+1)</f>
        <v>0</v>
      </c>
      <c r="I1464" s="181" t="s">
        <v>16</v>
      </c>
      <c r="J1464" s="6">
        <f>INDEX('BASE FORMAÇÃO'!K:K,B1464+1)</f>
        <v>0</v>
      </c>
      <c r="K1464" s="65"/>
      <c r="L1464" s="184" t="s">
        <v>10</v>
      </c>
      <c r="M1464" s="186">
        <f t="shared" ref="M1464" si="4522">IF(OR(ISBLANK($O$8),ISBLANK($O$7),ISBLANK($H$8),ISBLANK($O$6),ISBLANK($O$5),ISBLANK($H$5)),"",IFERROR(IF(VLOOKUP(L1464,L1470:M1479,2,FALSE)&lt;1,ROUND(VLOOKUP(L1464,L1470:M1479,2,FALSE),4),ROUND(VLOOKUP(L1464,L1470:M1479,2,FALSE),2)),""))</f>
        <v>41.9</v>
      </c>
      <c r="N1464" s="69"/>
      <c r="O1464" s="27" t="s">
        <v>17</v>
      </c>
      <c r="P1464" s="113">
        <v>41.42</v>
      </c>
      <c r="Q1464" s="113">
        <v>41.9</v>
      </c>
      <c r="R1464" s="113">
        <v>81.900000000000006</v>
      </c>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f t="shared" ref="B1465:D1465" si="4523">B1464</f>
        <v>70</v>
      </c>
      <c r="C1465" s="128">
        <f t="shared" si="4523"/>
        <v>1</v>
      </c>
      <c r="D1465" s="127">
        <f t="shared" si="4523"/>
        <v>70</v>
      </c>
      <c r="E1465" s="188">
        <f t="shared" ref="E1465" si="4524">D1464</f>
        <v>70</v>
      </c>
      <c r="F1465" s="92"/>
      <c r="G1465" s="190" t="s">
        <v>1</v>
      </c>
      <c r="H1465" s="193" t="s">
        <v>709</v>
      </c>
      <c r="I1465" s="194"/>
      <c r="J1465" s="195"/>
      <c r="K1465" s="66"/>
      <c r="L1465" s="185"/>
      <c r="M1465" s="187"/>
      <c r="N1465" s="70"/>
      <c r="O1465" s="27" t="s">
        <v>13</v>
      </c>
      <c r="P1465" s="122">
        <v>46196</v>
      </c>
      <c r="Q1465" s="122">
        <v>46196</v>
      </c>
      <c r="R1465" s="122">
        <v>46196</v>
      </c>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f t="shared" ref="B1466:D1466" si="4525">B1465</f>
        <v>70</v>
      </c>
      <c r="C1466" s="128">
        <f t="shared" si="4525"/>
        <v>1</v>
      </c>
      <c r="D1466" s="127">
        <f t="shared" si="4525"/>
        <v>70</v>
      </c>
      <c r="E1466" s="189"/>
      <c r="F1466" s="93"/>
      <c r="G1466" s="191"/>
      <c r="H1466" s="196"/>
      <c r="I1466" s="196"/>
      <c r="J1466" s="197"/>
      <c r="K1466" s="64"/>
      <c r="L1466" s="130" t="s">
        <v>44</v>
      </c>
      <c r="M1466" s="131">
        <v>4</v>
      </c>
      <c r="N1466" s="71"/>
      <c r="O1466" s="27" t="s">
        <v>380</v>
      </c>
      <c r="P1466" s="114" t="s">
        <v>302</v>
      </c>
      <c r="Q1466" s="114" t="s">
        <v>302</v>
      </c>
      <c r="R1466" s="114" t="s">
        <v>302</v>
      </c>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f t="shared" ref="B1467:C1467" si="4526">B1466</f>
        <v>70</v>
      </c>
      <c r="C1467" s="128">
        <f t="shared" si="4526"/>
        <v>1</v>
      </c>
      <c r="D1467" s="127">
        <f t="shared" si="4406"/>
        <v>70</v>
      </c>
      <c r="E1467" s="38" t="s">
        <v>313</v>
      </c>
      <c r="F1467" s="93"/>
      <c r="G1467" s="192"/>
      <c r="H1467" s="198"/>
      <c r="I1467" s="198"/>
      <c r="J1467" s="199"/>
      <c r="K1467" s="64"/>
      <c r="L1467" s="1" t="s">
        <v>2</v>
      </c>
      <c r="M1467" s="6" t="s">
        <v>288</v>
      </c>
      <c r="N1467" s="71"/>
      <c r="O1467" s="27" t="s">
        <v>381</v>
      </c>
      <c r="P1467" s="182" t="s">
        <v>710</v>
      </c>
      <c r="Q1467" s="182" t="s">
        <v>711</v>
      </c>
      <c r="R1467" s="182" t="s">
        <v>712</v>
      </c>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f t="shared" ref="B1468:C1468" si="4527">B1466</f>
        <v>70</v>
      </c>
      <c r="C1468" s="128">
        <f t="shared" si="4527"/>
        <v>1</v>
      </c>
      <c r="D1468" s="127">
        <f t="shared" si="4406"/>
        <v>70</v>
      </c>
      <c r="E1468" s="200">
        <f t="shared" ref="E1468" si="4528">C1464</f>
        <v>1</v>
      </c>
      <c r="F1468" s="93"/>
      <c r="G1468" s="202" t="s">
        <v>304</v>
      </c>
      <c r="H1468" s="204"/>
      <c r="I1468" s="205"/>
      <c r="J1468" s="205"/>
      <c r="K1468" s="67"/>
      <c r="L1468" s="28" t="s">
        <v>303</v>
      </c>
      <c r="M1468" s="133">
        <f t="shared" ref="M1468" si="4529">IFERROR(INDEX(I1470:I1482,MATCH(MAX(J1470:J1482),J1470:J1482,0)),"")</f>
        <v>0.3444558174027843</v>
      </c>
      <c r="N1468" s="71"/>
      <c r="O1468" s="27" t="s">
        <v>18</v>
      </c>
      <c r="P1468" s="106">
        <f>IF(P1464="","",
IF(OR(P1466="Orçamento",P1465="",MAX('Tabela de Apoio'!$A:$A)&lt;=P1465),
P1464,
(INDEX('Tabela de Apoio'!$B:$B,MATCH('MAPA DE PREÇOS'!$O$8,'Tabela de Apoio'!$A:$A,1))/INDEX('Tabela de Apoio'!$B:$B,MATCH('MAPA DE PREÇOS'!P1465,'Tabela de Apoio'!$A:$A,1)-1))*P1464))</f>
        <v>41.42</v>
      </c>
      <c r="Q1468" s="106">
        <f>IF(Q1464="","",
IF(OR(Q1466="Orçamento",Q1465="",MAX('Tabela de Apoio'!$A:$A)&lt;=Q1465),
Q1464,
(INDEX('Tabela de Apoio'!$B:$B,MATCH('MAPA DE PREÇOS'!$O$8,'Tabela de Apoio'!$A:$A,1))/INDEX('Tabela de Apoio'!$B:$B,MATCH('MAPA DE PREÇOS'!Q1465,'Tabela de Apoio'!$A:$A,1)-1))*Q1464))</f>
        <v>41.9</v>
      </c>
      <c r="R1468" s="106">
        <f>IF(R1464="","",
IF(OR(R1466="Orçamento",R1465="",MAX('Tabela de Apoio'!$A:$A)&lt;=R1465),
R1464,
(INDEX('Tabela de Apoio'!$B:$B,MATCH('MAPA DE PREÇOS'!$O$8,'Tabela de Apoio'!$A:$A,1))/INDEX('Tabela de Apoio'!$B:$B,MATCH('MAPA DE PREÇOS'!R1465,'Tabela de Apoio'!$A:$A,1)-1))*R1464))</f>
        <v>81.900000000000006</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f t="shared" ref="B1469" si="4530">B1468</f>
        <v>70</v>
      </c>
      <c r="C1469" s="128">
        <f t="shared" ref="C1469" si="4531">C1468</f>
        <v>1</v>
      </c>
      <c r="D1469" s="127">
        <f t="shared" si="4406"/>
        <v>70</v>
      </c>
      <c r="E1469" s="201"/>
      <c r="F1469" s="93"/>
      <c r="G1469" s="203"/>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f t="shared" ref="B1470:C1470" si="4532">B1469</f>
        <v>70</v>
      </c>
      <c r="C1470" s="128">
        <f t="shared" si="4532"/>
        <v>1</v>
      </c>
      <c r="D1470" s="127">
        <f t="shared" si="4406"/>
        <v>70</v>
      </c>
      <c r="E1470" s="201"/>
      <c r="F1470" s="93"/>
      <c r="G1470" s="203"/>
      <c r="H1470" s="134">
        <f t="shared" ref="H1470" si="4533">COUNT($P1470:$XX1470)</f>
        <v>3</v>
      </c>
      <c r="I1470" s="132">
        <f t="shared" ref="I1470" si="4534">_xlfn.STDEV.P($P1469:$XX1470)/AVERAGE($P1469:$XX1470)</f>
        <v>0.3444558174027843</v>
      </c>
      <c r="J1470" s="7">
        <f>ROW()</f>
        <v>1470</v>
      </c>
      <c r="K1470" s="67"/>
      <c r="L1470" s="29" t="s">
        <v>10</v>
      </c>
      <c r="M1470" s="30">
        <f t="shared" ref="M1470" si="4535">IFERROR(
IF(COUNTA(P1464:AI1464)=COUNTIF(P1466:XX1466,"Orçamento"),MIN(M1475,M1472),
IF(M1473&lt;&gt;"",M1473,
IF(M1474&lt;&gt;"",M1474,
M1472
))),"")</f>
        <v>41.9</v>
      </c>
      <c r="N1470" s="71"/>
      <c r="O1470" s="27" t="s">
        <v>376</v>
      </c>
      <c r="P1470" s="106">
        <f t="shared" ref="P1470:AI1470" si="4536">IFERROR(IF(P1468="",
            "",
            IF(COUNT($P1468:$XX1468)&lt;=4,
               P1468,
               IF(OR(P1468&gt;(QUARTILE($P1468:$XX1468,3)+(QUARTILE($P1468:$XX1468,3)-QUARTILE($P1468:$XX1468,1))),
                     P1468&lt;(QUARTILE($P1468:$XX1468,1)-(QUARTILE($P1468:$XX1468,3)-QUARTILE($P1468:$XX1468,1)))
                  ),
               "DESCARTADO",P1468)
             )
  ),P1468)</f>
        <v>41.42</v>
      </c>
      <c r="Q1470" s="106">
        <f t="shared" si="4536"/>
        <v>41.9</v>
      </c>
      <c r="R1470" s="106">
        <f t="shared" si="4536"/>
        <v>81.900000000000006</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f t="shared" ref="B1471" si="4537">B1470</f>
        <v>70</v>
      </c>
      <c r="C1471" s="128">
        <f t="shared" ref="C1471" si="4538">C1470</f>
        <v>1</v>
      </c>
      <c r="D1471" s="127">
        <f t="shared" si="4406"/>
        <v>70</v>
      </c>
      <c r="E1471" s="201"/>
      <c r="F1471" s="93"/>
      <c r="G1471" s="203"/>
      <c r="H1471"/>
      <c r="I1471"/>
      <c r="J1471"/>
      <c r="K1471" s="66"/>
      <c r="L1471" s="29" t="s">
        <v>360</v>
      </c>
      <c r="M1471" s="30">
        <f t="shared" ref="M1471" si="4539">AVERAGE($P1470:$XX1470)</f>
        <v>55.073333333333331</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f t="shared" si="4405"/>
        <v>70</v>
      </c>
      <c r="C1472" s="128">
        <f t="shared" si="4406"/>
        <v>1</v>
      </c>
      <c r="D1472" s="127">
        <f t="shared" si="4406"/>
        <v>70</v>
      </c>
      <c r="E1472" s="201"/>
      <c r="F1472" s="93"/>
      <c r="G1472" s="203"/>
      <c r="H1472" s="134">
        <f t="shared" ref="H1472" si="4541">COUNT($P1472:$XX1472)</f>
        <v>2</v>
      </c>
      <c r="I1472" s="132">
        <f t="shared" ref="I1472" si="4542">_xlfn.STDEV.P($P1471:$XX1472)/AVERAGE($P1471:$XX1472)</f>
        <v>5.7609217474795596E-3</v>
      </c>
      <c r="J1472" s="7">
        <f t="shared" ref="J1472" si="4543">IF(AND(H1472&gt;2,
OR(L1464="MÉDIA SANEADA",L1464="MEDIANA SANEADA",
AND(L1464="PREÇO ESTIMADO",NOT(AND(P1466="Orçamento",COUNTA(P1464:XX1464)=COUNTIF(P1466:XX1466,"Orçamento")))))),
ROW(),0)</f>
        <v>0</v>
      </c>
      <c r="K1472" s="66"/>
      <c r="L1472" s="29" t="s">
        <v>361</v>
      </c>
      <c r="M1472" s="30">
        <f t="shared" ref="M1472" si="4544">MEDIAN($P1470:$XX1470)</f>
        <v>41.9</v>
      </c>
      <c r="N1472" s="71"/>
      <c r="O1472" s="27" t="str">
        <f t="shared" ref="O1472" si="4545">"1 RODADA"</f>
        <v>1 RODADA</v>
      </c>
      <c r="P1472" s="107">
        <f t="shared" ref="P1472:AI1472" si="4546">IF(P1470="","",IF((_xlfn.STDEV.P($P1469:$XX1470)/AVERAGE($P1469:$XX1470))&lt;=25%,P1470,IF(OR(P1470&gt;(AVERAGE($P1469:$XX1470)+_xlfn.STDEV.P($P1469:$XX1470)),P1470&lt;(AVERAGE($P1469:$XX1470)-_xlfn.STDEV.P($P1469:$XX1470))),"DESCARTADO",P1470)))</f>
        <v>41.42</v>
      </c>
      <c r="Q1472" s="107">
        <f t="shared" si="4546"/>
        <v>41.9</v>
      </c>
      <c r="R1472" s="107" t="str">
        <f t="shared" si="4546"/>
        <v>DESCARTADO</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f t="shared" si="4405"/>
        <v>70</v>
      </c>
      <c r="C1473" s="128">
        <f t="shared" si="4406"/>
        <v>1</v>
      </c>
      <c r="D1473" s="127">
        <f t="shared" si="4406"/>
        <v>70</v>
      </c>
      <c r="E1473" s="201"/>
      <c r="F1473" s="93"/>
      <c r="G1473" s="203"/>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f t="shared" si="4405"/>
        <v>70</v>
      </c>
      <c r="C1474" s="128">
        <f t="shared" si="4406"/>
        <v>1</v>
      </c>
      <c r="D1474" s="127">
        <f t="shared" si="4406"/>
        <v>70</v>
      </c>
      <c r="E1474" s="201"/>
      <c r="F1474" s="93"/>
      <c r="G1474" s="203"/>
      <c r="H1474" s="134">
        <f t="shared" ref="H1474" si="4549">COUNT($P1474:$XX1474)</f>
        <v>2</v>
      </c>
      <c r="I1474" s="132">
        <f t="shared" ref="I1474" si="4550">_xlfn.STDEV.P($P1473:$XX1474)/AVERAGE($P1473:$XX1474)</f>
        <v>5.7609217474795596E-3</v>
      </c>
      <c r="J1474" s="7">
        <f t="shared" ref="J1474" si="4551">IF(AND(H1474&gt;2,
OR(L1464="MÉDIA SANEADA",L1464="MEDIANA SANEADA",
AND(L1464="PREÇO ESTIMADO",NOT(AND(P1466="Orçamento",COUNTA(P1464:XX1464)=COUNTIF(P1466:XX1466,"Orçamento")))))),
ROW(),0)</f>
        <v>0</v>
      </c>
      <c r="K1474" s="66"/>
      <c r="L1474" s="29" t="s">
        <v>362</v>
      </c>
      <c r="M1474" s="30">
        <f t="shared" ref="M1474" si="4552" xml:space="preserve">
IF(H1472&gt;2,MEDIAN(P1471:XX1472),
IF(H1474&gt;2,MEDIAN(P1473:XX1474),
IF(H1476&gt;2,MEDIAN(P1475:XX1476),
IF(H1478&gt;2,MEDIAN(P1477:XX1478),
IF(H1480&gt;2,MEDIAN(P1479:XX1480),
IF(H1482&gt;2,MEDIAN(P1481:XX1482),
MEDIAN(P1469:XX1470)))))))</f>
        <v>41.9</v>
      </c>
      <c r="N1474" s="71"/>
      <c r="O1474" s="27" t="str">
        <f t="shared" ref="O1474" si="4553">"2 RODADA"</f>
        <v>2 RODADA</v>
      </c>
      <c r="P1474" s="107">
        <f t="shared" ref="P1474:AI1474" si="4554">IF(P1472="","",IF((_xlfn.STDEV.P($P1471:$XX1472)/AVERAGE($P1471:$XX1472))&lt;=25%,P1472,IF(OR(P1472&gt;(AVERAGE($P1471:$XX1472)+_xlfn.STDEV.P($P1471:$XX1472)),P1472&lt;(AVERAGE($P1471:$XX1472)-_xlfn.STDEV.P($P1471:$XX1472))),"DESCARTADO",P1472)))</f>
        <v>41.42</v>
      </c>
      <c r="Q1474" s="107">
        <f t="shared" si="4554"/>
        <v>41.9</v>
      </c>
      <c r="R1474" s="107" t="str">
        <f t="shared" si="4554"/>
        <v>DESCARTADO</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f t="shared" si="4405"/>
        <v>70</v>
      </c>
      <c r="C1475" s="128">
        <f t="shared" si="4406"/>
        <v>1</v>
      </c>
      <c r="D1475" s="127">
        <f t="shared" si="4406"/>
        <v>70</v>
      </c>
      <c r="E1475" s="201"/>
      <c r="F1475" s="93"/>
      <c r="G1475" s="203"/>
      <c r="H1475"/>
      <c r="I1475"/>
      <c r="J1475"/>
      <c r="K1475" s="66"/>
      <c r="L1475" s="29" t="s">
        <v>359</v>
      </c>
      <c r="M1475" s="30">
        <f t="shared" ref="M1475" si="4555">HARMEAN($P1469:$XX1470)</f>
        <v>49.817926454242276</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f t="shared" si="4405"/>
        <v>70</v>
      </c>
      <c r="C1476" s="128">
        <f t="shared" si="4406"/>
        <v>1</v>
      </c>
      <c r="D1476" s="127">
        <f t="shared" si="4406"/>
        <v>70</v>
      </c>
      <c r="E1476" s="201"/>
      <c r="F1476" s="93"/>
      <c r="G1476" s="203"/>
      <c r="H1476" s="134">
        <f t="shared" ref="H1476" si="4557">COUNT($P1476:$XX1476)</f>
        <v>2</v>
      </c>
      <c r="I1476" s="132">
        <f t="shared" ref="I1476" si="4558">_xlfn.STDEV.P($P1475:$XX1476)/AVERAGE($P1475:$XX1476)</f>
        <v>5.7609217474795596E-3</v>
      </c>
      <c r="J1476" s="7">
        <f t="shared" ref="J1476" si="4559">IF(AND(H1476&gt;2,
OR(L1464="MÉDIA SANEADA",L1464="MEDIANA SANEADA",
AND(L1464="PREÇO ESTIMADO",NOT(AND(P1466="Orçamento",COUNTA(P1464:XX1464)=COUNTIF(P1466:XX1466,"Orçamento")))))),
ROW(),0)</f>
        <v>0</v>
      </c>
      <c r="K1476" s="66"/>
      <c r="L1476" s="29" t="s">
        <v>41</v>
      </c>
      <c r="M1476" s="30">
        <f t="shared" ref="M1476" si="4560">IFERROR(_xlfn.QUARTILE.EXC($P1470:$XX1470,1),"")</f>
        <v>41.42</v>
      </c>
      <c r="N1476" s="71"/>
      <c r="O1476" s="27" t="str">
        <f t="shared" ref="O1476" si="4561">"3 RODADA"</f>
        <v>3 RODADA</v>
      </c>
      <c r="P1476" s="107">
        <f t="shared" ref="P1476:AI1476" si="4562">IF(P1474="","",IF((_xlfn.STDEV.P($P1473:$XX1474)/AVERAGE($P1473:$XX1474))&lt;=25%,P1474,IF(OR(P1474&gt;(AVERAGE($P1473:$XX1474)+_xlfn.STDEV.P($P1473:$XX1474)),P1474&lt;(AVERAGE($P1473:$XX1474)-_xlfn.STDEV.P($P1473:$XX1474))),"DESCARTADO",P1474)))</f>
        <v>41.42</v>
      </c>
      <c r="Q1476" s="107">
        <f t="shared" si="4562"/>
        <v>41.9</v>
      </c>
      <c r="R1476" s="107" t="str">
        <f t="shared" si="4562"/>
        <v>DESCARTADO</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f t="shared" si="4405"/>
        <v>70</v>
      </c>
      <c r="C1477" s="128">
        <f t="shared" si="4406"/>
        <v>1</v>
      </c>
      <c r="D1477" s="127">
        <f t="shared" si="4406"/>
        <v>70</v>
      </c>
      <c r="E1477" s="201"/>
      <c r="F1477" s="93"/>
      <c r="G1477" s="203"/>
      <c r="H1477"/>
      <c r="I1477"/>
      <c r="J1477"/>
      <c r="K1477" s="66"/>
      <c r="L1477" s="29" t="s">
        <v>39</v>
      </c>
      <c r="M1477" s="30">
        <f t="shared" ref="M1477" si="4563">IFERROR(_xlfn.QUARTILE.EXC($P1470:$XX1470,3),"")</f>
        <v>81.900000000000006</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f t="shared" si="4405"/>
        <v>70</v>
      </c>
      <c r="C1478" s="128">
        <f t="shared" si="4406"/>
        <v>1</v>
      </c>
      <c r="D1478" s="127">
        <f t="shared" si="4406"/>
        <v>70</v>
      </c>
      <c r="E1478" s="201"/>
      <c r="F1478" s="93"/>
      <c r="G1478" s="203"/>
      <c r="H1478" s="134">
        <f t="shared" ref="H1478" si="4565">COUNT($P1478:$XX1478)</f>
        <v>2</v>
      </c>
      <c r="I1478" s="132">
        <f t="shared" ref="I1478" si="4566">_xlfn.STDEV.P($P1477:$XX1478)/AVERAGE($P1477:$XX1478)</f>
        <v>5.7609217474795596E-3</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41.42</v>
      </c>
      <c r="N1478" s="71"/>
      <c r="O1478" s="27" t="str">
        <f t="shared" ref="O1478" si="4569">"4 RODADA"</f>
        <v>4 RODADA</v>
      </c>
      <c r="P1478" s="107">
        <f t="shared" ref="P1478:AI1478" si="4570">IF(P1476="","",IF((_xlfn.STDEV.P($P1475:$XX1476)/AVERAGE($P1475:$XX1476))&lt;=25%,P1476,IF(OR(P1476&gt;(AVERAGE($P1475:$XX1476)+_xlfn.STDEV.P($P1475:$XX1476)),P1476&lt;(AVERAGE($P1475:$XX1476)-_xlfn.STDEV.P($P1475:$XX1476))),"DESCARTADO",P1476)))</f>
        <v>41.42</v>
      </c>
      <c r="Q1478" s="107">
        <f t="shared" si="4570"/>
        <v>41.9</v>
      </c>
      <c r="R1478" s="107" t="str">
        <f t="shared" si="4570"/>
        <v>DESCARTADO</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f t="shared" si="4405"/>
        <v>70</v>
      </c>
      <c r="C1479" s="128">
        <f t="shared" si="4406"/>
        <v>1</v>
      </c>
      <c r="D1479" s="127">
        <f t="shared" si="4406"/>
        <v>70</v>
      </c>
      <c r="E1479" s="201"/>
      <c r="F1479" s="93"/>
      <c r="G1479" s="203"/>
      <c r="H1479"/>
      <c r="I1479"/>
      <c r="J1479"/>
      <c r="K1479" s="66"/>
      <c r="L1479" s="29" t="s">
        <v>40</v>
      </c>
      <c r="M1479" s="30">
        <f t="shared" ref="M1479" si="4571">MAX($P1470:$XX1470)</f>
        <v>81.900000000000006</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f t="shared" si="4405"/>
        <v>70</v>
      </c>
      <c r="C1480" s="128">
        <f t="shared" si="4406"/>
        <v>1</v>
      </c>
      <c r="D1480" s="127">
        <f t="shared" si="4406"/>
        <v>70</v>
      </c>
      <c r="E1480" s="201"/>
      <c r="F1480" s="93"/>
      <c r="G1480" s="203"/>
      <c r="H1480" s="134">
        <f t="shared" ref="H1480" si="4573">COUNT($P1480:$XX1480)</f>
        <v>2</v>
      </c>
      <c r="I1480" s="132">
        <f t="shared" ref="I1480" si="4574">_xlfn.STDEV.P($P1479:$XX1480)/AVERAGE($P1479:$XX1480)</f>
        <v>5.7609217474795596E-3</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f t="shared" ref="P1480:AI1480" si="4577">IF(P1478="","",IF((_xlfn.STDEV.P($P1477:$XX1478)/AVERAGE($P1477:$XX1478))&lt;=25%,P1478,IF(OR(P1478&gt;(AVERAGE($P1477:$XX1478)+_xlfn.STDEV.P($P1477:$XX1478)),P1478&lt;(AVERAGE($P1477:$XX1478)-_xlfn.STDEV.P($P1477:$XX1478))),"DESCARTADO",P1478)))</f>
        <v>41.42</v>
      </c>
      <c r="Q1480" s="107">
        <f t="shared" si="4577"/>
        <v>41.9</v>
      </c>
      <c r="R1480" s="107" t="str">
        <f t="shared" si="4577"/>
        <v>DESCARTADO</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f t="shared" si="4405"/>
        <v>70</v>
      </c>
      <c r="C1481" s="128">
        <f t="shared" si="4406"/>
        <v>1</v>
      </c>
      <c r="D1481" s="127">
        <f t="shared" si="4406"/>
        <v>70</v>
      </c>
      <c r="E1481" s="201"/>
      <c r="F1481" s="93"/>
      <c r="G1481" s="203"/>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f t="shared" si="4405"/>
        <v>70</v>
      </c>
      <c r="C1482" s="128">
        <f t="shared" si="4406"/>
        <v>1</v>
      </c>
      <c r="D1482" s="127">
        <f t="shared" si="4406"/>
        <v>70</v>
      </c>
      <c r="E1482" s="201"/>
      <c r="F1482" s="93"/>
      <c r="G1482" s="203"/>
      <c r="H1482" s="134">
        <f t="shared" ref="H1482" si="4579">COUNT($P1482:$XX1482)</f>
        <v>2</v>
      </c>
      <c r="I1482" s="132">
        <f t="shared" ref="I1482" si="4580">_xlfn.STDEV.P($P1481:$XX1482)/AVERAGE($P1481:$XX1482)</f>
        <v>5.7609217474795596E-3</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f t="shared" ref="P1482:AI1482" si="4583">IFERROR(IF(P1480="","",IF((_xlfn.STDEV.P($P1479:$XX1480)/AVERAGE($P1479:$XX1480))&lt;=25%,P1480,IF(OR(P1480&gt;(AVERAGE($P1479:$XX1480)+_xlfn.STDEV.P($P1479:$XX1480)),P1480&lt;(AVERAGE($P1479:$XX1480)-_xlfn.STDEV.P($P1479:$XX1480))),"DESCARTADO",P1480))),)</f>
        <v>41.42</v>
      </c>
      <c r="Q1482" s="107">
        <f t="shared" si="4583"/>
        <v>41.9</v>
      </c>
      <c r="R1482" s="107" t="str">
        <f t="shared" si="4583"/>
        <v>DESCARTADO</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f t="shared" si="4405"/>
        <v>70</v>
      </c>
      <c r="C1483" s="128">
        <f t="shared" si="4406"/>
        <v>1</v>
      </c>
      <c r="D1483" s="127">
        <f t="shared" si="4406"/>
        <v>70</v>
      </c>
      <c r="E1483" s="201"/>
      <c r="F1483" s="136"/>
      <c r="G1483" s="203"/>
      <c r="H1483" s="206"/>
      <c r="I1483" s="206"/>
      <c r="J1483" s="207"/>
      <c r="K1483" s="67"/>
      <c r="L1483" s="1" t="s">
        <v>43</v>
      </c>
      <c r="M1483" s="143">
        <f t="shared" ref="M1483" si="4584">IFERROR(ROUND(M1464*M1466,2),"")</f>
        <v>167.6</v>
      </c>
      <c r="O1483" s="27" t="s">
        <v>363</v>
      </c>
      <c r="P1483" s="107">
        <f t="shared" ref="P1483:AI1504" si="4585">INDEX(P1470:P1482,MATCH(MAX($J1470:$J1482),$J1470:$J1482,0))</f>
        <v>41.42</v>
      </c>
      <c r="Q1483" s="107">
        <f t="shared" si="4585"/>
        <v>41.9</v>
      </c>
      <c r="R1483" s="107">
        <f t="shared" si="4585"/>
        <v>81.900000000000006</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f t="shared" ref="B1485" si="4586">LARGE(IFERROR(IF(B1483+1&gt;$H$8,"",B1483+1),""),1)</f>
        <v>71</v>
      </c>
      <c r="C1485" s="127">
        <f>IF(_xlfn.ISFORMULA(E1489),MAX(INDEX('BASE FORMAÇÃO'!A:A,B1485+1),1),E1489)</f>
        <v>1</v>
      </c>
      <c r="D1485" s="127">
        <f t="shared" ref="D1485" si="4587">IFERROR(IF(C1485=C1475,D1475+1,1),1)</f>
        <v>71</v>
      </c>
      <c r="E1485" s="38" t="s">
        <v>9</v>
      </c>
      <c r="F1485" s="73"/>
      <c r="G1485" s="38" t="s">
        <v>15</v>
      </c>
      <c r="H1485" s="135">
        <f>INDEX('BASE FORMAÇÃO'!B:B,B1485+1)</f>
        <v>0</v>
      </c>
      <c r="I1485" s="181" t="s">
        <v>16</v>
      </c>
      <c r="J1485" s="6">
        <f>INDEX('BASE FORMAÇÃO'!K:K,B1485+1)</f>
        <v>0</v>
      </c>
      <c r="K1485" s="65"/>
      <c r="L1485" s="184" t="s">
        <v>10</v>
      </c>
      <c r="M1485" s="186">
        <f t="shared" ref="M1485" si="4588">IF(OR(ISBLANK($O$8),ISBLANK($O$7),ISBLANK($H$8),ISBLANK($O$6),ISBLANK($O$5),ISBLANK($H$5)),"",IFERROR(IF(VLOOKUP(L1485,L1491:M1500,2,FALSE)&lt;1,ROUND(VLOOKUP(L1485,L1491:M1500,2,FALSE),4),ROUND(VLOOKUP(L1485,L1491:M1500,2,FALSE),2)),""))</f>
        <v>57.53</v>
      </c>
      <c r="N1485" s="69"/>
      <c r="O1485" s="27" t="s">
        <v>17</v>
      </c>
      <c r="P1485" s="113">
        <v>62.22</v>
      </c>
      <c r="Q1485" s="113">
        <v>50</v>
      </c>
      <c r="R1485" s="113">
        <v>60.37</v>
      </c>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f t="shared" ref="B1486:D1486" si="4589">B1485</f>
        <v>71</v>
      </c>
      <c r="C1486" s="128">
        <f t="shared" si="4589"/>
        <v>1</v>
      </c>
      <c r="D1486" s="127">
        <f t="shared" si="4589"/>
        <v>71</v>
      </c>
      <c r="E1486" s="188">
        <f t="shared" ref="E1486" si="4590">D1485</f>
        <v>71</v>
      </c>
      <c r="F1486" s="92"/>
      <c r="G1486" s="190" t="s">
        <v>1</v>
      </c>
      <c r="H1486" s="193" t="s">
        <v>713</v>
      </c>
      <c r="I1486" s="194"/>
      <c r="J1486" s="195"/>
      <c r="K1486" s="66"/>
      <c r="L1486" s="185"/>
      <c r="M1486" s="187"/>
      <c r="N1486" s="70"/>
      <c r="O1486" s="27" t="s">
        <v>13</v>
      </c>
      <c r="P1486" s="122">
        <v>46196</v>
      </c>
      <c r="Q1486" s="122">
        <v>46196</v>
      </c>
      <c r="R1486" s="122">
        <v>46196</v>
      </c>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f t="shared" ref="B1487:D1487" si="4591">B1486</f>
        <v>71</v>
      </c>
      <c r="C1487" s="128">
        <f t="shared" si="4591"/>
        <v>1</v>
      </c>
      <c r="D1487" s="127">
        <f t="shared" si="4591"/>
        <v>71</v>
      </c>
      <c r="E1487" s="189"/>
      <c r="F1487" s="93"/>
      <c r="G1487" s="191"/>
      <c r="H1487" s="196"/>
      <c r="I1487" s="196"/>
      <c r="J1487" s="197"/>
      <c r="K1487" s="64"/>
      <c r="L1487" s="130" t="s">
        <v>44</v>
      </c>
      <c r="M1487" s="131">
        <v>4</v>
      </c>
      <c r="N1487" s="71"/>
      <c r="O1487" s="27" t="s">
        <v>380</v>
      </c>
      <c r="P1487" s="114" t="s">
        <v>302</v>
      </c>
      <c r="Q1487" s="114" t="s">
        <v>302</v>
      </c>
      <c r="R1487" s="114" t="s">
        <v>302</v>
      </c>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f t="shared" ref="B1488:C1488" si="4592">B1487</f>
        <v>71</v>
      </c>
      <c r="C1488" s="128">
        <f t="shared" si="4592"/>
        <v>1</v>
      </c>
      <c r="D1488" s="127">
        <f t="shared" si="4406"/>
        <v>71</v>
      </c>
      <c r="E1488" s="38" t="s">
        <v>313</v>
      </c>
      <c r="F1488" s="93"/>
      <c r="G1488" s="192"/>
      <c r="H1488" s="198"/>
      <c r="I1488" s="198"/>
      <c r="J1488" s="199"/>
      <c r="K1488" s="64"/>
      <c r="L1488" s="1" t="s">
        <v>2</v>
      </c>
      <c r="M1488" s="6" t="s">
        <v>288</v>
      </c>
      <c r="N1488" s="71"/>
      <c r="O1488" s="27" t="s">
        <v>381</v>
      </c>
      <c r="P1488" s="182" t="s">
        <v>714</v>
      </c>
      <c r="Q1488" s="182" t="s">
        <v>715</v>
      </c>
      <c r="R1488" s="182" t="s">
        <v>716</v>
      </c>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f t="shared" ref="B1489:C1489" si="4593">B1487</f>
        <v>71</v>
      </c>
      <c r="C1489" s="128">
        <f t="shared" si="4593"/>
        <v>1</v>
      </c>
      <c r="D1489" s="127">
        <f t="shared" si="4406"/>
        <v>71</v>
      </c>
      <c r="E1489" s="200">
        <f t="shared" ref="E1489" si="4594">C1485</f>
        <v>1</v>
      </c>
      <c r="F1489" s="93"/>
      <c r="G1489" s="202" t="s">
        <v>304</v>
      </c>
      <c r="H1489" s="204"/>
      <c r="I1489" s="205"/>
      <c r="J1489" s="205"/>
      <c r="K1489" s="67"/>
      <c r="L1489" s="28" t="s">
        <v>303</v>
      </c>
      <c r="M1489" s="133">
        <f t="shared" ref="M1489" si="4595">IFERROR(INDEX(I1491:I1503,MATCH(MAX(J1491:J1503),J1491:J1503,0)),"")</f>
        <v>9.3478401573025782E-2</v>
      </c>
      <c r="N1489" s="71"/>
      <c r="O1489" s="27" t="s">
        <v>18</v>
      </c>
      <c r="P1489" s="106">
        <f>IF(P1485="","",
IF(OR(P1487="Orçamento",P1486="",MAX('Tabela de Apoio'!$A:$A)&lt;=P1486),
P1485,
(INDEX('Tabela de Apoio'!$B:$B,MATCH('MAPA DE PREÇOS'!$O$8,'Tabela de Apoio'!$A:$A,1))/INDEX('Tabela de Apoio'!$B:$B,MATCH('MAPA DE PREÇOS'!P1486,'Tabela de Apoio'!$A:$A,1)-1))*P1485))</f>
        <v>62.22</v>
      </c>
      <c r="Q1489" s="106">
        <f>IF(Q1485="","",
IF(OR(Q1487="Orçamento",Q1486="",MAX('Tabela de Apoio'!$A:$A)&lt;=Q1486),
Q1485,
(INDEX('Tabela de Apoio'!$B:$B,MATCH('MAPA DE PREÇOS'!$O$8,'Tabela de Apoio'!$A:$A,1))/INDEX('Tabela de Apoio'!$B:$B,MATCH('MAPA DE PREÇOS'!Q1486,'Tabela de Apoio'!$A:$A,1)-1))*Q1485))</f>
        <v>50</v>
      </c>
      <c r="R1489" s="106">
        <f>IF(R1485="","",
IF(OR(R1487="Orçamento",R1486="",MAX('Tabela de Apoio'!$A:$A)&lt;=R1486),
R1485,
(INDEX('Tabela de Apoio'!$B:$B,MATCH('MAPA DE PREÇOS'!$O$8,'Tabela de Apoio'!$A:$A,1))/INDEX('Tabela de Apoio'!$B:$B,MATCH('MAPA DE PREÇOS'!R1486,'Tabela de Apoio'!$A:$A,1)-1))*R1485))</f>
        <v>60.37</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f t="shared" ref="B1490" si="4596">B1489</f>
        <v>71</v>
      </c>
      <c r="C1490" s="128">
        <f t="shared" ref="C1490" si="4597">C1489</f>
        <v>1</v>
      </c>
      <c r="D1490" s="127">
        <f t="shared" si="4406"/>
        <v>71</v>
      </c>
      <c r="E1490" s="201"/>
      <c r="F1490" s="93"/>
      <c r="G1490" s="203"/>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f t="shared" ref="B1491:C1491" si="4598">B1490</f>
        <v>71</v>
      </c>
      <c r="C1491" s="128">
        <f t="shared" si="4598"/>
        <v>1</v>
      </c>
      <c r="D1491" s="127">
        <f t="shared" si="4406"/>
        <v>71</v>
      </c>
      <c r="E1491" s="201"/>
      <c r="F1491" s="93"/>
      <c r="G1491" s="203"/>
      <c r="H1491" s="134">
        <f t="shared" ref="H1491" si="4599">COUNT($P1491:$XX1491)</f>
        <v>3</v>
      </c>
      <c r="I1491" s="132">
        <f t="shared" ref="I1491" si="4600">_xlfn.STDEV.P($P1490:$XX1491)/AVERAGE($P1490:$XX1491)</f>
        <v>9.3478401573025782E-2</v>
      </c>
      <c r="J1491" s="7">
        <f>ROW()</f>
        <v>1491</v>
      </c>
      <c r="K1491" s="67"/>
      <c r="L1491" s="29" t="s">
        <v>10</v>
      </c>
      <c r="M1491" s="30">
        <f t="shared" ref="M1491" si="4601">IFERROR(
IF(COUNTA(P1485:AI1485)=COUNTIF(P1487:XX1487,"Orçamento"),MIN(M1496,M1493),
IF(M1494&lt;&gt;"",M1494,
IF(M1495&lt;&gt;"",M1495,
M1493
))),"")</f>
        <v>57.53</v>
      </c>
      <c r="N1491" s="71"/>
      <c r="O1491" s="27" t="s">
        <v>376</v>
      </c>
      <c r="P1491" s="106">
        <f t="shared" ref="P1491:AI1491" si="4602">IFERROR(IF(P1489="",
            "",
            IF(COUNT($P1489:$XX1489)&lt;=4,
               P1489,
               IF(OR(P1489&gt;(QUARTILE($P1489:$XX1489,3)+(QUARTILE($P1489:$XX1489,3)-QUARTILE($P1489:$XX1489,1))),
                     P1489&lt;(QUARTILE($P1489:$XX1489,1)-(QUARTILE($P1489:$XX1489,3)-QUARTILE($P1489:$XX1489,1)))
                  ),
               "DESCARTADO",P1489)
             )
  ),P1489)</f>
        <v>62.22</v>
      </c>
      <c r="Q1491" s="106">
        <f t="shared" si="4602"/>
        <v>50</v>
      </c>
      <c r="R1491" s="106">
        <f t="shared" si="4602"/>
        <v>60.37</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f t="shared" ref="B1492:B1546" si="4603">B1491</f>
        <v>71</v>
      </c>
      <c r="C1492" s="128">
        <f t="shared" ref="C1492:D1555" si="4604">C1491</f>
        <v>1</v>
      </c>
      <c r="D1492" s="127">
        <f t="shared" si="4406"/>
        <v>71</v>
      </c>
      <c r="E1492" s="201"/>
      <c r="F1492" s="93"/>
      <c r="G1492" s="203"/>
      <c r="H1492"/>
      <c r="I1492"/>
      <c r="J1492"/>
      <c r="K1492" s="66"/>
      <c r="L1492" s="29" t="s">
        <v>360</v>
      </c>
      <c r="M1492" s="30">
        <f t="shared" ref="M1492" si="4605">AVERAGE($P1491:$XX1491)</f>
        <v>57.53</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f t="shared" si="4603"/>
        <v>71</v>
      </c>
      <c r="C1493" s="128">
        <f t="shared" si="4604"/>
        <v>1</v>
      </c>
      <c r="D1493" s="127">
        <f t="shared" si="4604"/>
        <v>71</v>
      </c>
      <c r="E1493" s="201"/>
      <c r="F1493" s="93"/>
      <c r="G1493" s="203"/>
      <c r="H1493" s="134">
        <f t="shared" ref="H1493" si="4607">COUNT($P1493:$XX1493)</f>
        <v>3</v>
      </c>
      <c r="I1493" s="132">
        <f t="shared" ref="I1493" si="4608">_xlfn.STDEV.P($P1492:$XX1493)/AVERAGE($P1492:$XX1493)</f>
        <v>9.3478401573025782E-2</v>
      </c>
      <c r="J1493" s="7">
        <f t="shared" ref="J1493" si="4609">IF(AND(H1493&gt;2,
OR(L1485="MÉDIA SANEADA",L1485="MEDIANA SANEADA",
AND(L1485="PREÇO ESTIMADO",NOT(AND(P1487="Orçamento",COUNTA(P1485:XX1485)=COUNTIF(P1487:XX1487,"Orçamento")))))),
ROW(),0)</f>
        <v>1493</v>
      </c>
      <c r="K1493" s="66"/>
      <c r="L1493" s="29" t="s">
        <v>361</v>
      </c>
      <c r="M1493" s="30">
        <f t="shared" ref="M1493" si="4610">MEDIAN($P1491:$XX1491)</f>
        <v>60.37</v>
      </c>
      <c r="N1493" s="71"/>
      <c r="O1493" s="27" t="str">
        <f t="shared" ref="O1493" si="4611">"1 RODADA"</f>
        <v>1 RODADA</v>
      </c>
      <c r="P1493" s="107">
        <f t="shared" ref="P1493:AI1493" si="4612">IF(P1491="","",IF((_xlfn.STDEV.P($P1490:$XX1491)/AVERAGE($P1490:$XX1491))&lt;=25%,P1491,IF(OR(P1491&gt;(AVERAGE($P1490:$XX1491)+_xlfn.STDEV.P($P1490:$XX1491)),P1491&lt;(AVERAGE($P1490:$XX1491)-_xlfn.STDEV.P($P1490:$XX1491))),"DESCARTADO",P1491)))</f>
        <v>62.22</v>
      </c>
      <c r="Q1493" s="107">
        <f t="shared" si="4612"/>
        <v>50</v>
      </c>
      <c r="R1493" s="107">
        <f t="shared" si="4612"/>
        <v>60.37</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f t="shared" si="4603"/>
        <v>71</v>
      </c>
      <c r="C1494" s="128">
        <f t="shared" si="4604"/>
        <v>1</v>
      </c>
      <c r="D1494" s="127">
        <f t="shared" si="4604"/>
        <v>71</v>
      </c>
      <c r="E1494" s="201"/>
      <c r="F1494" s="93"/>
      <c r="G1494" s="203"/>
      <c r="H1494"/>
      <c r="I1494"/>
      <c r="J1494"/>
      <c r="L1494" s="29" t="s">
        <v>38</v>
      </c>
      <c r="M1494" s="30">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57.53</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f t="shared" si="4603"/>
        <v>71</v>
      </c>
      <c r="C1495" s="128">
        <f t="shared" si="4604"/>
        <v>1</v>
      </c>
      <c r="D1495" s="127">
        <f t="shared" si="4604"/>
        <v>71</v>
      </c>
      <c r="E1495" s="201"/>
      <c r="F1495" s="93"/>
      <c r="G1495" s="203"/>
      <c r="H1495" s="134">
        <f t="shared" ref="H1495" si="4615">COUNT($P1495:$XX1495)</f>
        <v>3</v>
      </c>
      <c r="I1495" s="132">
        <f t="shared" ref="I1495" si="4616">_xlfn.STDEV.P($P1494:$XX1495)/AVERAGE($P1494:$XX1495)</f>
        <v>9.3478401573025782E-2</v>
      </c>
      <c r="J1495" s="7">
        <f t="shared" ref="J1495" si="4617">IF(AND(H1495&gt;2,
OR(L1485="MÉDIA SANEADA",L1485="MEDIANA SANEADA",
AND(L1485="PREÇO ESTIMADO",NOT(AND(P1487="Orçamento",COUNTA(P1485:XX1485)=COUNTIF(P1487:XX1487,"Orçamento")))))),
ROW(),0)</f>
        <v>1495</v>
      </c>
      <c r="K1495" s="66"/>
      <c r="L1495" s="29" t="s">
        <v>362</v>
      </c>
      <c r="M1495" s="30">
        <f t="shared" ref="M1495" si="4618" xml:space="preserve">
IF(H1493&gt;2,MEDIAN(P1492:XX1493),
IF(H1495&gt;2,MEDIAN(P1494:XX1495),
IF(H1497&gt;2,MEDIAN(P1496:XX1497),
IF(H1499&gt;2,MEDIAN(P1498:XX1499),
IF(H1501&gt;2,MEDIAN(P1500:XX1501),
IF(H1503&gt;2,MEDIAN(P1502:XX1503),
MEDIAN(P1490:XX1491)))))))</f>
        <v>60.37</v>
      </c>
      <c r="N1495" s="71"/>
      <c r="O1495" s="27" t="str">
        <f t="shared" ref="O1495" si="4619">"2 RODADA"</f>
        <v>2 RODADA</v>
      </c>
      <c r="P1495" s="107">
        <f t="shared" ref="P1495:AI1495" si="4620">IF(P1493="","",IF((_xlfn.STDEV.P($P1492:$XX1493)/AVERAGE($P1492:$XX1493))&lt;=25%,P1493,IF(OR(P1493&gt;(AVERAGE($P1492:$XX1493)+_xlfn.STDEV.P($P1492:$XX1493)),P1493&lt;(AVERAGE($P1492:$XX1493)-_xlfn.STDEV.P($P1492:$XX1493))),"DESCARTADO",P1493)))</f>
        <v>62.22</v>
      </c>
      <c r="Q1495" s="107">
        <f t="shared" si="4620"/>
        <v>50</v>
      </c>
      <c r="R1495" s="107">
        <f t="shared" si="4620"/>
        <v>60.37</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f t="shared" si="4603"/>
        <v>71</v>
      </c>
      <c r="C1496" s="128">
        <f t="shared" si="4604"/>
        <v>1</v>
      </c>
      <c r="D1496" s="127">
        <f t="shared" si="4604"/>
        <v>71</v>
      </c>
      <c r="E1496" s="201"/>
      <c r="F1496" s="93"/>
      <c r="G1496" s="203"/>
      <c r="H1496"/>
      <c r="I1496"/>
      <c r="J1496"/>
      <c r="K1496" s="66"/>
      <c r="L1496" s="29" t="s">
        <v>359</v>
      </c>
      <c r="M1496" s="30">
        <f t="shared" ref="M1496" si="4621">HARMEAN($P1490:$XX1491)</f>
        <v>56.994647856452843</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f t="shared" si="4603"/>
        <v>71</v>
      </c>
      <c r="C1497" s="128">
        <f t="shared" si="4604"/>
        <v>1</v>
      </c>
      <c r="D1497" s="127">
        <f t="shared" si="4604"/>
        <v>71</v>
      </c>
      <c r="E1497" s="201"/>
      <c r="F1497" s="93"/>
      <c r="G1497" s="203"/>
      <c r="H1497" s="134">
        <f t="shared" ref="H1497" si="4623">COUNT($P1497:$XX1497)</f>
        <v>3</v>
      </c>
      <c r="I1497" s="132">
        <f t="shared" ref="I1497" si="4624">_xlfn.STDEV.P($P1496:$XX1497)/AVERAGE($P1496:$XX1497)</f>
        <v>9.3478401573025782E-2</v>
      </c>
      <c r="J1497" s="7">
        <f t="shared" ref="J1497" si="4625">IF(AND(H1497&gt;2,
OR(L1485="MÉDIA SANEADA",L1485="MEDIANA SANEADA",
AND(L1485="PREÇO ESTIMADO",NOT(AND(P1487="Orçamento",COUNTA(P1485:XX1485)=COUNTIF(P1487:XX1487,"Orçamento")))))),
ROW(),0)</f>
        <v>1497</v>
      </c>
      <c r="K1497" s="66"/>
      <c r="L1497" s="29" t="s">
        <v>41</v>
      </c>
      <c r="M1497" s="30">
        <f t="shared" ref="M1497" si="4626">IFERROR(_xlfn.QUARTILE.EXC($P1491:$XX1491,1),"")</f>
        <v>50</v>
      </c>
      <c r="N1497" s="71"/>
      <c r="O1497" s="27" t="str">
        <f t="shared" ref="O1497" si="4627">"3 RODADA"</f>
        <v>3 RODADA</v>
      </c>
      <c r="P1497" s="107">
        <f t="shared" ref="P1497:AI1497" si="4628">IF(P1495="","",IF((_xlfn.STDEV.P($P1494:$XX1495)/AVERAGE($P1494:$XX1495))&lt;=25%,P1495,IF(OR(P1495&gt;(AVERAGE($P1494:$XX1495)+_xlfn.STDEV.P($P1494:$XX1495)),P1495&lt;(AVERAGE($P1494:$XX1495)-_xlfn.STDEV.P($P1494:$XX1495))),"DESCARTADO",P1495)))</f>
        <v>62.22</v>
      </c>
      <c r="Q1497" s="107">
        <f t="shared" si="4628"/>
        <v>50</v>
      </c>
      <c r="R1497" s="107">
        <f t="shared" si="4628"/>
        <v>60.37</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f t="shared" si="4603"/>
        <v>71</v>
      </c>
      <c r="C1498" s="128">
        <f t="shared" si="4604"/>
        <v>1</v>
      </c>
      <c r="D1498" s="127">
        <f t="shared" si="4604"/>
        <v>71</v>
      </c>
      <c r="E1498" s="201"/>
      <c r="F1498" s="93"/>
      <c r="G1498" s="203"/>
      <c r="H1498"/>
      <c r="I1498"/>
      <c r="J1498"/>
      <c r="K1498" s="66"/>
      <c r="L1498" s="29" t="s">
        <v>39</v>
      </c>
      <c r="M1498" s="30">
        <f t="shared" ref="M1498" si="4629">IFERROR(_xlfn.QUARTILE.EXC($P1491:$XX1491,3),"")</f>
        <v>62.22</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f t="shared" si="4603"/>
        <v>71</v>
      </c>
      <c r="C1499" s="128">
        <f t="shared" si="4604"/>
        <v>1</v>
      </c>
      <c r="D1499" s="127">
        <f t="shared" si="4604"/>
        <v>71</v>
      </c>
      <c r="E1499" s="201"/>
      <c r="F1499" s="93"/>
      <c r="G1499" s="203"/>
      <c r="H1499" s="134">
        <f t="shared" ref="H1499" si="4631">COUNT($P1499:$XX1499)</f>
        <v>3</v>
      </c>
      <c r="I1499" s="132">
        <f t="shared" ref="I1499" si="4632">_xlfn.STDEV.P($P1498:$XX1499)/AVERAGE($P1498:$XX1499)</f>
        <v>9.3478401573025782E-2</v>
      </c>
      <c r="J1499" s="7">
        <f t="shared" ref="J1499" si="4633">IF(AND(H1499&gt;2,
OR(L1485="MÉDIA SANEADA",L1485="MEDIANA SANEADA",
AND(L1485="PREÇO ESTIMADO",NOT(AND(P1487="Orçamento",COUNTA(P1485:XX1485)=COUNTIF(P1487:XX1487,"Orçamento")))))),
ROW(),0)</f>
        <v>1499</v>
      </c>
      <c r="K1499" s="66"/>
      <c r="L1499" s="29" t="s">
        <v>42</v>
      </c>
      <c r="M1499" s="30">
        <f t="shared" ref="M1499" si="4634">MIN($P1491:$XX1491)</f>
        <v>50</v>
      </c>
      <c r="N1499" s="71"/>
      <c r="O1499" s="27" t="str">
        <f t="shared" ref="O1499" si="4635">"4 RODADA"</f>
        <v>4 RODADA</v>
      </c>
      <c r="P1499" s="107">
        <f t="shared" ref="P1499:AI1499" si="4636">IF(P1497="","",IF((_xlfn.STDEV.P($P1496:$XX1497)/AVERAGE($P1496:$XX1497))&lt;=25%,P1497,IF(OR(P1497&gt;(AVERAGE($P1496:$XX1497)+_xlfn.STDEV.P($P1496:$XX1497)),P1497&lt;(AVERAGE($P1496:$XX1497)-_xlfn.STDEV.P($P1496:$XX1497))),"DESCARTADO",P1497)))</f>
        <v>62.22</v>
      </c>
      <c r="Q1499" s="107">
        <f t="shared" si="4636"/>
        <v>50</v>
      </c>
      <c r="R1499" s="107">
        <f t="shared" si="4636"/>
        <v>60.37</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f t="shared" si="4603"/>
        <v>71</v>
      </c>
      <c r="C1500" s="128">
        <f t="shared" si="4604"/>
        <v>1</v>
      </c>
      <c r="D1500" s="127">
        <f t="shared" si="4604"/>
        <v>71</v>
      </c>
      <c r="E1500" s="201"/>
      <c r="F1500" s="93"/>
      <c r="G1500" s="203"/>
      <c r="H1500"/>
      <c r="I1500"/>
      <c r="J1500"/>
      <c r="K1500" s="66"/>
      <c r="L1500" s="29" t="s">
        <v>40</v>
      </c>
      <c r="M1500" s="30">
        <f t="shared" ref="M1500" si="4637">MAX($P1491:$XX1491)</f>
        <v>62.22</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f t="shared" si="4603"/>
        <v>71</v>
      </c>
      <c r="C1501" s="128">
        <f t="shared" si="4604"/>
        <v>1</v>
      </c>
      <c r="D1501" s="127">
        <f t="shared" si="4604"/>
        <v>71</v>
      </c>
      <c r="E1501" s="201"/>
      <c r="F1501" s="93"/>
      <c r="G1501" s="203"/>
      <c r="H1501" s="134">
        <f t="shared" ref="H1501" si="4639">COUNT($P1501:$XX1501)</f>
        <v>3</v>
      </c>
      <c r="I1501" s="132">
        <f t="shared" ref="I1501" si="4640">_xlfn.STDEV.P($P1500:$XX1501)/AVERAGE($P1500:$XX1501)</f>
        <v>9.3478401573025782E-2</v>
      </c>
      <c r="J1501" s="7">
        <f t="shared" ref="J1501" si="4641">IF(AND(H1501&gt;2,
OR(L1485="MÉDIA SANEADA",L1485="MEDIANA SANEADA",
AND(L1485="PREÇO ESTIMADO",NOT(AND(P1487="Orçamento",COUNTA(P1485:XX1485)=COUNTIF(P1487:XX1487,"Orçamento")))))),
ROW(),0)</f>
        <v>1501</v>
      </c>
      <c r="K1501" s="66"/>
      <c r="N1501" s="71"/>
      <c r="O1501" s="27" t="str">
        <f t="shared" ref="O1501" si="4642">"5 RODADA"</f>
        <v>5 RODADA</v>
      </c>
      <c r="P1501" s="107">
        <f t="shared" ref="P1501:AI1501" si="4643">IF(P1499="","",IF((_xlfn.STDEV.P($P1498:$XX1499)/AVERAGE($P1498:$XX1499))&lt;=25%,P1499,IF(OR(P1499&gt;(AVERAGE($P1498:$XX1499)+_xlfn.STDEV.P($P1498:$XX1499)),P1499&lt;(AVERAGE($P1498:$XX1499)-_xlfn.STDEV.P($P1498:$XX1499))),"DESCARTADO",P1499)))</f>
        <v>62.22</v>
      </c>
      <c r="Q1501" s="107">
        <f t="shared" si="4643"/>
        <v>50</v>
      </c>
      <c r="R1501" s="107">
        <f t="shared" si="4643"/>
        <v>60.37</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f t="shared" si="4603"/>
        <v>71</v>
      </c>
      <c r="C1502" s="128">
        <f t="shared" si="4604"/>
        <v>1</v>
      </c>
      <c r="D1502" s="127">
        <f t="shared" si="4604"/>
        <v>71</v>
      </c>
      <c r="E1502" s="201"/>
      <c r="F1502" s="93"/>
      <c r="G1502" s="203"/>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f t="shared" si="4603"/>
        <v>71</v>
      </c>
      <c r="C1503" s="128">
        <f t="shared" si="4604"/>
        <v>1</v>
      </c>
      <c r="D1503" s="127">
        <f t="shared" si="4604"/>
        <v>71</v>
      </c>
      <c r="E1503" s="201"/>
      <c r="F1503" s="93"/>
      <c r="G1503" s="203"/>
      <c r="H1503" s="134">
        <f t="shared" ref="H1503" si="4645">COUNT($P1503:$XX1503)</f>
        <v>3</v>
      </c>
      <c r="I1503" s="132">
        <f t="shared" ref="I1503" si="4646">_xlfn.STDEV.P($P1502:$XX1503)/AVERAGE($P1502:$XX1503)</f>
        <v>9.3478401573025782E-2</v>
      </c>
      <c r="J1503" s="7">
        <f t="shared" ref="J1503" si="4647">IF(AND(H1503&gt;2,
OR(L1485="MÉDIA SANEADA",L1485="MEDIANA SANEADA",
AND(L1485="PREÇO ESTIMADO",NOT(AND(P1487="Orçamento",COUNTA(P1485:XX1485)=COUNTIF(P1487:XX1487,"Orçamento")))))),
ROW(),0)</f>
        <v>1503</v>
      </c>
      <c r="N1503" s="71"/>
      <c r="O1503" s="27" t="str">
        <f t="shared" ref="O1503" si="4648">"6 RODADA"</f>
        <v>6 RODADA</v>
      </c>
      <c r="P1503" s="107">
        <f t="shared" ref="P1503:AI1503" si="4649">IFERROR(IF(P1501="","",IF((_xlfn.STDEV.P($P1500:$XX1501)/AVERAGE($P1500:$XX1501))&lt;=25%,P1501,IF(OR(P1501&gt;(AVERAGE($P1500:$XX1501)+_xlfn.STDEV.P($P1500:$XX1501)),P1501&lt;(AVERAGE($P1500:$XX1501)-_xlfn.STDEV.P($P1500:$XX1501))),"DESCARTADO",P1501))),)</f>
        <v>62.22</v>
      </c>
      <c r="Q1503" s="107">
        <f t="shared" si="4649"/>
        <v>50</v>
      </c>
      <c r="R1503" s="107">
        <f t="shared" si="4649"/>
        <v>60.37</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f t="shared" si="4603"/>
        <v>71</v>
      </c>
      <c r="C1504" s="128">
        <f t="shared" si="4604"/>
        <v>1</v>
      </c>
      <c r="D1504" s="127">
        <f t="shared" si="4604"/>
        <v>71</v>
      </c>
      <c r="E1504" s="201"/>
      <c r="F1504" s="136"/>
      <c r="G1504" s="203"/>
      <c r="H1504" s="206"/>
      <c r="I1504" s="206"/>
      <c r="J1504" s="207"/>
      <c r="K1504" s="67"/>
      <c r="L1504" s="1" t="s">
        <v>43</v>
      </c>
      <c r="M1504" s="143">
        <f t="shared" ref="M1504" si="4650">IFERROR(ROUND(M1485*M1487,2),"")</f>
        <v>230.12</v>
      </c>
      <c r="O1504" s="27" t="s">
        <v>363</v>
      </c>
      <c r="P1504" s="107">
        <f t="shared" ref="P1504:R1504" si="4651">INDEX(P1491:P1503,MATCH(MAX($J1491:$J1503),$J1491:$J1503,0))</f>
        <v>62.22</v>
      </c>
      <c r="Q1504" s="107">
        <f t="shared" si="4651"/>
        <v>50</v>
      </c>
      <c r="R1504" s="107">
        <f t="shared" si="4651"/>
        <v>60.37</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f t="shared" ref="B1506" si="4652">LARGE(IFERROR(IF(B1504+1&gt;$H$8,"",B1504+1),""),1)</f>
        <v>72</v>
      </c>
      <c r="C1506" s="127">
        <f>IF(_xlfn.ISFORMULA(E1510),MAX(INDEX('BASE FORMAÇÃO'!A:A,B1506+1),1),E1510)</f>
        <v>1</v>
      </c>
      <c r="D1506" s="127">
        <f t="shared" ref="D1506" si="4653">IFERROR(IF(C1506=C1496,D1496+1,1),1)</f>
        <v>72</v>
      </c>
      <c r="E1506" s="38" t="s">
        <v>9</v>
      </c>
      <c r="F1506" s="73"/>
      <c r="G1506" s="38" t="s">
        <v>15</v>
      </c>
      <c r="H1506" s="135">
        <f>INDEX('BASE FORMAÇÃO'!B:B,B1506+1)</f>
        <v>0</v>
      </c>
      <c r="I1506" s="181" t="s">
        <v>16</v>
      </c>
      <c r="J1506" s="6">
        <f>INDEX('BASE FORMAÇÃO'!K:K,B1506+1)</f>
        <v>0</v>
      </c>
      <c r="K1506" s="65"/>
      <c r="L1506" s="184" t="s">
        <v>10</v>
      </c>
      <c r="M1506" s="186">
        <f t="shared" ref="M1506" si="4654">IF(OR(ISBLANK($O$8),ISBLANK($O$7),ISBLANK($H$8),ISBLANK($O$6),ISBLANK($O$5),ISBLANK($H$5)),"",IFERROR(IF(VLOOKUP(L1506,L1512:M1521,2,FALSE)&lt;1,ROUND(VLOOKUP(L1506,L1512:M1521,2,FALSE),4),ROUND(VLOOKUP(L1506,L1512:M1521,2,FALSE),2)),""))</f>
        <v>45.38</v>
      </c>
      <c r="N1506" s="69"/>
      <c r="O1506" s="27" t="s">
        <v>17</v>
      </c>
      <c r="P1506" s="113">
        <v>31.6</v>
      </c>
      <c r="Q1506" s="113">
        <v>50.63</v>
      </c>
      <c r="R1506" s="113">
        <v>53.9</v>
      </c>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f t="shared" ref="B1507:D1507" si="4655">B1506</f>
        <v>72</v>
      </c>
      <c r="C1507" s="128">
        <f t="shared" si="4655"/>
        <v>1</v>
      </c>
      <c r="D1507" s="127">
        <f t="shared" si="4655"/>
        <v>72</v>
      </c>
      <c r="E1507" s="188">
        <f t="shared" ref="E1507" si="4656">D1506</f>
        <v>72</v>
      </c>
      <c r="F1507" s="92"/>
      <c r="G1507" s="190" t="s">
        <v>1</v>
      </c>
      <c r="H1507" s="193" t="s">
        <v>717</v>
      </c>
      <c r="I1507" s="194"/>
      <c r="J1507" s="195"/>
      <c r="K1507" s="66"/>
      <c r="L1507" s="185"/>
      <c r="M1507" s="187"/>
      <c r="N1507" s="70"/>
      <c r="O1507" s="27" t="s">
        <v>13</v>
      </c>
      <c r="P1507" s="122">
        <v>46196</v>
      </c>
      <c r="Q1507" s="122">
        <v>46196</v>
      </c>
      <c r="R1507" s="122">
        <v>46196</v>
      </c>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f t="shared" ref="B1508:D1508" si="4657">B1507</f>
        <v>72</v>
      </c>
      <c r="C1508" s="128">
        <f t="shared" si="4657"/>
        <v>1</v>
      </c>
      <c r="D1508" s="127">
        <f t="shared" si="4657"/>
        <v>72</v>
      </c>
      <c r="E1508" s="189"/>
      <c r="F1508" s="93"/>
      <c r="G1508" s="191"/>
      <c r="H1508" s="196"/>
      <c r="I1508" s="196"/>
      <c r="J1508" s="197"/>
      <c r="K1508" s="64"/>
      <c r="L1508" s="130" t="s">
        <v>44</v>
      </c>
      <c r="M1508" s="131">
        <v>4</v>
      </c>
      <c r="N1508" s="71"/>
      <c r="O1508" s="27" t="s">
        <v>380</v>
      </c>
      <c r="P1508" s="114" t="s">
        <v>302</v>
      </c>
      <c r="Q1508" s="114" t="s">
        <v>302</v>
      </c>
      <c r="R1508" s="114" t="s">
        <v>302</v>
      </c>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f t="shared" ref="B1509:C1509" si="4658">B1508</f>
        <v>72</v>
      </c>
      <c r="C1509" s="128">
        <f t="shared" si="4658"/>
        <v>1</v>
      </c>
      <c r="D1509" s="127">
        <f t="shared" si="4604"/>
        <v>72</v>
      </c>
      <c r="E1509" s="38" t="s">
        <v>313</v>
      </c>
      <c r="F1509" s="93"/>
      <c r="G1509" s="192"/>
      <c r="H1509" s="198"/>
      <c r="I1509" s="198"/>
      <c r="J1509" s="199"/>
      <c r="K1509" s="64"/>
      <c r="L1509" s="1" t="s">
        <v>2</v>
      </c>
      <c r="M1509" s="6" t="s">
        <v>288</v>
      </c>
      <c r="N1509" s="71"/>
      <c r="O1509" s="27" t="s">
        <v>381</v>
      </c>
      <c r="P1509" s="182" t="s">
        <v>718</v>
      </c>
      <c r="Q1509" s="182" t="s">
        <v>719</v>
      </c>
      <c r="R1509" s="182" t="s">
        <v>720</v>
      </c>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f t="shared" ref="B1510:C1510" si="4659">B1508</f>
        <v>72</v>
      </c>
      <c r="C1510" s="128">
        <f t="shared" si="4659"/>
        <v>1</v>
      </c>
      <c r="D1510" s="127">
        <f t="shared" si="4604"/>
        <v>72</v>
      </c>
      <c r="E1510" s="200">
        <f t="shared" ref="E1510" si="4660">C1506</f>
        <v>1</v>
      </c>
      <c r="F1510" s="93"/>
      <c r="G1510" s="202" t="s">
        <v>304</v>
      </c>
      <c r="H1510" s="204"/>
      <c r="I1510" s="205"/>
      <c r="J1510" s="205"/>
      <c r="K1510" s="67"/>
      <c r="L1510" s="28" t="s">
        <v>303</v>
      </c>
      <c r="M1510" s="133">
        <f t="shared" ref="M1510" si="4661">IFERROR(INDEX(I1512:I1524,MATCH(MAX(J1512:J1524),J1512:J1524,0)),"")</f>
        <v>0.21668890721660888</v>
      </c>
      <c r="N1510" s="71"/>
      <c r="O1510" s="27" t="s">
        <v>18</v>
      </c>
      <c r="P1510" s="106">
        <f>IF(P1506="","",
IF(OR(P1508="Orçamento",P1507="",MAX('Tabela de Apoio'!$A:$A)&lt;=P1507),
P1506,
(INDEX('Tabela de Apoio'!$B:$B,MATCH('MAPA DE PREÇOS'!$O$8,'Tabela de Apoio'!$A:$A,1))/INDEX('Tabela de Apoio'!$B:$B,MATCH('MAPA DE PREÇOS'!P1507,'Tabela de Apoio'!$A:$A,1)-1))*P1506))</f>
        <v>31.6</v>
      </c>
      <c r="Q1510" s="106">
        <f>IF(Q1506="","",
IF(OR(Q1508="Orçamento",Q1507="",MAX('Tabela de Apoio'!$A:$A)&lt;=Q1507),
Q1506,
(INDEX('Tabela de Apoio'!$B:$B,MATCH('MAPA DE PREÇOS'!$O$8,'Tabela de Apoio'!$A:$A,1))/INDEX('Tabela de Apoio'!$B:$B,MATCH('MAPA DE PREÇOS'!Q1507,'Tabela de Apoio'!$A:$A,1)-1))*Q1506))</f>
        <v>50.63</v>
      </c>
      <c r="R1510" s="106">
        <f>IF(R1506="","",
IF(OR(R1508="Orçamento",R1507="",MAX('Tabela de Apoio'!$A:$A)&lt;=R1507),
R1506,
(INDEX('Tabela de Apoio'!$B:$B,MATCH('MAPA DE PREÇOS'!$O$8,'Tabela de Apoio'!$A:$A,1))/INDEX('Tabela de Apoio'!$B:$B,MATCH('MAPA DE PREÇOS'!R1507,'Tabela de Apoio'!$A:$A,1)-1))*R1506))</f>
        <v>53.9</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f t="shared" ref="B1511" si="4662">B1510</f>
        <v>72</v>
      </c>
      <c r="C1511" s="128">
        <f t="shared" ref="C1511" si="4663">C1510</f>
        <v>1</v>
      </c>
      <c r="D1511" s="127">
        <f t="shared" si="4604"/>
        <v>72</v>
      </c>
      <c r="E1511" s="201"/>
      <c r="F1511" s="93"/>
      <c r="G1511" s="203"/>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f t="shared" ref="B1512:C1512" si="4664">B1511</f>
        <v>72</v>
      </c>
      <c r="C1512" s="128">
        <f t="shared" si="4664"/>
        <v>1</v>
      </c>
      <c r="D1512" s="127">
        <f t="shared" si="4604"/>
        <v>72</v>
      </c>
      <c r="E1512" s="201"/>
      <c r="F1512" s="93"/>
      <c r="G1512" s="203"/>
      <c r="H1512" s="134">
        <f t="shared" ref="H1512" si="4665">COUNT($P1512:$XX1512)</f>
        <v>3</v>
      </c>
      <c r="I1512" s="132">
        <f t="shared" ref="I1512" si="4666">_xlfn.STDEV.P($P1511:$XX1512)/AVERAGE($P1511:$XX1512)</f>
        <v>0.21668890721660888</v>
      </c>
      <c r="J1512" s="7">
        <f>ROW()</f>
        <v>1512</v>
      </c>
      <c r="K1512" s="67"/>
      <c r="L1512" s="29" t="s">
        <v>10</v>
      </c>
      <c r="M1512" s="30">
        <f t="shared" ref="M1512" si="4667">IFERROR(
IF(COUNTA(P1506:AI1506)=COUNTIF(P1508:XX1508,"Orçamento"),MIN(M1517,M1514),
IF(M1515&lt;&gt;"",M1515,
IF(M1516&lt;&gt;"",M1516,
M1514
))),"")</f>
        <v>45.376666666666665</v>
      </c>
      <c r="N1512" s="71"/>
      <c r="O1512" s="27" t="s">
        <v>376</v>
      </c>
      <c r="P1512" s="106">
        <f t="shared" ref="P1512:AI1512" si="4668">IFERROR(IF(P1510="",
            "",
            IF(COUNT($P1510:$XX1510)&lt;=4,
               P1510,
               IF(OR(P1510&gt;(QUARTILE($P1510:$XX1510,3)+(QUARTILE($P1510:$XX1510,3)-QUARTILE($P1510:$XX1510,1))),
                     P1510&lt;(QUARTILE($P1510:$XX1510,1)-(QUARTILE($P1510:$XX1510,3)-QUARTILE($P1510:$XX1510,1)))
                  ),
               "DESCARTADO",P1510)
             )
  ),P1510)</f>
        <v>31.6</v>
      </c>
      <c r="Q1512" s="106">
        <f t="shared" si="4668"/>
        <v>50.63</v>
      </c>
      <c r="R1512" s="106">
        <f t="shared" si="4668"/>
        <v>53.9</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f t="shared" ref="B1513" si="4669">B1512</f>
        <v>72</v>
      </c>
      <c r="C1513" s="128">
        <f t="shared" ref="C1513" si="4670">C1512</f>
        <v>1</v>
      </c>
      <c r="D1513" s="127">
        <f t="shared" si="4604"/>
        <v>72</v>
      </c>
      <c r="E1513" s="201"/>
      <c r="F1513" s="93"/>
      <c r="G1513" s="203"/>
      <c r="H1513"/>
      <c r="I1513"/>
      <c r="J1513"/>
      <c r="K1513" s="66"/>
      <c r="L1513" s="29" t="s">
        <v>360</v>
      </c>
      <c r="M1513" s="30">
        <f t="shared" ref="M1513" si="4671">AVERAGE($P1512:$XX1512)</f>
        <v>45.376666666666665</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f t="shared" si="4603"/>
        <v>72</v>
      </c>
      <c r="C1514" s="128">
        <f t="shared" si="4604"/>
        <v>1</v>
      </c>
      <c r="D1514" s="127">
        <f t="shared" si="4604"/>
        <v>72</v>
      </c>
      <c r="E1514" s="201"/>
      <c r="F1514" s="93"/>
      <c r="G1514" s="203"/>
      <c r="H1514" s="134">
        <f t="shared" ref="H1514" si="4673">COUNT($P1514:$XX1514)</f>
        <v>3</v>
      </c>
      <c r="I1514" s="132">
        <f t="shared" ref="I1514" si="4674">_xlfn.STDEV.P($P1513:$XX1514)/AVERAGE($P1513:$XX1514)</f>
        <v>0.21668890721660888</v>
      </c>
      <c r="J1514" s="7">
        <f t="shared" ref="J1514" si="4675">IF(AND(H1514&gt;2,
OR(L1506="MÉDIA SANEADA",L1506="MEDIANA SANEADA",
AND(L1506="PREÇO ESTIMADO",NOT(AND(P1508="Orçamento",COUNTA(P1506:XX1506)=COUNTIF(P1508:XX1508,"Orçamento")))))),
ROW(),0)</f>
        <v>1514</v>
      </c>
      <c r="K1514" s="66"/>
      <c r="L1514" s="29" t="s">
        <v>361</v>
      </c>
      <c r="M1514" s="30">
        <f t="shared" ref="M1514" si="4676">MEDIAN($P1512:$XX1512)</f>
        <v>50.63</v>
      </c>
      <c r="N1514" s="71"/>
      <c r="O1514" s="27" t="str">
        <f t="shared" ref="O1514" si="4677">"1 RODADA"</f>
        <v>1 RODADA</v>
      </c>
      <c r="P1514" s="107">
        <f t="shared" ref="P1514:AI1514" si="4678">IF(P1512="","",IF((_xlfn.STDEV.P($P1511:$XX1512)/AVERAGE($P1511:$XX1512))&lt;=25%,P1512,IF(OR(P1512&gt;(AVERAGE($P1511:$XX1512)+_xlfn.STDEV.P($P1511:$XX1512)),P1512&lt;(AVERAGE($P1511:$XX1512)-_xlfn.STDEV.P($P1511:$XX1512))),"DESCARTADO",P1512)))</f>
        <v>31.6</v>
      </c>
      <c r="Q1514" s="107">
        <f t="shared" si="4678"/>
        <v>50.63</v>
      </c>
      <c r="R1514" s="107">
        <f t="shared" si="4678"/>
        <v>53.9</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f t="shared" si="4603"/>
        <v>72</v>
      </c>
      <c r="C1515" s="128">
        <f t="shared" si="4604"/>
        <v>1</v>
      </c>
      <c r="D1515" s="127">
        <f t="shared" si="4604"/>
        <v>72</v>
      </c>
      <c r="E1515" s="201"/>
      <c r="F1515" s="93"/>
      <c r="G1515" s="203"/>
      <c r="H1515"/>
      <c r="I1515"/>
      <c r="J1515"/>
      <c r="L1515" s="29" t="s">
        <v>38</v>
      </c>
      <c r="M1515" s="30">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45.376666666666665</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f t="shared" si="4603"/>
        <v>72</v>
      </c>
      <c r="C1516" s="128">
        <f t="shared" si="4604"/>
        <v>1</v>
      </c>
      <c r="D1516" s="127">
        <f t="shared" si="4604"/>
        <v>72</v>
      </c>
      <c r="E1516" s="201"/>
      <c r="F1516" s="93"/>
      <c r="G1516" s="203"/>
      <c r="H1516" s="134">
        <f t="shared" ref="H1516" si="4681">COUNT($P1516:$XX1516)</f>
        <v>3</v>
      </c>
      <c r="I1516" s="132">
        <f t="shared" ref="I1516" si="4682">_xlfn.STDEV.P($P1515:$XX1516)/AVERAGE($P1515:$XX1516)</f>
        <v>0.21668890721660888</v>
      </c>
      <c r="J1516" s="7">
        <f t="shared" ref="J1516" si="4683">IF(AND(H1516&gt;2,
OR(L1506="MÉDIA SANEADA",L1506="MEDIANA SANEADA",
AND(L1506="PREÇO ESTIMADO",NOT(AND(P1508="Orçamento",COUNTA(P1506:XX1506)=COUNTIF(P1508:XX1508,"Orçamento")))))),
ROW(),0)</f>
        <v>1516</v>
      </c>
      <c r="K1516" s="66"/>
      <c r="L1516" s="29" t="s">
        <v>362</v>
      </c>
      <c r="M1516" s="30">
        <f t="shared" ref="M1516" si="4684" xml:space="preserve">
IF(H1514&gt;2,MEDIAN(P1513:XX1514),
IF(H1516&gt;2,MEDIAN(P1515:XX1516),
IF(H1518&gt;2,MEDIAN(P1517:XX1518),
IF(H1520&gt;2,MEDIAN(P1519:XX1520),
IF(H1522&gt;2,MEDIAN(P1521:XX1522),
IF(H1524&gt;2,MEDIAN(P1523:XX1524),
MEDIAN(P1511:XX1512)))))))</f>
        <v>50.63</v>
      </c>
      <c r="N1516" s="71"/>
      <c r="O1516" s="27" t="str">
        <f t="shared" ref="O1516" si="4685">"2 RODADA"</f>
        <v>2 RODADA</v>
      </c>
      <c r="P1516" s="107">
        <f t="shared" ref="P1516:AI1516" si="4686">IF(P1514="","",IF((_xlfn.STDEV.P($P1513:$XX1514)/AVERAGE($P1513:$XX1514))&lt;=25%,P1514,IF(OR(P1514&gt;(AVERAGE($P1513:$XX1514)+_xlfn.STDEV.P($P1513:$XX1514)),P1514&lt;(AVERAGE($P1513:$XX1514)-_xlfn.STDEV.P($P1513:$XX1514))),"DESCARTADO",P1514)))</f>
        <v>31.6</v>
      </c>
      <c r="Q1516" s="107">
        <f t="shared" si="4686"/>
        <v>50.63</v>
      </c>
      <c r="R1516" s="107">
        <f t="shared" si="4686"/>
        <v>53.9</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f t="shared" si="4603"/>
        <v>72</v>
      </c>
      <c r="C1517" s="128">
        <f t="shared" si="4604"/>
        <v>1</v>
      </c>
      <c r="D1517" s="127">
        <f t="shared" si="4604"/>
        <v>72</v>
      </c>
      <c r="E1517" s="201"/>
      <c r="F1517" s="93"/>
      <c r="G1517" s="203"/>
      <c r="H1517"/>
      <c r="I1517"/>
      <c r="J1517"/>
      <c r="K1517" s="66"/>
      <c r="L1517" s="29" t="s">
        <v>359</v>
      </c>
      <c r="M1517" s="30">
        <f t="shared" ref="M1517" si="4687">HARMEAN($P1511:$XX1512)</f>
        <v>42.88803387872062</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f t="shared" si="4603"/>
        <v>72</v>
      </c>
      <c r="C1518" s="128">
        <f t="shared" si="4604"/>
        <v>1</v>
      </c>
      <c r="D1518" s="127">
        <f t="shared" si="4604"/>
        <v>72</v>
      </c>
      <c r="E1518" s="201"/>
      <c r="F1518" s="93"/>
      <c r="G1518" s="203"/>
      <c r="H1518" s="134">
        <f t="shared" ref="H1518" si="4689">COUNT($P1518:$XX1518)</f>
        <v>3</v>
      </c>
      <c r="I1518" s="132">
        <f t="shared" ref="I1518" si="4690">_xlfn.STDEV.P($P1517:$XX1518)/AVERAGE($P1517:$XX1518)</f>
        <v>0.21668890721660888</v>
      </c>
      <c r="J1518" s="7">
        <f t="shared" ref="J1518" si="4691">IF(AND(H1518&gt;2,
OR(L1506="MÉDIA SANEADA",L1506="MEDIANA SANEADA",
AND(L1506="PREÇO ESTIMADO",NOT(AND(P1508="Orçamento",COUNTA(P1506:XX1506)=COUNTIF(P1508:XX1508,"Orçamento")))))),
ROW(),0)</f>
        <v>1518</v>
      </c>
      <c r="K1518" s="66"/>
      <c r="L1518" s="29" t="s">
        <v>41</v>
      </c>
      <c r="M1518" s="30">
        <f t="shared" ref="M1518" si="4692">IFERROR(_xlfn.QUARTILE.EXC($P1512:$XX1512,1),"")</f>
        <v>31.6</v>
      </c>
      <c r="N1518" s="71"/>
      <c r="O1518" s="27" t="str">
        <f t="shared" ref="O1518" si="4693">"3 RODADA"</f>
        <v>3 RODADA</v>
      </c>
      <c r="P1518" s="107">
        <f t="shared" ref="P1518:AI1518" si="4694">IF(P1516="","",IF((_xlfn.STDEV.P($P1515:$XX1516)/AVERAGE($P1515:$XX1516))&lt;=25%,P1516,IF(OR(P1516&gt;(AVERAGE($P1515:$XX1516)+_xlfn.STDEV.P($P1515:$XX1516)),P1516&lt;(AVERAGE($P1515:$XX1516)-_xlfn.STDEV.P($P1515:$XX1516))),"DESCARTADO",P1516)))</f>
        <v>31.6</v>
      </c>
      <c r="Q1518" s="107">
        <f t="shared" si="4694"/>
        <v>50.63</v>
      </c>
      <c r="R1518" s="107">
        <f t="shared" si="4694"/>
        <v>53.9</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f t="shared" si="4603"/>
        <v>72</v>
      </c>
      <c r="C1519" s="128">
        <f t="shared" si="4604"/>
        <v>1</v>
      </c>
      <c r="D1519" s="127">
        <f t="shared" si="4604"/>
        <v>72</v>
      </c>
      <c r="E1519" s="201"/>
      <c r="F1519" s="93"/>
      <c r="G1519" s="203"/>
      <c r="H1519"/>
      <c r="I1519"/>
      <c r="J1519"/>
      <c r="K1519" s="66"/>
      <c r="L1519" s="29" t="s">
        <v>39</v>
      </c>
      <c r="M1519" s="30">
        <f t="shared" ref="M1519" si="4695">IFERROR(_xlfn.QUARTILE.EXC($P1512:$XX1512,3),"")</f>
        <v>53.9</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f t="shared" si="4603"/>
        <v>72</v>
      </c>
      <c r="C1520" s="128">
        <f t="shared" si="4604"/>
        <v>1</v>
      </c>
      <c r="D1520" s="127">
        <f t="shared" si="4604"/>
        <v>72</v>
      </c>
      <c r="E1520" s="201"/>
      <c r="F1520" s="93"/>
      <c r="G1520" s="203"/>
      <c r="H1520" s="134">
        <f t="shared" ref="H1520" si="4697">COUNT($P1520:$XX1520)</f>
        <v>3</v>
      </c>
      <c r="I1520" s="132">
        <f t="shared" ref="I1520" si="4698">_xlfn.STDEV.P($P1519:$XX1520)/AVERAGE($P1519:$XX1520)</f>
        <v>0.21668890721660888</v>
      </c>
      <c r="J1520" s="7">
        <f t="shared" ref="J1520" si="4699">IF(AND(H1520&gt;2,
OR(L1506="MÉDIA SANEADA",L1506="MEDIANA SANEADA",
AND(L1506="PREÇO ESTIMADO",NOT(AND(P1508="Orçamento",COUNTA(P1506:XX1506)=COUNTIF(P1508:XX1508,"Orçamento")))))),
ROW(),0)</f>
        <v>1520</v>
      </c>
      <c r="K1520" s="66"/>
      <c r="L1520" s="29" t="s">
        <v>42</v>
      </c>
      <c r="M1520" s="30">
        <f t="shared" ref="M1520" si="4700">MIN($P1512:$XX1512)</f>
        <v>31.6</v>
      </c>
      <c r="N1520" s="71"/>
      <c r="O1520" s="27" t="str">
        <f t="shared" ref="O1520" si="4701">"4 RODADA"</f>
        <v>4 RODADA</v>
      </c>
      <c r="P1520" s="107">
        <f t="shared" ref="P1520:AI1520" si="4702">IF(P1518="","",IF((_xlfn.STDEV.P($P1517:$XX1518)/AVERAGE($P1517:$XX1518))&lt;=25%,P1518,IF(OR(P1518&gt;(AVERAGE($P1517:$XX1518)+_xlfn.STDEV.P($P1517:$XX1518)),P1518&lt;(AVERAGE($P1517:$XX1518)-_xlfn.STDEV.P($P1517:$XX1518))),"DESCARTADO",P1518)))</f>
        <v>31.6</v>
      </c>
      <c r="Q1520" s="107">
        <f t="shared" si="4702"/>
        <v>50.63</v>
      </c>
      <c r="R1520" s="107">
        <f t="shared" si="4702"/>
        <v>53.9</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f t="shared" si="4603"/>
        <v>72</v>
      </c>
      <c r="C1521" s="128">
        <f t="shared" si="4604"/>
        <v>1</v>
      </c>
      <c r="D1521" s="127">
        <f t="shared" si="4604"/>
        <v>72</v>
      </c>
      <c r="E1521" s="201"/>
      <c r="F1521" s="93"/>
      <c r="G1521" s="203"/>
      <c r="H1521"/>
      <c r="I1521"/>
      <c r="J1521"/>
      <c r="K1521" s="66"/>
      <c r="L1521" s="29" t="s">
        <v>40</v>
      </c>
      <c r="M1521" s="30">
        <f t="shared" ref="M1521" si="4703">MAX($P1512:$XX1512)</f>
        <v>53.9</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f t="shared" si="4603"/>
        <v>72</v>
      </c>
      <c r="C1522" s="128">
        <f t="shared" si="4604"/>
        <v>1</v>
      </c>
      <c r="D1522" s="127">
        <f t="shared" si="4604"/>
        <v>72</v>
      </c>
      <c r="E1522" s="201"/>
      <c r="F1522" s="93"/>
      <c r="G1522" s="203"/>
      <c r="H1522" s="134">
        <f t="shared" ref="H1522" si="4705">COUNT($P1522:$XX1522)</f>
        <v>3</v>
      </c>
      <c r="I1522" s="132">
        <f t="shared" ref="I1522" si="4706">_xlfn.STDEV.P($P1521:$XX1522)/AVERAGE($P1521:$XX1522)</f>
        <v>0.21668890721660888</v>
      </c>
      <c r="J1522" s="7">
        <f t="shared" ref="J1522" si="4707">IF(AND(H1522&gt;2,
OR(L1506="MÉDIA SANEADA",L1506="MEDIANA SANEADA",
AND(L1506="PREÇO ESTIMADO",NOT(AND(P1508="Orçamento",COUNTA(P1506:XX1506)=COUNTIF(P1508:XX1508,"Orçamento")))))),
ROW(),0)</f>
        <v>1522</v>
      </c>
      <c r="K1522" s="66"/>
      <c r="N1522" s="71"/>
      <c r="O1522" s="27" t="str">
        <f t="shared" ref="O1522" si="4708">"5 RODADA"</f>
        <v>5 RODADA</v>
      </c>
      <c r="P1522" s="107">
        <f t="shared" ref="P1522:AI1522" si="4709">IF(P1520="","",IF((_xlfn.STDEV.P($P1519:$XX1520)/AVERAGE($P1519:$XX1520))&lt;=25%,P1520,IF(OR(P1520&gt;(AVERAGE($P1519:$XX1520)+_xlfn.STDEV.P($P1519:$XX1520)),P1520&lt;(AVERAGE($P1519:$XX1520)-_xlfn.STDEV.P($P1519:$XX1520))),"DESCARTADO",P1520)))</f>
        <v>31.6</v>
      </c>
      <c r="Q1522" s="107">
        <f t="shared" si="4709"/>
        <v>50.63</v>
      </c>
      <c r="R1522" s="107">
        <f t="shared" si="4709"/>
        <v>53.9</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f t="shared" si="4603"/>
        <v>72</v>
      </c>
      <c r="C1523" s="128">
        <f t="shared" si="4604"/>
        <v>1</v>
      </c>
      <c r="D1523" s="127">
        <f t="shared" si="4604"/>
        <v>72</v>
      </c>
      <c r="E1523" s="201"/>
      <c r="F1523" s="93"/>
      <c r="G1523" s="203"/>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f t="shared" si="4603"/>
        <v>72</v>
      </c>
      <c r="C1524" s="128">
        <f t="shared" si="4604"/>
        <v>1</v>
      </c>
      <c r="D1524" s="127">
        <f t="shared" si="4604"/>
        <v>72</v>
      </c>
      <c r="E1524" s="201"/>
      <c r="F1524" s="93"/>
      <c r="G1524" s="203"/>
      <c r="H1524" s="134">
        <f t="shared" ref="H1524" si="4711">COUNT($P1524:$XX1524)</f>
        <v>3</v>
      </c>
      <c r="I1524" s="132">
        <f t="shared" ref="I1524" si="4712">_xlfn.STDEV.P($P1523:$XX1524)/AVERAGE($P1523:$XX1524)</f>
        <v>0.21668890721660888</v>
      </c>
      <c r="J1524" s="7">
        <f t="shared" ref="J1524" si="4713">IF(AND(H1524&gt;2,
OR(L1506="MÉDIA SANEADA",L1506="MEDIANA SANEADA",
AND(L1506="PREÇO ESTIMADO",NOT(AND(P1508="Orçamento",COUNTA(P1506:XX1506)=COUNTIF(P1508:XX1508,"Orçamento")))))),
ROW(),0)</f>
        <v>1524</v>
      </c>
      <c r="N1524" s="71"/>
      <c r="O1524" s="27" t="str">
        <f t="shared" ref="O1524" si="4714">"6 RODADA"</f>
        <v>6 RODADA</v>
      </c>
      <c r="P1524" s="107">
        <f t="shared" ref="P1524:AI1524" si="4715">IFERROR(IF(P1522="","",IF((_xlfn.STDEV.P($P1521:$XX1522)/AVERAGE($P1521:$XX1522))&lt;=25%,P1522,IF(OR(P1522&gt;(AVERAGE($P1521:$XX1522)+_xlfn.STDEV.P($P1521:$XX1522)),P1522&lt;(AVERAGE($P1521:$XX1522)-_xlfn.STDEV.P($P1521:$XX1522))),"DESCARTADO",P1522))),)</f>
        <v>31.6</v>
      </c>
      <c r="Q1524" s="107">
        <f t="shared" si="4715"/>
        <v>50.63</v>
      </c>
      <c r="R1524" s="107">
        <f t="shared" si="4715"/>
        <v>53.9</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f t="shared" si="4603"/>
        <v>72</v>
      </c>
      <c r="C1525" s="128">
        <f t="shared" si="4604"/>
        <v>1</v>
      </c>
      <c r="D1525" s="127">
        <f t="shared" si="4604"/>
        <v>72</v>
      </c>
      <c r="E1525" s="201"/>
      <c r="F1525" s="136"/>
      <c r="G1525" s="203"/>
      <c r="H1525" s="206"/>
      <c r="I1525" s="206"/>
      <c r="J1525" s="207"/>
      <c r="K1525" s="67"/>
      <c r="L1525" s="1" t="s">
        <v>43</v>
      </c>
      <c r="M1525" s="143">
        <f t="shared" ref="M1525" si="4716">IFERROR(ROUND(M1506*M1508,2),"")</f>
        <v>181.52</v>
      </c>
      <c r="O1525" s="27" t="s">
        <v>363</v>
      </c>
      <c r="P1525" s="107">
        <f t="shared" ref="P1525:AI1546" si="4717">INDEX(P1512:P1524,MATCH(MAX($J1512:$J1524),$J1512:$J1524,0))</f>
        <v>31.6</v>
      </c>
      <c r="Q1525" s="107">
        <f t="shared" si="4717"/>
        <v>50.63</v>
      </c>
      <c r="R1525" s="107">
        <f t="shared" si="4717"/>
        <v>53.9</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f t="shared" ref="B1527" si="4718">LARGE(IFERROR(IF(B1525+1&gt;$H$8,"",B1525+1),""),1)</f>
        <v>73</v>
      </c>
      <c r="C1527" s="127">
        <f>IF(_xlfn.ISFORMULA(E1531),MAX(INDEX('BASE FORMAÇÃO'!A:A,B1527+1),1),E1531)</f>
        <v>1</v>
      </c>
      <c r="D1527" s="127">
        <f t="shared" ref="D1527" si="4719">IFERROR(IF(C1527=C1517,D1517+1,1),1)</f>
        <v>73</v>
      </c>
      <c r="E1527" s="38" t="s">
        <v>9</v>
      </c>
      <c r="F1527" s="73"/>
      <c r="G1527" s="38" t="s">
        <v>15</v>
      </c>
      <c r="H1527" s="135">
        <f>INDEX('BASE FORMAÇÃO'!B:B,B1527+1)</f>
        <v>0</v>
      </c>
      <c r="I1527" s="181" t="s">
        <v>16</v>
      </c>
      <c r="J1527" s="6">
        <f>INDEX('BASE FORMAÇÃO'!K:K,B1527+1)</f>
        <v>0</v>
      </c>
      <c r="K1527" s="65"/>
      <c r="L1527" s="184" t="s">
        <v>10</v>
      </c>
      <c r="M1527" s="186">
        <f t="shared" ref="M1527" si="4720">IF(OR(ISBLANK($O$8),ISBLANK($O$7),ISBLANK($H$8),ISBLANK($O$6),ISBLANK($O$5),ISBLANK($H$5)),"",IFERROR(IF(VLOOKUP(L1527,L1533:M1542,2,FALSE)&lt;1,ROUND(VLOOKUP(L1527,L1533:M1542,2,FALSE),4),ROUND(VLOOKUP(L1527,L1533:M1542,2,FALSE),2)),""))</f>
        <v>16.29</v>
      </c>
      <c r="N1527" s="69"/>
      <c r="O1527" s="27" t="s">
        <v>17</v>
      </c>
      <c r="P1527" s="113">
        <v>15.43</v>
      </c>
      <c r="Q1527" s="113">
        <v>12.45</v>
      </c>
      <c r="R1527" s="113">
        <v>20.99</v>
      </c>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f t="shared" ref="B1528:D1528" si="4721">B1527</f>
        <v>73</v>
      </c>
      <c r="C1528" s="128">
        <f t="shared" si="4721"/>
        <v>1</v>
      </c>
      <c r="D1528" s="127">
        <f t="shared" si="4721"/>
        <v>73</v>
      </c>
      <c r="E1528" s="188">
        <f t="shared" ref="E1528" si="4722">D1527</f>
        <v>73</v>
      </c>
      <c r="F1528" s="92"/>
      <c r="G1528" s="190" t="s">
        <v>1</v>
      </c>
      <c r="H1528" s="193" t="s">
        <v>725</v>
      </c>
      <c r="I1528" s="194"/>
      <c r="J1528" s="195"/>
      <c r="K1528" s="66"/>
      <c r="L1528" s="185"/>
      <c r="M1528" s="187"/>
      <c r="N1528" s="70"/>
      <c r="O1528" s="27" t="s">
        <v>13</v>
      </c>
      <c r="P1528" s="122">
        <v>46196</v>
      </c>
      <c r="Q1528" s="122">
        <v>46196</v>
      </c>
      <c r="R1528" s="122">
        <v>46196</v>
      </c>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f t="shared" ref="B1529:D1529" si="4723">B1528</f>
        <v>73</v>
      </c>
      <c r="C1529" s="128">
        <f t="shared" si="4723"/>
        <v>1</v>
      </c>
      <c r="D1529" s="127">
        <f t="shared" si="4723"/>
        <v>73</v>
      </c>
      <c r="E1529" s="189"/>
      <c r="F1529" s="93"/>
      <c r="G1529" s="191"/>
      <c r="H1529" s="196"/>
      <c r="I1529" s="196"/>
      <c r="J1529" s="197"/>
      <c r="K1529" s="64"/>
      <c r="L1529" s="130" t="s">
        <v>44</v>
      </c>
      <c r="M1529" s="131">
        <v>4</v>
      </c>
      <c r="N1529" s="71"/>
      <c r="O1529" s="27" t="s">
        <v>380</v>
      </c>
      <c r="P1529" s="114" t="s">
        <v>302</v>
      </c>
      <c r="Q1529" s="114" t="s">
        <v>302</v>
      </c>
      <c r="R1529" s="114" t="s">
        <v>302</v>
      </c>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f t="shared" ref="B1530:C1530" si="4724">B1529</f>
        <v>73</v>
      </c>
      <c r="C1530" s="128">
        <f t="shared" si="4724"/>
        <v>1</v>
      </c>
      <c r="D1530" s="127">
        <f t="shared" si="4604"/>
        <v>73</v>
      </c>
      <c r="E1530" s="38" t="s">
        <v>313</v>
      </c>
      <c r="F1530" s="93"/>
      <c r="G1530" s="192"/>
      <c r="H1530" s="198"/>
      <c r="I1530" s="198"/>
      <c r="J1530" s="199"/>
      <c r="K1530" s="64"/>
      <c r="L1530" s="1" t="s">
        <v>2</v>
      </c>
      <c r="M1530" s="6" t="s">
        <v>288</v>
      </c>
      <c r="N1530" s="71"/>
      <c r="O1530" s="27" t="s">
        <v>381</v>
      </c>
      <c r="P1530" s="182" t="s">
        <v>721</v>
      </c>
      <c r="Q1530" s="182" t="s">
        <v>722</v>
      </c>
      <c r="R1530" s="182" t="s">
        <v>723</v>
      </c>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f t="shared" ref="B1531:C1531" si="4725">B1529</f>
        <v>73</v>
      </c>
      <c r="C1531" s="128">
        <f t="shared" si="4725"/>
        <v>1</v>
      </c>
      <c r="D1531" s="127">
        <f t="shared" si="4604"/>
        <v>73</v>
      </c>
      <c r="E1531" s="200">
        <f t="shared" ref="E1531" si="4726">C1527</f>
        <v>1</v>
      </c>
      <c r="F1531" s="93"/>
      <c r="G1531" s="202" t="s">
        <v>304</v>
      </c>
      <c r="H1531" s="204"/>
      <c r="I1531" s="205"/>
      <c r="J1531" s="205"/>
      <c r="K1531" s="67"/>
      <c r="L1531" s="28" t="s">
        <v>303</v>
      </c>
      <c r="M1531" s="133">
        <f t="shared" ref="M1531" si="4727">IFERROR(INDEX(I1533:I1545,MATCH(MAX(J1533:J1545),J1533:J1545,0)),"")</f>
        <v>0.21725457903629172</v>
      </c>
      <c r="N1531" s="71"/>
      <c r="O1531" s="27" t="s">
        <v>18</v>
      </c>
      <c r="P1531" s="106">
        <f>IF(P1527="","",
IF(OR(P1529="Orçamento",P1528="",MAX('Tabela de Apoio'!$A:$A)&lt;=P1528),
P1527,
(INDEX('Tabela de Apoio'!$B:$B,MATCH('MAPA DE PREÇOS'!$O$8,'Tabela de Apoio'!$A:$A,1))/INDEX('Tabela de Apoio'!$B:$B,MATCH('MAPA DE PREÇOS'!P1528,'Tabela de Apoio'!$A:$A,1)-1))*P1527))</f>
        <v>15.43</v>
      </c>
      <c r="Q1531" s="106">
        <f>IF(Q1527="","",
IF(OR(Q1529="Orçamento",Q1528="",MAX('Tabela de Apoio'!$A:$A)&lt;=Q1528),
Q1527,
(INDEX('Tabela de Apoio'!$B:$B,MATCH('MAPA DE PREÇOS'!$O$8,'Tabela de Apoio'!$A:$A,1))/INDEX('Tabela de Apoio'!$B:$B,MATCH('MAPA DE PREÇOS'!Q1528,'Tabela de Apoio'!$A:$A,1)-1))*Q1527))</f>
        <v>12.45</v>
      </c>
      <c r="R1531" s="106">
        <f>IF(R1527="","",
IF(OR(R1529="Orçamento",R1528="",MAX('Tabela de Apoio'!$A:$A)&lt;=R1528),
R1527,
(INDEX('Tabela de Apoio'!$B:$B,MATCH('MAPA DE PREÇOS'!$O$8,'Tabela de Apoio'!$A:$A,1))/INDEX('Tabela de Apoio'!$B:$B,MATCH('MAPA DE PREÇOS'!R1528,'Tabela de Apoio'!$A:$A,1)-1))*R1527))</f>
        <v>20.99</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f t="shared" ref="B1532" si="4728">B1531</f>
        <v>73</v>
      </c>
      <c r="C1532" s="128">
        <f t="shared" ref="C1532" si="4729">C1531</f>
        <v>1</v>
      </c>
      <c r="D1532" s="127">
        <f t="shared" si="4604"/>
        <v>73</v>
      </c>
      <c r="E1532" s="201"/>
      <c r="F1532" s="93"/>
      <c r="G1532" s="203"/>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f t="shared" ref="B1533:C1533" si="4730">B1532</f>
        <v>73</v>
      </c>
      <c r="C1533" s="128">
        <f t="shared" si="4730"/>
        <v>1</v>
      </c>
      <c r="D1533" s="127">
        <f t="shared" si="4604"/>
        <v>73</v>
      </c>
      <c r="E1533" s="201"/>
      <c r="F1533" s="93"/>
      <c r="G1533" s="203"/>
      <c r="H1533" s="134">
        <f t="shared" ref="H1533" si="4731">COUNT($P1533:$XX1533)</f>
        <v>3</v>
      </c>
      <c r="I1533" s="132">
        <f t="shared" ref="I1533" si="4732">_xlfn.STDEV.P($P1532:$XX1533)/AVERAGE($P1532:$XX1533)</f>
        <v>0.21725457903629172</v>
      </c>
      <c r="J1533" s="7">
        <f>ROW()</f>
        <v>1533</v>
      </c>
      <c r="K1533" s="67"/>
      <c r="L1533" s="29" t="s">
        <v>10</v>
      </c>
      <c r="M1533" s="30">
        <f t="shared" ref="M1533" si="4733">IFERROR(
IF(COUNTA(P1527:AI1527)=COUNTIF(P1529:XX1529,"Orçamento"),MIN(M1538,M1535),
IF(M1536&lt;&gt;"",M1536,
IF(M1537&lt;&gt;"",M1537,
M1535
))),"")</f>
        <v>16.29</v>
      </c>
      <c r="N1533" s="71"/>
      <c r="O1533" s="27" t="s">
        <v>376</v>
      </c>
      <c r="P1533" s="106">
        <f t="shared" ref="P1533:AI1533" si="4734">IFERROR(IF(P1531="",
            "",
            IF(COUNT($P1531:$XX1531)&lt;=4,
               P1531,
               IF(OR(P1531&gt;(QUARTILE($P1531:$XX1531,3)+(QUARTILE($P1531:$XX1531,3)-QUARTILE($P1531:$XX1531,1))),
                     P1531&lt;(QUARTILE($P1531:$XX1531,1)-(QUARTILE($P1531:$XX1531,3)-QUARTILE($P1531:$XX1531,1)))
                  ),
               "DESCARTADO",P1531)
             )
  ),P1531)</f>
        <v>15.43</v>
      </c>
      <c r="Q1533" s="106">
        <f t="shared" si="4734"/>
        <v>12.45</v>
      </c>
      <c r="R1533" s="106">
        <f t="shared" si="4734"/>
        <v>20.99</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f t="shared" ref="B1534" si="4735">B1533</f>
        <v>73</v>
      </c>
      <c r="C1534" s="128">
        <f t="shared" ref="C1534" si="4736">C1533</f>
        <v>1</v>
      </c>
      <c r="D1534" s="127">
        <f t="shared" si="4604"/>
        <v>73</v>
      </c>
      <c r="E1534" s="201"/>
      <c r="F1534" s="93"/>
      <c r="G1534" s="203"/>
      <c r="H1534"/>
      <c r="I1534"/>
      <c r="J1534"/>
      <c r="K1534" s="66"/>
      <c r="L1534" s="29" t="s">
        <v>360</v>
      </c>
      <c r="M1534" s="30">
        <f t="shared" ref="M1534" si="4737">AVERAGE($P1533:$XX1533)</f>
        <v>16.29</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f t="shared" si="4603"/>
        <v>73</v>
      </c>
      <c r="C1535" s="128">
        <f t="shared" si="4604"/>
        <v>1</v>
      </c>
      <c r="D1535" s="127">
        <f t="shared" si="4604"/>
        <v>73</v>
      </c>
      <c r="E1535" s="201"/>
      <c r="F1535" s="93"/>
      <c r="G1535" s="203"/>
      <c r="H1535" s="134">
        <f t="shared" ref="H1535" si="4739">COUNT($P1535:$XX1535)</f>
        <v>3</v>
      </c>
      <c r="I1535" s="132">
        <f t="shared" ref="I1535" si="4740">_xlfn.STDEV.P($P1534:$XX1535)/AVERAGE($P1534:$XX1535)</f>
        <v>0.21725457903629172</v>
      </c>
      <c r="J1535" s="7">
        <f t="shared" ref="J1535" si="4741">IF(AND(H1535&gt;2,
OR(L1527="MÉDIA SANEADA",L1527="MEDIANA SANEADA",
AND(L1527="PREÇO ESTIMADO",NOT(AND(P1529="Orçamento",COUNTA(P1527:XX1527)=COUNTIF(P1529:XX1529,"Orçamento")))))),
ROW(),0)</f>
        <v>1535</v>
      </c>
      <c r="K1535" s="66"/>
      <c r="L1535" s="29" t="s">
        <v>361</v>
      </c>
      <c r="M1535" s="30">
        <f t="shared" ref="M1535" si="4742">MEDIAN($P1533:$XX1533)</f>
        <v>15.43</v>
      </c>
      <c r="N1535" s="71"/>
      <c r="O1535" s="27" t="str">
        <f t="shared" ref="O1535" si="4743">"1 RODADA"</f>
        <v>1 RODADA</v>
      </c>
      <c r="P1535" s="107">
        <f t="shared" ref="P1535:AI1535" si="4744">IF(P1533="","",IF((_xlfn.STDEV.P($P1532:$XX1533)/AVERAGE($P1532:$XX1533))&lt;=25%,P1533,IF(OR(P1533&gt;(AVERAGE($P1532:$XX1533)+_xlfn.STDEV.P($P1532:$XX1533)),P1533&lt;(AVERAGE($P1532:$XX1533)-_xlfn.STDEV.P($P1532:$XX1533))),"DESCARTADO",P1533)))</f>
        <v>15.43</v>
      </c>
      <c r="Q1535" s="107">
        <f t="shared" si="4744"/>
        <v>12.45</v>
      </c>
      <c r="R1535" s="107">
        <f t="shared" si="4744"/>
        <v>20.99</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f t="shared" si="4603"/>
        <v>73</v>
      </c>
      <c r="C1536" s="128">
        <f t="shared" si="4604"/>
        <v>1</v>
      </c>
      <c r="D1536" s="127">
        <f t="shared" si="4604"/>
        <v>73</v>
      </c>
      <c r="E1536" s="201"/>
      <c r="F1536" s="93"/>
      <c r="G1536" s="203"/>
      <c r="H1536"/>
      <c r="I1536"/>
      <c r="J1536"/>
      <c r="L1536" s="29" t="s">
        <v>38</v>
      </c>
      <c r="M1536" s="30">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16.29</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f t="shared" si="4603"/>
        <v>73</v>
      </c>
      <c r="C1537" s="128">
        <f t="shared" si="4604"/>
        <v>1</v>
      </c>
      <c r="D1537" s="127">
        <f t="shared" si="4604"/>
        <v>73</v>
      </c>
      <c r="E1537" s="201"/>
      <c r="F1537" s="93"/>
      <c r="G1537" s="203"/>
      <c r="H1537" s="134">
        <f t="shared" ref="H1537" si="4747">COUNT($P1537:$XX1537)</f>
        <v>3</v>
      </c>
      <c r="I1537" s="132">
        <f t="shared" ref="I1537" si="4748">_xlfn.STDEV.P($P1536:$XX1537)/AVERAGE($P1536:$XX1537)</f>
        <v>0.21725457903629172</v>
      </c>
      <c r="J1537" s="7">
        <f t="shared" ref="J1537" si="4749">IF(AND(H1537&gt;2,
OR(L1527="MÉDIA SANEADA",L1527="MEDIANA SANEADA",
AND(L1527="PREÇO ESTIMADO",NOT(AND(P1529="Orçamento",COUNTA(P1527:XX1527)=COUNTIF(P1529:XX1529,"Orçamento")))))),
ROW(),0)</f>
        <v>1537</v>
      </c>
      <c r="K1537" s="66"/>
      <c r="L1537" s="29" t="s">
        <v>362</v>
      </c>
      <c r="M1537" s="30">
        <f t="shared" ref="M1537" si="4750" xml:space="preserve">
IF(H1535&gt;2,MEDIAN(P1534:XX1535),
IF(H1537&gt;2,MEDIAN(P1536:XX1537),
IF(H1539&gt;2,MEDIAN(P1538:XX1539),
IF(H1541&gt;2,MEDIAN(P1540:XX1541),
IF(H1543&gt;2,MEDIAN(P1542:XX1543),
IF(H1545&gt;2,MEDIAN(P1544:XX1545),
MEDIAN(P1532:XX1533)))))))</f>
        <v>15.43</v>
      </c>
      <c r="N1537" s="71"/>
      <c r="O1537" s="27" t="str">
        <f t="shared" ref="O1537" si="4751">"2 RODADA"</f>
        <v>2 RODADA</v>
      </c>
      <c r="P1537" s="107">
        <f t="shared" ref="P1537:AI1537" si="4752">IF(P1535="","",IF((_xlfn.STDEV.P($P1534:$XX1535)/AVERAGE($P1534:$XX1535))&lt;=25%,P1535,IF(OR(P1535&gt;(AVERAGE($P1534:$XX1535)+_xlfn.STDEV.P($P1534:$XX1535)),P1535&lt;(AVERAGE($P1534:$XX1535)-_xlfn.STDEV.P($P1534:$XX1535))),"DESCARTADO",P1535)))</f>
        <v>15.43</v>
      </c>
      <c r="Q1537" s="107">
        <f t="shared" si="4752"/>
        <v>12.45</v>
      </c>
      <c r="R1537" s="107">
        <f t="shared" si="4752"/>
        <v>20.99</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f t="shared" si="4603"/>
        <v>73</v>
      </c>
      <c r="C1538" s="128">
        <f t="shared" si="4604"/>
        <v>1</v>
      </c>
      <c r="D1538" s="127">
        <f t="shared" si="4604"/>
        <v>73</v>
      </c>
      <c r="E1538" s="201"/>
      <c r="F1538" s="93"/>
      <c r="G1538" s="203"/>
      <c r="H1538"/>
      <c r="I1538"/>
      <c r="J1538"/>
      <c r="K1538" s="66"/>
      <c r="L1538" s="29" t="s">
        <v>359</v>
      </c>
      <c r="M1538" s="30">
        <f t="shared" ref="M1538" si="4753">HARMEAN($P1532:$XX1533)</f>
        <v>15.562439536259077</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f t="shared" si="4603"/>
        <v>73</v>
      </c>
      <c r="C1539" s="128">
        <f t="shared" si="4604"/>
        <v>1</v>
      </c>
      <c r="D1539" s="127">
        <f t="shared" si="4604"/>
        <v>73</v>
      </c>
      <c r="E1539" s="201"/>
      <c r="F1539" s="93"/>
      <c r="G1539" s="203"/>
      <c r="H1539" s="134">
        <f t="shared" ref="H1539" si="4755">COUNT($P1539:$XX1539)</f>
        <v>3</v>
      </c>
      <c r="I1539" s="132">
        <f t="shared" ref="I1539" si="4756">_xlfn.STDEV.P($P1538:$XX1539)/AVERAGE($P1538:$XX1539)</f>
        <v>0.21725457903629172</v>
      </c>
      <c r="J1539" s="7">
        <f t="shared" ref="J1539" si="4757">IF(AND(H1539&gt;2,
OR(L1527="MÉDIA SANEADA",L1527="MEDIANA SANEADA",
AND(L1527="PREÇO ESTIMADO",NOT(AND(P1529="Orçamento",COUNTA(P1527:XX1527)=COUNTIF(P1529:XX1529,"Orçamento")))))),
ROW(),0)</f>
        <v>1539</v>
      </c>
      <c r="K1539" s="66"/>
      <c r="L1539" s="29" t="s">
        <v>41</v>
      </c>
      <c r="M1539" s="30">
        <f t="shared" ref="M1539" si="4758">IFERROR(_xlfn.QUARTILE.EXC($P1533:$XX1533,1),"")</f>
        <v>12.45</v>
      </c>
      <c r="N1539" s="71"/>
      <c r="O1539" s="27" t="str">
        <f t="shared" ref="O1539" si="4759">"3 RODADA"</f>
        <v>3 RODADA</v>
      </c>
      <c r="P1539" s="107">
        <f t="shared" ref="P1539:AI1539" si="4760">IF(P1537="","",IF((_xlfn.STDEV.P($P1536:$XX1537)/AVERAGE($P1536:$XX1537))&lt;=25%,P1537,IF(OR(P1537&gt;(AVERAGE($P1536:$XX1537)+_xlfn.STDEV.P($P1536:$XX1537)),P1537&lt;(AVERAGE($P1536:$XX1537)-_xlfn.STDEV.P($P1536:$XX1537))),"DESCARTADO",P1537)))</f>
        <v>15.43</v>
      </c>
      <c r="Q1539" s="107">
        <f t="shared" si="4760"/>
        <v>12.45</v>
      </c>
      <c r="R1539" s="107">
        <f t="shared" si="4760"/>
        <v>20.99</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f t="shared" si="4603"/>
        <v>73</v>
      </c>
      <c r="C1540" s="128">
        <f t="shared" si="4604"/>
        <v>1</v>
      </c>
      <c r="D1540" s="127">
        <f t="shared" si="4604"/>
        <v>73</v>
      </c>
      <c r="E1540" s="201"/>
      <c r="F1540" s="93"/>
      <c r="G1540" s="203"/>
      <c r="H1540"/>
      <c r="I1540"/>
      <c r="J1540"/>
      <c r="K1540" s="66"/>
      <c r="L1540" s="29" t="s">
        <v>39</v>
      </c>
      <c r="M1540" s="30">
        <f t="shared" ref="M1540" si="4761">IFERROR(_xlfn.QUARTILE.EXC($P1533:$XX1533,3),"")</f>
        <v>20.99</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f t="shared" si="4603"/>
        <v>73</v>
      </c>
      <c r="C1541" s="128">
        <f t="shared" si="4604"/>
        <v>1</v>
      </c>
      <c r="D1541" s="127">
        <f t="shared" si="4604"/>
        <v>73</v>
      </c>
      <c r="E1541" s="201"/>
      <c r="F1541" s="93"/>
      <c r="G1541" s="203"/>
      <c r="H1541" s="134">
        <f t="shared" ref="H1541" si="4763">COUNT($P1541:$XX1541)</f>
        <v>3</v>
      </c>
      <c r="I1541" s="132">
        <f t="shared" ref="I1541" si="4764">_xlfn.STDEV.P($P1540:$XX1541)/AVERAGE($P1540:$XX1541)</f>
        <v>0.21725457903629172</v>
      </c>
      <c r="J1541" s="7">
        <f t="shared" ref="J1541" si="4765">IF(AND(H1541&gt;2,
OR(L1527="MÉDIA SANEADA",L1527="MEDIANA SANEADA",
AND(L1527="PREÇO ESTIMADO",NOT(AND(P1529="Orçamento",COUNTA(P1527:XX1527)=COUNTIF(P1529:XX1529,"Orçamento")))))),
ROW(),0)</f>
        <v>1541</v>
      </c>
      <c r="K1541" s="66"/>
      <c r="L1541" s="29" t="s">
        <v>42</v>
      </c>
      <c r="M1541" s="30">
        <f t="shared" ref="M1541" si="4766">MIN($P1533:$XX1533)</f>
        <v>12.45</v>
      </c>
      <c r="N1541" s="71"/>
      <c r="O1541" s="27" t="str">
        <f t="shared" ref="O1541" si="4767">"4 RODADA"</f>
        <v>4 RODADA</v>
      </c>
      <c r="P1541" s="107">
        <f t="shared" ref="P1541:AI1541" si="4768">IF(P1539="","",IF((_xlfn.STDEV.P($P1538:$XX1539)/AVERAGE($P1538:$XX1539))&lt;=25%,P1539,IF(OR(P1539&gt;(AVERAGE($P1538:$XX1539)+_xlfn.STDEV.P($P1538:$XX1539)),P1539&lt;(AVERAGE($P1538:$XX1539)-_xlfn.STDEV.P($P1538:$XX1539))),"DESCARTADO",P1539)))</f>
        <v>15.43</v>
      </c>
      <c r="Q1541" s="107">
        <f t="shared" si="4768"/>
        <v>12.45</v>
      </c>
      <c r="R1541" s="107">
        <f t="shared" si="4768"/>
        <v>20.99</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f t="shared" si="4603"/>
        <v>73</v>
      </c>
      <c r="C1542" s="128">
        <f t="shared" si="4604"/>
        <v>1</v>
      </c>
      <c r="D1542" s="127">
        <f t="shared" si="4604"/>
        <v>73</v>
      </c>
      <c r="E1542" s="201"/>
      <c r="F1542" s="93"/>
      <c r="G1542" s="203"/>
      <c r="H1542"/>
      <c r="I1542"/>
      <c r="J1542"/>
      <c r="K1542" s="66"/>
      <c r="L1542" s="29" t="s">
        <v>40</v>
      </c>
      <c r="M1542" s="30">
        <f t="shared" ref="M1542" si="4769">MAX($P1533:$XX1533)</f>
        <v>20.99</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f t="shared" si="4603"/>
        <v>73</v>
      </c>
      <c r="C1543" s="128">
        <f t="shared" si="4604"/>
        <v>1</v>
      </c>
      <c r="D1543" s="127">
        <f t="shared" si="4604"/>
        <v>73</v>
      </c>
      <c r="E1543" s="201"/>
      <c r="F1543" s="93"/>
      <c r="G1543" s="203"/>
      <c r="H1543" s="134">
        <f t="shared" ref="H1543" si="4771">COUNT($P1543:$XX1543)</f>
        <v>3</v>
      </c>
      <c r="I1543" s="132">
        <f t="shared" ref="I1543" si="4772">_xlfn.STDEV.P($P1542:$XX1543)/AVERAGE($P1542:$XX1543)</f>
        <v>0.21725457903629172</v>
      </c>
      <c r="J1543" s="7">
        <f t="shared" ref="J1543" si="4773">IF(AND(H1543&gt;2,
OR(L1527="MÉDIA SANEADA",L1527="MEDIANA SANEADA",
AND(L1527="PREÇO ESTIMADO",NOT(AND(P1529="Orçamento",COUNTA(P1527:XX1527)=COUNTIF(P1529:XX1529,"Orçamento")))))),
ROW(),0)</f>
        <v>1543</v>
      </c>
      <c r="K1543" s="66"/>
      <c r="N1543" s="71"/>
      <c r="O1543" s="27" t="str">
        <f t="shared" ref="O1543" si="4774">"5 RODADA"</f>
        <v>5 RODADA</v>
      </c>
      <c r="P1543" s="107">
        <f t="shared" ref="P1543:AI1543" si="4775">IF(P1541="","",IF((_xlfn.STDEV.P($P1540:$XX1541)/AVERAGE($P1540:$XX1541))&lt;=25%,P1541,IF(OR(P1541&gt;(AVERAGE($P1540:$XX1541)+_xlfn.STDEV.P($P1540:$XX1541)),P1541&lt;(AVERAGE($P1540:$XX1541)-_xlfn.STDEV.P($P1540:$XX1541))),"DESCARTADO",P1541)))</f>
        <v>15.43</v>
      </c>
      <c r="Q1543" s="107">
        <f t="shared" si="4775"/>
        <v>12.45</v>
      </c>
      <c r="R1543" s="107">
        <f t="shared" si="4775"/>
        <v>20.99</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f t="shared" si="4603"/>
        <v>73</v>
      </c>
      <c r="C1544" s="128">
        <f t="shared" si="4604"/>
        <v>1</v>
      </c>
      <c r="D1544" s="127">
        <f t="shared" si="4604"/>
        <v>73</v>
      </c>
      <c r="E1544" s="201"/>
      <c r="F1544" s="93"/>
      <c r="G1544" s="203"/>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f t="shared" si="4603"/>
        <v>73</v>
      </c>
      <c r="C1545" s="128">
        <f t="shared" si="4604"/>
        <v>1</v>
      </c>
      <c r="D1545" s="127">
        <f t="shared" si="4604"/>
        <v>73</v>
      </c>
      <c r="E1545" s="201"/>
      <c r="F1545" s="93"/>
      <c r="G1545" s="203"/>
      <c r="H1545" s="134">
        <f t="shared" ref="H1545" si="4777">COUNT($P1545:$XX1545)</f>
        <v>3</v>
      </c>
      <c r="I1545" s="132">
        <f t="shared" ref="I1545" si="4778">_xlfn.STDEV.P($P1544:$XX1545)/AVERAGE($P1544:$XX1545)</f>
        <v>0.21725457903629172</v>
      </c>
      <c r="J1545" s="7">
        <f t="shared" ref="J1545" si="4779">IF(AND(H1545&gt;2,
OR(L1527="MÉDIA SANEADA",L1527="MEDIANA SANEADA",
AND(L1527="PREÇO ESTIMADO",NOT(AND(P1529="Orçamento",COUNTA(P1527:XX1527)=COUNTIF(P1529:XX1529,"Orçamento")))))),
ROW(),0)</f>
        <v>1545</v>
      </c>
      <c r="N1545" s="71"/>
      <c r="O1545" s="27" t="str">
        <f t="shared" ref="O1545" si="4780">"6 RODADA"</f>
        <v>6 RODADA</v>
      </c>
      <c r="P1545" s="107">
        <f t="shared" ref="P1545:AI1545" si="4781">IFERROR(IF(P1543="","",IF((_xlfn.STDEV.P($P1542:$XX1543)/AVERAGE($P1542:$XX1543))&lt;=25%,P1543,IF(OR(P1543&gt;(AVERAGE($P1542:$XX1543)+_xlfn.STDEV.P($P1542:$XX1543)),P1543&lt;(AVERAGE($P1542:$XX1543)-_xlfn.STDEV.P($P1542:$XX1543))),"DESCARTADO",P1543))),)</f>
        <v>15.43</v>
      </c>
      <c r="Q1545" s="107">
        <f t="shared" si="4781"/>
        <v>12.45</v>
      </c>
      <c r="R1545" s="107">
        <f t="shared" si="4781"/>
        <v>20.99</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f t="shared" si="4603"/>
        <v>73</v>
      </c>
      <c r="C1546" s="128">
        <f t="shared" si="4604"/>
        <v>1</v>
      </c>
      <c r="D1546" s="127">
        <f t="shared" si="4604"/>
        <v>73</v>
      </c>
      <c r="E1546" s="201"/>
      <c r="F1546" s="136"/>
      <c r="G1546" s="203"/>
      <c r="H1546" s="206"/>
      <c r="I1546" s="206"/>
      <c r="J1546" s="207"/>
      <c r="K1546" s="67"/>
      <c r="L1546" s="1" t="s">
        <v>43</v>
      </c>
      <c r="M1546" s="143">
        <f t="shared" ref="M1546" si="4782">IFERROR(ROUND(M1527*M1529,2),"")</f>
        <v>65.16</v>
      </c>
      <c r="O1546" s="27" t="s">
        <v>363</v>
      </c>
      <c r="P1546" s="107">
        <f t="shared" ref="P1546:R1546" si="4783">INDEX(P1533:P1545,MATCH(MAX($J1533:$J1545),$J1533:$J1545,0))</f>
        <v>15.43</v>
      </c>
      <c r="Q1546" s="107">
        <f t="shared" si="4783"/>
        <v>12.45</v>
      </c>
      <c r="R1546" s="107">
        <f t="shared" si="4783"/>
        <v>20.99</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f t="shared" ref="B1548" si="4784">LARGE(IFERROR(IF(B1546+1&gt;$H$8,"",B1546+1),""),1)</f>
        <v>74</v>
      </c>
      <c r="C1548" s="127">
        <f>IF(_xlfn.ISFORMULA(E1552),MAX(INDEX('BASE FORMAÇÃO'!A:A,B1548+1),1),E1552)</f>
        <v>1</v>
      </c>
      <c r="D1548" s="127">
        <f t="shared" ref="D1548" si="4785">IFERROR(IF(C1548=C1538,D1538+1,1),1)</f>
        <v>74</v>
      </c>
      <c r="E1548" s="38" t="s">
        <v>9</v>
      </c>
      <c r="F1548" s="73"/>
      <c r="G1548" s="38" t="s">
        <v>15</v>
      </c>
      <c r="H1548" s="135">
        <f>INDEX('BASE FORMAÇÃO'!B:B,B1548+1)</f>
        <v>0</v>
      </c>
      <c r="I1548" s="181" t="s">
        <v>16</v>
      </c>
      <c r="J1548" s="6">
        <f>INDEX('BASE FORMAÇÃO'!K:K,B1548+1)</f>
        <v>0</v>
      </c>
      <c r="K1548" s="65"/>
      <c r="L1548" s="184" t="s">
        <v>10</v>
      </c>
      <c r="M1548" s="186">
        <f t="shared" ref="M1548" si="4786">IF(OR(ISBLANK($O$8),ISBLANK($O$7),ISBLANK($H$8),ISBLANK($O$6),ISBLANK($O$5),ISBLANK($H$5)),"",IFERROR(IF(VLOOKUP(L1548,L1554:M1563,2,FALSE)&lt;1,ROUND(VLOOKUP(L1548,L1554:M1563,2,FALSE),4),ROUND(VLOOKUP(L1548,L1554:M1563,2,FALSE),2)),""))</f>
        <v>25.77</v>
      </c>
      <c r="N1548" s="69"/>
      <c r="O1548" s="27" t="s">
        <v>17</v>
      </c>
      <c r="P1548" s="113">
        <v>20.9</v>
      </c>
      <c r="Q1548" s="113">
        <v>29.9</v>
      </c>
      <c r="R1548" s="113">
        <v>26.51</v>
      </c>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f t="shared" ref="B1549:D1549" si="4787">B1548</f>
        <v>74</v>
      </c>
      <c r="C1549" s="128">
        <f t="shared" si="4787"/>
        <v>1</v>
      </c>
      <c r="D1549" s="127">
        <f t="shared" si="4787"/>
        <v>74</v>
      </c>
      <c r="E1549" s="188">
        <f t="shared" ref="E1549" si="4788">D1548</f>
        <v>74</v>
      </c>
      <c r="F1549" s="92"/>
      <c r="G1549" s="190" t="s">
        <v>1</v>
      </c>
      <c r="H1549" s="193" t="s">
        <v>724</v>
      </c>
      <c r="I1549" s="194"/>
      <c r="J1549" s="195"/>
      <c r="K1549" s="66"/>
      <c r="L1549" s="185"/>
      <c r="M1549" s="187"/>
      <c r="N1549" s="70"/>
      <c r="O1549" s="27" t="s">
        <v>13</v>
      </c>
      <c r="P1549" s="122">
        <v>46196</v>
      </c>
      <c r="Q1549" s="122">
        <v>46196</v>
      </c>
      <c r="R1549" s="122">
        <v>46196</v>
      </c>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f t="shared" ref="B1550:D1550" si="4789">B1549</f>
        <v>74</v>
      </c>
      <c r="C1550" s="128">
        <f t="shared" si="4789"/>
        <v>1</v>
      </c>
      <c r="D1550" s="127">
        <f t="shared" si="4789"/>
        <v>74</v>
      </c>
      <c r="E1550" s="189"/>
      <c r="F1550" s="93"/>
      <c r="G1550" s="191"/>
      <c r="H1550" s="196"/>
      <c r="I1550" s="196"/>
      <c r="J1550" s="197"/>
      <c r="K1550" s="64"/>
      <c r="L1550" s="130" t="s">
        <v>44</v>
      </c>
      <c r="M1550" s="131">
        <v>4</v>
      </c>
      <c r="N1550" s="71"/>
      <c r="O1550" s="27" t="s">
        <v>380</v>
      </c>
      <c r="P1550" s="114" t="s">
        <v>302</v>
      </c>
      <c r="Q1550" s="114" t="s">
        <v>302</v>
      </c>
      <c r="R1550" s="114" t="s">
        <v>302</v>
      </c>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f t="shared" ref="B1551:C1551" si="4790">B1550</f>
        <v>74</v>
      </c>
      <c r="C1551" s="128">
        <f t="shared" si="4790"/>
        <v>1</v>
      </c>
      <c r="D1551" s="127">
        <f t="shared" si="4604"/>
        <v>74</v>
      </c>
      <c r="E1551" s="38" t="s">
        <v>313</v>
      </c>
      <c r="F1551" s="93"/>
      <c r="G1551" s="192"/>
      <c r="H1551" s="198"/>
      <c r="I1551" s="198"/>
      <c r="J1551" s="199"/>
      <c r="K1551" s="64"/>
      <c r="L1551" s="1" t="s">
        <v>2</v>
      </c>
      <c r="M1551" s="6" t="s">
        <v>288</v>
      </c>
      <c r="N1551" s="71"/>
      <c r="O1551" s="27" t="s">
        <v>381</v>
      </c>
      <c r="P1551" s="182" t="s">
        <v>726</v>
      </c>
      <c r="Q1551" s="182" t="s">
        <v>727</v>
      </c>
      <c r="R1551" s="182" t="s">
        <v>728</v>
      </c>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f t="shared" ref="B1552:C1552" si="4791">B1550</f>
        <v>74</v>
      </c>
      <c r="C1552" s="128">
        <f t="shared" si="4791"/>
        <v>1</v>
      </c>
      <c r="D1552" s="127">
        <f t="shared" si="4604"/>
        <v>74</v>
      </c>
      <c r="E1552" s="200">
        <f t="shared" ref="E1552" si="4792">C1548</f>
        <v>1</v>
      </c>
      <c r="F1552" s="93"/>
      <c r="G1552" s="202" t="s">
        <v>304</v>
      </c>
      <c r="H1552" s="204"/>
      <c r="I1552" s="205"/>
      <c r="J1552" s="205"/>
      <c r="K1552" s="67"/>
      <c r="L1552" s="28" t="s">
        <v>303</v>
      </c>
      <c r="M1552" s="133">
        <f t="shared" ref="M1552" si="4793">IFERROR(INDEX(I1554:I1566,MATCH(MAX(J1554:J1566),J1554:J1566,0)),"")</f>
        <v>0.14401657149356142</v>
      </c>
      <c r="N1552" s="71"/>
      <c r="O1552" s="27" t="s">
        <v>18</v>
      </c>
      <c r="P1552" s="106">
        <f>IF(P1548="","",
IF(OR(P1550="Orçamento",P1549="",MAX('Tabela de Apoio'!$A:$A)&lt;=P1549),
P1548,
(INDEX('Tabela de Apoio'!$B:$B,MATCH('MAPA DE PREÇOS'!$O$8,'Tabela de Apoio'!$A:$A,1))/INDEX('Tabela de Apoio'!$B:$B,MATCH('MAPA DE PREÇOS'!P1549,'Tabela de Apoio'!$A:$A,1)-1))*P1548))</f>
        <v>20.9</v>
      </c>
      <c r="Q1552" s="106">
        <f>IF(Q1548="","",
IF(OR(Q1550="Orçamento",Q1549="",MAX('Tabela de Apoio'!$A:$A)&lt;=Q1549),
Q1548,
(INDEX('Tabela de Apoio'!$B:$B,MATCH('MAPA DE PREÇOS'!$O$8,'Tabela de Apoio'!$A:$A,1))/INDEX('Tabela de Apoio'!$B:$B,MATCH('MAPA DE PREÇOS'!Q1549,'Tabela de Apoio'!$A:$A,1)-1))*Q1548))</f>
        <v>29.9</v>
      </c>
      <c r="R1552" s="106">
        <f>IF(R1548="","",
IF(OR(R1550="Orçamento",R1549="",MAX('Tabela de Apoio'!$A:$A)&lt;=R1549),
R1548,
(INDEX('Tabela de Apoio'!$B:$B,MATCH('MAPA DE PREÇOS'!$O$8,'Tabela de Apoio'!$A:$A,1))/INDEX('Tabela de Apoio'!$B:$B,MATCH('MAPA DE PREÇOS'!R1549,'Tabela de Apoio'!$A:$A,1)-1))*R1548))</f>
        <v>26.51</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f t="shared" ref="B1553" si="4794">B1552</f>
        <v>74</v>
      </c>
      <c r="C1553" s="128">
        <f t="shared" ref="C1553" si="4795">C1552</f>
        <v>1</v>
      </c>
      <c r="D1553" s="127">
        <f t="shared" si="4604"/>
        <v>74</v>
      </c>
      <c r="E1553" s="201"/>
      <c r="F1553" s="93"/>
      <c r="G1553" s="203"/>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f t="shared" ref="B1554:C1554" si="4796">B1553</f>
        <v>74</v>
      </c>
      <c r="C1554" s="128">
        <f t="shared" si="4796"/>
        <v>1</v>
      </c>
      <c r="D1554" s="127">
        <f t="shared" si="4604"/>
        <v>74</v>
      </c>
      <c r="E1554" s="201"/>
      <c r="F1554" s="93"/>
      <c r="G1554" s="203"/>
      <c r="H1554" s="134">
        <f t="shared" ref="H1554" si="4797">COUNT($P1554:$XX1554)</f>
        <v>3</v>
      </c>
      <c r="I1554" s="132">
        <f t="shared" ref="I1554" si="4798">_xlfn.STDEV.P($P1553:$XX1554)/AVERAGE($P1553:$XX1554)</f>
        <v>0.14401657149356142</v>
      </c>
      <c r="J1554" s="7">
        <f>ROW()</f>
        <v>1554</v>
      </c>
      <c r="K1554" s="67"/>
      <c r="L1554" s="29" t="s">
        <v>10</v>
      </c>
      <c r="M1554" s="30">
        <f t="shared" ref="M1554" si="4799">IFERROR(
IF(COUNTA(P1548:AI1548)=COUNTIF(P1550:XX1550,"Orçamento"),MIN(M1559,M1556),
IF(M1557&lt;&gt;"",M1557,
IF(M1558&lt;&gt;"",M1558,
M1556
))),"")</f>
        <v>25.77</v>
      </c>
      <c r="N1554" s="71"/>
      <c r="O1554" s="27" t="s">
        <v>376</v>
      </c>
      <c r="P1554" s="106">
        <f t="shared" ref="P1554:AI1554" si="4800">IFERROR(IF(P1552="",
            "",
            IF(COUNT($P1552:$XX1552)&lt;=4,
               P1552,
               IF(OR(P1552&gt;(QUARTILE($P1552:$XX1552,3)+(QUARTILE($P1552:$XX1552,3)-QUARTILE($P1552:$XX1552,1))),
                     P1552&lt;(QUARTILE($P1552:$XX1552,1)-(QUARTILE($P1552:$XX1552,3)-QUARTILE($P1552:$XX1552,1)))
                  ),
               "DESCARTADO",P1552)
             )
  ),P1552)</f>
        <v>20.9</v>
      </c>
      <c r="Q1554" s="106">
        <f t="shared" si="4800"/>
        <v>29.9</v>
      </c>
      <c r="R1554" s="106">
        <f t="shared" si="4800"/>
        <v>26.51</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f t="shared" ref="B1555:B1609" si="4801">B1554</f>
        <v>74</v>
      </c>
      <c r="C1555" s="128">
        <f t="shared" ref="C1555:D1618" si="4802">C1554</f>
        <v>1</v>
      </c>
      <c r="D1555" s="127">
        <f t="shared" si="4604"/>
        <v>74</v>
      </c>
      <c r="E1555" s="201"/>
      <c r="F1555" s="93"/>
      <c r="G1555" s="203"/>
      <c r="H1555"/>
      <c r="I1555"/>
      <c r="J1555"/>
      <c r="K1555" s="66"/>
      <c r="L1555" s="29" t="s">
        <v>360</v>
      </c>
      <c r="M1555" s="30">
        <f t="shared" ref="M1555" si="4803">AVERAGE($P1554:$XX1554)</f>
        <v>25.77</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f t="shared" si="4801"/>
        <v>74</v>
      </c>
      <c r="C1556" s="128">
        <f t="shared" si="4802"/>
        <v>1</v>
      </c>
      <c r="D1556" s="127">
        <f t="shared" si="4802"/>
        <v>74</v>
      </c>
      <c r="E1556" s="201"/>
      <c r="F1556" s="93"/>
      <c r="G1556" s="203"/>
      <c r="H1556" s="134">
        <f t="shared" ref="H1556" si="4805">COUNT($P1556:$XX1556)</f>
        <v>3</v>
      </c>
      <c r="I1556" s="132">
        <f t="shared" ref="I1556" si="4806">_xlfn.STDEV.P($P1555:$XX1556)/AVERAGE($P1555:$XX1556)</f>
        <v>0.14401657149356142</v>
      </c>
      <c r="J1556" s="7">
        <f t="shared" ref="J1556" si="4807">IF(AND(H1556&gt;2,
OR(L1548="MÉDIA SANEADA",L1548="MEDIANA SANEADA",
AND(L1548="PREÇO ESTIMADO",NOT(AND(P1550="Orçamento",COUNTA(P1548:XX1548)=COUNTIF(P1550:XX1550,"Orçamento")))))),
ROW(),0)</f>
        <v>1556</v>
      </c>
      <c r="K1556" s="66"/>
      <c r="L1556" s="29" t="s">
        <v>361</v>
      </c>
      <c r="M1556" s="30">
        <f t="shared" ref="M1556" si="4808">MEDIAN($P1554:$XX1554)</f>
        <v>26.51</v>
      </c>
      <c r="N1556" s="71"/>
      <c r="O1556" s="27" t="str">
        <f t="shared" ref="O1556" si="4809">"1 RODADA"</f>
        <v>1 RODADA</v>
      </c>
      <c r="P1556" s="107">
        <f t="shared" ref="P1556:AI1556" si="4810">IF(P1554="","",IF((_xlfn.STDEV.P($P1553:$XX1554)/AVERAGE($P1553:$XX1554))&lt;=25%,P1554,IF(OR(P1554&gt;(AVERAGE($P1553:$XX1554)+_xlfn.STDEV.P($P1553:$XX1554)),P1554&lt;(AVERAGE($P1553:$XX1554)-_xlfn.STDEV.P($P1553:$XX1554))),"DESCARTADO",P1554)))</f>
        <v>20.9</v>
      </c>
      <c r="Q1556" s="107">
        <f t="shared" si="4810"/>
        <v>29.9</v>
      </c>
      <c r="R1556" s="107">
        <f t="shared" si="4810"/>
        <v>26.51</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f t="shared" si="4801"/>
        <v>74</v>
      </c>
      <c r="C1557" s="128">
        <f t="shared" si="4802"/>
        <v>1</v>
      </c>
      <c r="D1557" s="127">
        <f t="shared" si="4802"/>
        <v>74</v>
      </c>
      <c r="E1557" s="201"/>
      <c r="F1557" s="93"/>
      <c r="G1557" s="203"/>
      <c r="H1557"/>
      <c r="I1557"/>
      <c r="J1557"/>
      <c r="L1557" s="29" t="s">
        <v>38</v>
      </c>
      <c r="M1557" s="30">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25.77</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f t="shared" si="4801"/>
        <v>74</v>
      </c>
      <c r="C1558" s="128">
        <f t="shared" si="4802"/>
        <v>1</v>
      </c>
      <c r="D1558" s="127">
        <f t="shared" si="4802"/>
        <v>74</v>
      </c>
      <c r="E1558" s="201"/>
      <c r="F1558" s="93"/>
      <c r="G1558" s="203"/>
      <c r="H1558" s="134">
        <f t="shared" ref="H1558" si="4813">COUNT($P1558:$XX1558)</f>
        <v>3</v>
      </c>
      <c r="I1558" s="132">
        <f t="shared" ref="I1558" si="4814">_xlfn.STDEV.P($P1557:$XX1558)/AVERAGE($P1557:$XX1558)</f>
        <v>0.14401657149356142</v>
      </c>
      <c r="J1558" s="7">
        <f t="shared" ref="J1558" si="4815">IF(AND(H1558&gt;2,
OR(L1548="MÉDIA SANEADA",L1548="MEDIANA SANEADA",
AND(L1548="PREÇO ESTIMADO",NOT(AND(P1550="Orçamento",COUNTA(P1548:XX1548)=COUNTIF(P1550:XX1550,"Orçamento")))))),
ROW(),0)</f>
        <v>1558</v>
      </c>
      <c r="K1558" s="66"/>
      <c r="L1558" s="29" t="s">
        <v>362</v>
      </c>
      <c r="M1558" s="30">
        <f t="shared" ref="M1558" si="4816" xml:space="preserve">
IF(H1556&gt;2,MEDIAN(P1555:XX1556),
IF(H1558&gt;2,MEDIAN(P1557:XX1558),
IF(H1560&gt;2,MEDIAN(P1559:XX1560),
IF(H1562&gt;2,MEDIAN(P1561:XX1562),
IF(H1564&gt;2,MEDIAN(P1563:XX1564),
IF(H1566&gt;2,MEDIAN(P1565:XX1566),
MEDIAN(P1553:XX1554)))))))</f>
        <v>26.51</v>
      </c>
      <c r="N1558" s="71"/>
      <c r="O1558" s="27" t="str">
        <f t="shared" ref="O1558" si="4817">"2 RODADA"</f>
        <v>2 RODADA</v>
      </c>
      <c r="P1558" s="107">
        <f t="shared" ref="P1558:AI1558" si="4818">IF(P1556="","",IF((_xlfn.STDEV.P($P1555:$XX1556)/AVERAGE($P1555:$XX1556))&lt;=25%,P1556,IF(OR(P1556&gt;(AVERAGE($P1555:$XX1556)+_xlfn.STDEV.P($P1555:$XX1556)),P1556&lt;(AVERAGE($P1555:$XX1556)-_xlfn.STDEV.P($P1555:$XX1556))),"DESCARTADO",P1556)))</f>
        <v>20.9</v>
      </c>
      <c r="Q1558" s="107">
        <f t="shared" si="4818"/>
        <v>29.9</v>
      </c>
      <c r="R1558" s="107">
        <f t="shared" si="4818"/>
        <v>26.51</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f t="shared" si="4801"/>
        <v>74</v>
      </c>
      <c r="C1559" s="128">
        <f t="shared" si="4802"/>
        <v>1</v>
      </c>
      <c r="D1559" s="127">
        <f t="shared" si="4802"/>
        <v>74</v>
      </c>
      <c r="E1559" s="201"/>
      <c r="F1559" s="93"/>
      <c r="G1559" s="203"/>
      <c r="H1559"/>
      <c r="I1559"/>
      <c r="J1559"/>
      <c r="K1559" s="66"/>
      <c r="L1559" s="29" t="s">
        <v>359</v>
      </c>
      <c r="M1559" s="30">
        <f t="shared" ref="M1559" si="4819">HARMEAN($P1553:$XX1554)</f>
        <v>25.207262410872694</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f t="shared" si="4801"/>
        <v>74</v>
      </c>
      <c r="C1560" s="128">
        <f t="shared" si="4802"/>
        <v>1</v>
      </c>
      <c r="D1560" s="127">
        <f t="shared" si="4802"/>
        <v>74</v>
      </c>
      <c r="E1560" s="201"/>
      <c r="F1560" s="93"/>
      <c r="G1560" s="203"/>
      <c r="H1560" s="134">
        <f t="shared" ref="H1560" si="4821">COUNT($P1560:$XX1560)</f>
        <v>3</v>
      </c>
      <c r="I1560" s="132">
        <f t="shared" ref="I1560" si="4822">_xlfn.STDEV.P($P1559:$XX1560)/AVERAGE($P1559:$XX1560)</f>
        <v>0.14401657149356142</v>
      </c>
      <c r="J1560" s="7">
        <f t="shared" ref="J1560" si="4823">IF(AND(H1560&gt;2,
OR(L1548="MÉDIA SANEADA",L1548="MEDIANA SANEADA",
AND(L1548="PREÇO ESTIMADO",NOT(AND(P1550="Orçamento",COUNTA(P1548:XX1548)=COUNTIF(P1550:XX1550,"Orçamento")))))),
ROW(),0)</f>
        <v>1560</v>
      </c>
      <c r="K1560" s="66"/>
      <c r="L1560" s="29" t="s">
        <v>41</v>
      </c>
      <c r="M1560" s="30">
        <f t="shared" ref="M1560" si="4824">IFERROR(_xlfn.QUARTILE.EXC($P1554:$XX1554,1),"")</f>
        <v>20.9</v>
      </c>
      <c r="N1560" s="71"/>
      <c r="O1560" s="27" t="str">
        <f t="shared" ref="O1560" si="4825">"3 RODADA"</f>
        <v>3 RODADA</v>
      </c>
      <c r="P1560" s="107">
        <f t="shared" ref="P1560:AI1560" si="4826">IF(P1558="","",IF((_xlfn.STDEV.P($P1557:$XX1558)/AVERAGE($P1557:$XX1558))&lt;=25%,P1558,IF(OR(P1558&gt;(AVERAGE($P1557:$XX1558)+_xlfn.STDEV.P($P1557:$XX1558)),P1558&lt;(AVERAGE($P1557:$XX1558)-_xlfn.STDEV.P($P1557:$XX1558))),"DESCARTADO",P1558)))</f>
        <v>20.9</v>
      </c>
      <c r="Q1560" s="107">
        <f t="shared" si="4826"/>
        <v>29.9</v>
      </c>
      <c r="R1560" s="107">
        <f t="shared" si="4826"/>
        <v>26.51</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f t="shared" si="4801"/>
        <v>74</v>
      </c>
      <c r="C1561" s="128">
        <f t="shared" si="4802"/>
        <v>1</v>
      </c>
      <c r="D1561" s="127">
        <f t="shared" si="4802"/>
        <v>74</v>
      </c>
      <c r="E1561" s="201"/>
      <c r="F1561" s="93"/>
      <c r="G1561" s="203"/>
      <c r="H1561"/>
      <c r="I1561"/>
      <c r="J1561"/>
      <c r="K1561" s="66"/>
      <c r="L1561" s="29" t="s">
        <v>39</v>
      </c>
      <c r="M1561" s="30">
        <f t="shared" ref="M1561" si="4827">IFERROR(_xlfn.QUARTILE.EXC($P1554:$XX1554,3),"")</f>
        <v>29.9</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f t="shared" si="4801"/>
        <v>74</v>
      </c>
      <c r="C1562" s="128">
        <f t="shared" si="4802"/>
        <v>1</v>
      </c>
      <c r="D1562" s="127">
        <f t="shared" si="4802"/>
        <v>74</v>
      </c>
      <c r="E1562" s="201"/>
      <c r="F1562" s="93"/>
      <c r="G1562" s="203"/>
      <c r="H1562" s="134">
        <f t="shared" ref="H1562" si="4829">COUNT($P1562:$XX1562)</f>
        <v>3</v>
      </c>
      <c r="I1562" s="132">
        <f t="shared" ref="I1562" si="4830">_xlfn.STDEV.P($P1561:$XX1562)/AVERAGE($P1561:$XX1562)</f>
        <v>0.14401657149356142</v>
      </c>
      <c r="J1562" s="7">
        <f t="shared" ref="J1562" si="4831">IF(AND(H1562&gt;2,
OR(L1548="MÉDIA SANEADA",L1548="MEDIANA SANEADA",
AND(L1548="PREÇO ESTIMADO",NOT(AND(P1550="Orçamento",COUNTA(P1548:XX1548)=COUNTIF(P1550:XX1550,"Orçamento")))))),
ROW(),0)</f>
        <v>1562</v>
      </c>
      <c r="K1562" s="66"/>
      <c r="L1562" s="29" t="s">
        <v>42</v>
      </c>
      <c r="M1562" s="30">
        <f t="shared" ref="M1562" si="4832">MIN($P1554:$XX1554)</f>
        <v>20.9</v>
      </c>
      <c r="N1562" s="71"/>
      <c r="O1562" s="27" t="str">
        <f t="shared" ref="O1562" si="4833">"4 RODADA"</f>
        <v>4 RODADA</v>
      </c>
      <c r="P1562" s="107">
        <f t="shared" ref="P1562:AI1562" si="4834">IF(P1560="","",IF((_xlfn.STDEV.P($P1559:$XX1560)/AVERAGE($P1559:$XX1560))&lt;=25%,P1560,IF(OR(P1560&gt;(AVERAGE($P1559:$XX1560)+_xlfn.STDEV.P($P1559:$XX1560)),P1560&lt;(AVERAGE($P1559:$XX1560)-_xlfn.STDEV.P($P1559:$XX1560))),"DESCARTADO",P1560)))</f>
        <v>20.9</v>
      </c>
      <c r="Q1562" s="107">
        <f t="shared" si="4834"/>
        <v>29.9</v>
      </c>
      <c r="R1562" s="107">
        <f t="shared" si="4834"/>
        <v>26.51</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f t="shared" si="4801"/>
        <v>74</v>
      </c>
      <c r="C1563" s="128">
        <f t="shared" si="4802"/>
        <v>1</v>
      </c>
      <c r="D1563" s="127">
        <f t="shared" si="4802"/>
        <v>74</v>
      </c>
      <c r="E1563" s="201"/>
      <c r="F1563" s="93"/>
      <c r="G1563" s="203"/>
      <c r="H1563"/>
      <c r="I1563"/>
      <c r="J1563"/>
      <c r="K1563" s="66"/>
      <c r="L1563" s="29" t="s">
        <v>40</v>
      </c>
      <c r="M1563" s="30">
        <f t="shared" ref="M1563" si="4835">MAX($P1554:$XX1554)</f>
        <v>29.9</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f t="shared" si="4801"/>
        <v>74</v>
      </c>
      <c r="C1564" s="128">
        <f t="shared" si="4802"/>
        <v>1</v>
      </c>
      <c r="D1564" s="127">
        <f t="shared" si="4802"/>
        <v>74</v>
      </c>
      <c r="E1564" s="201"/>
      <c r="F1564" s="93"/>
      <c r="G1564" s="203"/>
      <c r="H1564" s="134">
        <f t="shared" ref="H1564" si="4837">COUNT($P1564:$XX1564)</f>
        <v>3</v>
      </c>
      <c r="I1564" s="132">
        <f t="shared" ref="I1564" si="4838">_xlfn.STDEV.P($P1563:$XX1564)/AVERAGE($P1563:$XX1564)</f>
        <v>0.14401657149356142</v>
      </c>
      <c r="J1564" s="7">
        <f t="shared" ref="J1564" si="4839">IF(AND(H1564&gt;2,
OR(L1548="MÉDIA SANEADA",L1548="MEDIANA SANEADA",
AND(L1548="PREÇO ESTIMADO",NOT(AND(P1550="Orçamento",COUNTA(P1548:XX1548)=COUNTIF(P1550:XX1550,"Orçamento")))))),
ROW(),0)</f>
        <v>1564</v>
      </c>
      <c r="K1564" s="66"/>
      <c r="N1564" s="71"/>
      <c r="O1564" s="27" t="str">
        <f t="shared" ref="O1564" si="4840">"5 RODADA"</f>
        <v>5 RODADA</v>
      </c>
      <c r="P1564" s="107">
        <f t="shared" ref="P1564:AI1564" si="4841">IF(P1562="","",IF((_xlfn.STDEV.P($P1561:$XX1562)/AVERAGE($P1561:$XX1562))&lt;=25%,P1562,IF(OR(P1562&gt;(AVERAGE($P1561:$XX1562)+_xlfn.STDEV.P($P1561:$XX1562)),P1562&lt;(AVERAGE($P1561:$XX1562)-_xlfn.STDEV.P($P1561:$XX1562))),"DESCARTADO",P1562)))</f>
        <v>20.9</v>
      </c>
      <c r="Q1564" s="107">
        <f t="shared" si="4841"/>
        <v>29.9</v>
      </c>
      <c r="R1564" s="107">
        <f t="shared" si="4841"/>
        <v>26.51</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f t="shared" si="4801"/>
        <v>74</v>
      </c>
      <c r="C1565" s="128">
        <f t="shared" si="4802"/>
        <v>1</v>
      </c>
      <c r="D1565" s="127">
        <f t="shared" si="4802"/>
        <v>74</v>
      </c>
      <c r="E1565" s="201"/>
      <c r="F1565" s="93"/>
      <c r="G1565" s="203"/>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f t="shared" si="4801"/>
        <v>74</v>
      </c>
      <c r="C1566" s="128">
        <f t="shared" si="4802"/>
        <v>1</v>
      </c>
      <c r="D1566" s="127">
        <f t="shared" si="4802"/>
        <v>74</v>
      </c>
      <c r="E1566" s="201"/>
      <c r="F1566" s="93"/>
      <c r="G1566" s="203"/>
      <c r="H1566" s="134">
        <f t="shared" ref="H1566" si="4843">COUNT($P1566:$XX1566)</f>
        <v>3</v>
      </c>
      <c r="I1566" s="132">
        <f t="shared" ref="I1566" si="4844">_xlfn.STDEV.P($P1565:$XX1566)/AVERAGE($P1565:$XX1566)</f>
        <v>0.14401657149356142</v>
      </c>
      <c r="J1566" s="7">
        <f t="shared" ref="J1566" si="4845">IF(AND(H1566&gt;2,
OR(L1548="MÉDIA SANEADA",L1548="MEDIANA SANEADA",
AND(L1548="PREÇO ESTIMADO",NOT(AND(P1550="Orçamento",COUNTA(P1548:XX1548)=COUNTIF(P1550:XX1550,"Orçamento")))))),
ROW(),0)</f>
        <v>1566</v>
      </c>
      <c r="N1566" s="71"/>
      <c r="O1566" s="27" t="str">
        <f t="shared" ref="O1566" si="4846">"6 RODADA"</f>
        <v>6 RODADA</v>
      </c>
      <c r="P1566" s="107">
        <f t="shared" ref="P1566:AI1566" si="4847">IFERROR(IF(P1564="","",IF((_xlfn.STDEV.P($P1563:$XX1564)/AVERAGE($P1563:$XX1564))&lt;=25%,P1564,IF(OR(P1564&gt;(AVERAGE($P1563:$XX1564)+_xlfn.STDEV.P($P1563:$XX1564)),P1564&lt;(AVERAGE($P1563:$XX1564)-_xlfn.STDEV.P($P1563:$XX1564))),"DESCARTADO",P1564))),)</f>
        <v>20.9</v>
      </c>
      <c r="Q1566" s="107">
        <f t="shared" si="4847"/>
        <v>29.9</v>
      </c>
      <c r="R1566" s="107">
        <f t="shared" si="4847"/>
        <v>26.51</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f t="shared" si="4801"/>
        <v>74</v>
      </c>
      <c r="C1567" s="128">
        <f t="shared" si="4802"/>
        <v>1</v>
      </c>
      <c r="D1567" s="127">
        <f t="shared" si="4802"/>
        <v>74</v>
      </c>
      <c r="E1567" s="201"/>
      <c r="F1567" s="136"/>
      <c r="G1567" s="203"/>
      <c r="H1567" s="206"/>
      <c r="I1567" s="206"/>
      <c r="J1567" s="207"/>
      <c r="K1567" s="67"/>
      <c r="L1567" s="1" t="s">
        <v>43</v>
      </c>
      <c r="M1567" s="143">
        <f t="shared" ref="M1567" si="4848">IFERROR(ROUND(M1548*M1550,2),"")</f>
        <v>103.08</v>
      </c>
      <c r="O1567" s="27" t="s">
        <v>363</v>
      </c>
      <c r="P1567" s="107">
        <f t="shared" ref="P1567:AI1588" si="4849">INDEX(P1554:P1566,MATCH(MAX($J1554:$J1566),$J1554:$J1566,0))</f>
        <v>20.9</v>
      </c>
      <c r="Q1567" s="107">
        <f t="shared" si="4849"/>
        <v>29.9</v>
      </c>
      <c r="R1567" s="107">
        <f t="shared" si="4849"/>
        <v>26.51</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f t="shared" ref="B1569" si="4850">LARGE(IFERROR(IF(B1567+1&gt;$H$8,"",B1567+1),""),1)</f>
        <v>75</v>
      </c>
      <c r="C1569" s="127">
        <f>IF(_xlfn.ISFORMULA(E1573),MAX(INDEX('BASE FORMAÇÃO'!A:A,B1569+1),1),E1573)</f>
        <v>1</v>
      </c>
      <c r="D1569" s="127">
        <f t="shared" ref="D1569" si="4851">IFERROR(IF(C1569=C1559,D1559+1,1),1)</f>
        <v>75</v>
      </c>
      <c r="E1569" s="38" t="s">
        <v>9</v>
      </c>
      <c r="F1569" s="73"/>
      <c r="G1569" s="38" t="s">
        <v>15</v>
      </c>
      <c r="H1569" s="135">
        <f>INDEX('BASE FORMAÇÃO'!B:B,B1569+1)</f>
        <v>0</v>
      </c>
      <c r="I1569" s="181" t="s">
        <v>16</v>
      </c>
      <c r="J1569" s="6">
        <f>INDEX('BASE FORMAÇÃO'!K:K,B1569+1)</f>
        <v>0</v>
      </c>
      <c r="K1569" s="65"/>
      <c r="L1569" s="184" t="s">
        <v>10</v>
      </c>
      <c r="M1569" s="186">
        <f t="shared" ref="M1569" si="4852">IF(OR(ISBLANK($O$8),ISBLANK($O$7),ISBLANK($H$8),ISBLANK($O$6),ISBLANK($O$5),ISBLANK($H$5)),"",IFERROR(IF(VLOOKUP(L1569,L1575:M1584,2,FALSE)&lt;1,ROUND(VLOOKUP(L1569,L1575:M1584,2,FALSE),4),ROUND(VLOOKUP(L1569,L1575:M1584,2,FALSE),2)),""))</f>
        <v>66.900000000000006</v>
      </c>
      <c r="N1569" s="69"/>
      <c r="O1569" s="27" t="s">
        <v>17</v>
      </c>
      <c r="P1569" s="113">
        <v>62.9</v>
      </c>
      <c r="Q1569" s="113">
        <v>82.94</v>
      </c>
      <c r="R1569" s="113">
        <v>54.87</v>
      </c>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f t="shared" ref="B1570:D1570" si="4853">B1569</f>
        <v>75</v>
      </c>
      <c r="C1570" s="128">
        <f t="shared" si="4853"/>
        <v>1</v>
      </c>
      <c r="D1570" s="127">
        <f t="shared" si="4853"/>
        <v>75</v>
      </c>
      <c r="E1570" s="188">
        <f t="shared" ref="E1570" si="4854">D1569</f>
        <v>75</v>
      </c>
      <c r="F1570" s="92"/>
      <c r="G1570" s="190" t="s">
        <v>1</v>
      </c>
      <c r="H1570" s="193" t="s">
        <v>729</v>
      </c>
      <c r="I1570" s="194"/>
      <c r="J1570" s="195"/>
      <c r="K1570" s="66"/>
      <c r="L1570" s="185"/>
      <c r="M1570" s="187"/>
      <c r="N1570" s="70"/>
      <c r="O1570" s="27" t="s">
        <v>13</v>
      </c>
      <c r="P1570" s="122">
        <v>46196</v>
      </c>
      <c r="Q1570" s="122">
        <v>46196</v>
      </c>
      <c r="R1570" s="122">
        <v>46196</v>
      </c>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f t="shared" ref="B1571:D1571" si="4855">B1570</f>
        <v>75</v>
      </c>
      <c r="C1571" s="128">
        <f t="shared" si="4855"/>
        <v>1</v>
      </c>
      <c r="D1571" s="127">
        <f t="shared" si="4855"/>
        <v>75</v>
      </c>
      <c r="E1571" s="189"/>
      <c r="F1571" s="93"/>
      <c r="G1571" s="191"/>
      <c r="H1571" s="196"/>
      <c r="I1571" s="196"/>
      <c r="J1571" s="197"/>
      <c r="K1571" s="64"/>
      <c r="L1571" s="130" t="s">
        <v>44</v>
      </c>
      <c r="M1571" s="131">
        <v>12</v>
      </c>
      <c r="N1571" s="71"/>
      <c r="O1571" s="27" t="s">
        <v>380</v>
      </c>
      <c r="P1571" s="114" t="s">
        <v>302</v>
      </c>
      <c r="Q1571" s="114" t="s">
        <v>302</v>
      </c>
      <c r="R1571" s="114" t="s">
        <v>302</v>
      </c>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f t="shared" ref="B1572:C1572" si="4856">B1571</f>
        <v>75</v>
      </c>
      <c r="C1572" s="128">
        <f t="shared" si="4856"/>
        <v>1</v>
      </c>
      <c r="D1572" s="127">
        <f t="shared" si="4802"/>
        <v>75</v>
      </c>
      <c r="E1572" s="38" t="s">
        <v>313</v>
      </c>
      <c r="F1572" s="93"/>
      <c r="G1572" s="192"/>
      <c r="H1572" s="198"/>
      <c r="I1572" s="198"/>
      <c r="J1572" s="199"/>
      <c r="K1572" s="64"/>
      <c r="L1572" s="1" t="s">
        <v>2</v>
      </c>
      <c r="M1572" s="6">
        <f>INDEX('BASE FORMAÇÃO'!D:D,B1573+1)</f>
        <v>0</v>
      </c>
      <c r="N1572" s="71"/>
      <c r="O1572" s="27" t="s">
        <v>381</v>
      </c>
      <c r="P1572" s="182" t="s">
        <v>730</v>
      </c>
      <c r="Q1572" s="182" t="s">
        <v>731</v>
      </c>
      <c r="R1572" s="182" t="s">
        <v>732</v>
      </c>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f t="shared" ref="B1573:C1573" si="4857">B1571</f>
        <v>75</v>
      </c>
      <c r="C1573" s="128">
        <f t="shared" si="4857"/>
        <v>1</v>
      </c>
      <c r="D1573" s="127">
        <f t="shared" si="4802"/>
        <v>75</v>
      </c>
      <c r="E1573" s="200">
        <f t="shared" ref="E1573" si="4858">C1569</f>
        <v>1</v>
      </c>
      <c r="F1573" s="93"/>
      <c r="G1573" s="202" t="s">
        <v>304</v>
      </c>
      <c r="H1573" s="204"/>
      <c r="I1573" s="205"/>
      <c r="J1573" s="205"/>
      <c r="K1573" s="67"/>
      <c r="L1573" s="28" t="s">
        <v>303</v>
      </c>
      <c r="M1573" s="133">
        <f t="shared" ref="M1573" si="4859">IFERROR(INDEX(I1575:I1587,MATCH(MAX(J1575:J1587),J1575:J1587,0)),"")</f>
        <v>0.1764334956098792</v>
      </c>
      <c r="N1573" s="71"/>
      <c r="O1573" s="27" t="s">
        <v>18</v>
      </c>
      <c r="P1573" s="106">
        <f>IF(P1569="","",
IF(OR(P1571="Orçamento",P1570="",MAX('Tabela de Apoio'!$A:$A)&lt;=P1570),
P1569,
(INDEX('Tabela de Apoio'!$B:$B,MATCH('MAPA DE PREÇOS'!$O$8,'Tabela de Apoio'!$A:$A,1))/INDEX('Tabela de Apoio'!$B:$B,MATCH('MAPA DE PREÇOS'!P1570,'Tabela de Apoio'!$A:$A,1)-1))*P1569))</f>
        <v>62.9</v>
      </c>
      <c r="Q1573" s="106">
        <f>IF(Q1569="","",
IF(OR(Q1571="Orçamento",Q1570="",MAX('Tabela de Apoio'!$A:$A)&lt;=Q1570),
Q1569,
(INDEX('Tabela de Apoio'!$B:$B,MATCH('MAPA DE PREÇOS'!$O$8,'Tabela de Apoio'!$A:$A,1))/INDEX('Tabela de Apoio'!$B:$B,MATCH('MAPA DE PREÇOS'!Q1570,'Tabela de Apoio'!$A:$A,1)-1))*Q1569))</f>
        <v>82.94</v>
      </c>
      <c r="R1573" s="106">
        <f>IF(R1569="","",
IF(OR(R1571="Orçamento",R1570="",MAX('Tabela de Apoio'!$A:$A)&lt;=R1570),
R1569,
(INDEX('Tabela de Apoio'!$B:$B,MATCH('MAPA DE PREÇOS'!$O$8,'Tabela de Apoio'!$A:$A,1))/INDEX('Tabela de Apoio'!$B:$B,MATCH('MAPA DE PREÇOS'!R1570,'Tabela de Apoio'!$A:$A,1)-1))*R1569))</f>
        <v>54.87</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f t="shared" ref="B1574" si="4860">B1573</f>
        <v>75</v>
      </c>
      <c r="C1574" s="128">
        <f t="shared" ref="C1574" si="4861">C1573</f>
        <v>1</v>
      </c>
      <c r="D1574" s="127">
        <f t="shared" si="4802"/>
        <v>75</v>
      </c>
      <c r="E1574" s="201"/>
      <c r="F1574" s="93"/>
      <c r="G1574" s="203"/>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f t="shared" ref="B1575:C1575" si="4862">B1574</f>
        <v>75</v>
      </c>
      <c r="C1575" s="128">
        <f t="shared" si="4862"/>
        <v>1</v>
      </c>
      <c r="D1575" s="127">
        <f t="shared" si="4802"/>
        <v>75</v>
      </c>
      <c r="E1575" s="201"/>
      <c r="F1575" s="93"/>
      <c r="G1575" s="203"/>
      <c r="H1575" s="134">
        <f t="shared" ref="H1575" si="4863">COUNT($P1575:$XX1575)</f>
        <v>3</v>
      </c>
      <c r="I1575" s="132">
        <f t="shared" ref="I1575" si="4864">_xlfn.STDEV.P($P1574:$XX1575)/AVERAGE($P1574:$XX1575)</f>
        <v>0.1764334956098792</v>
      </c>
      <c r="J1575" s="7">
        <f>ROW()</f>
        <v>1575</v>
      </c>
      <c r="K1575" s="67"/>
      <c r="L1575" s="29" t="s">
        <v>10</v>
      </c>
      <c r="M1575" s="30">
        <f t="shared" ref="M1575" si="4865">IFERROR(
IF(COUNTA(P1569:AI1569)=COUNTIF(P1571:XX1571,"Orçamento"),MIN(M1580,M1577),
IF(M1578&lt;&gt;"",M1578,
IF(M1579&lt;&gt;"",M1579,
M1577
))),"")</f>
        <v>66.903333333333336</v>
      </c>
      <c r="N1575" s="71"/>
      <c r="O1575" s="27" t="s">
        <v>376</v>
      </c>
      <c r="P1575" s="106">
        <f t="shared" ref="P1575:AI1575" si="4866">IFERROR(IF(P1573="",
            "",
            IF(COUNT($P1573:$XX1573)&lt;=4,
               P1573,
               IF(OR(P1573&gt;(QUARTILE($P1573:$XX1573,3)+(QUARTILE($P1573:$XX1573,3)-QUARTILE($P1573:$XX1573,1))),
                     P1573&lt;(QUARTILE($P1573:$XX1573,1)-(QUARTILE($P1573:$XX1573,3)-QUARTILE($P1573:$XX1573,1)))
                  ),
               "DESCARTADO",P1573)
             )
  ),P1573)</f>
        <v>62.9</v>
      </c>
      <c r="Q1575" s="106">
        <f t="shared" si="4866"/>
        <v>82.94</v>
      </c>
      <c r="R1575" s="106">
        <f t="shared" si="4866"/>
        <v>54.87</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f t="shared" ref="B1576" si="4867">B1575</f>
        <v>75</v>
      </c>
      <c r="C1576" s="128">
        <f t="shared" ref="C1576" si="4868">C1575</f>
        <v>1</v>
      </c>
      <c r="D1576" s="127">
        <f t="shared" si="4802"/>
        <v>75</v>
      </c>
      <c r="E1576" s="201"/>
      <c r="F1576" s="93"/>
      <c r="G1576" s="203"/>
      <c r="H1576"/>
      <c r="I1576"/>
      <c r="J1576"/>
      <c r="K1576" s="66"/>
      <c r="L1576" s="29" t="s">
        <v>360</v>
      </c>
      <c r="M1576" s="30">
        <f t="shared" ref="M1576" si="4869">AVERAGE($P1575:$XX1575)</f>
        <v>66.903333333333336</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f t="shared" si="4801"/>
        <v>75</v>
      </c>
      <c r="C1577" s="128">
        <f t="shared" si="4802"/>
        <v>1</v>
      </c>
      <c r="D1577" s="127">
        <f t="shared" si="4802"/>
        <v>75</v>
      </c>
      <c r="E1577" s="201"/>
      <c r="F1577" s="93"/>
      <c r="G1577" s="203"/>
      <c r="H1577" s="134">
        <f t="shared" ref="H1577" si="4871">COUNT($P1577:$XX1577)</f>
        <v>3</v>
      </c>
      <c r="I1577" s="132">
        <f t="shared" ref="I1577" si="4872">_xlfn.STDEV.P($P1576:$XX1577)/AVERAGE($P1576:$XX1577)</f>
        <v>0.1764334956098792</v>
      </c>
      <c r="J1577" s="7">
        <f t="shared" ref="J1577" si="4873">IF(AND(H1577&gt;2,
OR(L1569="MÉDIA SANEADA",L1569="MEDIANA SANEADA",
AND(L1569="PREÇO ESTIMADO",NOT(AND(P1571="Orçamento",COUNTA(P1569:XX1569)=COUNTIF(P1571:XX1571,"Orçamento")))))),
ROW(),0)</f>
        <v>1577</v>
      </c>
      <c r="K1577" s="66"/>
      <c r="L1577" s="29" t="s">
        <v>361</v>
      </c>
      <c r="M1577" s="30">
        <f t="shared" ref="M1577" si="4874">MEDIAN($P1575:$XX1575)</f>
        <v>62.9</v>
      </c>
      <c r="N1577" s="71"/>
      <c r="O1577" s="27" t="str">
        <f t="shared" ref="O1577" si="4875">"1 RODADA"</f>
        <v>1 RODADA</v>
      </c>
      <c r="P1577" s="107">
        <f t="shared" ref="P1577:AI1577" si="4876">IF(P1575="","",IF((_xlfn.STDEV.P($P1574:$XX1575)/AVERAGE($P1574:$XX1575))&lt;=25%,P1575,IF(OR(P1575&gt;(AVERAGE($P1574:$XX1575)+_xlfn.STDEV.P($P1574:$XX1575)),P1575&lt;(AVERAGE($P1574:$XX1575)-_xlfn.STDEV.P($P1574:$XX1575))),"DESCARTADO",P1575)))</f>
        <v>62.9</v>
      </c>
      <c r="Q1577" s="107">
        <f t="shared" si="4876"/>
        <v>82.94</v>
      </c>
      <c r="R1577" s="107">
        <f t="shared" si="4876"/>
        <v>54.87</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f t="shared" si="4801"/>
        <v>75</v>
      </c>
      <c r="C1578" s="128">
        <f t="shared" si="4802"/>
        <v>1</v>
      </c>
      <c r="D1578" s="127">
        <f t="shared" si="4802"/>
        <v>75</v>
      </c>
      <c r="E1578" s="201"/>
      <c r="F1578" s="93"/>
      <c r="G1578" s="203"/>
      <c r="H1578"/>
      <c r="I1578"/>
      <c r="J1578"/>
      <c r="L1578" s="29" t="s">
        <v>38</v>
      </c>
      <c r="M1578" s="30">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66.903333333333336</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f t="shared" si="4801"/>
        <v>75</v>
      </c>
      <c r="C1579" s="128">
        <f t="shared" si="4802"/>
        <v>1</v>
      </c>
      <c r="D1579" s="127">
        <f t="shared" si="4802"/>
        <v>75</v>
      </c>
      <c r="E1579" s="201"/>
      <c r="F1579" s="93"/>
      <c r="G1579" s="203"/>
      <c r="H1579" s="134">
        <f t="shared" ref="H1579" si="4879">COUNT($P1579:$XX1579)</f>
        <v>3</v>
      </c>
      <c r="I1579" s="132">
        <f t="shared" ref="I1579" si="4880">_xlfn.STDEV.P($P1578:$XX1579)/AVERAGE($P1578:$XX1579)</f>
        <v>0.1764334956098792</v>
      </c>
      <c r="J1579" s="7">
        <f t="shared" ref="J1579" si="4881">IF(AND(H1579&gt;2,
OR(L1569="MÉDIA SANEADA",L1569="MEDIANA SANEADA",
AND(L1569="PREÇO ESTIMADO",NOT(AND(P1571="Orçamento",COUNTA(P1569:XX1569)=COUNTIF(P1571:XX1571,"Orçamento")))))),
ROW(),0)</f>
        <v>1579</v>
      </c>
      <c r="K1579" s="66"/>
      <c r="L1579" s="29" t="s">
        <v>362</v>
      </c>
      <c r="M1579" s="30">
        <f t="shared" ref="M1579" si="4882" xml:space="preserve">
IF(H1577&gt;2,MEDIAN(P1576:XX1577),
IF(H1579&gt;2,MEDIAN(P1578:XX1579),
IF(H1581&gt;2,MEDIAN(P1580:XX1581),
IF(H1583&gt;2,MEDIAN(P1582:XX1583),
IF(H1585&gt;2,MEDIAN(P1584:XX1585),
IF(H1587&gt;2,MEDIAN(P1586:XX1587),
MEDIAN(P1574:XX1575)))))))</f>
        <v>62.9</v>
      </c>
      <c r="N1579" s="71"/>
      <c r="O1579" s="27" t="str">
        <f t="shared" ref="O1579" si="4883">"2 RODADA"</f>
        <v>2 RODADA</v>
      </c>
      <c r="P1579" s="107">
        <f t="shared" ref="P1579:AI1579" si="4884">IF(P1577="","",IF((_xlfn.STDEV.P($P1576:$XX1577)/AVERAGE($P1576:$XX1577))&lt;=25%,P1577,IF(OR(P1577&gt;(AVERAGE($P1576:$XX1577)+_xlfn.STDEV.P($P1576:$XX1577)),P1577&lt;(AVERAGE($P1576:$XX1577)-_xlfn.STDEV.P($P1576:$XX1577))),"DESCARTADO",P1577)))</f>
        <v>62.9</v>
      </c>
      <c r="Q1579" s="107">
        <f t="shared" si="4884"/>
        <v>82.94</v>
      </c>
      <c r="R1579" s="107">
        <f t="shared" si="4884"/>
        <v>54.87</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f t="shared" si="4801"/>
        <v>75</v>
      </c>
      <c r="C1580" s="128">
        <f t="shared" si="4802"/>
        <v>1</v>
      </c>
      <c r="D1580" s="127">
        <f t="shared" si="4802"/>
        <v>75</v>
      </c>
      <c r="E1580" s="201"/>
      <c r="F1580" s="93"/>
      <c r="G1580" s="203"/>
      <c r="H1580"/>
      <c r="I1580"/>
      <c r="J1580"/>
      <c r="K1580" s="66"/>
      <c r="L1580" s="29" t="s">
        <v>359</v>
      </c>
      <c r="M1580" s="30">
        <f t="shared" ref="M1580" si="4885">HARMEAN($P1574:$XX1575)</f>
        <v>64.963110145489651</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f t="shared" si="4801"/>
        <v>75</v>
      </c>
      <c r="C1581" s="128">
        <f t="shared" si="4802"/>
        <v>1</v>
      </c>
      <c r="D1581" s="127">
        <f t="shared" si="4802"/>
        <v>75</v>
      </c>
      <c r="E1581" s="201"/>
      <c r="F1581" s="93"/>
      <c r="G1581" s="203"/>
      <c r="H1581" s="134">
        <f t="shared" ref="H1581" si="4887">COUNT($P1581:$XX1581)</f>
        <v>3</v>
      </c>
      <c r="I1581" s="132">
        <f t="shared" ref="I1581" si="4888">_xlfn.STDEV.P($P1580:$XX1581)/AVERAGE($P1580:$XX1581)</f>
        <v>0.1764334956098792</v>
      </c>
      <c r="J1581" s="7">
        <f t="shared" ref="J1581" si="4889">IF(AND(H1581&gt;2,
OR(L1569="MÉDIA SANEADA",L1569="MEDIANA SANEADA",
AND(L1569="PREÇO ESTIMADO",NOT(AND(P1571="Orçamento",COUNTA(P1569:XX1569)=COUNTIF(P1571:XX1571,"Orçamento")))))),
ROW(),0)</f>
        <v>1581</v>
      </c>
      <c r="K1581" s="66"/>
      <c r="L1581" s="29" t="s">
        <v>41</v>
      </c>
      <c r="M1581" s="30">
        <f t="shared" ref="M1581" si="4890">IFERROR(_xlfn.QUARTILE.EXC($P1575:$XX1575,1),"")</f>
        <v>54.87</v>
      </c>
      <c r="N1581" s="71"/>
      <c r="O1581" s="27" t="str">
        <f t="shared" ref="O1581" si="4891">"3 RODADA"</f>
        <v>3 RODADA</v>
      </c>
      <c r="P1581" s="107">
        <f t="shared" ref="P1581:AI1581" si="4892">IF(P1579="","",IF((_xlfn.STDEV.P($P1578:$XX1579)/AVERAGE($P1578:$XX1579))&lt;=25%,P1579,IF(OR(P1579&gt;(AVERAGE($P1578:$XX1579)+_xlfn.STDEV.P($P1578:$XX1579)),P1579&lt;(AVERAGE($P1578:$XX1579)-_xlfn.STDEV.P($P1578:$XX1579))),"DESCARTADO",P1579)))</f>
        <v>62.9</v>
      </c>
      <c r="Q1581" s="107">
        <f t="shared" si="4892"/>
        <v>82.94</v>
      </c>
      <c r="R1581" s="107">
        <f t="shared" si="4892"/>
        <v>54.87</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f t="shared" si="4801"/>
        <v>75</v>
      </c>
      <c r="C1582" s="128">
        <f t="shared" si="4802"/>
        <v>1</v>
      </c>
      <c r="D1582" s="127">
        <f t="shared" si="4802"/>
        <v>75</v>
      </c>
      <c r="E1582" s="201"/>
      <c r="F1582" s="93"/>
      <c r="G1582" s="203"/>
      <c r="H1582"/>
      <c r="I1582"/>
      <c r="J1582"/>
      <c r="K1582" s="66"/>
      <c r="L1582" s="29" t="s">
        <v>39</v>
      </c>
      <c r="M1582" s="30">
        <f t="shared" ref="M1582" si="4893">IFERROR(_xlfn.QUARTILE.EXC($P1575:$XX1575,3),"")</f>
        <v>82.94</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f t="shared" si="4801"/>
        <v>75</v>
      </c>
      <c r="C1583" s="128">
        <f t="shared" si="4802"/>
        <v>1</v>
      </c>
      <c r="D1583" s="127">
        <f t="shared" si="4802"/>
        <v>75</v>
      </c>
      <c r="E1583" s="201"/>
      <c r="F1583" s="93"/>
      <c r="G1583" s="203"/>
      <c r="H1583" s="134">
        <f t="shared" ref="H1583" si="4895">COUNT($P1583:$XX1583)</f>
        <v>3</v>
      </c>
      <c r="I1583" s="132">
        <f t="shared" ref="I1583" si="4896">_xlfn.STDEV.P($P1582:$XX1583)/AVERAGE($P1582:$XX1583)</f>
        <v>0.1764334956098792</v>
      </c>
      <c r="J1583" s="7">
        <f t="shared" ref="J1583" si="4897">IF(AND(H1583&gt;2,
OR(L1569="MÉDIA SANEADA",L1569="MEDIANA SANEADA",
AND(L1569="PREÇO ESTIMADO",NOT(AND(P1571="Orçamento",COUNTA(P1569:XX1569)=COUNTIF(P1571:XX1571,"Orçamento")))))),
ROW(),0)</f>
        <v>1583</v>
      </c>
      <c r="K1583" s="66"/>
      <c r="L1583" s="29" t="s">
        <v>42</v>
      </c>
      <c r="M1583" s="30">
        <f t="shared" ref="M1583" si="4898">MIN($P1575:$XX1575)</f>
        <v>54.87</v>
      </c>
      <c r="N1583" s="71"/>
      <c r="O1583" s="27" t="str">
        <f t="shared" ref="O1583" si="4899">"4 RODADA"</f>
        <v>4 RODADA</v>
      </c>
      <c r="P1583" s="107">
        <f t="shared" ref="P1583:AI1583" si="4900">IF(P1581="","",IF((_xlfn.STDEV.P($P1580:$XX1581)/AVERAGE($P1580:$XX1581))&lt;=25%,P1581,IF(OR(P1581&gt;(AVERAGE($P1580:$XX1581)+_xlfn.STDEV.P($P1580:$XX1581)),P1581&lt;(AVERAGE($P1580:$XX1581)-_xlfn.STDEV.P($P1580:$XX1581))),"DESCARTADO",P1581)))</f>
        <v>62.9</v>
      </c>
      <c r="Q1583" s="107">
        <f t="shared" si="4900"/>
        <v>82.94</v>
      </c>
      <c r="R1583" s="107">
        <f t="shared" si="4900"/>
        <v>54.87</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f t="shared" si="4801"/>
        <v>75</v>
      </c>
      <c r="C1584" s="128">
        <f t="shared" si="4802"/>
        <v>1</v>
      </c>
      <c r="D1584" s="127">
        <f t="shared" si="4802"/>
        <v>75</v>
      </c>
      <c r="E1584" s="201"/>
      <c r="F1584" s="93"/>
      <c r="G1584" s="203"/>
      <c r="H1584"/>
      <c r="I1584"/>
      <c r="J1584"/>
      <c r="K1584" s="66"/>
      <c r="L1584" s="29" t="s">
        <v>40</v>
      </c>
      <c r="M1584" s="30">
        <f t="shared" ref="M1584" si="4901">MAX($P1575:$XX1575)</f>
        <v>82.94</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f t="shared" si="4801"/>
        <v>75</v>
      </c>
      <c r="C1585" s="128">
        <f t="shared" si="4802"/>
        <v>1</v>
      </c>
      <c r="D1585" s="127">
        <f t="shared" si="4802"/>
        <v>75</v>
      </c>
      <c r="E1585" s="201"/>
      <c r="F1585" s="93"/>
      <c r="G1585" s="203"/>
      <c r="H1585" s="134">
        <f t="shared" ref="H1585" si="4903">COUNT($P1585:$XX1585)</f>
        <v>3</v>
      </c>
      <c r="I1585" s="132">
        <f t="shared" ref="I1585" si="4904">_xlfn.STDEV.P($P1584:$XX1585)/AVERAGE($P1584:$XX1585)</f>
        <v>0.1764334956098792</v>
      </c>
      <c r="J1585" s="7">
        <f t="shared" ref="J1585" si="4905">IF(AND(H1585&gt;2,
OR(L1569="MÉDIA SANEADA",L1569="MEDIANA SANEADA",
AND(L1569="PREÇO ESTIMADO",NOT(AND(P1571="Orçamento",COUNTA(P1569:XX1569)=COUNTIF(P1571:XX1571,"Orçamento")))))),
ROW(),0)</f>
        <v>1585</v>
      </c>
      <c r="K1585" s="66"/>
      <c r="N1585" s="71"/>
      <c r="O1585" s="27" t="str">
        <f t="shared" ref="O1585" si="4906">"5 RODADA"</f>
        <v>5 RODADA</v>
      </c>
      <c r="P1585" s="107">
        <f t="shared" ref="P1585:AI1585" si="4907">IF(P1583="","",IF((_xlfn.STDEV.P($P1582:$XX1583)/AVERAGE($P1582:$XX1583))&lt;=25%,P1583,IF(OR(P1583&gt;(AVERAGE($P1582:$XX1583)+_xlfn.STDEV.P($P1582:$XX1583)),P1583&lt;(AVERAGE($P1582:$XX1583)-_xlfn.STDEV.P($P1582:$XX1583))),"DESCARTADO",P1583)))</f>
        <v>62.9</v>
      </c>
      <c r="Q1585" s="107">
        <f t="shared" si="4907"/>
        <v>82.94</v>
      </c>
      <c r="R1585" s="107">
        <f t="shared" si="4907"/>
        <v>54.87</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f t="shared" si="4801"/>
        <v>75</v>
      </c>
      <c r="C1586" s="128">
        <f t="shared" si="4802"/>
        <v>1</v>
      </c>
      <c r="D1586" s="127">
        <f t="shared" si="4802"/>
        <v>75</v>
      </c>
      <c r="E1586" s="201"/>
      <c r="F1586" s="93"/>
      <c r="G1586" s="203"/>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f t="shared" si="4801"/>
        <v>75</v>
      </c>
      <c r="C1587" s="128">
        <f t="shared" si="4802"/>
        <v>1</v>
      </c>
      <c r="D1587" s="127">
        <f t="shared" si="4802"/>
        <v>75</v>
      </c>
      <c r="E1587" s="201"/>
      <c r="F1587" s="93"/>
      <c r="G1587" s="203"/>
      <c r="H1587" s="134">
        <f t="shared" ref="H1587" si="4909">COUNT($P1587:$XX1587)</f>
        <v>3</v>
      </c>
      <c r="I1587" s="132">
        <f t="shared" ref="I1587" si="4910">_xlfn.STDEV.P($P1586:$XX1587)/AVERAGE($P1586:$XX1587)</f>
        <v>0.1764334956098792</v>
      </c>
      <c r="J1587" s="7">
        <f t="shared" ref="J1587" si="4911">IF(AND(H1587&gt;2,
OR(L1569="MÉDIA SANEADA",L1569="MEDIANA SANEADA",
AND(L1569="PREÇO ESTIMADO",NOT(AND(P1571="Orçamento",COUNTA(P1569:XX1569)=COUNTIF(P1571:XX1571,"Orçamento")))))),
ROW(),0)</f>
        <v>1587</v>
      </c>
      <c r="N1587" s="71"/>
      <c r="O1587" s="27" t="str">
        <f t="shared" ref="O1587" si="4912">"6 RODADA"</f>
        <v>6 RODADA</v>
      </c>
      <c r="P1587" s="107">
        <f t="shared" ref="P1587:AI1587" si="4913">IFERROR(IF(P1585="","",IF((_xlfn.STDEV.P($P1584:$XX1585)/AVERAGE($P1584:$XX1585))&lt;=25%,P1585,IF(OR(P1585&gt;(AVERAGE($P1584:$XX1585)+_xlfn.STDEV.P($P1584:$XX1585)),P1585&lt;(AVERAGE($P1584:$XX1585)-_xlfn.STDEV.P($P1584:$XX1585))),"DESCARTADO",P1585))),)</f>
        <v>62.9</v>
      </c>
      <c r="Q1587" s="107">
        <f t="shared" si="4913"/>
        <v>82.94</v>
      </c>
      <c r="R1587" s="107">
        <f t="shared" si="4913"/>
        <v>54.87</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f t="shared" si="4801"/>
        <v>75</v>
      </c>
      <c r="C1588" s="128">
        <f t="shared" si="4802"/>
        <v>1</v>
      </c>
      <c r="D1588" s="127">
        <f t="shared" si="4802"/>
        <v>75</v>
      </c>
      <c r="E1588" s="201"/>
      <c r="F1588" s="136"/>
      <c r="G1588" s="203"/>
      <c r="H1588" s="206"/>
      <c r="I1588" s="206"/>
      <c r="J1588" s="207"/>
      <c r="K1588" s="67"/>
      <c r="L1588" s="1" t="s">
        <v>43</v>
      </c>
      <c r="M1588" s="143">
        <f t="shared" ref="M1588" si="4914">IFERROR(ROUND(M1569*M1571,2),"")</f>
        <v>802.8</v>
      </c>
      <c r="O1588" s="27" t="s">
        <v>363</v>
      </c>
      <c r="P1588" s="107">
        <f t="shared" ref="P1588:R1588" si="4915">INDEX(P1575:P1587,MATCH(MAX($J1575:$J1587),$J1575:$J1587,0))</f>
        <v>62.9</v>
      </c>
      <c r="Q1588" s="107">
        <f t="shared" si="4915"/>
        <v>82.94</v>
      </c>
      <c r="R1588" s="107">
        <f t="shared" si="4915"/>
        <v>54.87</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f t="shared" ref="B1590" si="4916">LARGE(IFERROR(IF(B1588+1&gt;$H$8,"",B1588+1),""),1)</f>
        <v>76</v>
      </c>
      <c r="C1590" s="127">
        <f>IF(_xlfn.ISFORMULA(E1594),MAX(INDEX('BASE FORMAÇÃO'!A:A,B1590+1),1),E1594)</f>
        <v>1</v>
      </c>
      <c r="D1590" s="127">
        <f t="shared" ref="D1590" si="4917">IFERROR(IF(C1590=C1580,D1580+1,1),1)</f>
        <v>76</v>
      </c>
      <c r="E1590" s="38" t="s">
        <v>9</v>
      </c>
      <c r="F1590" s="73"/>
      <c r="G1590" s="38" t="s">
        <v>15</v>
      </c>
      <c r="H1590" s="135">
        <f>INDEX('BASE FORMAÇÃO'!B:B,B1590+1)</f>
        <v>0</v>
      </c>
      <c r="I1590" s="181" t="s">
        <v>16</v>
      </c>
      <c r="J1590" s="6">
        <f>INDEX('BASE FORMAÇÃO'!K:K,B1590+1)</f>
        <v>0</v>
      </c>
      <c r="K1590" s="65"/>
      <c r="L1590" s="184" t="s">
        <v>10</v>
      </c>
      <c r="M1590" s="186">
        <f t="shared" ref="M1590" si="4918">IF(OR(ISBLANK($O$8),ISBLANK($O$7),ISBLANK($H$8),ISBLANK($O$6),ISBLANK($O$5),ISBLANK($H$5)),"",IFERROR(IF(VLOOKUP(L1590,L1596:M1605,2,FALSE)&lt;1,ROUND(VLOOKUP(L1590,L1596:M1605,2,FALSE),4),ROUND(VLOOKUP(L1590,L1596:M1605,2,FALSE),2)),""))</f>
        <v>106.85</v>
      </c>
      <c r="N1590" s="69"/>
      <c r="O1590" s="27" t="s">
        <v>17</v>
      </c>
      <c r="P1590" s="113">
        <v>105.44</v>
      </c>
      <c r="Q1590" s="113">
        <v>104.99</v>
      </c>
      <c r="R1590" s="113">
        <v>110.11</v>
      </c>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f t="shared" ref="B1591:D1591" si="4919">B1590</f>
        <v>76</v>
      </c>
      <c r="C1591" s="128">
        <f t="shared" si="4919"/>
        <v>1</v>
      </c>
      <c r="D1591" s="127">
        <f t="shared" si="4919"/>
        <v>76</v>
      </c>
      <c r="E1591" s="188">
        <f t="shared" ref="E1591" si="4920">D1590</f>
        <v>76</v>
      </c>
      <c r="F1591" s="92"/>
      <c r="G1591" s="190" t="s">
        <v>1</v>
      </c>
      <c r="H1591" s="193" t="s">
        <v>733</v>
      </c>
      <c r="I1591" s="194"/>
      <c r="J1591" s="195"/>
      <c r="K1591" s="66"/>
      <c r="L1591" s="185"/>
      <c r="M1591" s="187"/>
      <c r="N1591" s="70"/>
      <c r="O1591" s="27" t="s">
        <v>13</v>
      </c>
      <c r="P1591" s="122">
        <v>46196</v>
      </c>
      <c r="Q1591" s="122">
        <v>46196</v>
      </c>
      <c r="R1591" s="122">
        <v>46196</v>
      </c>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f t="shared" ref="B1592:D1592" si="4921">B1591</f>
        <v>76</v>
      </c>
      <c r="C1592" s="128">
        <f t="shared" si="4921"/>
        <v>1</v>
      </c>
      <c r="D1592" s="127">
        <f t="shared" si="4921"/>
        <v>76</v>
      </c>
      <c r="E1592" s="189"/>
      <c r="F1592" s="93"/>
      <c r="G1592" s="191"/>
      <c r="H1592" s="196"/>
      <c r="I1592" s="196"/>
      <c r="J1592" s="197"/>
      <c r="K1592" s="64"/>
      <c r="L1592" s="130" t="s">
        <v>44</v>
      </c>
      <c r="M1592" s="131">
        <v>4</v>
      </c>
      <c r="N1592" s="71"/>
      <c r="O1592" s="27" t="s">
        <v>380</v>
      </c>
      <c r="P1592" s="114" t="s">
        <v>302</v>
      </c>
      <c r="Q1592" s="114" t="s">
        <v>302</v>
      </c>
      <c r="R1592" s="114" t="s">
        <v>302</v>
      </c>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f t="shared" ref="B1593:C1593" si="4922">B1592</f>
        <v>76</v>
      </c>
      <c r="C1593" s="128">
        <f t="shared" si="4922"/>
        <v>1</v>
      </c>
      <c r="D1593" s="127">
        <f t="shared" si="4802"/>
        <v>76</v>
      </c>
      <c r="E1593" s="38" t="s">
        <v>313</v>
      </c>
      <c r="F1593" s="93"/>
      <c r="G1593" s="192"/>
      <c r="H1593" s="198"/>
      <c r="I1593" s="198"/>
      <c r="J1593" s="199"/>
      <c r="K1593" s="64"/>
      <c r="L1593" s="1" t="s">
        <v>2</v>
      </c>
      <c r="M1593" s="6" t="s">
        <v>288</v>
      </c>
      <c r="N1593" s="71"/>
      <c r="O1593" s="27" t="s">
        <v>381</v>
      </c>
      <c r="P1593" s="182" t="s">
        <v>736</v>
      </c>
      <c r="Q1593" s="182" t="s">
        <v>734</v>
      </c>
      <c r="R1593" s="182" t="s">
        <v>735</v>
      </c>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f t="shared" ref="B1594:C1594" si="4923">B1592</f>
        <v>76</v>
      </c>
      <c r="C1594" s="128">
        <f t="shared" si="4923"/>
        <v>1</v>
      </c>
      <c r="D1594" s="127">
        <f t="shared" si="4802"/>
        <v>76</v>
      </c>
      <c r="E1594" s="200">
        <f t="shared" ref="E1594" si="4924">C1590</f>
        <v>1</v>
      </c>
      <c r="F1594" s="93"/>
      <c r="G1594" s="202" t="s">
        <v>304</v>
      </c>
      <c r="H1594" s="204"/>
      <c r="I1594" s="205"/>
      <c r="J1594" s="205"/>
      <c r="K1594" s="67"/>
      <c r="L1594" s="28" t="s">
        <v>303</v>
      </c>
      <c r="M1594" s="133">
        <f t="shared" ref="M1594" si="4925">IFERROR(INDEX(I1596:I1608,MATCH(MAX(J1596:J1608),J1596:J1608,0)),"")</f>
        <v>2.1664939858152221E-2</v>
      </c>
      <c r="N1594" s="71"/>
      <c r="O1594" s="27" t="s">
        <v>18</v>
      </c>
      <c r="P1594" s="106">
        <f>IF(P1590="","",
IF(OR(P1592="Orçamento",P1591="",MAX('Tabela de Apoio'!$A:$A)&lt;=P1591),
P1590,
(INDEX('Tabela de Apoio'!$B:$B,MATCH('MAPA DE PREÇOS'!$O$8,'Tabela de Apoio'!$A:$A,1))/INDEX('Tabela de Apoio'!$B:$B,MATCH('MAPA DE PREÇOS'!P1591,'Tabela de Apoio'!$A:$A,1)-1))*P1590))</f>
        <v>105.44</v>
      </c>
      <c r="Q1594" s="106">
        <f>IF(Q1590="","",
IF(OR(Q1592="Orçamento",Q1591="",MAX('Tabela de Apoio'!$A:$A)&lt;=Q1591),
Q1590,
(INDEX('Tabela de Apoio'!$B:$B,MATCH('MAPA DE PREÇOS'!$O$8,'Tabela de Apoio'!$A:$A,1))/INDEX('Tabela de Apoio'!$B:$B,MATCH('MAPA DE PREÇOS'!Q1591,'Tabela de Apoio'!$A:$A,1)-1))*Q1590))</f>
        <v>104.99</v>
      </c>
      <c r="R1594" s="106">
        <f>IF(R1590="","",
IF(OR(R1592="Orçamento",R1591="",MAX('Tabela de Apoio'!$A:$A)&lt;=R1591),
R1590,
(INDEX('Tabela de Apoio'!$B:$B,MATCH('MAPA DE PREÇOS'!$O$8,'Tabela de Apoio'!$A:$A,1))/INDEX('Tabela de Apoio'!$B:$B,MATCH('MAPA DE PREÇOS'!R1591,'Tabela de Apoio'!$A:$A,1)-1))*R1590))</f>
        <v>110.11</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f t="shared" ref="B1595" si="4926">B1594</f>
        <v>76</v>
      </c>
      <c r="C1595" s="128">
        <f t="shared" ref="C1595" si="4927">C1594</f>
        <v>1</v>
      </c>
      <c r="D1595" s="127">
        <f t="shared" si="4802"/>
        <v>76</v>
      </c>
      <c r="E1595" s="201"/>
      <c r="F1595" s="93"/>
      <c r="G1595" s="203"/>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f t="shared" ref="B1596:C1596" si="4928">B1595</f>
        <v>76</v>
      </c>
      <c r="C1596" s="128">
        <f t="shared" si="4928"/>
        <v>1</v>
      </c>
      <c r="D1596" s="127">
        <f t="shared" si="4802"/>
        <v>76</v>
      </c>
      <c r="E1596" s="201"/>
      <c r="F1596" s="93"/>
      <c r="G1596" s="203"/>
      <c r="H1596" s="134">
        <f t="shared" ref="H1596" si="4929">COUNT($P1596:$XX1596)</f>
        <v>3</v>
      </c>
      <c r="I1596" s="132">
        <f t="shared" ref="I1596" si="4930">_xlfn.STDEV.P($P1595:$XX1596)/AVERAGE($P1595:$XX1596)</f>
        <v>2.1664939858152221E-2</v>
      </c>
      <c r="J1596" s="7">
        <f>ROW()</f>
        <v>1596</v>
      </c>
      <c r="K1596" s="67"/>
      <c r="L1596" s="29" t="s">
        <v>10</v>
      </c>
      <c r="M1596" s="30">
        <f t="shared" ref="M1596" si="4931">IFERROR(
IF(COUNTA(P1590:AI1590)=COUNTIF(P1592:XX1592,"Orçamento"),MIN(M1601,M1598),
IF(M1599&lt;&gt;"",M1599,
IF(M1600&lt;&gt;"",M1600,
M1598
))),"")</f>
        <v>106.84666666666668</v>
      </c>
      <c r="N1596" s="71"/>
      <c r="O1596" s="27" t="s">
        <v>376</v>
      </c>
      <c r="P1596" s="106">
        <f t="shared" ref="P1596:AI1596" si="4932">IFERROR(IF(P1594="",
            "",
            IF(COUNT($P1594:$XX1594)&lt;=4,
               P1594,
               IF(OR(P1594&gt;(QUARTILE($P1594:$XX1594,3)+(QUARTILE($P1594:$XX1594,3)-QUARTILE($P1594:$XX1594,1))),
                     P1594&lt;(QUARTILE($P1594:$XX1594,1)-(QUARTILE($P1594:$XX1594,3)-QUARTILE($P1594:$XX1594,1)))
                  ),
               "DESCARTADO",P1594)
             )
  ),P1594)</f>
        <v>105.44</v>
      </c>
      <c r="Q1596" s="106">
        <f t="shared" si="4932"/>
        <v>104.99</v>
      </c>
      <c r="R1596" s="106">
        <f t="shared" si="4932"/>
        <v>110.11</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f t="shared" ref="B1597" si="4933">B1596</f>
        <v>76</v>
      </c>
      <c r="C1597" s="128">
        <f t="shared" ref="C1597" si="4934">C1596</f>
        <v>1</v>
      </c>
      <c r="D1597" s="127">
        <f t="shared" si="4802"/>
        <v>76</v>
      </c>
      <c r="E1597" s="201"/>
      <c r="F1597" s="93"/>
      <c r="G1597" s="203"/>
      <c r="H1597"/>
      <c r="I1597"/>
      <c r="J1597"/>
      <c r="K1597" s="66"/>
      <c r="L1597" s="29" t="s">
        <v>360</v>
      </c>
      <c r="M1597" s="30">
        <f t="shared" ref="M1597" si="4935">AVERAGE($P1596:$XX1596)</f>
        <v>106.84666666666668</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f t="shared" si="4801"/>
        <v>76</v>
      </c>
      <c r="C1598" s="128">
        <f t="shared" si="4802"/>
        <v>1</v>
      </c>
      <c r="D1598" s="127">
        <f t="shared" si="4802"/>
        <v>76</v>
      </c>
      <c r="E1598" s="201"/>
      <c r="F1598" s="93"/>
      <c r="G1598" s="203"/>
      <c r="H1598" s="134">
        <f t="shared" ref="H1598" si="4937">COUNT($P1598:$XX1598)</f>
        <v>3</v>
      </c>
      <c r="I1598" s="132">
        <f t="shared" ref="I1598" si="4938">_xlfn.STDEV.P($P1597:$XX1598)/AVERAGE($P1597:$XX1598)</f>
        <v>2.1664939858152221E-2</v>
      </c>
      <c r="J1598" s="7">
        <f t="shared" ref="J1598" si="4939">IF(AND(H1598&gt;2,
OR(L1590="MÉDIA SANEADA",L1590="MEDIANA SANEADA",
AND(L1590="PREÇO ESTIMADO",NOT(AND(P1592="Orçamento",COUNTA(P1590:XX1590)=COUNTIF(P1592:XX1592,"Orçamento")))))),
ROW(),0)</f>
        <v>1598</v>
      </c>
      <c r="K1598" s="66"/>
      <c r="L1598" s="29" t="s">
        <v>361</v>
      </c>
      <c r="M1598" s="30">
        <f t="shared" ref="M1598" si="4940">MEDIAN($P1596:$XX1596)</f>
        <v>105.44</v>
      </c>
      <c r="N1598" s="71"/>
      <c r="O1598" s="27" t="str">
        <f t="shared" ref="O1598" si="4941">"1 RODADA"</f>
        <v>1 RODADA</v>
      </c>
      <c r="P1598" s="107">
        <f t="shared" ref="P1598:AI1598" si="4942">IF(P1596="","",IF((_xlfn.STDEV.P($P1595:$XX1596)/AVERAGE($P1595:$XX1596))&lt;=25%,P1596,IF(OR(P1596&gt;(AVERAGE($P1595:$XX1596)+_xlfn.STDEV.P($P1595:$XX1596)),P1596&lt;(AVERAGE($P1595:$XX1596)-_xlfn.STDEV.P($P1595:$XX1596))),"DESCARTADO",P1596)))</f>
        <v>105.44</v>
      </c>
      <c r="Q1598" s="107">
        <f t="shared" si="4942"/>
        <v>104.99</v>
      </c>
      <c r="R1598" s="107">
        <f t="shared" si="4942"/>
        <v>110.11</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f t="shared" si="4801"/>
        <v>76</v>
      </c>
      <c r="C1599" s="128">
        <f t="shared" si="4802"/>
        <v>1</v>
      </c>
      <c r="D1599" s="127">
        <f t="shared" si="4802"/>
        <v>76</v>
      </c>
      <c r="E1599" s="201"/>
      <c r="F1599" s="93"/>
      <c r="G1599" s="203"/>
      <c r="H1599"/>
      <c r="I1599"/>
      <c r="J1599"/>
      <c r="L1599" s="29" t="s">
        <v>38</v>
      </c>
      <c r="M1599" s="30">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106.84666666666668</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f t="shared" si="4801"/>
        <v>76</v>
      </c>
      <c r="C1600" s="128">
        <f t="shared" si="4802"/>
        <v>1</v>
      </c>
      <c r="D1600" s="127">
        <f t="shared" si="4802"/>
        <v>76</v>
      </c>
      <c r="E1600" s="201"/>
      <c r="F1600" s="93"/>
      <c r="G1600" s="203"/>
      <c r="H1600" s="134">
        <f t="shared" ref="H1600" si="4945">COUNT($P1600:$XX1600)</f>
        <v>3</v>
      </c>
      <c r="I1600" s="132">
        <f t="shared" ref="I1600" si="4946">_xlfn.STDEV.P($P1599:$XX1600)/AVERAGE($P1599:$XX1600)</f>
        <v>2.1664939858152221E-2</v>
      </c>
      <c r="J1600" s="7">
        <f t="shared" ref="J1600" si="4947">IF(AND(H1600&gt;2,
OR(L1590="MÉDIA SANEADA",L1590="MEDIANA SANEADA",
AND(L1590="PREÇO ESTIMADO",NOT(AND(P1592="Orçamento",COUNTA(P1590:XX1590)=COUNTIF(P1592:XX1592,"Orçamento")))))),
ROW(),0)</f>
        <v>1600</v>
      </c>
      <c r="K1600" s="66"/>
      <c r="L1600" s="29" t="s">
        <v>362</v>
      </c>
      <c r="M1600" s="30">
        <f t="shared" ref="M1600" si="4948" xml:space="preserve">
IF(H1598&gt;2,MEDIAN(P1597:XX1598),
IF(H1600&gt;2,MEDIAN(P1599:XX1600),
IF(H1602&gt;2,MEDIAN(P1601:XX1602),
IF(H1604&gt;2,MEDIAN(P1603:XX1604),
IF(H1606&gt;2,MEDIAN(P1605:XX1606),
IF(H1608&gt;2,MEDIAN(P1607:XX1608),
MEDIAN(P1595:XX1596)))))))</f>
        <v>105.44</v>
      </c>
      <c r="N1600" s="71"/>
      <c r="O1600" s="27" t="str">
        <f t="shared" ref="O1600" si="4949">"2 RODADA"</f>
        <v>2 RODADA</v>
      </c>
      <c r="P1600" s="107">
        <f t="shared" ref="P1600:AI1600" si="4950">IF(P1598="","",IF((_xlfn.STDEV.P($P1597:$XX1598)/AVERAGE($P1597:$XX1598))&lt;=25%,P1598,IF(OR(P1598&gt;(AVERAGE($P1597:$XX1598)+_xlfn.STDEV.P($P1597:$XX1598)),P1598&lt;(AVERAGE($P1597:$XX1598)-_xlfn.STDEV.P($P1597:$XX1598))),"DESCARTADO",P1598)))</f>
        <v>105.44</v>
      </c>
      <c r="Q1600" s="107">
        <f t="shared" si="4950"/>
        <v>104.99</v>
      </c>
      <c r="R1600" s="107">
        <f t="shared" si="4950"/>
        <v>110.11</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f t="shared" si="4801"/>
        <v>76</v>
      </c>
      <c r="C1601" s="128">
        <f t="shared" si="4802"/>
        <v>1</v>
      </c>
      <c r="D1601" s="127">
        <f t="shared" si="4802"/>
        <v>76</v>
      </c>
      <c r="E1601" s="201"/>
      <c r="F1601" s="93"/>
      <c r="G1601" s="203"/>
      <c r="H1601"/>
      <c r="I1601"/>
      <c r="J1601"/>
      <c r="K1601" s="66"/>
      <c r="L1601" s="29" t="s">
        <v>359</v>
      </c>
      <c r="M1601" s="30">
        <f t="shared" ref="M1601" si="4951">HARMEAN($P1595:$XX1596)</f>
        <v>106.79725105017093</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f t="shared" si="4801"/>
        <v>76</v>
      </c>
      <c r="C1602" s="128">
        <f t="shared" si="4802"/>
        <v>1</v>
      </c>
      <c r="D1602" s="127">
        <f t="shared" si="4802"/>
        <v>76</v>
      </c>
      <c r="E1602" s="201"/>
      <c r="F1602" s="93"/>
      <c r="G1602" s="203"/>
      <c r="H1602" s="134">
        <f t="shared" ref="H1602" si="4953">COUNT($P1602:$XX1602)</f>
        <v>3</v>
      </c>
      <c r="I1602" s="132">
        <f t="shared" ref="I1602" si="4954">_xlfn.STDEV.P($P1601:$XX1602)/AVERAGE($P1601:$XX1602)</f>
        <v>2.1664939858152221E-2</v>
      </c>
      <c r="J1602" s="7">
        <f t="shared" ref="J1602" si="4955">IF(AND(H1602&gt;2,
OR(L1590="MÉDIA SANEADA",L1590="MEDIANA SANEADA",
AND(L1590="PREÇO ESTIMADO",NOT(AND(P1592="Orçamento",COUNTA(P1590:XX1590)=COUNTIF(P1592:XX1592,"Orçamento")))))),
ROW(),0)</f>
        <v>1602</v>
      </c>
      <c r="K1602" s="66"/>
      <c r="L1602" s="29" t="s">
        <v>41</v>
      </c>
      <c r="M1602" s="30">
        <f t="shared" ref="M1602" si="4956">IFERROR(_xlfn.QUARTILE.EXC($P1596:$XX1596,1),"")</f>
        <v>104.99</v>
      </c>
      <c r="N1602" s="71"/>
      <c r="O1602" s="27" t="str">
        <f t="shared" ref="O1602" si="4957">"3 RODADA"</f>
        <v>3 RODADA</v>
      </c>
      <c r="P1602" s="107">
        <f t="shared" ref="P1602:AI1602" si="4958">IF(P1600="","",IF((_xlfn.STDEV.P($P1599:$XX1600)/AVERAGE($P1599:$XX1600))&lt;=25%,P1600,IF(OR(P1600&gt;(AVERAGE($P1599:$XX1600)+_xlfn.STDEV.P($P1599:$XX1600)),P1600&lt;(AVERAGE($P1599:$XX1600)-_xlfn.STDEV.P($P1599:$XX1600))),"DESCARTADO",P1600)))</f>
        <v>105.44</v>
      </c>
      <c r="Q1602" s="107">
        <f t="shared" si="4958"/>
        <v>104.99</v>
      </c>
      <c r="R1602" s="107">
        <f t="shared" si="4958"/>
        <v>110.11</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f t="shared" si="4801"/>
        <v>76</v>
      </c>
      <c r="C1603" s="128">
        <f t="shared" si="4802"/>
        <v>1</v>
      </c>
      <c r="D1603" s="127">
        <f t="shared" si="4802"/>
        <v>76</v>
      </c>
      <c r="E1603" s="201"/>
      <c r="F1603" s="93"/>
      <c r="G1603" s="203"/>
      <c r="H1603"/>
      <c r="I1603"/>
      <c r="J1603"/>
      <c r="K1603" s="66"/>
      <c r="L1603" s="29" t="s">
        <v>39</v>
      </c>
      <c r="M1603" s="30">
        <f t="shared" ref="M1603" si="4959">IFERROR(_xlfn.QUARTILE.EXC($P1596:$XX1596,3),"")</f>
        <v>110.11</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f t="shared" si="4801"/>
        <v>76</v>
      </c>
      <c r="C1604" s="128">
        <f t="shared" si="4802"/>
        <v>1</v>
      </c>
      <c r="D1604" s="127">
        <f t="shared" si="4802"/>
        <v>76</v>
      </c>
      <c r="E1604" s="201"/>
      <c r="F1604" s="93"/>
      <c r="G1604" s="203"/>
      <c r="H1604" s="134">
        <f t="shared" ref="H1604" si="4961">COUNT($P1604:$XX1604)</f>
        <v>3</v>
      </c>
      <c r="I1604" s="132">
        <f t="shared" ref="I1604" si="4962">_xlfn.STDEV.P($P1603:$XX1604)/AVERAGE($P1603:$XX1604)</f>
        <v>2.1664939858152221E-2</v>
      </c>
      <c r="J1604" s="7">
        <f t="shared" ref="J1604" si="4963">IF(AND(H1604&gt;2,
OR(L1590="MÉDIA SANEADA",L1590="MEDIANA SANEADA",
AND(L1590="PREÇO ESTIMADO",NOT(AND(P1592="Orçamento",COUNTA(P1590:XX1590)=COUNTIF(P1592:XX1592,"Orçamento")))))),
ROW(),0)</f>
        <v>1604</v>
      </c>
      <c r="K1604" s="66"/>
      <c r="L1604" s="29" t="s">
        <v>42</v>
      </c>
      <c r="M1604" s="30">
        <f t="shared" ref="M1604" si="4964">MIN($P1596:$XX1596)</f>
        <v>104.99</v>
      </c>
      <c r="N1604" s="71"/>
      <c r="O1604" s="27" t="str">
        <f t="shared" ref="O1604" si="4965">"4 RODADA"</f>
        <v>4 RODADA</v>
      </c>
      <c r="P1604" s="107">
        <f t="shared" ref="P1604:AI1604" si="4966">IF(P1602="","",IF((_xlfn.STDEV.P($P1601:$XX1602)/AVERAGE($P1601:$XX1602))&lt;=25%,P1602,IF(OR(P1602&gt;(AVERAGE($P1601:$XX1602)+_xlfn.STDEV.P($P1601:$XX1602)),P1602&lt;(AVERAGE($P1601:$XX1602)-_xlfn.STDEV.P($P1601:$XX1602))),"DESCARTADO",P1602)))</f>
        <v>105.44</v>
      </c>
      <c r="Q1604" s="107">
        <f t="shared" si="4966"/>
        <v>104.99</v>
      </c>
      <c r="R1604" s="107">
        <f t="shared" si="4966"/>
        <v>110.11</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f t="shared" si="4801"/>
        <v>76</v>
      </c>
      <c r="C1605" s="128">
        <f t="shared" si="4802"/>
        <v>1</v>
      </c>
      <c r="D1605" s="127">
        <f t="shared" si="4802"/>
        <v>76</v>
      </c>
      <c r="E1605" s="201"/>
      <c r="F1605" s="93"/>
      <c r="G1605" s="203"/>
      <c r="H1605"/>
      <c r="I1605"/>
      <c r="J1605"/>
      <c r="K1605" s="66"/>
      <c r="L1605" s="29" t="s">
        <v>40</v>
      </c>
      <c r="M1605" s="30">
        <f t="shared" ref="M1605" si="4967">MAX($P1596:$XX1596)</f>
        <v>110.11</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f t="shared" si="4801"/>
        <v>76</v>
      </c>
      <c r="C1606" s="128">
        <f t="shared" si="4802"/>
        <v>1</v>
      </c>
      <c r="D1606" s="127">
        <f t="shared" si="4802"/>
        <v>76</v>
      </c>
      <c r="E1606" s="201"/>
      <c r="F1606" s="93"/>
      <c r="G1606" s="203"/>
      <c r="H1606" s="134">
        <f t="shared" ref="H1606" si="4969">COUNT($P1606:$XX1606)</f>
        <v>3</v>
      </c>
      <c r="I1606" s="132">
        <f t="shared" ref="I1606" si="4970">_xlfn.STDEV.P($P1605:$XX1606)/AVERAGE($P1605:$XX1606)</f>
        <v>2.1664939858152221E-2</v>
      </c>
      <c r="J1606" s="7">
        <f t="shared" ref="J1606" si="4971">IF(AND(H1606&gt;2,
OR(L1590="MÉDIA SANEADA",L1590="MEDIANA SANEADA",
AND(L1590="PREÇO ESTIMADO",NOT(AND(P1592="Orçamento",COUNTA(P1590:XX1590)=COUNTIF(P1592:XX1592,"Orçamento")))))),
ROW(),0)</f>
        <v>1606</v>
      </c>
      <c r="K1606" s="66"/>
      <c r="N1606" s="71"/>
      <c r="O1606" s="27" t="str">
        <f t="shared" ref="O1606" si="4972">"5 RODADA"</f>
        <v>5 RODADA</v>
      </c>
      <c r="P1606" s="107">
        <f t="shared" ref="P1606:AI1606" si="4973">IF(P1604="","",IF((_xlfn.STDEV.P($P1603:$XX1604)/AVERAGE($P1603:$XX1604))&lt;=25%,P1604,IF(OR(P1604&gt;(AVERAGE($P1603:$XX1604)+_xlfn.STDEV.P($P1603:$XX1604)),P1604&lt;(AVERAGE($P1603:$XX1604)-_xlfn.STDEV.P($P1603:$XX1604))),"DESCARTADO",P1604)))</f>
        <v>105.44</v>
      </c>
      <c r="Q1606" s="107">
        <f t="shared" si="4973"/>
        <v>104.99</v>
      </c>
      <c r="R1606" s="107">
        <f t="shared" si="4973"/>
        <v>110.11</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f t="shared" si="4801"/>
        <v>76</v>
      </c>
      <c r="C1607" s="128">
        <f t="shared" si="4802"/>
        <v>1</v>
      </c>
      <c r="D1607" s="127">
        <f t="shared" si="4802"/>
        <v>76</v>
      </c>
      <c r="E1607" s="201"/>
      <c r="F1607" s="93"/>
      <c r="G1607" s="203"/>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f t="shared" si="4801"/>
        <v>76</v>
      </c>
      <c r="C1608" s="128">
        <f t="shared" si="4802"/>
        <v>1</v>
      </c>
      <c r="D1608" s="127">
        <f t="shared" si="4802"/>
        <v>76</v>
      </c>
      <c r="E1608" s="201"/>
      <c r="F1608" s="93"/>
      <c r="G1608" s="203"/>
      <c r="H1608" s="134">
        <f t="shared" ref="H1608" si="4975">COUNT($P1608:$XX1608)</f>
        <v>3</v>
      </c>
      <c r="I1608" s="132">
        <f t="shared" ref="I1608" si="4976">_xlfn.STDEV.P($P1607:$XX1608)/AVERAGE($P1607:$XX1608)</f>
        <v>2.1664939858152221E-2</v>
      </c>
      <c r="J1608" s="7">
        <f t="shared" ref="J1608" si="4977">IF(AND(H1608&gt;2,
OR(L1590="MÉDIA SANEADA",L1590="MEDIANA SANEADA",
AND(L1590="PREÇO ESTIMADO",NOT(AND(P1592="Orçamento",COUNTA(P1590:XX1590)=COUNTIF(P1592:XX1592,"Orçamento")))))),
ROW(),0)</f>
        <v>1608</v>
      </c>
      <c r="N1608" s="71"/>
      <c r="O1608" s="27" t="str">
        <f t="shared" ref="O1608" si="4978">"6 RODADA"</f>
        <v>6 RODADA</v>
      </c>
      <c r="P1608" s="107">
        <f t="shared" ref="P1608:AI1608" si="4979">IFERROR(IF(P1606="","",IF((_xlfn.STDEV.P($P1605:$XX1606)/AVERAGE($P1605:$XX1606))&lt;=25%,P1606,IF(OR(P1606&gt;(AVERAGE($P1605:$XX1606)+_xlfn.STDEV.P($P1605:$XX1606)),P1606&lt;(AVERAGE($P1605:$XX1606)-_xlfn.STDEV.P($P1605:$XX1606))),"DESCARTADO",P1606))),)</f>
        <v>105.44</v>
      </c>
      <c r="Q1608" s="107">
        <f t="shared" si="4979"/>
        <v>104.99</v>
      </c>
      <c r="R1608" s="107">
        <f t="shared" si="4979"/>
        <v>110.11</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f t="shared" si="4801"/>
        <v>76</v>
      </c>
      <c r="C1609" s="128">
        <f t="shared" si="4802"/>
        <v>1</v>
      </c>
      <c r="D1609" s="127">
        <f t="shared" si="4802"/>
        <v>76</v>
      </c>
      <c r="E1609" s="201"/>
      <c r="F1609" s="136"/>
      <c r="G1609" s="203"/>
      <c r="H1609" s="206"/>
      <c r="I1609" s="206"/>
      <c r="J1609" s="207"/>
      <c r="K1609" s="67"/>
      <c r="L1609" s="1" t="s">
        <v>43</v>
      </c>
      <c r="M1609" s="143">
        <f t="shared" ref="M1609" si="4980">IFERROR(ROUND(M1590*M1592,2),"")</f>
        <v>427.4</v>
      </c>
      <c r="O1609" s="27" t="s">
        <v>363</v>
      </c>
      <c r="P1609" s="107">
        <f t="shared" ref="P1609:AI1630" si="4981">INDEX(P1596:P1608,MATCH(MAX($J1596:$J1608),$J1596:$J1608,0))</f>
        <v>105.44</v>
      </c>
      <c r="Q1609" s="107">
        <f t="shared" si="4981"/>
        <v>104.99</v>
      </c>
      <c r="R1609" s="107">
        <f t="shared" si="4981"/>
        <v>110.11</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f t="shared" ref="B1611" si="4982">LARGE(IFERROR(IF(B1609+1&gt;$H$8,"",B1609+1),""),1)</f>
        <v>77</v>
      </c>
      <c r="C1611" s="127">
        <f>IF(_xlfn.ISFORMULA(E1615),MAX(INDEX('BASE FORMAÇÃO'!A:A,B1611+1),1),E1615)</f>
        <v>1</v>
      </c>
      <c r="D1611" s="127">
        <f t="shared" ref="D1611" si="4983">IFERROR(IF(C1611=C1601,D1601+1,1),1)</f>
        <v>77</v>
      </c>
      <c r="E1611" s="38" t="s">
        <v>9</v>
      </c>
      <c r="F1611" s="73"/>
      <c r="G1611" s="38" t="s">
        <v>15</v>
      </c>
      <c r="H1611" s="135">
        <f>INDEX('BASE FORMAÇÃO'!B:B,B1611+1)</f>
        <v>0</v>
      </c>
      <c r="I1611" s="181" t="s">
        <v>16</v>
      </c>
      <c r="J1611" s="6">
        <f>INDEX('BASE FORMAÇÃO'!K:K,B1611+1)</f>
        <v>0</v>
      </c>
      <c r="K1611" s="65"/>
      <c r="L1611" s="184" t="s">
        <v>10</v>
      </c>
      <c r="M1611" s="186">
        <f t="shared" ref="M1611" si="4984">IF(OR(ISBLANK($O$8),ISBLANK($O$7),ISBLANK($H$8),ISBLANK($O$6),ISBLANK($O$5),ISBLANK($H$5)),"",IFERROR(IF(VLOOKUP(L1611,L1617:M1626,2,FALSE)&lt;1,ROUND(VLOOKUP(L1611,L1617:M1626,2,FALSE),4),ROUND(VLOOKUP(L1611,L1617:M1626,2,FALSE),2)),""))</f>
        <v>82</v>
      </c>
      <c r="N1611" s="69"/>
      <c r="O1611" s="27" t="s">
        <v>17</v>
      </c>
      <c r="P1611" s="113">
        <v>73.739999999999995</v>
      </c>
      <c r="Q1611" s="113">
        <v>92.06</v>
      </c>
      <c r="R1611" s="113">
        <v>80.2</v>
      </c>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f t="shared" ref="B1612:D1612" si="4985">B1611</f>
        <v>77</v>
      </c>
      <c r="C1612" s="128">
        <f t="shared" si="4985"/>
        <v>1</v>
      </c>
      <c r="D1612" s="127">
        <f t="shared" si="4985"/>
        <v>77</v>
      </c>
      <c r="E1612" s="188">
        <f t="shared" ref="E1612" si="4986">D1611</f>
        <v>77</v>
      </c>
      <c r="F1612" s="92"/>
      <c r="G1612" s="190" t="s">
        <v>1</v>
      </c>
      <c r="H1612" s="193" t="s">
        <v>737</v>
      </c>
      <c r="I1612" s="194"/>
      <c r="J1612" s="195"/>
      <c r="K1612" s="66"/>
      <c r="L1612" s="185"/>
      <c r="M1612" s="187"/>
      <c r="N1612" s="70"/>
      <c r="O1612" s="27" t="s">
        <v>13</v>
      </c>
      <c r="P1612" s="122">
        <v>46196</v>
      </c>
      <c r="Q1612" s="122">
        <v>46196</v>
      </c>
      <c r="R1612" s="122">
        <v>46196</v>
      </c>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f t="shared" ref="B1613:D1613" si="4987">B1612</f>
        <v>77</v>
      </c>
      <c r="C1613" s="128">
        <f t="shared" si="4987"/>
        <v>1</v>
      </c>
      <c r="D1613" s="127">
        <f t="shared" si="4987"/>
        <v>77</v>
      </c>
      <c r="E1613" s="189"/>
      <c r="F1613" s="93"/>
      <c r="G1613" s="191"/>
      <c r="H1613" s="196"/>
      <c r="I1613" s="196"/>
      <c r="J1613" s="197"/>
      <c r="K1613" s="64"/>
      <c r="L1613" s="130" t="s">
        <v>44</v>
      </c>
      <c r="M1613" s="131">
        <v>12</v>
      </c>
      <c r="N1613" s="71"/>
      <c r="O1613" s="27" t="s">
        <v>380</v>
      </c>
      <c r="P1613" s="114" t="s">
        <v>302</v>
      </c>
      <c r="Q1613" s="114" t="s">
        <v>302</v>
      </c>
      <c r="R1613" s="114" t="s">
        <v>302</v>
      </c>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f t="shared" ref="B1614:C1614" si="4988">B1613</f>
        <v>77</v>
      </c>
      <c r="C1614" s="128">
        <f t="shared" si="4988"/>
        <v>1</v>
      </c>
      <c r="D1614" s="127">
        <f t="shared" si="4802"/>
        <v>77</v>
      </c>
      <c r="E1614" s="38" t="s">
        <v>313</v>
      </c>
      <c r="F1614" s="93"/>
      <c r="G1614" s="192"/>
      <c r="H1614" s="198"/>
      <c r="I1614" s="198"/>
      <c r="J1614" s="199"/>
      <c r="K1614" s="64"/>
      <c r="L1614" s="1" t="s">
        <v>2</v>
      </c>
      <c r="M1614" s="6" t="s">
        <v>288</v>
      </c>
      <c r="N1614" s="71"/>
      <c r="O1614" s="27" t="s">
        <v>381</v>
      </c>
      <c r="P1614" s="182" t="s">
        <v>738</v>
      </c>
      <c r="Q1614" s="182" t="s">
        <v>739</v>
      </c>
      <c r="R1614" s="182" t="s">
        <v>740</v>
      </c>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f t="shared" ref="B1615:C1615" si="4989">B1613</f>
        <v>77</v>
      </c>
      <c r="C1615" s="128">
        <f t="shared" si="4989"/>
        <v>1</v>
      </c>
      <c r="D1615" s="127">
        <f t="shared" si="4802"/>
        <v>77</v>
      </c>
      <c r="E1615" s="200">
        <f t="shared" ref="E1615" si="4990">C1611</f>
        <v>1</v>
      </c>
      <c r="F1615" s="93"/>
      <c r="G1615" s="202" t="s">
        <v>304</v>
      </c>
      <c r="H1615" s="204"/>
      <c r="I1615" s="205"/>
      <c r="J1615" s="205"/>
      <c r="K1615" s="67"/>
      <c r="L1615" s="28" t="s">
        <v>303</v>
      </c>
      <c r="M1615" s="133">
        <f t="shared" ref="M1615" si="4991">IFERROR(INDEX(I1617:I1629,MATCH(MAX(J1617:J1629),J1617:J1629,0)),"")</f>
        <v>9.2519967993366495E-2</v>
      </c>
      <c r="N1615" s="71"/>
      <c r="O1615" s="27" t="s">
        <v>18</v>
      </c>
      <c r="P1615" s="106">
        <f>IF(P1611="","",
IF(OR(P1613="Orçamento",P1612="",MAX('Tabela de Apoio'!$A:$A)&lt;=P1612),
P1611,
(INDEX('Tabela de Apoio'!$B:$B,MATCH('MAPA DE PREÇOS'!$O$8,'Tabela de Apoio'!$A:$A,1))/INDEX('Tabela de Apoio'!$B:$B,MATCH('MAPA DE PREÇOS'!P1612,'Tabela de Apoio'!$A:$A,1)-1))*P1611))</f>
        <v>73.739999999999995</v>
      </c>
      <c r="Q1615" s="106">
        <f>IF(Q1611="","",
IF(OR(Q1613="Orçamento",Q1612="",MAX('Tabela de Apoio'!$A:$A)&lt;=Q1612),
Q1611,
(INDEX('Tabela de Apoio'!$B:$B,MATCH('MAPA DE PREÇOS'!$O$8,'Tabela de Apoio'!$A:$A,1))/INDEX('Tabela de Apoio'!$B:$B,MATCH('MAPA DE PREÇOS'!Q1612,'Tabela de Apoio'!$A:$A,1)-1))*Q1611))</f>
        <v>92.06</v>
      </c>
      <c r="R1615" s="106">
        <f>IF(R1611="","",
IF(OR(R1613="Orçamento",R1612="",MAX('Tabela de Apoio'!$A:$A)&lt;=R1612),
R1611,
(INDEX('Tabela de Apoio'!$B:$B,MATCH('MAPA DE PREÇOS'!$O$8,'Tabela de Apoio'!$A:$A,1))/INDEX('Tabela de Apoio'!$B:$B,MATCH('MAPA DE PREÇOS'!R1612,'Tabela de Apoio'!$A:$A,1)-1))*R1611))</f>
        <v>80.2</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f t="shared" ref="B1616" si="4992">B1615</f>
        <v>77</v>
      </c>
      <c r="C1616" s="128">
        <f t="shared" ref="C1616" si="4993">C1615</f>
        <v>1</v>
      </c>
      <c r="D1616" s="127">
        <f t="shared" si="4802"/>
        <v>77</v>
      </c>
      <c r="E1616" s="201"/>
      <c r="F1616" s="93"/>
      <c r="G1616" s="203"/>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f t="shared" ref="B1617:C1617" si="4994">B1616</f>
        <v>77</v>
      </c>
      <c r="C1617" s="128">
        <f t="shared" si="4994"/>
        <v>1</v>
      </c>
      <c r="D1617" s="127">
        <f t="shared" si="4802"/>
        <v>77</v>
      </c>
      <c r="E1617" s="201"/>
      <c r="F1617" s="93"/>
      <c r="G1617" s="203"/>
      <c r="H1617" s="134">
        <f t="shared" ref="H1617" si="4995">COUNT($P1617:$XX1617)</f>
        <v>3</v>
      </c>
      <c r="I1617" s="132">
        <f t="shared" ref="I1617" si="4996">_xlfn.STDEV.P($P1616:$XX1617)/AVERAGE($P1616:$XX1617)</f>
        <v>9.2519967993366495E-2</v>
      </c>
      <c r="J1617" s="7">
        <f>ROW()</f>
        <v>1617</v>
      </c>
      <c r="K1617" s="67"/>
      <c r="L1617" s="29" t="s">
        <v>10</v>
      </c>
      <c r="M1617" s="30">
        <f t="shared" ref="M1617" si="4997">IFERROR(
IF(COUNTA(P1611:AI1611)=COUNTIF(P1613:XX1613,"Orçamento"),MIN(M1622,M1619),
IF(M1620&lt;&gt;"",M1620,
IF(M1621&lt;&gt;"",M1621,
M1619
))),"")</f>
        <v>82</v>
      </c>
      <c r="N1617" s="71"/>
      <c r="O1617" s="27" t="s">
        <v>376</v>
      </c>
      <c r="P1617" s="106">
        <f t="shared" ref="P1617:AI1617" si="4998">IFERROR(IF(P1615="",
            "",
            IF(COUNT($P1615:$XX1615)&lt;=4,
               P1615,
               IF(OR(P1615&gt;(QUARTILE($P1615:$XX1615,3)+(QUARTILE($P1615:$XX1615,3)-QUARTILE($P1615:$XX1615,1))),
                     P1615&lt;(QUARTILE($P1615:$XX1615,1)-(QUARTILE($P1615:$XX1615,3)-QUARTILE($P1615:$XX1615,1)))
                  ),
               "DESCARTADO",P1615)
             )
  ),P1615)</f>
        <v>73.739999999999995</v>
      </c>
      <c r="Q1617" s="106">
        <f t="shared" si="4998"/>
        <v>92.06</v>
      </c>
      <c r="R1617" s="106">
        <f t="shared" si="4998"/>
        <v>80.2</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f t="shared" ref="B1618:B1672" si="4999">B1617</f>
        <v>77</v>
      </c>
      <c r="C1618" s="128">
        <f t="shared" ref="C1618:D1681" si="5000">C1617</f>
        <v>1</v>
      </c>
      <c r="D1618" s="127">
        <f t="shared" si="4802"/>
        <v>77</v>
      </c>
      <c r="E1618" s="201"/>
      <c r="F1618" s="93"/>
      <c r="G1618" s="203"/>
      <c r="H1618"/>
      <c r="I1618"/>
      <c r="J1618"/>
      <c r="K1618" s="66"/>
      <c r="L1618" s="29" t="s">
        <v>360</v>
      </c>
      <c r="M1618" s="30">
        <f t="shared" ref="M1618" si="5001">AVERAGE($P1617:$XX1617)</f>
        <v>82</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f t="shared" si="4999"/>
        <v>77</v>
      </c>
      <c r="C1619" s="128">
        <f t="shared" si="5000"/>
        <v>1</v>
      </c>
      <c r="D1619" s="127">
        <f t="shared" si="5000"/>
        <v>77</v>
      </c>
      <c r="E1619" s="201"/>
      <c r="F1619" s="93"/>
      <c r="G1619" s="203"/>
      <c r="H1619" s="134">
        <f t="shared" ref="H1619" si="5003">COUNT($P1619:$XX1619)</f>
        <v>3</v>
      </c>
      <c r="I1619" s="132">
        <f t="shared" ref="I1619" si="5004">_xlfn.STDEV.P($P1618:$XX1619)/AVERAGE($P1618:$XX1619)</f>
        <v>9.2519967993366495E-2</v>
      </c>
      <c r="J1619" s="7">
        <f t="shared" ref="J1619" si="5005">IF(AND(H1619&gt;2,
OR(L1611="MÉDIA SANEADA",L1611="MEDIANA SANEADA",
AND(L1611="PREÇO ESTIMADO",NOT(AND(P1613="Orçamento",COUNTA(P1611:XX1611)=COUNTIF(P1613:XX1613,"Orçamento")))))),
ROW(),0)</f>
        <v>1619</v>
      </c>
      <c r="K1619" s="66"/>
      <c r="L1619" s="29" t="s">
        <v>361</v>
      </c>
      <c r="M1619" s="30">
        <f t="shared" ref="M1619" si="5006">MEDIAN($P1617:$XX1617)</f>
        <v>80.2</v>
      </c>
      <c r="N1619" s="71"/>
      <c r="O1619" s="27" t="str">
        <f t="shared" ref="O1619" si="5007">"1 RODADA"</f>
        <v>1 RODADA</v>
      </c>
      <c r="P1619" s="107">
        <f t="shared" ref="P1619:AI1619" si="5008">IF(P1617="","",IF((_xlfn.STDEV.P($P1616:$XX1617)/AVERAGE($P1616:$XX1617))&lt;=25%,P1617,IF(OR(P1617&gt;(AVERAGE($P1616:$XX1617)+_xlfn.STDEV.P($P1616:$XX1617)),P1617&lt;(AVERAGE($P1616:$XX1617)-_xlfn.STDEV.P($P1616:$XX1617))),"DESCARTADO",P1617)))</f>
        <v>73.739999999999995</v>
      </c>
      <c r="Q1619" s="107">
        <f t="shared" si="5008"/>
        <v>92.06</v>
      </c>
      <c r="R1619" s="107">
        <f t="shared" si="5008"/>
        <v>80.2</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f t="shared" si="4999"/>
        <v>77</v>
      </c>
      <c r="C1620" s="128">
        <f t="shared" si="5000"/>
        <v>1</v>
      </c>
      <c r="D1620" s="127">
        <f t="shared" si="5000"/>
        <v>77</v>
      </c>
      <c r="E1620" s="201"/>
      <c r="F1620" s="93"/>
      <c r="G1620" s="203"/>
      <c r="H1620"/>
      <c r="I1620"/>
      <c r="J1620"/>
      <c r="L1620" s="29" t="s">
        <v>38</v>
      </c>
      <c r="M1620" s="30">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82</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f t="shared" si="4999"/>
        <v>77</v>
      </c>
      <c r="C1621" s="128">
        <f t="shared" si="5000"/>
        <v>1</v>
      </c>
      <c r="D1621" s="127">
        <f t="shared" si="5000"/>
        <v>77</v>
      </c>
      <c r="E1621" s="201"/>
      <c r="F1621" s="93"/>
      <c r="G1621" s="203"/>
      <c r="H1621" s="134">
        <f t="shared" ref="H1621" si="5011">COUNT($P1621:$XX1621)</f>
        <v>3</v>
      </c>
      <c r="I1621" s="132">
        <f t="shared" ref="I1621" si="5012">_xlfn.STDEV.P($P1620:$XX1621)/AVERAGE($P1620:$XX1621)</f>
        <v>9.2519967993366495E-2</v>
      </c>
      <c r="J1621" s="7">
        <f t="shared" ref="J1621" si="5013">IF(AND(H1621&gt;2,
OR(L1611="MÉDIA SANEADA",L1611="MEDIANA SANEADA",
AND(L1611="PREÇO ESTIMADO",NOT(AND(P1613="Orçamento",COUNTA(P1611:XX1611)=COUNTIF(P1613:XX1613,"Orçamento")))))),
ROW(),0)</f>
        <v>1621</v>
      </c>
      <c r="K1621" s="66"/>
      <c r="L1621" s="29" t="s">
        <v>362</v>
      </c>
      <c r="M1621" s="30">
        <f t="shared" ref="M1621" si="5014" xml:space="preserve">
IF(H1619&gt;2,MEDIAN(P1618:XX1619),
IF(H1621&gt;2,MEDIAN(P1620:XX1621),
IF(H1623&gt;2,MEDIAN(P1622:XX1623),
IF(H1625&gt;2,MEDIAN(P1624:XX1625),
IF(H1627&gt;2,MEDIAN(P1626:XX1627),
IF(H1629&gt;2,MEDIAN(P1628:XX1629),
MEDIAN(P1616:XX1617)))))))</f>
        <v>80.2</v>
      </c>
      <c r="N1621" s="71"/>
      <c r="O1621" s="27" t="str">
        <f t="shared" ref="O1621" si="5015">"2 RODADA"</f>
        <v>2 RODADA</v>
      </c>
      <c r="P1621" s="107">
        <f t="shared" ref="P1621:AI1621" si="5016">IF(P1619="","",IF((_xlfn.STDEV.P($P1618:$XX1619)/AVERAGE($P1618:$XX1619))&lt;=25%,P1619,IF(OR(P1619&gt;(AVERAGE($P1618:$XX1619)+_xlfn.STDEV.P($P1618:$XX1619)),P1619&lt;(AVERAGE($P1618:$XX1619)-_xlfn.STDEV.P($P1618:$XX1619))),"DESCARTADO",P1619)))</f>
        <v>73.739999999999995</v>
      </c>
      <c r="Q1621" s="107">
        <f t="shared" si="5016"/>
        <v>92.06</v>
      </c>
      <c r="R1621" s="107">
        <f t="shared" si="5016"/>
        <v>80.2</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f t="shared" si="4999"/>
        <v>77</v>
      </c>
      <c r="C1622" s="128">
        <f t="shared" si="5000"/>
        <v>1</v>
      </c>
      <c r="D1622" s="127">
        <f t="shared" si="5000"/>
        <v>77</v>
      </c>
      <c r="E1622" s="201"/>
      <c r="F1622" s="93"/>
      <c r="G1622" s="203"/>
      <c r="H1622"/>
      <c r="I1622"/>
      <c r="J1622"/>
      <c r="K1622" s="66"/>
      <c r="L1622" s="29" t="s">
        <v>359</v>
      </c>
      <c r="M1622" s="30">
        <f t="shared" ref="M1622" si="5017">HARMEAN($P1616:$XX1617)</f>
        <v>81.317407585481718</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f t="shared" si="4999"/>
        <v>77</v>
      </c>
      <c r="C1623" s="128">
        <f t="shared" si="5000"/>
        <v>1</v>
      </c>
      <c r="D1623" s="127">
        <f t="shared" si="5000"/>
        <v>77</v>
      </c>
      <c r="E1623" s="201"/>
      <c r="F1623" s="93"/>
      <c r="G1623" s="203"/>
      <c r="H1623" s="134">
        <f t="shared" ref="H1623" si="5019">COUNT($P1623:$XX1623)</f>
        <v>3</v>
      </c>
      <c r="I1623" s="132">
        <f t="shared" ref="I1623" si="5020">_xlfn.STDEV.P($P1622:$XX1623)/AVERAGE($P1622:$XX1623)</f>
        <v>9.2519967993366495E-2</v>
      </c>
      <c r="J1623" s="7">
        <f t="shared" ref="J1623" si="5021">IF(AND(H1623&gt;2,
OR(L1611="MÉDIA SANEADA",L1611="MEDIANA SANEADA",
AND(L1611="PREÇO ESTIMADO",NOT(AND(P1613="Orçamento",COUNTA(P1611:XX1611)=COUNTIF(P1613:XX1613,"Orçamento")))))),
ROW(),0)</f>
        <v>1623</v>
      </c>
      <c r="K1623" s="66"/>
      <c r="L1623" s="29" t="s">
        <v>41</v>
      </c>
      <c r="M1623" s="30">
        <f t="shared" ref="M1623" si="5022">IFERROR(_xlfn.QUARTILE.EXC($P1617:$XX1617,1),"")</f>
        <v>73.739999999999995</v>
      </c>
      <c r="N1623" s="71"/>
      <c r="O1623" s="27" t="str">
        <f t="shared" ref="O1623" si="5023">"3 RODADA"</f>
        <v>3 RODADA</v>
      </c>
      <c r="P1623" s="107">
        <f t="shared" ref="P1623:AI1623" si="5024">IF(P1621="","",IF((_xlfn.STDEV.P($P1620:$XX1621)/AVERAGE($P1620:$XX1621))&lt;=25%,P1621,IF(OR(P1621&gt;(AVERAGE($P1620:$XX1621)+_xlfn.STDEV.P($P1620:$XX1621)),P1621&lt;(AVERAGE($P1620:$XX1621)-_xlfn.STDEV.P($P1620:$XX1621))),"DESCARTADO",P1621)))</f>
        <v>73.739999999999995</v>
      </c>
      <c r="Q1623" s="107">
        <f t="shared" si="5024"/>
        <v>92.06</v>
      </c>
      <c r="R1623" s="107">
        <f t="shared" si="5024"/>
        <v>80.2</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f t="shared" si="4999"/>
        <v>77</v>
      </c>
      <c r="C1624" s="128">
        <f t="shared" si="5000"/>
        <v>1</v>
      </c>
      <c r="D1624" s="127">
        <f t="shared" si="5000"/>
        <v>77</v>
      </c>
      <c r="E1624" s="201"/>
      <c r="F1624" s="93"/>
      <c r="G1624" s="203"/>
      <c r="H1624"/>
      <c r="I1624"/>
      <c r="J1624"/>
      <c r="K1624" s="66"/>
      <c r="L1624" s="29" t="s">
        <v>39</v>
      </c>
      <c r="M1624" s="30">
        <f t="shared" ref="M1624" si="5025">IFERROR(_xlfn.QUARTILE.EXC($P1617:$XX1617,3),"")</f>
        <v>92.06</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f t="shared" si="4999"/>
        <v>77</v>
      </c>
      <c r="C1625" s="128">
        <f t="shared" si="5000"/>
        <v>1</v>
      </c>
      <c r="D1625" s="127">
        <f t="shared" si="5000"/>
        <v>77</v>
      </c>
      <c r="E1625" s="201"/>
      <c r="F1625" s="93"/>
      <c r="G1625" s="203"/>
      <c r="H1625" s="134">
        <f t="shared" ref="H1625" si="5027">COUNT($P1625:$XX1625)</f>
        <v>3</v>
      </c>
      <c r="I1625" s="132">
        <f t="shared" ref="I1625" si="5028">_xlfn.STDEV.P($P1624:$XX1625)/AVERAGE($P1624:$XX1625)</f>
        <v>9.2519967993366495E-2</v>
      </c>
      <c r="J1625" s="7">
        <f t="shared" ref="J1625" si="5029">IF(AND(H1625&gt;2,
OR(L1611="MÉDIA SANEADA",L1611="MEDIANA SANEADA",
AND(L1611="PREÇO ESTIMADO",NOT(AND(P1613="Orçamento",COUNTA(P1611:XX1611)=COUNTIF(P1613:XX1613,"Orçamento")))))),
ROW(),0)</f>
        <v>1625</v>
      </c>
      <c r="K1625" s="66"/>
      <c r="L1625" s="29" t="s">
        <v>42</v>
      </c>
      <c r="M1625" s="30">
        <f t="shared" ref="M1625" si="5030">MIN($P1617:$XX1617)</f>
        <v>73.739999999999995</v>
      </c>
      <c r="N1625" s="71"/>
      <c r="O1625" s="27" t="str">
        <f t="shared" ref="O1625" si="5031">"4 RODADA"</f>
        <v>4 RODADA</v>
      </c>
      <c r="P1625" s="107">
        <f t="shared" ref="P1625:AI1625" si="5032">IF(P1623="","",IF((_xlfn.STDEV.P($P1622:$XX1623)/AVERAGE($P1622:$XX1623))&lt;=25%,P1623,IF(OR(P1623&gt;(AVERAGE($P1622:$XX1623)+_xlfn.STDEV.P($P1622:$XX1623)),P1623&lt;(AVERAGE($P1622:$XX1623)-_xlfn.STDEV.P($P1622:$XX1623))),"DESCARTADO",P1623)))</f>
        <v>73.739999999999995</v>
      </c>
      <c r="Q1625" s="107">
        <f t="shared" si="5032"/>
        <v>92.06</v>
      </c>
      <c r="R1625" s="107">
        <f t="shared" si="5032"/>
        <v>80.2</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f t="shared" si="4999"/>
        <v>77</v>
      </c>
      <c r="C1626" s="128">
        <f t="shared" si="5000"/>
        <v>1</v>
      </c>
      <c r="D1626" s="127">
        <f t="shared" si="5000"/>
        <v>77</v>
      </c>
      <c r="E1626" s="201"/>
      <c r="F1626" s="93"/>
      <c r="G1626" s="203"/>
      <c r="H1626"/>
      <c r="I1626"/>
      <c r="J1626"/>
      <c r="K1626" s="66"/>
      <c r="L1626" s="29" t="s">
        <v>40</v>
      </c>
      <c r="M1626" s="30">
        <f t="shared" ref="M1626" si="5033">MAX($P1617:$XX1617)</f>
        <v>92.06</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f t="shared" si="4999"/>
        <v>77</v>
      </c>
      <c r="C1627" s="128">
        <f t="shared" si="5000"/>
        <v>1</v>
      </c>
      <c r="D1627" s="127">
        <f t="shared" si="5000"/>
        <v>77</v>
      </c>
      <c r="E1627" s="201"/>
      <c r="F1627" s="93"/>
      <c r="G1627" s="203"/>
      <c r="H1627" s="134">
        <f t="shared" ref="H1627" si="5035">COUNT($P1627:$XX1627)</f>
        <v>3</v>
      </c>
      <c r="I1627" s="132">
        <f t="shared" ref="I1627" si="5036">_xlfn.STDEV.P($P1626:$XX1627)/AVERAGE($P1626:$XX1627)</f>
        <v>9.2519967993366495E-2</v>
      </c>
      <c r="J1627" s="7">
        <f t="shared" ref="J1627" si="5037">IF(AND(H1627&gt;2,
OR(L1611="MÉDIA SANEADA",L1611="MEDIANA SANEADA",
AND(L1611="PREÇO ESTIMADO",NOT(AND(P1613="Orçamento",COUNTA(P1611:XX1611)=COUNTIF(P1613:XX1613,"Orçamento")))))),
ROW(),0)</f>
        <v>1627</v>
      </c>
      <c r="K1627" s="66"/>
      <c r="N1627" s="71"/>
      <c r="O1627" s="27" t="str">
        <f t="shared" ref="O1627" si="5038">"5 RODADA"</f>
        <v>5 RODADA</v>
      </c>
      <c r="P1627" s="107">
        <f t="shared" ref="P1627:AI1627" si="5039">IF(P1625="","",IF((_xlfn.STDEV.P($P1624:$XX1625)/AVERAGE($P1624:$XX1625))&lt;=25%,P1625,IF(OR(P1625&gt;(AVERAGE($P1624:$XX1625)+_xlfn.STDEV.P($P1624:$XX1625)),P1625&lt;(AVERAGE($P1624:$XX1625)-_xlfn.STDEV.P($P1624:$XX1625))),"DESCARTADO",P1625)))</f>
        <v>73.739999999999995</v>
      </c>
      <c r="Q1627" s="107">
        <f t="shared" si="5039"/>
        <v>92.06</v>
      </c>
      <c r="R1627" s="107">
        <f t="shared" si="5039"/>
        <v>80.2</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f t="shared" si="4999"/>
        <v>77</v>
      </c>
      <c r="C1628" s="128">
        <f t="shared" si="5000"/>
        <v>1</v>
      </c>
      <c r="D1628" s="127">
        <f t="shared" si="5000"/>
        <v>77</v>
      </c>
      <c r="E1628" s="201"/>
      <c r="F1628" s="93"/>
      <c r="G1628" s="203"/>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f t="shared" si="4999"/>
        <v>77</v>
      </c>
      <c r="C1629" s="128">
        <f t="shared" si="5000"/>
        <v>1</v>
      </c>
      <c r="D1629" s="127">
        <f t="shared" si="5000"/>
        <v>77</v>
      </c>
      <c r="E1629" s="201"/>
      <c r="F1629" s="93"/>
      <c r="G1629" s="203"/>
      <c r="H1629" s="134">
        <f t="shared" ref="H1629" si="5041">COUNT($P1629:$XX1629)</f>
        <v>3</v>
      </c>
      <c r="I1629" s="132">
        <f t="shared" ref="I1629" si="5042">_xlfn.STDEV.P($P1628:$XX1629)/AVERAGE($P1628:$XX1629)</f>
        <v>9.2519967993366495E-2</v>
      </c>
      <c r="J1629" s="7">
        <f t="shared" ref="J1629" si="5043">IF(AND(H1629&gt;2,
OR(L1611="MÉDIA SANEADA",L1611="MEDIANA SANEADA",
AND(L1611="PREÇO ESTIMADO",NOT(AND(P1613="Orçamento",COUNTA(P1611:XX1611)=COUNTIF(P1613:XX1613,"Orçamento")))))),
ROW(),0)</f>
        <v>1629</v>
      </c>
      <c r="N1629" s="71"/>
      <c r="O1629" s="27" t="str">
        <f t="shared" ref="O1629" si="5044">"6 RODADA"</f>
        <v>6 RODADA</v>
      </c>
      <c r="P1629" s="107">
        <f t="shared" ref="P1629:AI1629" si="5045">IFERROR(IF(P1627="","",IF((_xlfn.STDEV.P($P1626:$XX1627)/AVERAGE($P1626:$XX1627))&lt;=25%,P1627,IF(OR(P1627&gt;(AVERAGE($P1626:$XX1627)+_xlfn.STDEV.P($P1626:$XX1627)),P1627&lt;(AVERAGE($P1626:$XX1627)-_xlfn.STDEV.P($P1626:$XX1627))),"DESCARTADO",P1627))),)</f>
        <v>73.739999999999995</v>
      </c>
      <c r="Q1629" s="107">
        <f t="shared" si="5045"/>
        <v>92.06</v>
      </c>
      <c r="R1629" s="107">
        <f t="shared" si="5045"/>
        <v>80.2</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f t="shared" si="4999"/>
        <v>77</v>
      </c>
      <c r="C1630" s="128">
        <f t="shared" si="5000"/>
        <v>1</v>
      </c>
      <c r="D1630" s="127">
        <f t="shared" si="5000"/>
        <v>77</v>
      </c>
      <c r="E1630" s="201"/>
      <c r="F1630" s="136"/>
      <c r="G1630" s="203"/>
      <c r="H1630" s="206"/>
      <c r="I1630" s="206"/>
      <c r="J1630" s="207"/>
      <c r="K1630" s="67"/>
      <c r="L1630" s="1" t="s">
        <v>43</v>
      </c>
      <c r="M1630" s="143">
        <f t="shared" ref="M1630" si="5046">IFERROR(ROUND(M1611*M1613,2),"")</f>
        <v>984</v>
      </c>
      <c r="O1630" s="27" t="s">
        <v>363</v>
      </c>
      <c r="P1630" s="107">
        <f t="shared" ref="P1630:R1630" si="5047">INDEX(P1617:P1629,MATCH(MAX($J1617:$J1629),$J1617:$J1629,0))</f>
        <v>73.739999999999995</v>
      </c>
      <c r="Q1630" s="107">
        <f t="shared" si="5047"/>
        <v>92.06</v>
      </c>
      <c r="R1630" s="107">
        <f t="shared" si="5047"/>
        <v>80.2</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f t="shared" ref="B1632" si="5048">LARGE(IFERROR(IF(B1630+1&gt;$H$8,"",B1630+1),""),1)</f>
        <v>78</v>
      </c>
      <c r="C1632" s="127">
        <f>IF(_xlfn.ISFORMULA(E1636),MAX(INDEX('BASE FORMAÇÃO'!A:A,B1632+1),1),E1636)</f>
        <v>1</v>
      </c>
      <c r="D1632" s="127">
        <f t="shared" ref="D1632" si="5049">IFERROR(IF(C1632=C1622,D1622+1,1),1)</f>
        <v>78</v>
      </c>
      <c r="E1632" s="38" t="s">
        <v>9</v>
      </c>
      <c r="F1632" s="73"/>
      <c r="G1632" s="38" t="s">
        <v>15</v>
      </c>
      <c r="H1632" s="135">
        <f>INDEX('BASE FORMAÇÃO'!B:B,B1632+1)</f>
        <v>0</v>
      </c>
      <c r="I1632" s="181" t="s">
        <v>16</v>
      </c>
      <c r="J1632" s="6">
        <f>INDEX('BASE FORMAÇÃO'!K:K,B1632+1)</f>
        <v>0</v>
      </c>
      <c r="K1632" s="65"/>
      <c r="L1632" s="184" t="s">
        <v>10</v>
      </c>
      <c r="M1632" s="186">
        <f t="shared" ref="M1632" si="5050">IF(OR(ISBLANK($O$8),ISBLANK($O$7),ISBLANK($H$8),ISBLANK($O$6),ISBLANK($O$5),ISBLANK($H$5)),"",IFERROR(IF(VLOOKUP(L1632,L1638:M1647,2,FALSE)&lt;1,ROUND(VLOOKUP(L1632,L1638:M1647,2,FALSE),4),ROUND(VLOOKUP(L1632,L1638:M1647,2,FALSE),2)),""))</f>
        <v>44.75</v>
      </c>
      <c r="N1632" s="69"/>
      <c r="O1632" s="27" t="s">
        <v>17</v>
      </c>
      <c r="P1632" s="113">
        <v>37.9</v>
      </c>
      <c r="Q1632" s="113">
        <v>46.9</v>
      </c>
      <c r="R1632" s="113">
        <v>49.44</v>
      </c>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f t="shared" ref="B1633:D1633" si="5051">B1632</f>
        <v>78</v>
      </c>
      <c r="C1633" s="128">
        <f t="shared" si="5051"/>
        <v>1</v>
      </c>
      <c r="D1633" s="127">
        <f t="shared" si="5051"/>
        <v>78</v>
      </c>
      <c r="E1633" s="188">
        <f t="shared" ref="E1633" si="5052">D1632</f>
        <v>78</v>
      </c>
      <c r="F1633" s="92"/>
      <c r="G1633" s="190" t="s">
        <v>1</v>
      </c>
      <c r="H1633" s="193" t="s">
        <v>741</v>
      </c>
      <c r="I1633" s="194"/>
      <c r="J1633" s="195"/>
      <c r="K1633" s="66"/>
      <c r="L1633" s="185"/>
      <c r="M1633" s="187"/>
      <c r="N1633" s="70"/>
      <c r="O1633" s="27" t="s">
        <v>13</v>
      </c>
      <c r="P1633" s="122">
        <v>46196</v>
      </c>
      <c r="Q1633" s="122">
        <v>46196</v>
      </c>
      <c r="R1633" s="122">
        <v>46196</v>
      </c>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f t="shared" ref="B1634:D1634" si="5053">B1633</f>
        <v>78</v>
      </c>
      <c r="C1634" s="128">
        <f t="shared" si="5053"/>
        <v>1</v>
      </c>
      <c r="D1634" s="127">
        <f t="shared" si="5053"/>
        <v>78</v>
      </c>
      <c r="E1634" s="189"/>
      <c r="F1634" s="93"/>
      <c r="G1634" s="191"/>
      <c r="H1634" s="196"/>
      <c r="I1634" s="196"/>
      <c r="J1634" s="197"/>
      <c r="K1634" s="64"/>
      <c r="L1634" s="130" t="s">
        <v>44</v>
      </c>
      <c r="M1634" s="131">
        <v>12</v>
      </c>
      <c r="N1634" s="71"/>
      <c r="O1634" s="27" t="s">
        <v>380</v>
      </c>
      <c r="P1634" s="114" t="s">
        <v>302</v>
      </c>
      <c r="Q1634" s="114" t="s">
        <v>302</v>
      </c>
      <c r="R1634" s="114" t="s">
        <v>302</v>
      </c>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f t="shared" ref="B1635:C1635" si="5054">B1634</f>
        <v>78</v>
      </c>
      <c r="C1635" s="128">
        <f t="shared" si="5054"/>
        <v>1</v>
      </c>
      <c r="D1635" s="127">
        <f t="shared" si="5000"/>
        <v>78</v>
      </c>
      <c r="E1635" s="38" t="s">
        <v>313</v>
      </c>
      <c r="F1635" s="93"/>
      <c r="G1635" s="192"/>
      <c r="H1635" s="198"/>
      <c r="I1635" s="198"/>
      <c r="J1635" s="199"/>
      <c r="K1635" s="64"/>
      <c r="L1635" s="1" t="s">
        <v>2</v>
      </c>
      <c r="M1635" s="6" t="s">
        <v>288</v>
      </c>
      <c r="N1635" s="71"/>
      <c r="O1635" s="27" t="s">
        <v>381</v>
      </c>
      <c r="P1635" s="182" t="s">
        <v>742</v>
      </c>
      <c r="Q1635" s="182" t="s">
        <v>743</v>
      </c>
      <c r="R1635" s="182" t="s">
        <v>744</v>
      </c>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f t="shared" ref="B1636:C1636" si="5055">B1634</f>
        <v>78</v>
      </c>
      <c r="C1636" s="128">
        <f t="shared" si="5055"/>
        <v>1</v>
      </c>
      <c r="D1636" s="127">
        <f t="shared" si="5000"/>
        <v>78</v>
      </c>
      <c r="E1636" s="200">
        <f t="shared" ref="E1636" si="5056">C1632</f>
        <v>1</v>
      </c>
      <c r="F1636" s="93"/>
      <c r="G1636" s="202" t="s">
        <v>304</v>
      </c>
      <c r="H1636" s="204"/>
      <c r="I1636" s="205"/>
      <c r="J1636" s="205"/>
      <c r="K1636" s="67"/>
      <c r="L1636" s="28" t="s">
        <v>303</v>
      </c>
      <c r="M1636" s="133">
        <f t="shared" ref="M1636" si="5057">IFERROR(INDEX(I1638:I1650,MATCH(MAX(J1638:J1650),J1638:J1650,0)),"")</f>
        <v>0.11064801985554819</v>
      </c>
      <c r="N1636" s="71"/>
      <c r="O1636" s="27" t="s">
        <v>18</v>
      </c>
      <c r="P1636" s="106">
        <f>IF(P1632="","",
IF(OR(P1634="Orçamento",P1633="",MAX('Tabela de Apoio'!$A:$A)&lt;=P1633),
P1632,
(INDEX('Tabela de Apoio'!$B:$B,MATCH('MAPA DE PREÇOS'!$O$8,'Tabela de Apoio'!$A:$A,1))/INDEX('Tabela de Apoio'!$B:$B,MATCH('MAPA DE PREÇOS'!P1633,'Tabela de Apoio'!$A:$A,1)-1))*P1632))</f>
        <v>37.9</v>
      </c>
      <c r="Q1636" s="106">
        <f>IF(Q1632="","",
IF(OR(Q1634="Orçamento",Q1633="",MAX('Tabela de Apoio'!$A:$A)&lt;=Q1633),
Q1632,
(INDEX('Tabela de Apoio'!$B:$B,MATCH('MAPA DE PREÇOS'!$O$8,'Tabela de Apoio'!$A:$A,1))/INDEX('Tabela de Apoio'!$B:$B,MATCH('MAPA DE PREÇOS'!Q1633,'Tabela de Apoio'!$A:$A,1)-1))*Q1632))</f>
        <v>46.9</v>
      </c>
      <c r="R1636" s="106">
        <f>IF(R1632="","",
IF(OR(R1634="Orçamento",R1633="",MAX('Tabela de Apoio'!$A:$A)&lt;=R1633),
R1632,
(INDEX('Tabela de Apoio'!$B:$B,MATCH('MAPA DE PREÇOS'!$O$8,'Tabela de Apoio'!$A:$A,1))/INDEX('Tabela de Apoio'!$B:$B,MATCH('MAPA DE PREÇOS'!R1633,'Tabela de Apoio'!$A:$A,1)-1))*R1632))</f>
        <v>49.44</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f t="shared" ref="B1637" si="5058">B1636</f>
        <v>78</v>
      </c>
      <c r="C1637" s="128">
        <f t="shared" ref="C1637" si="5059">C1636</f>
        <v>1</v>
      </c>
      <c r="D1637" s="127">
        <f t="shared" si="5000"/>
        <v>78</v>
      </c>
      <c r="E1637" s="201"/>
      <c r="F1637" s="93"/>
      <c r="G1637" s="203"/>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f t="shared" ref="B1638:C1638" si="5060">B1637</f>
        <v>78</v>
      </c>
      <c r="C1638" s="128">
        <f t="shared" si="5060"/>
        <v>1</v>
      </c>
      <c r="D1638" s="127">
        <f t="shared" si="5000"/>
        <v>78</v>
      </c>
      <c r="E1638" s="201"/>
      <c r="F1638" s="93"/>
      <c r="G1638" s="203"/>
      <c r="H1638" s="134">
        <f t="shared" ref="H1638" si="5061">COUNT($P1638:$XX1638)</f>
        <v>3</v>
      </c>
      <c r="I1638" s="132">
        <f t="shared" ref="I1638" si="5062">_xlfn.STDEV.P($P1637:$XX1638)/AVERAGE($P1637:$XX1638)</f>
        <v>0.11064801985554819</v>
      </c>
      <c r="J1638" s="7">
        <f>ROW()</f>
        <v>1638</v>
      </c>
      <c r="K1638" s="67"/>
      <c r="L1638" s="29" t="s">
        <v>10</v>
      </c>
      <c r="M1638" s="30">
        <f t="shared" ref="M1638" si="5063">IFERROR(
IF(COUNTA(P1632:AI1632)=COUNTIF(P1634:XX1634,"Orçamento"),MIN(M1643,M1640),
IF(M1641&lt;&gt;"",M1641,
IF(M1642&lt;&gt;"",M1642,
M1640
))),"")</f>
        <v>44.74666666666667</v>
      </c>
      <c r="N1638" s="71"/>
      <c r="O1638" s="27" t="s">
        <v>376</v>
      </c>
      <c r="P1638" s="106">
        <f t="shared" ref="P1638:AI1638" si="5064">IFERROR(IF(P1636="",
            "",
            IF(COUNT($P1636:$XX1636)&lt;=4,
               P1636,
               IF(OR(P1636&gt;(QUARTILE($P1636:$XX1636,3)+(QUARTILE($P1636:$XX1636,3)-QUARTILE($P1636:$XX1636,1))),
                     P1636&lt;(QUARTILE($P1636:$XX1636,1)-(QUARTILE($P1636:$XX1636,3)-QUARTILE($P1636:$XX1636,1)))
                  ),
               "DESCARTADO",P1636)
             )
  ),P1636)</f>
        <v>37.9</v>
      </c>
      <c r="Q1638" s="106">
        <f t="shared" si="5064"/>
        <v>46.9</v>
      </c>
      <c r="R1638" s="106">
        <f t="shared" si="5064"/>
        <v>49.44</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f t="shared" ref="B1639" si="5065">B1638</f>
        <v>78</v>
      </c>
      <c r="C1639" s="128">
        <f t="shared" ref="C1639" si="5066">C1638</f>
        <v>1</v>
      </c>
      <c r="D1639" s="127">
        <f t="shared" si="5000"/>
        <v>78</v>
      </c>
      <c r="E1639" s="201"/>
      <c r="F1639" s="93"/>
      <c r="G1639" s="203"/>
      <c r="H1639"/>
      <c r="I1639"/>
      <c r="J1639"/>
      <c r="K1639" s="66"/>
      <c r="L1639" s="29" t="s">
        <v>360</v>
      </c>
      <c r="M1639" s="30">
        <f t="shared" ref="M1639" si="5067">AVERAGE($P1638:$XX1638)</f>
        <v>44.74666666666667</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f t="shared" si="4999"/>
        <v>78</v>
      </c>
      <c r="C1640" s="128">
        <f t="shared" si="5000"/>
        <v>1</v>
      </c>
      <c r="D1640" s="127">
        <f t="shared" si="5000"/>
        <v>78</v>
      </c>
      <c r="E1640" s="201"/>
      <c r="F1640" s="93"/>
      <c r="G1640" s="203"/>
      <c r="H1640" s="134">
        <f t="shared" ref="H1640" si="5069">COUNT($P1640:$XX1640)</f>
        <v>3</v>
      </c>
      <c r="I1640" s="132">
        <f t="shared" ref="I1640" si="5070">_xlfn.STDEV.P($P1639:$XX1640)/AVERAGE($P1639:$XX1640)</f>
        <v>0.11064801985554819</v>
      </c>
      <c r="J1640" s="7">
        <f t="shared" ref="J1640" si="5071">IF(AND(H1640&gt;2,
OR(L1632="MÉDIA SANEADA",L1632="MEDIANA SANEADA",
AND(L1632="PREÇO ESTIMADO",NOT(AND(P1634="Orçamento",COUNTA(P1632:XX1632)=COUNTIF(P1634:XX1634,"Orçamento")))))),
ROW(),0)</f>
        <v>1640</v>
      </c>
      <c r="K1640" s="66"/>
      <c r="L1640" s="29" t="s">
        <v>361</v>
      </c>
      <c r="M1640" s="30">
        <f t="shared" ref="M1640" si="5072">MEDIAN($P1638:$XX1638)</f>
        <v>46.9</v>
      </c>
      <c r="N1640" s="71"/>
      <c r="O1640" s="27" t="str">
        <f t="shared" ref="O1640" si="5073">"1 RODADA"</f>
        <v>1 RODADA</v>
      </c>
      <c r="P1640" s="107">
        <f t="shared" ref="P1640:AI1640" si="5074">IF(P1638="","",IF((_xlfn.STDEV.P($P1637:$XX1638)/AVERAGE($P1637:$XX1638))&lt;=25%,P1638,IF(OR(P1638&gt;(AVERAGE($P1637:$XX1638)+_xlfn.STDEV.P($P1637:$XX1638)),P1638&lt;(AVERAGE($P1637:$XX1638)-_xlfn.STDEV.P($P1637:$XX1638))),"DESCARTADO",P1638)))</f>
        <v>37.9</v>
      </c>
      <c r="Q1640" s="107">
        <f t="shared" si="5074"/>
        <v>46.9</v>
      </c>
      <c r="R1640" s="107">
        <f t="shared" si="5074"/>
        <v>49.44</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f t="shared" si="4999"/>
        <v>78</v>
      </c>
      <c r="C1641" s="128">
        <f t="shared" si="5000"/>
        <v>1</v>
      </c>
      <c r="D1641" s="127">
        <f t="shared" si="5000"/>
        <v>78</v>
      </c>
      <c r="E1641" s="201"/>
      <c r="F1641" s="93"/>
      <c r="G1641" s="203"/>
      <c r="H1641"/>
      <c r="I1641"/>
      <c r="J1641"/>
      <c r="L1641" s="29" t="s">
        <v>38</v>
      </c>
      <c r="M1641" s="30">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44.74666666666667</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f t="shared" si="4999"/>
        <v>78</v>
      </c>
      <c r="C1642" s="128">
        <f t="shared" si="5000"/>
        <v>1</v>
      </c>
      <c r="D1642" s="127">
        <f t="shared" si="5000"/>
        <v>78</v>
      </c>
      <c r="E1642" s="201"/>
      <c r="F1642" s="93"/>
      <c r="G1642" s="203"/>
      <c r="H1642" s="134">
        <f t="shared" ref="H1642" si="5077">COUNT($P1642:$XX1642)</f>
        <v>3</v>
      </c>
      <c r="I1642" s="132">
        <f t="shared" ref="I1642" si="5078">_xlfn.STDEV.P($P1641:$XX1642)/AVERAGE($P1641:$XX1642)</f>
        <v>0.11064801985554819</v>
      </c>
      <c r="J1642" s="7">
        <f t="shared" ref="J1642" si="5079">IF(AND(H1642&gt;2,
OR(L1632="MÉDIA SANEADA",L1632="MEDIANA SANEADA",
AND(L1632="PREÇO ESTIMADO",NOT(AND(P1634="Orçamento",COUNTA(P1632:XX1632)=COUNTIF(P1634:XX1634,"Orçamento")))))),
ROW(),0)</f>
        <v>1642</v>
      </c>
      <c r="K1642" s="66"/>
      <c r="L1642" s="29" t="s">
        <v>362</v>
      </c>
      <c r="M1642" s="30">
        <f t="shared" ref="M1642" si="5080" xml:space="preserve">
IF(H1640&gt;2,MEDIAN(P1639:XX1640),
IF(H1642&gt;2,MEDIAN(P1641:XX1642),
IF(H1644&gt;2,MEDIAN(P1643:XX1644),
IF(H1646&gt;2,MEDIAN(P1645:XX1646),
IF(H1648&gt;2,MEDIAN(P1647:XX1648),
IF(H1650&gt;2,MEDIAN(P1649:XX1650),
MEDIAN(P1637:XX1638)))))))</f>
        <v>46.9</v>
      </c>
      <c r="N1642" s="71"/>
      <c r="O1642" s="27" t="str">
        <f t="shared" ref="O1642" si="5081">"2 RODADA"</f>
        <v>2 RODADA</v>
      </c>
      <c r="P1642" s="107">
        <f t="shared" ref="P1642:AI1642" si="5082">IF(P1640="","",IF((_xlfn.STDEV.P($P1639:$XX1640)/AVERAGE($P1639:$XX1640))&lt;=25%,P1640,IF(OR(P1640&gt;(AVERAGE($P1639:$XX1640)+_xlfn.STDEV.P($P1639:$XX1640)),P1640&lt;(AVERAGE($P1639:$XX1640)-_xlfn.STDEV.P($P1639:$XX1640))),"DESCARTADO",P1640)))</f>
        <v>37.9</v>
      </c>
      <c r="Q1642" s="107">
        <f t="shared" si="5082"/>
        <v>46.9</v>
      </c>
      <c r="R1642" s="107">
        <f t="shared" si="5082"/>
        <v>49.44</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f t="shared" si="4999"/>
        <v>78</v>
      </c>
      <c r="C1643" s="128">
        <f t="shared" si="5000"/>
        <v>1</v>
      </c>
      <c r="D1643" s="127">
        <f t="shared" si="5000"/>
        <v>78</v>
      </c>
      <c r="E1643" s="201"/>
      <c r="F1643" s="93"/>
      <c r="G1643" s="203"/>
      <c r="H1643"/>
      <c r="I1643"/>
      <c r="J1643"/>
      <c r="K1643" s="66"/>
      <c r="L1643" s="29" t="s">
        <v>359</v>
      </c>
      <c r="M1643" s="30">
        <f t="shared" ref="M1643" si="5083">HARMEAN($P1637:$XX1638)</f>
        <v>44.160688721080085</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f t="shared" si="4999"/>
        <v>78</v>
      </c>
      <c r="C1644" s="128">
        <f t="shared" si="5000"/>
        <v>1</v>
      </c>
      <c r="D1644" s="127">
        <f t="shared" si="5000"/>
        <v>78</v>
      </c>
      <c r="E1644" s="201"/>
      <c r="F1644" s="93"/>
      <c r="G1644" s="203"/>
      <c r="H1644" s="134">
        <f t="shared" ref="H1644" si="5085">COUNT($P1644:$XX1644)</f>
        <v>3</v>
      </c>
      <c r="I1644" s="132">
        <f t="shared" ref="I1644" si="5086">_xlfn.STDEV.P($P1643:$XX1644)/AVERAGE($P1643:$XX1644)</f>
        <v>0.11064801985554819</v>
      </c>
      <c r="J1644" s="7">
        <f t="shared" ref="J1644" si="5087">IF(AND(H1644&gt;2,
OR(L1632="MÉDIA SANEADA",L1632="MEDIANA SANEADA",
AND(L1632="PREÇO ESTIMADO",NOT(AND(P1634="Orçamento",COUNTA(P1632:XX1632)=COUNTIF(P1634:XX1634,"Orçamento")))))),
ROW(),0)</f>
        <v>1644</v>
      </c>
      <c r="K1644" s="66"/>
      <c r="L1644" s="29" t="s">
        <v>41</v>
      </c>
      <c r="M1644" s="30">
        <f t="shared" ref="M1644" si="5088">IFERROR(_xlfn.QUARTILE.EXC($P1638:$XX1638,1),"")</f>
        <v>37.9</v>
      </c>
      <c r="N1644" s="71"/>
      <c r="O1644" s="27" t="str">
        <f t="shared" ref="O1644" si="5089">"3 RODADA"</f>
        <v>3 RODADA</v>
      </c>
      <c r="P1644" s="107">
        <f t="shared" ref="P1644:AI1644" si="5090">IF(P1642="","",IF((_xlfn.STDEV.P($P1641:$XX1642)/AVERAGE($P1641:$XX1642))&lt;=25%,P1642,IF(OR(P1642&gt;(AVERAGE($P1641:$XX1642)+_xlfn.STDEV.P($P1641:$XX1642)),P1642&lt;(AVERAGE($P1641:$XX1642)-_xlfn.STDEV.P($P1641:$XX1642))),"DESCARTADO",P1642)))</f>
        <v>37.9</v>
      </c>
      <c r="Q1644" s="107">
        <f t="shared" si="5090"/>
        <v>46.9</v>
      </c>
      <c r="R1644" s="107">
        <f t="shared" si="5090"/>
        <v>49.44</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f t="shared" si="4999"/>
        <v>78</v>
      </c>
      <c r="C1645" s="128">
        <f t="shared" si="5000"/>
        <v>1</v>
      </c>
      <c r="D1645" s="127">
        <f t="shared" si="5000"/>
        <v>78</v>
      </c>
      <c r="E1645" s="201"/>
      <c r="F1645" s="93"/>
      <c r="G1645" s="203"/>
      <c r="H1645"/>
      <c r="I1645"/>
      <c r="J1645"/>
      <c r="K1645" s="66"/>
      <c r="L1645" s="29" t="s">
        <v>39</v>
      </c>
      <c r="M1645" s="30">
        <f t="shared" ref="M1645" si="5091">IFERROR(_xlfn.QUARTILE.EXC($P1638:$XX1638,3),"")</f>
        <v>49.44</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f t="shared" si="4999"/>
        <v>78</v>
      </c>
      <c r="C1646" s="128">
        <f t="shared" si="5000"/>
        <v>1</v>
      </c>
      <c r="D1646" s="127">
        <f t="shared" si="5000"/>
        <v>78</v>
      </c>
      <c r="E1646" s="201"/>
      <c r="F1646" s="93"/>
      <c r="G1646" s="203"/>
      <c r="H1646" s="134">
        <f t="shared" ref="H1646" si="5093">COUNT($P1646:$XX1646)</f>
        <v>3</v>
      </c>
      <c r="I1646" s="132">
        <f t="shared" ref="I1646" si="5094">_xlfn.STDEV.P($P1645:$XX1646)/AVERAGE($P1645:$XX1646)</f>
        <v>0.11064801985554819</v>
      </c>
      <c r="J1646" s="7">
        <f t="shared" ref="J1646" si="5095">IF(AND(H1646&gt;2,
OR(L1632="MÉDIA SANEADA",L1632="MEDIANA SANEADA",
AND(L1632="PREÇO ESTIMADO",NOT(AND(P1634="Orçamento",COUNTA(P1632:XX1632)=COUNTIF(P1634:XX1634,"Orçamento")))))),
ROW(),0)</f>
        <v>1646</v>
      </c>
      <c r="K1646" s="66"/>
      <c r="L1646" s="29" t="s">
        <v>42</v>
      </c>
      <c r="M1646" s="30">
        <f t="shared" ref="M1646" si="5096">MIN($P1638:$XX1638)</f>
        <v>37.9</v>
      </c>
      <c r="N1646" s="71"/>
      <c r="O1646" s="27" t="str">
        <f t="shared" ref="O1646" si="5097">"4 RODADA"</f>
        <v>4 RODADA</v>
      </c>
      <c r="P1646" s="107">
        <f t="shared" ref="P1646:AI1646" si="5098">IF(P1644="","",IF((_xlfn.STDEV.P($P1643:$XX1644)/AVERAGE($P1643:$XX1644))&lt;=25%,P1644,IF(OR(P1644&gt;(AVERAGE($P1643:$XX1644)+_xlfn.STDEV.P($P1643:$XX1644)),P1644&lt;(AVERAGE($P1643:$XX1644)-_xlfn.STDEV.P($P1643:$XX1644))),"DESCARTADO",P1644)))</f>
        <v>37.9</v>
      </c>
      <c r="Q1646" s="107">
        <f t="shared" si="5098"/>
        <v>46.9</v>
      </c>
      <c r="R1646" s="107">
        <f t="shared" si="5098"/>
        <v>49.44</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f t="shared" si="4999"/>
        <v>78</v>
      </c>
      <c r="C1647" s="128">
        <f t="shared" si="5000"/>
        <v>1</v>
      </c>
      <c r="D1647" s="127">
        <f t="shared" si="5000"/>
        <v>78</v>
      </c>
      <c r="E1647" s="201"/>
      <c r="F1647" s="93"/>
      <c r="G1647" s="203"/>
      <c r="H1647"/>
      <c r="I1647"/>
      <c r="J1647"/>
      <c r="K1647" s="66"/>
      <c r="L1647" s="29" t="s">
        <v>40</v>
      </c>
      <c r="M1647" s="30">
        <f t="shared" ref="M1647" si="5099">MAX($P1638:$XX1638)</f>
        <v>49.44</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f t="shared" si="4999"/>
        <v>78</v>
      </c>
      <c r="C1648" s="128">
        <f t="shared" si="5000"/>
        <v>1</v>
      </c>
      <c r="D1648" s="127">
        <f t="shared" si="5000"/>
        <v>78</v>
      </c>
      <c r="E1648" s="201"/>
      <c r="F1648" s="93"/>
      <c r="G1648" s="203"/>
      <c r="H1648" s="134">
        <f t="shared" ref="H1648" si="5101">COUNT($P1648:$XX1648)</f>
        <v>3</v>
      </c>
      <c r="I1648" s="132">
        <f t="shared" ref="I1648" si="5102">_xlfn.STDEV.P($P1647:$XX1648)/AVERAGE($P1647:$XX1648)</f>
        <v>0.11064801985554819</v>
      </c>
      <c r="J1648" s="7">
        <f t="shared" ref="J1648" si="5103">IF(AND(H1648&gt;2,
OR(L1632="MÉDIA SANEADA",L1632="MEDIANA SANEADA",
AND(L1632="PREÇO ESTIMADO",NOT(AND(P1634="Orçamento",COUNTA(P1632:XX1632)=COUNTIF(P1634:XX1634,"Orçamento")))))),
ROW(),0)</f>
        <v>1648</v>
      </c>
      <c r="K1648" s="66"/>
      <c r="N1648" s="71"/>
      <c r="O1648" s="27" t="str">
        <f t="shared" ref="O1648" si="5104">"5 RODADA"</f>
        <v>5 RODADA</v>
      </c>
      <c r="P1648" s="107">
        <f t="shared" ref="P1648:AI1648" si="5105">IF(P1646="","",IF((_xlfn.STDEV.P($P1645:$XX1646)/AVERAGE($P1645:$XX1646))&lt;=25%,P1646,IF(OR(P1646&gt;(AVERAGE($P1645:$XX1646)+_xlfn.STDEV.P($P1645:$XX1646)),P1646&lt;(AVERAGE($P1645:$XX1646)-_xlfn.STDEV.P($P1645:$XX1646))),"DESCARTADO",P1646)))</f>
        <v>37.9</v>
      </c>
      <c r="Q1648" s="107">
        <f t="shared" si="5105"/>
        <v>46.9</v>
      </c>
      <c r="R1648" s="107">
        <f t="shared" si="5105"/>
        <v>49.44</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f t="shared" si="4999"/>
        <v>78</v>
      </c>
      <c r="C1649" s="128">
        <f t="shared" si="5000"/>
        <v>1</v>
      </c>
      <c r="D1649" s="127">
        <f t="shared" si="5000"/>
        <v>78</v>
      </c>
      <c r="E1649" s="201"/>
      <c r="F1649" s="93"/>
      <c r="G1649" s="203"/>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f t="shared" si="4999"/>
        <v>78</v>
      </c>
      <c r="C1650" s="128">
        <f t="shared" si="5000"/>
        <v>1</v>
      </c>
      <c r="D1650" s="127">
        <f t="shared" si="5000"/>
        <v>78</v>
      </c>
      <c r="E1650" s="201"/>
      <c r="F1650" s="93"/>
      <c r="G1650" s="203"/>
      <c r="H1650" s="134">
        <f t="shared" ref="H1650" si="5107">COUNT($P1650:$XX1650)</f>
        <v>3</v>
      </c>
      <c r="I1650" s="132">
        <f t="shared" ref="I1650" si="5108">_xlfn.STDEV.P($P1649:$XX1650)/AVERAGE($P1649:$XX1650)</f>
        <v>0.11064801985554819</v>
      </c>
      <c r="J1650" s="7">
        <f t="shared" ref="J1650" si="5109">IF(AND(H1650&gt;2,
OR(L1632="MÉDIA SANEADA",L1632="MEDIANA SANEADA",
AND(L1632="PREÇO ESTIMADO",NOT(AND(P1634="Orçamento",COUNTA(P1632:XX1632)=COUNTIF(P1634:XX1634,"Orçamento")))))),
ROW(),0)</f>
        <v>1650</v>
      </c>
      <c r="N1650" s="71"/>
      <c r="O1650" s="27" t="str">
        <f t="shared" ref="O1650" si="5110">"6 RODADA"</f>
        <v>6 RODADA</v>
      </c>
      <c r="P1650" s="107">
        <f t="shared" ref="P1650:AI1650" si="5111">IFERROR(IF(P1648="","",IF((_xlfn.STDEV.P($P1647:$XX1648)/AVERAGE($P1647:$XX1648))&lt;=25%,P1648,IF(OR(P1648&gt;(AVERAGE($P1647:$XX1648)+_xlfn.STDEV.P($P1647:$XX1648)),P1648&lt;(AVERAGE($P1647:$XX1648)-_xlfn.STDEV.P($P1647:$XX1648))),"DESCARTADO",P1648))),)</f>
        <v>37.9</v>
      </c>
      <c r="Q1650" s="107">
        <f t="shared" si="5111"/>
        <v>46.9</v>
      </c>
      <c r="R1650" s="107">
        <f t="shared" si="5111"/>
        <v>49.44</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f t="shared" si="4999"/>
        <v>78</v>
      </c>
      <c r="C1651" s="128">
        <f t="shared" si="5000"/>
        <v>1</v>
      </c>
      <c r="D1651" s="127">
        <f t="shared" si="5000"/>
        <v>78</v>
      </c>
      <c r="E1651" s="201"/>
      <c r="F1651" s="136"/>
      <c r="G1651" s="203"/>
      <c r="H1651" s="206"/>
      <c r="I1651" s="206"/>
      <c r="J1651" s="207"/>
      <c r="K1651" s="67"/>
      <c r="L1651" s="1" t="s">
        <v>43</v>
      </c>
      <c r="M1651" s="143">
        <f t="shared" ref="M1651" si="5112">IFERROR(ROUND(M1632*M1634,2),"")</f>
        <v>537</v>
      </c>
      <c r="O1651" s="27" t="s">
        <v>363</v>
      </c>
      <c r="P1651" s="107">
        <f t="shared" ref="P1651:AI1672" si="5113">INDEX(P1638:P1650,MATCH(MAX($J1638:$J1650),$J1638:$J1650,0))</f>
        <v>37.9</v>
      </c>
      <c r="Q1651" s="107">
        <f t="shared" si="5113"/>
        <v>46.9</v>
      </c>
      <c r="R1651" s="107">
        <f t="shared" si="5113"/>
        <v>49.44</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f t="shared" ref="B1653" si="5114">LARGE(IFERROR(IF(B1651+1&gt;$H$8,"",B1651+1),""),1)</f>
        <v>79</v>
      </c>
      <c r="C1653" s="127">
        <f>IF(_xlfn.ISFORMULA(E1657),MAX(INDEX('BASE FORMAÇÃO'!A:A,B1653+1),1),E1657)</f>
        <v>1</v>
      </c>
      <c r="D1653" s="127">
        <f t="shared" ref="D1653" si="5115">IFERROR(IF(C1653=C1643,D1643+1,1),1)</f>
        <v>79</v>
      </c>
      <c r="E1653" s="38" t="s">
        <v>9</v>
      </c>
      <c r="F1653" s="73"/>
      <c r="G1653" s="38" t="s">
        <v>15</v>
      </c>
      <c r="H1653" s="135">
        <f>INDEX('BASE FORMAÇÃO'!B:B,B1653+1)</f>
        <v>0</v>
      </c>
      <c r="I1653" s="181" t="s">
        <v>16</v>
      </c>
      <c r="J1653" s="6">
        <f>INDEX('BASE FORMAÇÃO'!K:K,B1653+1)</f>
        <v>0</v>
      </c>
      <c r="K1653" s="65"/>
      <c r="L1653" s="184" t="s">
        <v>10</v>
      </c>
      <c r="M1653" s="186">
        <f t="shared" ref="M1653" si="5116">IF(OR(ISBLANK($O$8),ISBLANK($O$7),ISBLANK($H$8),ISBLANK($O$6),ISBLANK($O$5),ISBLANK($H$5)),"",IFERROR(IF(VLOOKUP(L1653,L1659:M1668,2,FALSE)&lt;1,ROUND(VLOOKUP(L1653,L1659:M1668,2,FALSE),4),ROUND(VLOOKUP(L1653,L1659:M1668,2,FALSE),2)),""))</f>
        <v>33.26</v>
      </c>
      <c r="N1653" s="69"/>
      <c r="O1653" s="27" t="s">
        <v>17</v>
      </c>
      <c r="P1653" s="113">
        <v>30.9</v>
      </c>
      <c r="Q1653" s="113">
        <v>29.9</v>
      </c>
      <c r="R1653" s="113">
        <v>38.99</v>
      </c>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f t="shared" ref="B1654:D1654" si="5117">B1653</f>
        <v>79</v>
      </c>
      <c r="C1654" s="128">
        <f t="shared" si="5117"/>
        <v>1</v>
      </c>
      <c r="D1654" s="127">
        <f t="shared" si="5117"/>
        <v>79</v>
      </c>
      <c r="E1654" s="188">
        <f t="shared" ref="E1654" si="5118">D1653</f>
        <v>79</v>
      </c>
      <c r="F1654" s="92"/>
      <c r="G1654" s="190" t="s">
        <v>1</v>
      </c>
      <c r="H1654" s="193" t="s">
        <v>745</v>
      </c>
      <c r="I1654" s="194"/>
      <c r="J1654" s="195"/>
      <c r="K1654" s="66"/>
      <c r="L1654" s="185"/>
      <c r="M1654" s="187"/>
      <c r="N1654" s="70"/>
      <c r="O1654" s="27" t="s">
        <v>13</v>
      </c>
      <c r="P1654" s="122">
        <v>46196</v>
      </c>
      <c r="Q1654" s="122">
        <v>46196</v>
      </c>
      <c r="R1654" s="122">
        <v>46196</v>
      </c>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f t="shared" ref="B1655:D1655" si="5119">B1654</f>
        <v>79</v>
      </c>
      <c r="C1655" s="128">
        <f t="shared" si="5119"/>
        <v>1</v>
      </c>
      <c r="D1655" s="127">
        <f t="shared" si="5119"/>
        <v>79</v>
      </c>
      <c r="E1655" s="189"/>
      <c r="F1655" s="93"/>
      <c r="G1655" s="191"/>
      <c r="H1655" s="196"/>
      <c r="I1655" s="196"/>
      <c r="J1655" s="197"/>
      <c r="K1655" s="64"/>
      <c r="L1655" s="130" t="s">
        <v>44</v>
      </c>
      <c r="M1655" s="131">
        <v>12</v>
      </c>
      <c r="N1655" s="71"/>
      <c r="O1655" s="27" t="s">
        <v>380</v>
      </c>
      <c r="P1655" s="114" t="s">
        <v>302</v>
      </c>
      <c r="Q1655" s="114" t="s">
        <v>302</v>
      </c>
      <c r="R1655" s="114" t="s">
        <v>302</v>
      </c>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f t="shared" ref="B1656:C1656" si="5120">B1655</f>
        <v>79</v>
      </c>
      <c r="C1656" s="128">
        <f t="shared" si="5120"/>
        <v>1</v>
      </c>
      <c r="D1656" s="127">
        <f t="shared" si="5000"/>
        <v>79</v>
      </c>
      <c r="E1656" s="38" t="s">
        <v>313</v>
      </c>
      <c r="F1656" s="93"/>
      <c r="G1656" s="192"/>
      <c r="H1656" s="198"/>
      <c r="I1656" s="198"/>
      <c r="J1656" s="199"/>
      <c r="K1656" s="64"/>
      <c r="L1656" s="1" t="s">
        <v>2</v>
      </c>
      <c r="M1656" s="6" t="s">
        <v>288</v>
      </c>
      <c r="N1656" s="71"/>
      <c r="O1656" s="27" t="s">
        <v>381</v>
      </c>
      <c r="P1656" s="182" t="s">
        <v>746</v>
      </c>
      <c r="Q1656" s="182" t="s">
        <v>747</v>
      </c>
      <c r="R1656" s="182" t="s">
        <v>748</v>
      </c>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f t="shared" ref="B1657:C1657" si="5121">B1655</f>
        <v>79</v>
      </c>
      <c r="C1657" s="128">
        <f t="shared" si="5121"/>
        <v>1</v>
      </c>
      <c r="D1657" s="127">
        <f t="shared" si="5000"/>
        <v>79</v>
      </c>
      <c r="E1657" s="200">
        <f t="shared" ref="E1657" si="5122">C1653</f>
        <v>1</v>
      </c>
      <c r="F1657" s="93"/>
      <c r="G1657" s="202" t="s">
        <v>304</v>
      </c>
      <c r="H1657" s="204"/>
      <c r="I1657" s="205"/>
      <c r="J1657" s="205"/>
      <c r="K1657" s="67"/>
      <c r="L1657" s="28" t="s">
        <v>303</v>
      </c>
      <c r="M1657" s="133">
        <f t="shared" ref="M1657" si="5123">IFERROR(INDEX(I1659:I1671,MATCH(MAX(J1659:J1671),J1659:J1671,0)),"")</f>
        <v>0.12235370769005693</v>
      </c>
      <c r="N1657" s="71"/>
      <c r="O1657" s="27" t="s">
        <v>18</v>
      </c>
      <c r="P1657" s="106">
        <f>IF(P1653="","",
IF(OR(P1655="Orçamento",P1654="",MAX('Tabela de Apoio'!$A:$A)&lt;=P1654),
P1653,
(INDEX('Tabela de Apoio'!$B:$B,MATCH('MAPA DE PREÇOS'!$O$8,'Tabela de Apoio'!$A:$A,1))/INDEX('Tabela de Apoio'!$B:$B,MATCH('MAPA DE PREÇOS'!P1654,'Tabela de Apoio'!$A:$A,1)-1))*P1653))</f>
        <v>30.9</v>
      </c>
      <c r="Q1657" s="106">
        <f>IF(Q1653="","",
IF(OR(Q1655="Orçamento",Q1654="",MAX('Tabela de Apoio'!$A:$A)&lt;=Q1654),
Q1653,
(INDEX('Tabela de Apoio'!$B:$B,MATCH('MAPA DE PREÇOS'!$O$8,'Tabela de Apoio'!$A:$A,1))/INDEX('Tabela de Apoio'!$B:$B,MATCH('MAPA DE PREÇOS'!Q1654,'Tabela de Apoio'!$A:$A,1)-1))*Q1653))</f>
        <v>29.9</v>
      </c>
      <c r="R1657" s="106">
        <f>IF(R1653="","",
IF(OR(R1655="Orçamento",R1654="",MAX('Tabela de Apoio'!$A:$A)&lt;=R1654),
R1653,
(INDEX('Tabela de Apoio'!$B:$B,MATCH('MAPA DE PREÇOS'!$O$8,'Tabela de Apoio'!$A:$A,1))/INDEX('Tabela de Apoio'!$B:$B,MATCH('MAPA DE PREÇOS'!R1654,'Tabela de Apoio'!$A:$A,1)-1))*R1653))</f>
        <v>38.99</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f t="shared" ref="B1658" si="5124">B1657</f>
        <v>79</v>
      </c>
      <c r="C1658" s="128">
        <f t="shared" ref="C1658" si="5125">C1657</f>
        <v>1</v>
      </c>
      <c r="D1658" s="127">
        <f t="shared" si="5000"/>
        <v>79</v>
      </c>
      <c r="E1658" s="201"/>
      <c r="F1658" s="93"/>
      <c r="G1658" s="203"/>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f t="shared" ref="B1659:C1659" si="5126">B1658</f>
        <v>79</v>
      </c>
      <c r="C1659" s="128">
        <f t="shared" si="5126"/>
        <v>1</v>
      </c>
      <c r="D1659" s="127">
        <f t="shared" si="5000"/>
        <v>79</v>
      </c>
      <c r="E1659" s="201"/>
      <c r="F1659" s="93"/>
      <c r="G1659" s="203"/>
      <c r="H1659" s="134">
        <f t="shared" ref="H1659" si="5127">COUNT($P1659:$XX1659)</f>
        <v>3</v>
      </c>
      <c r="I1659" s="132">
        <f t="shared" ref="I1659" si="5128">_xlfn.STDEV.P($P1658:$XX1659)/AVERAGE($P1658:$XX1659)</f>
        <v>0.12235370769005693</v>
      </c>
      <c r="J1659" s="7">
        <f>ROW()</f>
        <v>1659</v>
      </c>
      <c r="K1659" s="67"/>
      <c r="L1659" s="29" t="s">
        <v>10</v>
      </c>
      <c r="M1659" s="30">
        <f t="shared" ref="M1659" si="5129">IFERROR(
IF(COUNTA(P1653:AI1653)=COUNTIF(P1655:XX1655,"Orçamento"),MIN(M1664,M1661),
IF(M1662&lt;&gt;"",M1662,
IF(M1663&lt;&gt;"",M1663,
M1661
))),"")</f>
        <v>33.263333333333328</v>
      </c>
      <c r="N1659" s="71"/>
      <c r="O1659" s="27" t="s">
        <v>376</v>
      </c>
      <c r="P1659" s="106">
        <f t="shared" ref="P1659:AI1659" si="5130">IFERROR(IF(P1657="",
            "",
            IF(COUNT($P1657:$XX1657)&lt;=4,
               P1657,
               IF(OR(P1657&gt;(QUARTILE($P1657:$XX1657,3)+(QUARTILE($P1657:$XX1657,3)-QUARTILE($P1657:$XX1657,1))),
                     P1657&lt;(QUARTILE($P1657:$XX1657,1)-(QUARTILE($P1657:$XX1657,3)-QUARTILE($P1657:$XX1657,1)))
                  ),
               "DESCARTADO",P1657)
             )
  ),P1657)</f>
        <v>30.9</v>
      </c>
      <c r="Q1659" s="106">
        <f t="shared" si="5130"/>
        <v>29.9</v>
      </c>
      <c r="R1659" s="106">
        <f t="shared" si="5130"/>
        <v>38.99</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f t="shared" ref="B1660" si="5131">B1659</f>
        <v>79</v>
      </c>
      <c r="C1660" s="128">
        <f t="shared" ref="C1660" si="5132">C1659</f>
        <v>1</v>
      </c>
      <c r="D1660" s="127">
        <f t="shared" si="5000"/>
        <v>79</v>
      </c>
      <c r="E1660" s="201"/>
      <c r="F1660" s="93"/>
      <c r="G1660" s="203"/>
      <c r="H1660"/>
      <c r="I1660"/>
      <c r="J1660"/>
      <c r="K1660" s="66"/>
      <c r="L1660" s="29" t="s">
        <v>360</v>
      </c>
      <c r="M1660" s="30">
        <f t="shared" ref="M1660" si="5133">AVERAGE($P1659:$XX1659)</f>
        <v>33.263333333333328</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f t="shared" si="4999"/>
        <v>79</v>
      </c>
      <c r="C1661" s="128">
        <f t="shared" si="5000"/>
        <v>1</v>
      </c>
      <c r="D1661" s="127">
        <f t="shared" si="5000"/>
        <v>79</v>
      </c>
      <c r="E1661" s="201"/>
      <c r="F1661" s="93"/>
      <c r="G1661" s="203"/>
      <c r="H1661" s="134">
        <f t="shared" ref="H1661" si="5135">COUNT($P1661:$XX1661)</f>
        <v>3</v>
      </c>
      <c r="I1661" s="132">
        <f t="shared" ref="I1661" si="5136">_xlfn.STDEV.P($P1660:$XX1661)/AVERAGE($P1660:$XX1661)</f>
        <v>0.12235370769005693</v>
      </c>
      <c r="J1661" s="7">
        <f t="shared" ref="J1661" si="5137">IF(AND(H1661&gt;2,
OR(L1653="MÉDIA SANEADA",L1653="MEDIANA SANEADA",
AND(L1653="PREÇO ESTIMADO",NOT(AND(P1655="Orçamento",COUNTA(P1653:XX1653)=COUNTIF(P1655:XX1655,"Orçamento")))))),
ROW(),0)</f>
        <v>1661</v>
      </c>
      <c r="K1661" s="66"/>
      <c r="L1661" s="29" t="s">
        <v>361</v>
      </c>
      <c r="M1661" s="30">
        <f t="shared" ref="M1661" si="5138">MEDIAN($P1659:$XX1659)</f>
        <v>30.9</v>
      </c>
      <c r="N1661" s="71"/>
      <c r="O1661" s="27" t="str">
        <f t="shared" ref="O1661" si="5139">"1 RODADA"</f>
        <v>1 RODADA</v>
      </c>
      <c r="P1661" s="107">
        <f t="shared" ref="P1661:AI1661" si="5140">IF(P1659="","",IF((_xlfn.STDEV.P($P1658:$XX1659)/AVERAGE($P1658:$XX1659))&lt;=25%,P1659,IF(OR(P1659&gt;(AVERAGE($P1658:$XX1659)+_xlfn.STDEV.P($P1658:$XX1659)),P1659&lt;(AVERAGE($P1658:$XX1659)-_xlfn.STDEV.P($P1658:$XX1659))),"DESCARTADO",P1659)))</f>
        <v>30.9</v>
      </c>
      <c r="Q1661" s="107">
        <f t="shared" si="5140"/>
        <v>29.9</v>
      </c>
      <c r="R1661" s="107">
        <f t="shared" si="5140"/>
        <v>38.99</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f t="shared" si="4999"/>
        <v>79</v>
      </c>
      <c r="C1662" s="128">
        <f t="shared" si="5000"/>
        <v>1</v>
      </c>
      <c r="D1662" s="127">
        <f t="shared" si="5000"/>
        <v>79</v>
      </c>
      <c r="E1662" s="201"/>
      <c r="F1662" s="93"/>
      <c r="G1662" s="203"/>
      <c r="H1662"/>
      <c r="I1662"/>
      <c r="J1662"/>
      <c r="L1662" s="29" t="s">
        <v>38</v>
      </c>
      <c r="M1662" s="30">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33.263333333333328</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f t="shared" si="4999"/>
        <v>79</v>
      </c>
      <c r="C1663" s="128">
        <f t="shared" si="5000"/>
        <v>1</v>
      </c>
      <c r="D1663" s="127">
        <f t="shared" si="5000"/>
        <v>79</v>
      </c>
      <c r="E1663" s="201"/>
      <c r="F1663" s="93"/>
      <c r="G1663" s="203"/>
      <c r="H1663" s="134">
        <f t="shared" ref="H1663" si="5143">COUNT($P1663:$XX1663)</f>
        <v>3</v>
      </c>
      <c r="I1663" s="132">
        <f t="shared" ref="I1663" si="5144">_xlfn.STDEV.P($P1662:$XX1663)/AVERAGE($P1662:$XX1663)</f>
        <v>0.12235370769005693</v>
      </c>
      <c r="J1663" s="7">
        <f t="shared" ref="J1663" si="5145">IF(AND(H1663&gt;2,
OR(L1653="MÉDIA SANEADA",L1653="MEDIANA SANEADA",
AND(L1653="PREÇO ESTIMADO",NOT(AND(P1655="Orçamento",COUNTA(P1653:XX1653)=COUNTIF(P1655:XX1655,"Orçamento")))))),
ROW(),0)</f>
        <v>1663</v>
      </c>
      <c r="K1663" s="66"/>
      <c r="L1663" s="29" t="s">
        <v>362</v>
      </c>
      <c r="M1663" s="30">
        <f t="shared" ref="M1663" si="5146" xml:space="preserve">
IF(H1661&gt;2,MEDIAN(P1660:XX1661),
IF(H1663&gt;2,MEDIAN(P1662:XX1663),
IF(H1665&gt;2,MEDIAN(P1664:XX1665),
IF(H1667&gt;2,MEDIAN(P1666:XX1667),
IF(H1669&gt;2,MEDIAN(P1668:XX1669),
IF(H1671&gt;2,MEDIAN(P1670:XX1671),
MEDIAN(P1658:XX1659)))))))</f>
        <v>30.9</v>
      </c>
      <c r="N1663" s="71"/>
      <c r="O1663" s="27" t="str">
        <f t="shared" ref="O1663" si="5147">"2 RODADA"</f>
        <v>2 RODADA</v>
      </c>
      <c r="P1663" s="107">
        <f t="shared" ref="P1663:AI1663" si="5148">IF(P1661="","",IF((_xlfn.STDEV.P($P1660:$XX1661)/AVERAGE($P1660:$XX1661))&lt;=25%,P1661,IF(OR(P1661&gt;(AVERAGE($P1660:$XX1661)+_xlfn.STDEV.P($P1660:$XX1661)),P1661&lt;(AVERAGE($P1660:$XX1661)-_xlfn.STDEV.P($P1660:$XX1661))),"DESCARTADO",P1661)))</f>
        <v>30.9</v>
      </c>
      <c r="Q1663" s="107">
        <f t="shared" si="5148"/>
        <v>29.9</v>
      </c>
      <c r="R1663" s="107">
        <f t="shared" si="5148"/>
        <v>38.99</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f t="shared" si="4999"/>
        <v>79</v>
      </c>
      <c r="C1664" s="128">
        <f t="shared" si="5000"/>
        <v>1</v>
      </c>
      <c r="D1664" s="127">
        <f t="shared" si="5000"/>
        <v>79</v>
      </c>
      <c r="E1664" s="201"/>
      <c r="F1664" s="93"/>
      <c r="G1664" s="203"/>
      <c r="H1664"/>
      <c r="I1664"/>
      <c r="J1664"/>
      <c r="K1664" s="66"/>
      <c r="L1664" s="29" t="s">
        <v>359</v>
      </c>
      <c r="M1664" s="30">
        <f t="shared" ref="M1664" si="5149">HARMEAN($P1658:$XX1659)</f>
        <v>32.80306179811091</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f t="shared" si="4999"/>
        <v>79</v>
      </c>
      <c r="C1665" s="128">
        <f t="shared" si="5000"/>
        <v>1</v>
      </c>
      <c r="D1665" s="127">
        <f t="shared" si="5000"/>
        <v>79</v>
      </c>
      <c r="E1665" s="201"/>
      <c r="F1665" s="93"/>
      <c r="G1665" s="203"/>
      <c r="H1665" s="134">
        <f t="shared" ref="H1665" si="5151">COUNT($P1665:$XX1665)</f>
        <v>3</v>
      </c>
      <c r="I1665" s="132">
        <f t="shared" ref="I1665" si="5152">_xlfn.STDEV.P($P1664:$XX1665)/AVERAGE($P1664:$XX1665)</f>
        <v>0.12235370769005693</v>
      </c>
      <c r="J1665" s="7">
        <f t="shared" ref="J1665" si="5153">IF(AND(H1665&gt;2,
OR(L1653="MÉDIA SANEADA",L1653="MEDIANA SANEADA",
AND(L1653="PREÇO ESTIMADO",NOT(AND(P1655="Orçamento",COUNTA(P1653:XX1653)=COUNTIF(P1655:XX1655,"Orçamento")))))),
ROW(),0)</f>
        <v>1665</v>
      </c>
      <c r="K1665" s="66"/>
      <c r="L1665" s="29" t="s">
        <v>41</v>
      </c>
      <c r="M1665" s="30">
        <f t="shared" ref="M1665" si="5154">IFERROR(_xlfn.QUARTILE.EXC($P1659:$XX1659,1),"")</f>
        <v>29.9</v>
      </c>
      <c r="N1665" s="71"/>
      <c r="O1665" s="27" t="str">
        <f t="shared" ref="O1665" si="5155">"3 RODADA"</f>
        <v>3 RODADA</v>
      </c>
      <c r="P1665" s="107">
        <f t="shared" ref="P1665:AI1665" si="5156">IF(P1663="","",IF((_xlfn.STDEV.P($P1662:$XX1663)/AVERAGE($P1662:$XX1663))&lt;=25%,P1663,IF(OR(P1663&gt;(AVERAGE($P1662:$XX1663)+_xlfn.STDEV.P($P1662:$XX1663)),P1663&lt;(AVERAGE($P1662:$XX1663)-_xlfn.STDEV.P($P1662:$XX1663))),"DESCARTADO",P1663)))</f>
        <v>30.9</v>
      </c>
      <c r="Q1665" s="107">
        <f t="shared" si="5156"/>
        <v>29.9</v>
      </c>
      <c r="R1665" s="107">
        <f t="shared" si="5156"/>
        <v>38.99</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f t="shared" si="4999"/>
        <v>79</v>
      </c>
      <c r="C1666" s="128">
        <f t="shared" si="5000"/>
        <v>1</v>
      </c>
      <c r="D1666" s="127">
        <f t="shared" si="5000"/>
        <v>79</v>
      </c>
      <c r="E1666" s="201"/>
      <c r="F1666" s="93"/>
      <c r="G1666" s="203"/>
      <c r="H1666"/>
      <c r="I1666"/>
      <c r="J1666"/>
      <c r="K1666" s="66"/>
      <c r="L1666" s="29" t="s">
        <v>39</v>
      </c>
      <c r="M1666" s="30">
        <f t="shared" ref="M1666" si="5157">IFERROR(_xlfn.QUARTILE.EXC($P1659:$XX1659,3),"")</f>
        <v>38.99</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f t="shared" si="4999"/>
        <v>79</v>
      </c>
      <c r="C1667" s="128">
        <f t="shared" si="5000"/>
        <v>1</v>
      </c>
      <c r="D1667" s="127">
        <f t="shared" si="5000"/>
        <v>79</v>
      </c>
      <c r="E1667" s="201"/>
      <c r="F1667" s="93"/>
      <c r="G1667" s="203"/>
      <c r="H1667" s="134">
        <f t="shared" ref="H1667" si="5159">COUNT($P1667:$XX1667)</f>
        <v>3</v>
      </c>
      <c r="I1667" s="132">
        <f t="shared" ref="I1667" si="5160">_xlfn.STDEV.P($P1666:$XX1667)/AVERAGE($P1666:$XX1667)</f>
        <v>0.12235370769005693</v>
      </c>
      <c r="J1667" s="7">
        <f t="shared" ref="J1667" si="5161">IF(AND(H1667&gt;2,
OR(L1653="MÉDIA SANEADA",L1653="MEDIANA SANEADA",
AND(L1653="PREÇO ESTIMADO",NOT(AND(P1655="Orçamento",COUNTA(P1653:XX1653)=COUNTIF(P1655:XX1655,"Orçamento")))))),
ROW(),0)</f>
        <v>1667</v>
      </c>
      <c r="K1667" s="66"/>
      <c r="L1667" s="29" t="s">
        <v>42</v>
      </c>
      <c r="M1667" s="30">
        <f t="shared" ref="M1667" si="5162">MIN($P1659:$XX1659)</f>
        <v>29.9</v>
      </c>
      <c r="N1667" s="71"/>
      <c r="O1667" s="27" t="str">
        <f t="shared" ref="O1667" si="5163">"4 RODADA"</f>
        <v>4 RODADA</v>
      </c>
      <c r="P1667" s="107">
        <f t="shared" ref="P1667:AI1667" si="5164">IF(P1665="","",IF((_xlfn.STDEV.P($P1664:$XX1665)/AVERAGE($P1664:$XX1665))&lt;=25%,P1665,IF(OR(P1665&gt;(AVERAGE($P1664:$XX1665)+_xlfn.STDEV.P($P1664:$XX1665)),P1665&lt;(AVERAGE($P1664:$XX1665)-_xlfn.STDEV.P($P1664:$XX1665))),"DESCARTADO",P1665)))</f>
        <v>30.9</v>
      </c>
      <c r="Q1667" s="107">
        <f t="shared" si="5164"/>
        <v>29.9</v>
      </c>
      <c r="R1667" s="107">
        <f t="shared" si="5164"/>
        <v>38.99</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f t="shared" si="4999"/>
        <v>79</v>
      </c>
      <c r="C1668" s="128">
        <f t="shared" si="5000"/>
        <v>1</v>
      </c>
      <c r="D1668" s="127">
        <f t="shared" si="5000"/>
        <v>79</v>
      </c>
      <c r="E1668" s="201"/>
      <c r="F1668" s="93"/>
      <c r="G1668" s="203"/>
      <c r="H1668"/>
      <c r="I1668"/>
      <c r="J1668"/>
      <c r="K1668" s="66"/>
      <c r="L1668" s="29" t="s">
        <v>40</v>
      </c>
      <c r="M1668" s="30">
        <f t="shared" ref="M1668" si="5165">MAX($P1659:$XX1659)</f>
        <v>38.99</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f t="shared" si="4999"/>
        <v>79</v>
      </c>
      <c r="C1669" s="128">
        <f t="shared" si="5000"/>
        <v>1</v>
      </c>
      <c r="D1669" s="127">
        <f t="shared" si="5000"/>
        <v>79</v>
      </c>
      <c r="E1669" s="201"/>
      <c r="F1669" s="93"/>
      <c r="G1669" s="203"/>
      <c r="H1669" s="134">
        <f t="shared" ref="H1669" si="5167">COUNT($P1669:$XX1669)</f>
        <v>3</v>
      </c>
      <c r="I1669" s="132">
        <f t="shared" ref="I1669" si="5168">_xlfn.STDEV.P($P1668:$XX1669)/AVERAGE($P1668:$XX1669)</f>
        <v>0.12235370769005693</v>
      </c>
      <c r="J1669" s="7">
        <f t="shared" ref="J1669" si="5169">IF(AND(H1669&gt;2,
OR(L1653="MÉDIA SANEADA",L1653="MEDIANA SANEADA",
AND(L1653="PREÇO ESTIMADO",NOT(AND(P1655="Orçamento",COUNTA(P1653:XX1653)=COUNTIF(P1655:XX1655,"Orçamento")))))),
ROW(),0)</f>
        <v>1669</v>
      </c>
      <c r="K1669" s="66"/>
      <c r="N1669" s="71"/>
      <c r="O1669" s="27" t="str">
        <f t="shared" ref="O1669" si="5170">"5 RODADA"</f>
        <v>5 RODADA</v>
      </c>
      <c r="P1669" s="107">
        <f t="shared" ref="P1669:AI1669" si="5171">IF(P1667="","",IF((_xlfn.STDEV.P($P1666:$XX1667)/AVERAGE($P1666:$XX1667))&lt;=25%,P1667,IF(OR(P1667&gt;(AVERAGE($P1666:$XX1667)+_xlfn.STDEV.P($P1666:$XX1667)),P1667&lt;(AVERAGE($P1666:$XX1667)-_xlfn.STDEV.P($P1666:$XX1667))),"DESCARTADO",P1667)))</f>
        <v>30.9</v>
      </c>
      <c r="Q1669" s="107">
        <f t="shared" si="5171"/>
        <v>29.9</v>
      </c>
      <c r="R1669" s="107">
        <f t="shared" si="5171"/>
        <v>38.99</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f t="shared" si="4999"/>
        <v>79</v>
      </c>
      <c r="C1670" s="128">
        <f t="shared" si="5000"/>
        <v>1</v>
      </c>
      <c r="D1670" s="127">
        <f t="shared" si="5000"/>
        <v>79</v>
      </c>
      <c r="E1670" s="201"/>
      <c r="F1670" s="93"/>
      <c r="G1670" s="203"/>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f t="shared" si="4999"/>
        <v>79</v>
      </c>
      <c r="C1671" s="128">
        <f t="shared" si="5000"/>
        <v>1</v>
      </c>
      <c r="D1671" s="127">
        <f t="shared" si="5000"/>
        <v>79</v>
      </c>
      <c r="E1671" s="201"/>
      <c r="F1671" s="93"/>
      <c r="G1671" s="203"/>
      <c r="H1671" s="134">
        <f t="shared" ref="H1671" si="5173">COUNT($P1671:$XX1671)</f>
        <v>3</v>
      </c>
      <c r="I1671" s="132">
        <f t="shared" ref="I1671" si="5174">_xlfn.STDEV.P($P1670:$XX1671)/AVERAGE($P1670:$XX1671)</f>
        <v>0.12235370769005693</v>
      </c>
      <c r="J1671" s="7">
        <f t="shared" ref="J1671" si="5175">IF(AND(H1671&gt;2,
OR(L1653="MÉDIA SANEADA",L1653="MEDIANA SANEADA",
AND(L1653="PREÇO ESTIMADO",NOT(AND(P1655="Orçamento",COUNTA(P1653:XX1653)=COUNTIF(P1655:XX1655,"Orçamento")))))),
ROW(),0)</f>
        <v>1671</v>
      </c>
      <c r="N1671" s="71"/>
      <c r="O1671" s="27" t="str">
        <f t="shared" ref="O1671" si="5176">"6 RODADA"</f>
        <v>6 RODADA</v>
      </c>
      <c r="P1671" s="107">
        <f t="shared" ref="P1671:AI1671" si="5177">IFERROR(IF(P1669="","",IF((_xlfn.STDEV.P($P1668:$XX1669)/AVERAGE($P1668:$XX1669))&lt;=25%,P1669,IF(OR(P1669&gt;(AVERAGE($P1668:$XX1669)+_xlfn.STDEV.P($P1668:$XX1669)),P1669&lt;(AVERAGE($P1668:$XX1669)-_xlfn.STDEV.P($P1668:$XX1669))),"DESCARTADO",P1669))),)</f>
        <v>30.9</v>
      </c>
      <c r="Q1671" s="107">
        <f t="shared" si="5177"/>
        <v>29.9</v>
      </c>
      <c r="R1671" s="107">
        <f t="shared" si="5177"/>
        <v>38.99</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f t="shared" si="4999"/>
        <v>79</v>
      </c>
      <c r="C1672" s="128">
        <f t="shared" si="5000"/>
        <v>1</v>
      </c>
      <c r="D1672" s="127">
        <f t="shared" si="5000"/>
        <v>79</v>
      </c>
      <c r="E1672" s="201"/>
      <c r="F1672" s="136"/>
      <c r="G1672" s="203"/>
      <c r="H1672" s="206"/>
      <c r="I1672" s="206"/>
      <c r="J1672" s="207"/>
      <c r="K1672" s="67"/>
      <c r="L1672" s="1" t="s">
        <v>43</v>
      </c>
      <c r="M1672" s="143">
        <f t="shared" ref="M1672" si="5178">IFERROR(ROUND(M1653*M1655,2),"")</f>
        <v>399.12</v>
      </c>
      <c r="O1672" s="27" t="s">
        <v>363</v>
      </c>
      <c r="P1672" s="107">
        <f t="shared" ref="P1672:R1672" si="5179">INDEX(P1659:P1671,MATCH(MAX($J1659:$J1671),$J1659:$J1671,0))</f>
        <v>30.9</v>
      </c>
      <c r="Q1672" s="107">
        <f t="shared" si="5179"/>
        <v>29.9</v>
      </c>
      <c r="R1672" s="107">
        <f t="shared" si="5179"/>
        <v>38.99</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f t="shared" ref="B1674" si="5180">LARGE(IFERROR(IF(B1672+1&gt;$H$8,"",B1672+1),""),1)</f>
        <v>80</v>
      </c>
      <c r="C1674" s="127">
        <f>IF(_xlfn.ISFORMULA(E1678),MAX(INDEX('BASE FORMAÇÃO'!A:A,B1674+1),1),E1678)</f>
        <v>1</v>
      </c>
      <c r="D1674" s="127">
        <f t="shared" ref="D1674" si="5181">IFERROR(IF(C1674=C1664,D1664+1,1),1)</f>
        <v>80</v>
      </c>
      <c r="E1674" s="38" t="s">
        <v>9</v>
      </c>
      <c r="F1674" s="73"/>
      <c r="G1674" s="38" t="s">
        <v>15</v>
      </c>
      <c r="H1674" s="135">
        <f>INDEX('BASE FORMAÇÃO'!B:B,B1674+1)</f>
        <v>0</v>
      </c>
      <c r="I1674" s="181" t="s">
        <v>16</v>
      </c>
      <c r="J1674" s="6">
        <f>INDEX('BASE FORMAÇÃO'!K:K,B1674+1)</f>
        <v>0</v>
      </c>
      <c r="K1674" s="65"/>
      <c r="L1674" s="184" t="s">
        <v>10</v>
      </c>
      <c r="M1674" s="186">
        <f t="shared" ref="M1674" si="5182">IF(OR(ISBLANK($O$8),ISBLANK($O$7),ISBLANK($H$8),ISBLANK($O$6),ISBLANK($O$5),ISBLANK($H$5)),"",IFERROR(IF(VLOOKUP(L1674,L1680:M1689,2,FALSE)&lt;1,ROUND(VLOOKUP(L1674,L1680:M1689,2,FALSE),4),ROUND(VLOOKUP(L1674,L1680:M1689,2,FALSE),2)),""))</f>
        <v>10.75</v>
      </c>
      <c r="N1674" s="69"/>
      <c r="O1674" s="27" t="s">
        <v>17</v>
      </c>
      <c r="P1674" s="113">
        <v>10</v>
      </c>
      <c r="Q1674" s="113">
        <v>11.8</v>
      </c>
      <c r="R1674" s="113">
        <v>10.46</v>
      </c>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f t="shared" ref="B1675:D1675" si="5183">B1674</f>
        <v>80</v>
      </c>
      <c r="C1675" s="128">
        <f t="shared" si="5183"/>
        <v>1</v>
      </c>
      <c r="D1675" s="127">
        <f t="shared" si="5183"/>
        <v>80</v>
      </c>
      <c r="E1675" s="188">
        <f t="shared" ref="E1675" si="5184">D1674</f>
        <v>80</v>
      </c>
      <c r="F1675" s="92"/>
      <c r="G1675" s="190" t="s">
        <v>1</v>
      </c>
      <c r="H1675" s="193" t="s">
        <v>749</v>
      </c>
      <c r="I1675" s="194"/>
      <c r="J1675" s="195"/>
      <c r="K1675" s="66"/>
      <c r="L1675" s="185"/>
      <c r="M1675" s="187"/>
      <c r="N1675" s="70"/>
      <c r="O1675" s="27" t="s">
        <v>13</v>
      </c>
      <c r="P1675" s="122">
        <v>46196</v>
      </c>
      <c r="Q1675" s="122">
        <v>46196</v>
      </c>
      <c r="R1675" s="122">
        <v>46196</v>
      </c>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f t="shared" ref="B1676:D1676" si="5185">B1675</f>
        <v>80</v>
      </c>
      <c r="C1676" s="128">
        <f t="shared" si="5185"/>
        <v>1</v>
      </c>
      <c r="D1676" s="127">
        <f t="shared" si="5185"/>
        <v>80</v>
      </c>
      <c r="E1676" s="189"/>
      <c r="F1676" s="93"/>
      <c r="G1676" s="191"/>
      <c r="H1676" s="196"/>
      <c r="I1676" s="196"/>
      <c r="J1676" s="197"/>
      <c r="K1676" s="64"/>
      <c r="L1676" s="130" t="s">
        <v>44</v>
      </c>
      <c r="M1676" s="131">
        <v>4</v>
      </c>
      <c r="N1676" s="71"/>
      <c r="O1676" s="27" t="s">
        <v>380</v>
      </c>
      <c r="P1676" s="114" t="s">
        <v>302</v>
      </c>
      <c r="Q1676" s="114" t="s">
        <v>302</v>
      </c>
      <c r="R1676" s="114" t="s">
        <v>302</v>
      </c>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f t="shared" ref="B1677:C1677" si="5186">B1676</f>
        <v>80</v>
      </c>
      <c r="C1677" s="128">
        <f t="shared" si="5186"/>
        <v>1</v>
      </c>
      <c r="D1677" s="127">
        <f t="shared" si="5000"/>
        <v>80</v>
      </c>
      <c r="E1677" s="38" t="s">
        <v>313</v>
      </c>
      <c r="F1677" s="93"/>
      <c r="G1677" s="192"/>
      <c r="H1677" s="198"/>
      <c r="I1677" s="198"/>
      <c r="J1677" s="199"/>
      <c r="K1677" s="64"/>
      <c r="L1677" s="1" t="s">
        <v>2</v>
      </c>
      <c r="M1677" s="6" t="s">
        <v>288</v>
      </c>
      <c r="N1677" s="71"/>
      <c r="O1677" s="27" t="s">
        <v>381</v>
      </c>
      <c r="P1677" s="182" t="s">
        <v>750</v>
      </c>
      <c r="Q1677" s="182" t="s">
        <v>751</v>
      </c>
      <c r="R1677" s="182" t="s">
        <v>752</v>
      </c>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f t="shared" ref="B1678:C1678" si="5187">B1676</f>
        <v>80</v>
      </c>
      <c r="C1678" s="128">
        <f t="shared" si="5187"/>
        <v>1</v>
      </c>
      <c r="D1678" s="127">
        <f t="shared" si="5000"/>
        <v>80</v>
      </c>
      <c r="E1678" s="200">
        <f t="shared" ref="E1678" si="5188">C1674</f>
        <v>1</v>
      </c>
      <c r="F1678" s="93"/>
      <c r="G1678" s="202" t="s">
        <v>304</v>
      </c>
      <c r="H1678" s="204"/>
      <c r="I1678" s="205"/>
      <c r="J1678" s="205"/>
      <c r="K1678" s="67"/>
      <c r="L1678" s="28" t="s">
        <v>303</v>
      </c>
      <c r="M1678" s="133">
        <f t="shared" ref="M1678" si="5189">IFERROR(INDEX(I1680:I1692,MATCH(MAX(J1680:J1692),J1680:J1692,0)),"")</f>
        <v>7.1006719029619178E-2</v>
      </c>
      <c r="N1678" s="71"/>
      <c r="O1678" s="27" t="s">
        <v>18</v>
      </c>
      <c r="P1678" s="106">
        <f>IF(P1674="","",
IF(OR(P1676="Orçamento",P1675="",MAX('Tabela de Apoio'!$A:$A)&lt;=P1675),
P1674,
(INDEX('Tabela de Apoio'!$B:$B,MATCH('MAPA DE PREÇOS'!$O$8,'Tabela de Apoio'!$A:$A,1))/INDEX('Tabela de Apoio'!$B:$B,MATCH('MAPA DE PREÇOS'!P1675,'Tabela de Apoio'!$A:$A,1)-1))*P1674))</f>
        <v>10</v>
      </c>
      <c r="Q1678" s="106">
        <f>IF(Q1674="","",
IF(OR(Q1676="Orçamento",Q1675="",MAX('Tabela de Apoio'!$A:$A)&lt;=Q1675),
Q1674,
(INDEX('Tabela de Apoio'!$B:$B,MATCH('MAPA DE PREÇOS'!$O$8,'Tabela de Apoio'!$A:$A,1))/INDEX('Tabela de Apoio'!$B:$B,MATCH('MAPA DE PREÇOS'!Q1675,'Tabela de Apoio'!$A:$A,1)-1))*Q1674))</f>
        <v>11.8</v>
      </c>
      <c r="R1678" s="106">
        <f>IF(R1674="","",
IF(OR(R1676="Orçamento",R1675="",MAX('Tabela de Apoio'!$A:$A)&lt;=R1675),
R1674,
(INDEX('Tabela de Apoio'!$B:$B,MATCH('MAPA DE PREÇOS'!$O$8,'Tabela de Apoio'!$A:$A,1))/INDEX('Tabela de Apoio'!$B:$B,MATCH('MAPA DE PREÇOS'!R1675,'Tabela de Apoio'!$A:$A,1)-1))*R1674))</f>
        <v>10.46</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f t="shared" ref="B1679" si="5190">B1678</f>
        <v>80</v>
      </c>
      <c r="C1679" s="128">
        <f t="shared" ref="C1679" si="5191">C1678</f>
        <v>1</v>
      </c>
      <c r="D1679" s="127">
        <f t="shared" si="5000"/>
        <v>80</v>
      </c>
      <c r="E1679" s="201"/>
      <c r="F1679" s="93"/>
      <c r="G1679" s="203"/>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f t="shared" ref="B1680:C1680" si="5192">B1679</f>
        <v>80</v>
      </c>
      <c r="C1680" s="128">
        <f t="shared" si="5192"/>
        <v>1</v>
      </c>
      <c r="D1680" s="127">
        <f t="shared" si="5000"/>
        <v>80</v>
      </c>
      <c r="E1680" s="201"/>
      <c r="F1680" s="93"/>
      <c r="G1680" s="203"/>
      <c r="H1680" s="134">
        <f t="shared" ref="H1680" si="5193">COUNT($P1680:$XX1680)</f>
        <v>3</v>
      </c>
      <c r="I1680" s="132">
        <f t="shared" ref="I1680" si="5194">_xlfn.STDEV.P($P1679:$XX1680)/AVERAGE($P1679:$XX1680)</f>
        <v>7.1006719029619178E-2</v>
      </c>
      <c r="J1680" s="7">
        <f>ROW()</f>
        <v>1680</v>
      </c>
      <c r="K1680" s="67"/>
      <c r="L1680" s="29" t="s">
        <v>10</v>
      </c>
      <c r="M1680" s="30">
        <f t="shared" ref="M1680" si="5195">IFERROR(
IF(COUNTA(P1674:AI1674)=COUNTIF(P1676:XX1676,"Orçamento"),MIN(M1685,M1682),
IF(M1683&lt;&gt;"",M1683,
IF(M1684&lt;&gt;"",M1684,
M1682
))),"")</f>
        <v>10.753333333333336</v>
      </c>
      <c r="N1680" s="71"/>
      <c r="O1680" s="27" t="s">
        <v>376</v>
      </c>
      <c r="P1680" s="106">
        <f t="shared" ref="P1680:AI1680" si="5196">IFERROR(IF(P1678="",
            "",
            IF(COUNT($P1678:$XX1678)&lt;=4,
               P1678,
               IF(OR(P1678&gt;(QUARTILE($P1678:$XX1678,3)+(QUARTILE($P1678:$XX1678,3)-QUARTILE($P1678:$XX1678,1))),
                     P1678&lt;(QUARTILE($P1678:$XX1678,1)-(QUARTILE($P1678:$XX1678,3)-QUARTILE($P1678:$XX1678,1)))
                  ),
               "DESCARTADO",P1678)
             )
  ),P1678)</f>
        <v>10</v>
      </c>
      <c r="Q1680" s="106">
        <f t="shared" si="5196"/>
        <v>11.8</v>
      </c>
      <c r="R1680" s="106">
        <f t="shared" si="5196"/>
        <v>10.46</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f t="shared" ref="B1681:B1735" si="5197">B1680</f>
        <v>80</v>
      </c>
      <c r="C1681" s="128">
        <f t="shared" ref="C1681:D1744" si="5198">C1680</f>
        <v>1</v>
      </c>
      <c r="D1681" s="127">
        <f t="shared" si="5000"/>
        <v>80</v>
      </c>
      <c r="E1681" s="201"/>
      <c r="F1681" s="93"/>
      <c r="G1681" s="203"/>
      <c r="H1681"/>
      <c r="I1681"/>
      <c r="J1681"/>
      <c r="K1681" s="66"/>
      <c r="L1681" s="29" t="s">
        <v>360</v>
      </c>
      <c r="M1681" s="30">
        <f t="shared" ref="M1681" si="5199">AVERAGE($P1680:$XX1680)</f>
        <v>10.753333333333336</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f t="shared" si="5197"/>
        <v>80</v>
      </c>
      <c r="C1682" s="128">
        <f t="shared" si="5198"/>
        <v>1</v>
      </c>
      <c r="D1682" s="127">
        <f t="shared" si="5198"/>
        <v>80</v>
      </c>
      <c r="E1682" s="201"/>
      <c r="F1682" s="93"/>
      <c r="G1682" s="203"/>
      <c r="H1682" s="134">
        <f t="shared" ref="H1682" si="5201">COUNT($P1682:$XX1682)</f>
        <v>3</v>
      </c>
      <c r="I1682" s="132">
        <f t="shared" ref="I1682" si="5202">_xlfn.STDEV.P($P1681:$XX1682)/AVERAGE($P1681:$XX1682)</f>
        <v>7.1006719029619178E-2</v>
      </c>
      <c r="J1682" s="7">
        <f t="shared" ref="J1682" si="5203">IF(AND(H1682&gt;2,
OR(L1674="MÉDIA SANEADA",L1674="MEDIANA SANEADA",
AND(L1674="PREÇO ESTIMADO",NOT(AND(P1676="Orçamento",COUNTA(P1674:XX1674)=COUNTIF(P1676:XX1676,"Orçamento")))))),
ROW(),0)</f>
        <v>1682</v>
      </c>
      <c r="K1682" s="66"/>
      <c r="L1682" s="29" t="s">
        <v>361</v>
      </c>
      <c r="M1682" s="30">
        <f t="shared" ref="M1682" si="5204">MEDIAN($P1680:$XX1680)</f>
        <v>10.46</v>
      </c>
      <c r="N1682" s="71"/>
      <c r="O1682" s="27" t="str">
        <f t="shared" ref="O1682" si="5205">"1 RODADA"</f>
        <v>1 RODADA</v>
      </c>
      <c r="P1682" s="107">
        <f t="shared" ref="P1682:AI1682" si="5206">IF(P1680="","",IF((_xlfn.STDEV.P($P1679:$XX1680)/AVERAGE($P1679:$XX1680))&lt;=25%,P1680,IF(OR(P1680&gt;(AVERAGE($P1679:$XX1680)+_xlfn.STDEV.P($P1679:$XX1680)),P1680&lt;(AVERAGE($P1679:$XX1680)-_xlfn.STDEV.P($P1679:$XX1680))),"DESCARTADO",P1680)))</f>
        <v>10</v>
      </c>
      <c r="Q1682" s="107">
        <f t="shared" si="5206"/>
        <v>11.8</v>
      </c>
      <c r="R1682" s="107">
        <f t="shared" si="5206"/>
        <v>10.46</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f t="shared" si="5197"/>
        <v>80</v>
      </c>
      <c r="C1683" s="128">
        <f t="shared" si="5198"/>
        <v>1</v>
      </c>
      <c r="D1683" s="127">
        <f t="shared" si="5198"/>
        <v>80</v>
      </c>
      <c r="E1683" s="201"/>
      <c r="F1683" s="93"/>
      <c r="G1683" s="203"/>
      <c r="H1683"/>
      <c r="I1683"/>
      <c r="J1683"/>
      <c r="L1683" s="29" t="s">
        <v>38</v>
      </c>
      <c r="M1683" s="30">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10.753333333333336</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f t="shared" si="5197"/>
        <v>80</v>
      </c>
      <c r="C1684" s="128">
        <f t="shared" si="5198"/>
        <v>1</v>
      </c>
      <c r="D1684" s="127">
        <f t="shared" si="5198"/>
        <v>80</v>
      </c>
      <c r="E1684" s="201"/>
      <c r="F1684" s="93"/>
      <c r="G1684" s="203"/>
      <c r="H1684" s="134">
        <f t="shared" ref="H1684" si="5209">COUNT($P1684:$XX1684)</f>
        <v>3</v>
      </c>
      <c r="I1684" s="132">
        <f t="shared" ref="I1684" si="5210">_xlfn.STDEV.P($P1683:$XX1684)/AVERAGE($P1683:$XX1684)</f>
        <v>7.1006719029619178E-2</v>
      </c>
      <c r="J1684" s="7">
        <f t="shared" ref="J1684" si="5211">IF(AND(H1684&gt;2,
OR(L1674="MÉDIA SANEADA",L1674="MEDIANA SANEADA",
AND(L1674="PREÇO ESTIMADO",NOT(AND(P1676="Orçamento",COUNTA(P1674:XX1674)=COUNTIF(P1676:XX1676,"Orçamento")))))),
ROW(),0)</f>
        <v>1684</v>
      </c>
      <c r="K1684" s="66"/>
      <c r="L1684" s="29" t="s">
        <v>362</v>
      </c>
      <c r="M1684" s="30">
        <f t="shared" ref="M1684" si="5212" xml:space="preserve">
IF(H1682&gt;2,MEDIAN(P1681:XX1682),
IF(H1684&gt;2,MEDIAN(P1683:XX1684),
IF(H1686&gt;2,MEDIAN(P1685:XX1686),
IF(H1688&gt;2,MEDIAN(P1687:XX1688),
IF(H1690&gt;2,MEDIAN(P1689:XX1690),
IF(H1692&gt;2,MEDIAN(P1691:XX1692),
MEDIAN(P1679:XX1680)))))))</f>
        <v>10.46</v>
      </c>
      <c r="N1684" s="71"/>
      <c r="O1684" s="27" t="str">
        <f t="shared" ref="O1684" si="5213">"2 RODADA"</f>
        <v>2 RODADA</v>
      </c>
      <c r="P1684" s="107">
        <f t="shared" ref="P1684:AI1684" si="5214">IF(P1682="","",IF((_xlfn.STDEV.P($P1681:$XX1682)/AVERAGE($P1681:$XX1682))&lt;=25%,P1682,IF(OR(P1682&gt;(AVERAGE($P1681:$XX1682)+_xlfn.STDEV.P($P1681:$XX1682)),P1682&lt;(AVERAGE($P1681:$XX1682)-_xlfn.STDEV.P($P1681:$XX1682))),"DESCARTADO",P1682)))</f>
        <v>10</v>
      </c>
      <c r="Q1684" s="107">
        <f t="shared" si="5214"/>
        <v>11.8</v>
      </c>
      <c r="R1684" s="107">
        <f t="shared" si="5214"/>
        <v>10.46</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f t="shared" si="5197"/>
        <v>80</v>
      </c>
      <c r="C1685" s="128">
        <f t="shared" si="5198"/>
        <v>1</v>
      </c>
      <c r="D1685" s="127">
        <f t="shared" si="5198"/>
        <v>80</v>
      </c>
      <c r="E1685" s="201"/>
      <c r="F1685" s="93"/>
      <c r="G1685" s="203"/>
      <c r="H1685"/>
      <c r="I1685"/>
      <c r="J1685"/>
      <c r="K1685" s="66"/>
      <c r="L1685" s="29" t="s">
        <v>359</v>
      </c>
      <c r="M1685" s="30">
        <f t="shared" ref="M1685" si="5215">HARMEAN($P1679:$XX1680)</f>
        <v>10.700983735420255</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f t="shared" si="5197"/>
        <v>80</v>
      </c>
      <c r="C1686" s="128">
        <f t="shared" si="5198"/>
        <v>1</v>
      </c>
      <c r="D1686" s="127">
        <f t="shared" si="5198"/>
        <v>80</v>
      </c>
      <c r="E1686" s="201"/>
      <c r="F1686" s="93"/>
      <c r="G1686" s="203"/>
      <c r="H1686" s="134">
        <f t="shared" ref="H1686" si="5217">COUNT($P1686:$XX1686)</f>
        <v>3</v>
      </c>
      <c r="I1686" s="132">
        <f t="shared" ref="I1686" si="5218">_xlfn.STDEV.P($P1685:$XX1686)/AVERAGE($P1685:$XX1686)</f>
        <v>7.1006719029619178E-2</v>
      </c>
      <c r="J1686" s="7">
        <f t="shared" ref="J1686" si="5219">IF(AND(H1686&gt;2,
OR(L1674="MÉDIA SANEADA",L1674="MEDIANA SANEADA",
AND(L1674="PREÇO ESTIMADO",NOT(AND(P1676="Orçamento",COUNTA(P1674:XX1674)=COUNTIF(P1676:XX1676,"Orçamento")))))),
ROW(),0)</f>
        <v>1686</v>
      </c>
      <c r="K1686" s="66"/>
      <c r="L1686" s="29" t="s">
        <v>41</v>
      </c>
      <c r="M1686" s="30">
        <f t="shared" ref="M1686" si="5220">IFERROR(_xlfn.QUARTILE.EXC($P1680:$XX1680,1),"")</f>
        <v>10</v>
      </c>
      <c r="N1686" s="71"/>
      <c r="O1686" s="27" t="str">
        <f t="shared" ref="O1686" si="5221">"3 RODADA"</f>
        <v>3 RODADA</v>
      </c>
      <c r="P1686" s="107">
        <f t="shared" ref="P1686:AI1686" si="5222">IF(P1684="","",IF((_xlfn.STDEV.P($P1683:$XX1684)/AVERAGE($P1683:$XX1684))&lt;=25%,P1684,IF(OR(P1684&gt;(AVERAGE($P1683:$XX1684)+_xlfn.STDEV.P($P1683:$XX1684)),P1684&lt;(AVERAGE($P1683:$XX1684)-_xlfn.STDEV.P($P1683:$XX1684))),"DESCARTADO",P1684)))</f>
        <v>10</v>
      </c>
      <c r="Q1686" s="107">
        <f t="shared" si="5222"/>
        <v>11.8</v>
      </c>
      <c r="R1686" s="107">
        <f t="shared" si="5222"/>
        <v>10.46</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f t="shared" si="5197"/>
        <v>80</v>
      </c>
      <c r="C1687" s="128">
        <f t="shared" si="5198"/>
        <v>1</v>
      </c>
      <c r="D1687" s="127">
        <f t="shared" si="5198"/>
        <v>80</v>
      </c>
      <c r="E1687" s="201"/>
      <c r="F1687" s="93"/>
      <c r="G1687" s="203"/>
      <c r="H1687"/>
      <c r="I1687"/>
      <c r="J1687"/>
      <c r="K1687" s="66"/>
      <c r="L1687" s="29" t="s">
        <v>39</v>
      </c>
      <c r="M1687" s="30">
        <f t="shared" ref="M1687" si="5223">IFERROR(_xlfn.QUARTILE.EXC($P1680:$XX1680,3),"")</f>
        <v>11.8</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f t="shared" si="5197"/>
        <v>80</v>
      </c>
      <c r="C1688" s="128">
        <f t="shared" si="5198"/>
        <v>1</v>
      </c>
      <c r="D1688" s="127">
        <f t="shared" si="5198"/>
        <v>80</v>
      </c>
      <c r="E1688" s="201"/>
      <c r="F1688" s="93"/>
      <c r="G1688" s="203"/>
      <c r="H1688" s="134">
        <f t="shared" ref="H1688" si="5225">COUNT($P1688:$XX1688)</f>
        <v>3</v>
      </c>
      <c r="I1688" s="132">
        <f t="shared" ref="I1688" si="5226">_xlfn.STDEV.P($P1687:$XX1688)/AVERAGE($P1687:$XX1688)</f>
        <v>7.1006719029619178E-2</v>
      </c>
      <c r="J1688" s="7">
        <f t="shared" ref="J1688" si="5227">IF(AND(H1688&gt;2,
OR(L1674="MÉDIA SANEADA",L1674="MEDIANA SANEADA",
AND(L1674="PREÇO ESTIMADO",NOT(AND(P1676="Orçamento",COUNTA(P1674:XX1674)=COUNTIF(P1676:XX1676,"Orçamento")))))),
ROW(),0)</f>
        <v>1688</v>
      </c>
      <c r="K1688" s="66"/>
      <c r="L1688" s="29" t="s">
        <v>42</v>
      </c>
      <c r="M1688" s="30">
        <f t="shared" ref="M1688" si="5228">MIN($P1680:$XX1680)</f>
        <v>10</v>
      </c>
      <c r="N1688" s="71"/>
      <c r="O1688" s="27" t="str">
        <f t="shared" ref="O1688" si="5229">"4 RODADA"</f>
        <v>4 RODADA</v>
      </c>
      <c r="P1688" s="107">
        <f t="shared" ref="P1688:AI1688" si="5230">IF(P1686="","",IF((_xlfn.STDEV.P($P1685:$XX1686)/AVERAGE($P1685:$XX1686))&lt;=25%,P1686,IF(OR(P1686&gt;(AVERAGE($P1685:$XX1686)+_xlfn.STDEV.P($P1685:$XX1686)),P1686&lt;(AVERAGE($P1685:$XX1686)-_xlfn.STDEV.P($P1685:$XX1686))),"DESCARTADO",P1686)))</f>
        <v>10</v>
      </c>
      <c r="Q1688" s="107">
        <f t="shared" si="5230"/>
        <v>11.8</v>
      </c>
      <c r="R1688" s="107">
        <f t="shared" si="5230"/>
        <v>10.46</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f t="shared" si="5197"/>
        <v>80</v>
      </c>
      <c r="C1689" s="128">
        <f t="shared" si="5198"/>
        <v>1</v>
      </c>
      <c r="D1689" s="127">
        <f t="shared" si="5198"/>
        <v>80</v>
      </c>
      <c r="E1689" s="201"/>
      <c r="F1689" s="93"/>
      <c r="G1689" s="203"/>
      <c r="H1689"/>
      <c r="I1689"/>
      <c r="J1689"/>
      <c r="K1689" s="66"/>
      <c r="L1689" s="29" t="s">
        <v>40</v>
      </c>
      <c r="M1689" s="30">
        <f t="shared" ref="M1689" si="5231">MAX($P1680:$XX1680)</f>
        <v>11.8</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f t="shared" si="5197"/>
        <v>80</v>
      </c>
      <c r="C1690" s="128">
        <f t="shared" si="5198"/>
        <v>1</v>
      </c>
      <c r="D1690" s="127">
        <f t="shared" si="5198"/>
        <v>80</v>
      </c>
      <c r="E1690" s="201"/>
      <c r="F1690" s="93"/>
      <c r="G1690" s="203"/>
      <c r="H1690" s="134">
        <f t="shared" ref="H1690" si="5233">COUNT($P1690:$XX1690)</f>
        <v>3</v>
      </c>
      <c r="I1690" s="132">
        <f t="shared" ref="I1690" si="5234">_xlfn.STDEV.P($P1689:$XX1690)/AVERAGE($P1689:$XX1690)</f>
        <v>7.1006719029619178E-2</v>
      </c>
      <c r="J1690" s="7">
        <f t="shared" ref="J1690" si="5235">IF(AND(H1690&gt;2,
OR(L1674="MÉDIA SANEADA",L1674="MEDIANA SANEADA",
AND(L1674="PREÇO ESTIMADO",NOT(AND(P1676="Orçamento",COUNTA(P1674:XX1674)=COUNTIF(P1676:XX1676,"Orçamento")))))),
ROW(),0)</f>
        <v>1690</v>
      </c>
      <c r="K1690" s="66"/>
      <c r="N1690" s="71"/>
      <c r="O1690" s="27" t="str">
        <f t="shared" ref="O1690" si="5236">"5 RODADA"</f>
        <v>5 RODADA</v>
      </c>
      <c r="P1690" s="107">
        <f t="shared" ref="P1690:AI1690" si="5237">IF(P1688="","",IF((_xlfn.STDEV.P($P1687:$XX1688)/AVERAGE($P1687:$XX1688))&lt;=25%,P1688,IF(OR(P1688&gt;(AVERAGE($P1687:$XX1688)+_xlfn.STDEV.P($P1687:$XX1688)),P1688&lt;(AVERAGE($P1687:$XX1688)-_xlfn.STDEV.P($P1687:$XX1688))),"DESCARTADO",P1688)))</f>
        <v>10</v>
      </c>
      <c r="Q1690" s="107">
        <f t="shared" si="5237"/>
        <v>11.8</v>
      </c>
      <c r="R1690" s="107">
        <f t="shared" si="5237"/>
        <v>10.46</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f t="shared" si="5197"/>
        <v>80</v>
      </c>
      <c r="C1691" s="128">
        <f t="shared" si="5198"/>
        <v>1</v>
      </c>
      <c r="D1691" s="127">
        <f t="shared" si="5198"/>
        <v>80</v>
      </c>
      <c r="E1691" s="201"/>
      <c r="F1691" s="93"/>
      <c r="G1691" s="203"/>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f t="shared" si="5197"/>
        <v>80</v>
      </c>
      <c r="C1692" s="128">
        <f t="shared" si="5198"/>
        <v>1</v>
      </c>
      <c r="D1692" s="127">
        <f t="shared" si="5198"/>
        <v>80</v>
      </c>
      <c r="E1692" s="201"/>
      <c r="F1692" s="93"/>
      <c r="G1692" s="203"/>
      <c r="H1692" s="134">
        <f t="shared" ref="H1692" si="5239">COUNT($P1692:$XX1692)</f>
        <v>3</v>
      </c>
      <c r="I1692" s="132">
        <f t="shared" ref="I1692" si="5240">_xlfn.STDEV.P($P1691:$XX1692)/AVERAGE($P1691:$XX1692)</f>
        <v>7.1006719029619178E-2</v>
      </c>
      <c r="J1692" s="7">
        <f t="shared" ref="J1692" si="5241">IF(AND(H1692&gt;2,
OR(L1674="MÉDIA SANEADA",L1674="MEDIANA SANEADA",
AND(L1674="PREÇO ESTIMADO",NOT(AND(P1676="Orçamento",COUNTA(P1674:XX1674)=COUNTIF(P1676:XX1676,"Orçamento")))))),
ROW(),0)</f>
        <v>1692</v>
      </c>
      <c r="N1692" s="71"/>
      <c r="O1692" s="27" t="str">
        <f t="shared" ref="O1692" si="5242">"6 RODADA"</f>
        <v>6 RODADA</v>
      </c>
      <c r="P1692" s="107">
        <f t="shared" ref="P1692:AI1692" si="5243">IFERROR(IF(P1690="","",IF((_xlfn.STDEV.P($P1689:$XX1690)/AVERAGE($P1689:$XX1690))&lt;=25%,P1690,IF(OR(P1690&gt;(AVERAGE($P1689:$XX1690)+_xlfn.STDEV.P($P1689:$XX1690)),P1690&lt;(AVERAGE($P1689:$XX1690)-_xlfn.STDEV.P($P1689:$XX1690))),"DESCARTADO",P1690))),)</f>
        <v>10</v>
      </c>
      <c r="Q1692" s="107">
        <f t="shared" si="5243"/>
        <v>11.8</v>
      </c>
      <c r="R1692" s="107">
        <f t="shared" si="5243"/>
        <v>10.46</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f t="shared" si="5197"/>
        <v>80</v>
      </c>
      <c r="C1693" s="128">
        <f t="shared" si="5198"/>
        <v>1</v>
      </c>
      <c r="D1693" s="127">
        <f t="shared" si="5198"/>
        <v>80</v>
      </c>
      <c r="E1693" s="201"/>
      <c r="F1693" s="136"/>
      <c r="G1693" s="203"/>
      <c r="H1693" s="206"/>
      <c r="I1693" s="206"/>
      <c r="J1693" s="207"/>
      <c r="K1693" s="67"/>
      <c r="L1693" s="1" t="s">
        <v>43</v>
      </c>
      <c r="M1693" s="143">
        <f t="shared" ref="M1693" si="5244">IFERROR(ROUND(M1674*M1676,2),"")</f>
        <v>43</v>
      </c>
      <c r="O1693" s="27" t="s">
        <v>363</v>
      </c>
      <c r="P1693" s="107">
        <f t="shared" ref="P1693:AI1714" si="5245">INDEX(P1680:P1692,MATCH(MAX($J1680:$J1692),$J1680:$J1692,0))</f>
        <v>10</v>
      </c>
      <c r="Q1693" s="107">
        <f t="shared" si="5245"/>
        <v>11.8</v>
      </c>
      <c r="R1693" s="107">
        <f t="shared" si="5245"/>
        <v>10.46</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f t="shared" ref="B1695" si="5246">LARGE(IFERROR(IF(B1693+1&gt;$H$8,"",B1693+1),""),1)</f>
        <v>81</v>
      </c>
      <c r="C1695" s="127">
        <f>IF(_xlfn.ISFORMULA(E1699),MAX(INDEX('BASE FORMAÇÃO'!A:A,B1695+1),1),E1699)</f>
        <v>1</v>
      </c>
      <c r="D1695" s="127">
        <f t="shared" ref="D1695" si="5247">IFERROR(IF(C1695=C1685,D1685+1,1),1)</f>
        <v>81</v>
      </c>
      <c r="E1695" s="38" t="s">
        <v>9</v>
      </c>
      <c r="F1695" s="73"/>
      <c r="G1695" s="38" t="s">
        <v>15</v>
      </c>
      <c r="H1695" s="135">
        <f>INDEX('BASE FORMAÇÃO'!B:B,B1695+1)</f>
        <v>0</v>
      </c>
      <c r="I1695" s="181" t="s">
        <v>16</v>
      </c>
      <c r="J1695" s="6">
        <f>INDEX('BASE FORMAÇÃO'!K:K,B1695+1)</f>
        <v>0</v>
      </c>
      <c r="K1695" s="65"/>
      <c r="L1695" s="184" t="s">
        <v>10</v>
      </c>
      <c r="M1695" s="186">
        <f t="shared" ref="M1695" si="5248">IF(OR(ISBLANK($O$8),ISBLANK($O$7),ISBLANK($H$8),ISBLANK($O$6),ISBLANK($O$5),ISBLANK($H$5)),"",IFERROR(IF(VLOOKUP(L1695,L1701:M1710,2,FALSE)&lt;1,ROUND(VLOOKUP(L1695,L1701:M1710,2,FALSE),4),ROUND(VLOOKUP(L1695,L1701:M1710,2,FALSE),2)),""))</f>
        <v>178.3</v>
      </c>
      <c r="N1695" s="69"/>
      <c r="O1695" s="27" t="s">
        <v>17</v>
      </c>
      <c r="P1695" s="113">
        <v>200.45</v>
      </c>
      <c r="Q1695" s="113">
        <v>174.9</v>
      </c>
      <c r="R1695" s="113">
        <v>159.56</v>
      </c>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f t="shared" ref="B1696:D1696" si="5249">B1695</f>
        <v>81</v>
      </c>
      <c r="C1696" s="128">
        <f t="shared" si="5249"/>
        <v>1</v>
      </c>
      <c r="D1696" s="127">
        <f t="shared" si="5249"/>
        <v>81</v>
      </c>
      <c r="E1696" s="188">
        <f t="shared" ref="E1696" si="5250">D1695</f>
        <v>81</v>
      </c>
      <c r="F1696" s="92"/>
      <c r="G1696" s="190" t="s">
        <v>1</v>
      </c>
      <c r="H1696" s="193" t="s">
        <v>753</v>
      </c>
      <c r="I1696" s="194"/>
      <c r="J1696" s="195"/>
      <c r="K1696" s="66"/>
      <c r="L1696" s="185"/>
      <c r="M1696" s="187"/>
      <c r="N1696" s="70"/>
      <c r="O1696" s="27" t="s">
        <v>13</v>
      </c>
      <c r="P1696" s="122">
        <v>46196</v>
      </c>
      <c r="Q1696" s="122">
        <v>46196</v>
      </c>
      <c r="R1696" s="122">
        <v>46196</v>
      </c>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f t="shared" ref="B1697:D1697" si="5251">B1696</f>
        <v>81</v>
      </c>
      <c r="C1697" s="128">
        <f t="shared" si="5251"/>
        <v>1</v>
      </c>
      <c r="D1697" s="127">
        <f t="shared" si="5251"/>
        <v>81</v>
      </c>
      <c r="E1697" s="189"/>
      <c r="F1697" s="93"/>
      <c r="G1697" s="191"/>
      <c r="H1697" s="196"/>
      <c r="I1697" s="196"/>
      <c r="J1697" s="197"/>
      <c r="K1697" s="64"/>
      <c r="L1697" s="130" t="s">
        <v>44</v>
      </c>
      <c r="M1697" s="131">
        <v>6</v>
      </c>
      <c r="N1697" s="71"/>
      <c r="O1697" s="27" t="s">
        <v>380</v>
      </c>
      <c r="P1697" s="114" t="s">
        <v>302</v>
      </c>
      <c r="Q1697" s="114" t="s">
        <v>302</v>
      </c>
      <c r="R1697" s="114" t="s">
        <v>302</v>
      </c>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f t="shared" ref="B1698:C1698" si="5252">B1697</f>
        <v>81</v>
      </c>
      <c r="C1698" s="128">
        <f t="shared" si="5252"/>
        <v>1</v>
      </c>
      <c r="D1698" s="127">
        <f t="shared" si="5198"/>
        <v>81</v>
      </c>
      <c r="E1698" s="38" t="s">
        <v>313</v>
      </c>
      <c r="F1698" s="93"/>
      <c r="G1698" s="192"/>
      <c r="H1698" s="198"/>
      <c r="I1698" s="198"/>
      <c r="J1698" s="199"/>
      <c r="K1698" s="64"/>
      <c r="L1698" s="1" t="s">
        <v>2</v>
      </c>
      <c r="M1698" s="6" t="s">
        <v>288</v>
      </c>
      <c r="N1698" s="71"/>
      <c r="O1698" s="27" t="s">
        <v>381</v>
      </c>
      <c r="P1698" s="182" t="s">
        <v>754</v>
      </c>
      <c r="Q1698" s="182" t="s">
        <v>755</v>
      </c>
      <c r="R1698" s="182" t="s">
        <v>756</v>
      </c>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f t="shared" ref="B1699:C1699" si="5253">B1697</f>
        <v>81</v>
      </c>
      <c r="C1699" s="128">
        <f t="shared" si="5253"/>
        <v>1</v>
      </c>
      <c r="D1699" s="127">
        <f t="shared" si="5198"/>
        <v>81</v>
      </c>
      <c r="E1699" s="200">
        <f t="shared" ref="E1699" si="5254">C1695</f>
        <v>1</v>
      </c>
      <c r="F1699" s="93"/>
      <c r="G1699" s="202" t="s">
        <v>304</v>
      </c>
      <c r="H1699" s="204"/>
      <c r="I1699" s="205"/>
      <c r="J1699" s="205"/>
      <c r="K1699" s="67"/>
      <c r="L1699" s="28" t="s">
        <v>303</v>
      </c>
      <c r="M1699" s="133">
        <f t="shared" ref="M1699" si="5255">IFERROR(INDEX(I1701:I1713,MATCH(MAX(J1701:J1713),J1701:J1713,0)),"")</f>
        <v>9.4590737807002861E-2</v>
      </c>
      <c r="N1699" s="71"/>
      <c r="O1699" s="27" t="s">
        <v>18</v>
      </c>
      <c r="P1699" s="106">
        <f>IF(P1695="","",
IF(OR(P1697="Orçamento",P1696="",MAX('Tabela de Apoio'!$A:$A)&lt;=P1696),
P1695,
(INDEX('Tabela de Apoio'!$B:$B,MATCH('MAPA DE PREÇOS'!$O$8,'Tabela de Apoio'!$A:$A,1))/INDEX('Tabela de Apoio'!$B:$B,MATCH('MAPA DE PREÇOS'!P1696,'Tabela de Apoio'!$A:$A,1)-1))*P1695))</f>
        <v>200.45</v>
      </c>
      <c r="Q1699" s="106">
        <f>IF(Q1695="","",
IF(OR(Q1697="Orçamento",Q1696="",MAX('Tabela de Apoio'!$A:$A)&lt;=Q1696),
Q1695,
(INDEX('Tabela de Apoio'!$B:$B,MATCH('MAPA DE PREÇOS'!$O$8,'Tabela de Apoio'!$A:$A,1))/INDEX('Tabela de Apoio'!$B:$B,MATCH('MAPA DE PREÇOS'!Q1696,'Tabela de Apoio'!$A:$A,1)-1))*Q1695))</f>
        <v>174.9</v>
      </c>
      <c r="R1699" s="106">
        <f>IF(R1695="","",
IF(OR(R1697="Orçamento",R1696="",MAX('Tabela de Apoio'!$A:$A)&lt;=R1696),
R1695,
(INDEX('Tabela de Apoio'!$B:$B,MATCH('MAPA DE PREÇOS'!$O$8,'Tabela de Apoio'!$A:$A,1))/INDEX('Tabela de Apoio'!$B:$B,MATCH('MAPA DE PREÇOS'!R1696,'Tabela de Apoio'!$A:$A,1)-1))*R1695))</f>
        <v>159.56</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f t="shared" ref="B1700" si="5256">B1699</f>
        <v>81</v>
      </c>
      <c r="C1700" s="128">
        <f t="shared" ref="C1700" si="5257">C1699</f>
        <v>1</v>
      </c>
      <c r="D1700" s="127">
        <f t="shared" si="5198"/>
        <v>81</v>
      </c>
      <c r="E1700" s="201"/>
      <c r="F1700" s="93"/>
      <c r="G1700" s="203"/>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f t="shared" ref="B1701:C1701" si="5258">B1700</f>
        <v>81</v>
      </c>
      <c r="C1701" s="128">
        <f t="shared" si="5258"/>
        <v>1</v>
      </c>
      <c r="D1701" s="127">
        <f t="shared" si="5198"/>
        <v>81</v>
      </c>
      <c r="E1701" s="201"/>
      <c r="F1701" s="93"/>
      <c r="G1701" s="203"/>
      <c r="H1701" s="134">
        <f t="shared" ref="H1701" si="5259">COUNT($P1701:$XX1701)</f>
        <v>3</v>
      </c>
      <c r="I1701" s="132">
        <f t="shared" ref="I1701" si="5260">_xlfn.STDEV.P($P1700:$XX1701)/AVERAGE($P1700:$XX1701)</f>
        <v>9.4590737807002861E-2</v>
      </c>
      <c r="J1701" s="7">
        <f>ROW()</f>
        <v>1701</v>
      </c>
      <c r="K1701" s="67"/>
      <c r="L1701" s="29" t="s">
        <v>10</v>
      </c>
      <c r="M1701" s="30">
        <f t="shared" ref="M1701" si="5261">IFERROR(
IF(COUNTA(P1695:AI1695)=COUNTIF(P1697:XX1697,"Orçamento"),MIN(M1706,M1703),
IF(M1704&lt;&gt;"",M1704,
IF(M1705&lt;&gt;"",M1705,
M1703
))),"")</f>
        <v>178.30333333333337</v>
      </c>
      <c r="N1701" s="71"/>
      <c r="O1701" s="27" t="s">
        <v>376</v>
      </c>
      <c r="P1701" s="106">
        <f t="shared" ref="P1701:AI1701" si="5262">IFERROR(IF(P1699="",
            "",
            IF(COUNT($P1699:$XX1699)&lt;=4,
               P1699,
               IF(OR(P1699&gt;(QUARTILE($P1699:$XX1699,3)+(QUARTILE($P1699:$XX1699,3)-QUARTILE($P1699:$XX1699,1))),
                     P1699&lt;(QUARTILE($P1699:$XX1699,1)-(QUARTILE($P1699:$XX1699,3)-QUARTILE($P1699:$XX1699,1)))
                  ),
               "DESCARTADO",P1699)
             )
  ),P1699)</f>
        <v>200.45</v>
      </c>
      <c r="Q1701" s="106">
        <f t="shared" si="5262"/>
        <v>174.9</v>
      </c>
      <c r="R1701" s="106">
        <f t="shared" si="5262"/>
        <v>159.56</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f t="shared" ref="B1702" si="5263">B1701</f>
        <v>81</v>
      </c>
      <c r="C1702" s="128">
        <f t="shared" ref="C1702" si="5264">C1701</f>
        <v>1</v>
      </c>
      <c r="D1702" s="127">
        <f t="shared" si="5198"/>
        <v>81</v>
      </c>
      <c r="E1702" s="201"/>
      <c r="F1702" s="93"/>
      <c r="G1702" s="203"/>
      <c r="H1702"/>
      <c r="I1702"/>
      <c r="J1702"/>
      <c r="K1702" s="66"/>
      <c r="L1702" s="29" t="s">
        <v>360</v>
      </c>
      <c r="M1702" s="30">
        <f t="shared" ref="M1702" si="5265">AVERAGE($P1701:$XX1701)</f>
        <v>178.30333333333337</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f t="shared" si="5197"/>
        <v>81</v>
      </c>
      <c r="C1703" s="128">
        <f t="shared" si="5198"/>
        <v>1</v>
      </c>
      <c r="D1703" s="127">
        <f t="shared" si="5198"/>
        <v>81</v>
      </c>
      <c r="E1703" s="201"/>
      <c r="F1703" s="93"/>
      <c r="G1703" s="203"/>
      <c r="H1703" s="134">
        <f t="shared" ref="H1703" si="5267">COUNT($P1703:$XX1703)</f>
        <v>3</v>
      </c>
      <c r="I1703" s="132">
        <f t="shared" ref="I1703" si="5268">_xlfn.STDEV.P($P1702:$XX1703)/AVERAGE($P1702:$XX1703)</f>
        <v>9.4590737807002861E-2</v>
      </c>
      <c r="J1703" s="7">
        <f t="shared" ref="J1703" si="5269">IF(AND(H1703&gt;2,
OR(L1695="MÉDIA SANEADA",L1695="MEDIANA SANEADA",
AND(L1695="PREÇO ESTIMADO",NOT(AND(P1697="Orçamento",COUNTA(P1695:XX1695)=COUNTIF(P1697:XX1697,"Orçamento")))))),
ROW(),0)</f>
        <v>1703</v>
      </c>
      <c r="K1703" s="66"/>
      <c r="L1703" s="29" t="s">
        <v>361</v>
      </c>
      <c r="M1703" s="30">
        <f t="shared" ref="M1703" si="5270">MEDIAN($P1701:$XX1701)</f>
        <v>174.9</v>
      </c>
      <c r="N1703" s="71"/>
      <c r="O1703" s="27" t="str">
        <f t="shared" ref="O1703" si="5271">"1 RODADA"</f>
        <v>1 RODADA</v>
      </c>
      <c r="P1703" s="107">
        <f t="shared" ref="P1703:AI1703" si="5272">IF(P1701="","",IF((_xlfn.STDEV.P($P1700:$XX1701)/AVERAGE($P1700:$XX1701))&lt;=25%,P1701,IF(OR(P1701&gt;(AVERAGE($P1700:$XX1701)+_xlfn.STDEV.P($P1700:$XX1701)),P1701&lt;(AVERAGE($P1700:$XX1701)-_xlfn.STDEV.P($P1700:$XX1701))),"DESCARTADO",P1701)))</f>
        <v>200.45</v>
      </c>
      <c r="Q1703" s="107">
        <f t="shared" si="5272"/>
        <v>174.9</v>
      </c>
      <c r="R1703" s="107">
        <f t="shared" si="5272"/>
        <v>159.56</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f t="shared" si="5197"/>
        <v>81</v>
      </c>
      <c r="C1704" s="128">
        <f t="shared" si="5198"/>
        <v>1</v>
      </c>
      <c r="D1704" s="127">
        <f t="shared" si="5198"/>
        <v>81</v>
      </c>
      <c r="E1704" s="201"/>
      <c r="F1704" s="93"/>
      <c r="G1704" s="203"/>
      <c r="H1704"/>
      <c r="I1704"/>
      <c r="J1704"/>
      <c r="L1704" s="29" t="s">
        <v>38</v>
      </c>
      <c r="M1704" s="30">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178.30333333333337</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f t="shared" si="5197"/>
        <v>81</v>
      </c>
      <c r="C1705" s="128">
        <f t="shared" si="5198"/>
        <v>1</v>
      </c>
      <c r="D1705" s="127">
        <f t="shared" si="5198"/>
        <v>81</v>
      </c>
      <c r="E1705" s="201"/>
      <c r="F1705" s="93"/>
      <c r="G1705" s="203"/>
      <c r="H1705" s="134">
        <f t="shared" ref="H1705" si="5275">COUNT($P1705:$XX1705)</f>
        <v>3</v>
      </c>
      <c r="I1705" s="132">
        <f t="shared" ref="I1705" si="5276">_xlfn.STDEV.P($P1704:$XX1705)/AVERAGE($P1704:$XX1705)</f>
        <v>9.4590737807002861E-2</v>
      </c>
      <c r="J1705" s="7">
        <f t="shared" ref="J1705" si="5277">IF(AND(H1705&gt;2,
OR(L1695="MÉDIA SANEADA",L1695="MEDIANA SANEADA",
AND(L1695="PREÇO ESTIMADO",NOT(AND(P1697="Orçamento",COUNTA(P1695:XX1695)=COUNTIF(P1697:XX1697,"Orçamento")))))),
ROW(),0)</f>
        <v>1705</v>
      </c>
      <c r="K1705" s="66"/>
      <c r="L1705" s="29" t="s">
        <v>362</v>
      </c>
      <c r="M1705" s="30">
        <f t="shared" ref="M1705" si="5278" xml:space="preserve">
IF(H1703&gt;2,MEDIAN(P1702:XX1703),
IF(H1705&gt;2,MEDIAN(P1704:XX1705),
IF(H1707&gt;2,MEDIAN(P1706:XX1707),
IF(H1709&gt;2,MEDIAN(P1708:XX1709),
IF(H1711&gt;2,MEDIAN(P1710:XX1711),
IF(H1713&gt;2,MEDIAN(P1712:XX1713),
MEDIAN(P1700:XX1701)))))))</f>
        <v>174.9</v>
      </c>
      <c r="N1705" s="71"/>
      <c r="O1705" s="27" t="str">
        <f t="shared" ref="O1705" si="5279">"2 RODADA"</f>
        <v>2 RODADA</v>
      </c>
      <c r="P1705" s="107">
        <f t="shared" ref="P1705:AI1705" si="5280">IF(P1703="","",IF((_xlfn.STDEV.P($P1702:$XX1703)/AVERAGE($P1702:$XX1703))&lt;=25%,P1703,IF(OR(P1703&gt;(AVERAGE($P1702:$XX1703)+_xlfn.STDEV.P($P1702:$XX1703)),P1703&lt;(AVERAGE($P1702:$XX1703)-_xlfn.STDEV.P($P1702:$XX1703))),"DESCARTADO",P1703)))</f>
        <v>200.45</v>
      </c>
      <c r="Q1705" s="107">
        <f t="shared" si="5280"/>
        <v>174.9</v>
      </c>
      <c r="R1705" s="107">
        <f t="shared" si="5280"/>
        <v>159.56</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f t="shared" si="5197"/>
        <v>81</v>
      </c>
      <c r="C1706" s="128">
        <f t="shared" si="5198"/>
        <v>1</v>
      </c>
      <c r="D1706" s="127">
        <f t="shared" si="5198"/>
        <v>81</v>
      </c>
      <c r="E1706" s="201"/>
      <c r="F1706" s="93"/>
      <c r="G1706" s="203"/>
      <c r="H1706"/>
      <c r="I1706"/>
      <c r="J1706"/>
      <c r="K1706" s="66"/>
      <c r="L1706" s="29" t="s">
        <v>359</v>
      </c>
      <c r="M1706" s="30">
        <f t="shared" ref="M1706" si="5281">HARMEAN($P1700:$XX1701)</f>
        <v>176.74544779469258</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f t="shared" si="5197"/>
        <v>81</v>
      </c>
      <c r="C1707" s="128">
        <f t="shared" si="5198"/>
        <v>1</v>
      </c>
      <c r="D1707" s="127">
        <f t="shared" si="5198"/>
        <v>81</v>
      </c>
      <c r="E1707" s="201"/>
      <c r="F1707" s="93"/>
      <c r="G1707" s="203"/>
      <c r="H1707" s="134">
        <f t="shared" ref="H1707" si="5283">COUNT($P1707:$XX1707)</f>
        <v>3</v>
      </c>
      <c r="I1707" s="132">
        <f t="shared" ref="I1707" si="5284">_xlfn.STDEV.P($P1706:$XX1707)/AVERAGE($P1706:$XX1707)</f>
        <v>9.4590737807002861E-2</v>
      </c>
      <c r="J1707" s="7">
        <f t="shared" ref="J1707" si="5285">IF(AND(H1707&gt;2,
OR(L1695="MÉDIA SANEADA",L1695="MEDIANA SANEADA",
AND(L1695="PREÇO ESTIMADO",NOT(AND(P1697="Orçamento",COUNTA(P1695:XX1695)=COUNTIF(P1697:XX1697,"Orçamento")))))),
ROW(),0)</f>
        <v>1707</v>
      </c>
      <c r="K1707" s="66"/>
      <c r="L1707" s="29" t="s">
        <v>41</v>
      </c>
      <c r="M1707" s="30">
        <f t="shared" ref="M1707" si="5286">IFERROR(_xlfn.QUARTILE.EXC($P1701:$XX1701,1),"")</f>
        <v>159.56</v>
      </c>
      <c r="N1707" s="71"/>
      <c r="O1707" s="27" t="str">
        <f t="shared" ref="O1707" si="5287">"3 RODADA"</f>
        <v>3 RODADA</v>
      </c>
      <c r="P1707" s="107">
        <f t="shared" ref="P1707:AI1707" si="5288">IF(P1705="","",IF((_xlfn.STDEV.P($P1704:$XX1705)/AVERAGE($P1704:$XX1705))&lt;=25%,P1705,IF(OR(P1705&gt;(AVERAGE($P1704:$XX1705)+_xlfn.STDEV.P($P1704:$XX1705)),P1705&lt;(AVERAGE($P1704:$XX1705)-_xlfn.STDEV.P($P1704:$XX1705))),"DESCARTADO",P1705)))</f>
        <v>200.45</v>
      </c>
      <c r="Q1707" s="107">
        <f t="shared" si="5288"/>
        <v>174.9</v>
      </c>
      <c r="R1707" s="107">
        <f t="shared" si="5288"/>
        <v>159.56</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f t="shared" si="5197"/>
        <v>81</v>
      </c>
      <c r="C1708" s="128">
        <f t="shared" si="5198"/>
        <v>1</v>
      </c>
      <c r="D1708" s="127">
        <f t="shared" si="5198"/>
        <v>81</v>
      </c>
      <c r="E1708" s="201"/>
      <c r="F1708" s="93"/>
      <c r="G1708" s="203"/>
      <c r="H1708"/>
      <c r="I1708"/>
      <c r="J1708"/>
      <c r="K1708" s="66"/>
      <c r="L1708" s="29" t="s">
        <v>39</v>
      </c>
      <c r="M1708" s="30">
        <f t="shared" ref="M1708" si="5289">IFERROR(_xlfn.QUARTILE.EXC($P1701:$XX1701,3),"")</f>
        <v>200.45</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f t="shared" si="5197"/>
        <v>81</v>
      </c>
      <c r="C1709" s="128">
        <f t="shared" si="5198"/>
        <v>1</v>
      </c>
      <c r="D1709" s="127">
        <f t="shared" si="5198"/>
        <v>81</v>
      </c>
      <c r="E1709" s="201"/>
      <c r="F1709" s="93"/>
      <c r="G1709" s="203"/>
      <c r="H1709" s="134">
        <f t="shared" ref="H1709" si="5291">COUNT($P1709:$XX1709)</f>
        <v>3</v>
      </c>
      <c r="I1709" s="132">
        <f t="shared" ref="I1709" si="5292">_xlfn.STDEV.P($P1708:$XX1709)/AVERAGE($P1708:$XX1709)</f>
        <v>9.4590737807002861E-2</v>
      </c>
      <c r="J1709" s="7">
        <f t="shared" ref="J1709" si="5293">IF(AND(H1709&gt;2,
OR(L1695="MÉDIA SANEADA",L1695="MEDIANA SANEADA",
AND(L1695="PREÇO ESTIMADO",NOT(AND(P1697="Orçamento",COUNTA(P1695:XX1695)=COUNTIF(P1697:XX1697,"Orçamento")))))),
ROW(),0)</f>
        <v>1709</v>
      </c>
      <c r="K1709" s="66"/>
      <c r="L1709" s="29" t="s">
        <v>42</v>
      </c>
      <c r="M1709" s="30">
        <f t="shared" ref="M1709" si="5294">MIN($P1701:$XX1701)</f>
        <v>159.56</v>
      </c>
      <c r="N1709" s="71"/>
      <c r="O1709" s="27" t="str">
        <f t="shared" ref="O1709" si="5295">"4 RODADA"</f>
        <v>4 RODADA</v>
      </c>
      <c r="P1709" s="107">
        <f t="shared" ref="P1709:AI1709" si="5296">IF(P1707="","",IF((_xlfn.STDEV.P($P1706:$XX1707)/AVERAGE($P1706:$XX1707))&lt;=25%,P1707,IF(OR(P1707&gt;(AVERAGE($P1706:$XX1707)+_xlfn.STDEV.P($P1706:$XX1707)),P1707&lt;(AVERAGE($P1706:$XX1707)-_xlfn.STDEV.P($P1706:$XX1707))),"DESCARTADO",P1707)))</f>
        <v>200.45</v>
      </c>
      <c r="Q1709" s="107">
        <f t="shared" si="5296"/>
        <v>174.9</v>
      </c>
      <c r="R1709" s="107">
        <f t="shared" si="5296"/>
        <v>159.56</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f t="shared" si="5197"/>
        <v>81</v>
      </c>
      <c r="C1710" s="128">
        <f t="shared" si="5198"/>
        <v>1</v>
      </c>
      <c r="D1710" s="127">
        <f t="shared" si="5198"/>
        <v>81</v>
      </c>
      <c r="E1710" s="201"/>
      <c r="F1710" s="93"/>
      <c r="G1710" s="203"/>
      <c r="H1710"/>
      <c r="I1710"/>
      <c r="J1710"/>
      <c r="K1710" s="66"/>
      <c r="L1710" s="29" t="s">
        <v>40</v>
      </c>
      <c r="M1710" s="30">
        <f t="shared" ref="M1710" si="5297">MAX($P1701:$XX1701)</f>
        <v>200.45</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f t="shared" si="5197"/>
        <v>81</v>
      </c>
      <c r="C1711" s="128">
        <f t="shared" si="5198"/>
        <v>1</v>
      </c>
      <c r="D1711" s="127">
        <f t="shared" si="5198"/>
        <v>81</v>
      </c>
      <c r="E1711" s="201"/>
      <c r="F1711" s="93"/>
      <c r="G1711" s="203"/>
      <c r="H1711" s="134">
        <f t="shared" ref="H1711" si="5299">COUNT($P1711:$XX1711)</f>
        <v>3</v>
      </c>
      <c r="I1711" s="132">
        <f t="shared" ref="I1711" si="5300">_xlfn.STDEV.P($P1710:$XX1711)/AVERAGE($P1710:$XX1711)</f>
        <v>9.4590737807002861E-2</v>
      </c>
      <c r="J1711" s="7">
        <f t="shared" ref="J1711" si="5301">IF(AND(H1711&gt;2,
OR(L1695="MÉDIA SANEADA",L1695="MEDIANA SANEADA",
AND(L1695="PREÇO ESTIMADO",NOT(AND(P1697="Orçamento",COUNTA(P1695:XX1695)=COUNTIF(P1697:XX1697,"Orçamento")))))),
ROW(),0)</f>
        <v>1711</v>
      </c>
      <c r="K1711" s="66"/>
      <c r="N1711" s="71"/>
      <c r="O1711" s="27" t="str">
        <f t="shared" ref="O1711" si="5302">"5 RODADA"</f>
        <v>5 RODADA</v>
      </c>
      <c r="P1711" s="107">
        <f t="shared" ref="P1711:AI1711" si="5303">IF(P1709="","",IF((_xlfn.STDEV.P($P1708:$XX1709)/AVERAGE($P1708:$XX1709))&lt;=25%,P1709,IF(OR(P1709&gt;(AVERAGE($P1708:$XX1709)+_xlfn.STDEV.P($P1708:$XX1709)),P1709&lt;(AVERAGE($P1708:$XX1709)-_xlfn.STDEV.P($P1708:$XX1709))),"DESCARTADO",P1709)))</f>
        <v>200.45</v>
      </c>
      <c r="Q1711" s="107">
        <f t="shared" si="5303"/>
        <v>174.9</v>
      </c>
      <c r="R1711" s="107">
        <f t="shared" si="5303"/>
        <v>159.56</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f t="shared" si="5197"/>
        <v>81</v>
      </c>
      <c r="C1712" s="128">
        <f t="shared" si="5198"/>
        <v>1</v>
      </c>
      <c r="D1712" s="127">
        <f t="shared" si="5198"/>
        <v>81</v>
      </c>
      <c r="E1712" s="201"/>
      <c r="F1712" s="93"/>
      <c r="G1712" s="203"/>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f t="shared" si="5197"/>
        <v>81</v>
      </c>
      <c r="C1713" s="128">
        <f t="shared" si="5198"/>
        <v>1</v>
      </c>
      <c r="D1713" s="127">
        <f t="shared" si="5198"/>
        <v>81</v>
      </c>
      <c r="E1713" s="201"/>
      <c r="F1713" s="93"/>
      <c r="G1713" s="203"/>
      <c r="H1713" s="134">
        <f t="shared" ref="H1713" si="5305">COUNT($P1713:$XX1713)</f>
        <v>3</v>
      </c>
      <c r="I1713" s="132">
        <f t="shared" ref="I1713" si="5306">_xlfn.STDEV.P($P1712:$XX1713)/AVERAGE($P1712:$XX1713)</f>
        <v>9.4590737807002861E-2</v>
      </c>
      <c r="J1713" s="7">
        <f t="shared" ref="J1713" si="5307">IF(AND(H1713&gt;2,
OR(L1695="MÉDIA SANEADA",L1695="MEDIANA SANEADA",
AND(L1695="PREÇO ESTIMADO",NOT(AND(P1697="Orçamento",COUNTA(P1695:XX1695)=COUNTIF(P1697:XX1697,"Orçamento")))))),
ROW(),0)</f>
        <v>1713</v>
      </c>
      <c r="N1713" s="71"/>
      <c r="O1713" s="27" t="str">
        <f t="shared" ref="O1713" si="5308">"6 RODADA"</f>
        <v>6 RODADA</v>
      </c>
      <c r="P1713" s="107">
        <f t="shared" ref="P1713:AI1713" si="5309">IFERROR(IF(P1711="","",IF((_xlfn.STDEV.P($P1710:$XX1711)/AVERAGE($P1710:$XX1711))&lt;=25%,P1711,IF(OR(P1711&gt;(AVERAGE($P1710:$XX1711)+_xlfn.STDEV.P($P1710:$XX1711)),P1711&lt;(AVERAGE($P1710:$XX1711)-_xlfn.STDEV.P($P1710:$XX1711))),"DESCARTADO",P1711))),)</f>
        <v>200.45</v>
      </c>
      <c r="Q1713" s="107">
        <f t="shared" si="5309"/>
        <v>174.9</v>
      </c>
      <c r="R1713" s="107">
        <f t="shared" si="5309"/>
        <v>159.56</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f t="shared" si="5197"/>
        <v>81</v>
      </c>
      <c r="C1714" s="128">
        <f t="shared" si="5198"/>
        <v>1</v>
      </c>
      <c r="D1714" s="127">
        <f t="shared" si="5198"/>
        <v>81</v>
      </c>
      <c r="E1714" s="201"/>
      <c r="F1714" s="136"/>
      <c r="G1714" s="203"/>
      <c r="H1714" s="206"/>
      <c r="I1714" s="206"/>
      <c r="J1714" s="207"/>
      <c r="K1714" s="67"/>
      <c r="L1714" s="1" t="s">
        <v>43</v>
      </c>
      <c r="M1714" s="143">
        <f t="shared" ref="M1714" si="5310">IFERROR(ROUND(M1695*M1697,2),"")</f>
        <v>1069.8</v>
      </c>
      <c r="O1714" s="27" t="s">
        <v>363</v>
      </c>
      <c r="P1714" s="107">
        <f t="shared" ref="P1714:R1714" si="5311">INDEX(P1701:P1713,MATCH(MAX($J1701:$J1713),$J1701:$J1713,0))</f>
        <v>200.45</v>
      </c>
      <c r="Q1714" s="107">
        <f t="shared" si="5311"/>
        <v>174.9</v>
      </c>
      <c r="R1714" s="107">
        <f t="shared" si="5311"/>
        <v>159.56</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f t="shared" ref="B1716" si="5312">LARGE(IFERROR(IF(B1714+1&gt;$H$8,"",B1714+1),""),1)</f>
        <v>82</v>
      </c>
      <c r="C1716" s="127">
        <f>IF(_xlfn.ISFORMULA(E1720),MAX(INDEX('BASE FORMAÇÃO'!A:A,B1716+1),1),E1720)</f>
        <v>1</v>
      </c>
      <c r="D1716" s="127">
        <f t="shared" ref="D1716" si="5313">IFERROR(IF(C1716=C1706,D1706+1,1),1)</f>
        <v>82</v>
      </c>
      <c r="E1716" s="38" t="s">
        <v>9</v>
      </c>
      <c r="F1716" s="73"/>
      <c r="G1716" s="38" t="s">
        <v>15</v>
      </c>
      <c r="H1716" s="135">
        <f>INDEX('BASE FORMAÇÃO'!B:B,B1716+1)</f>
        <v>0</v>
      </c>
      <c r="I1716" s="181" t="s">
        <v>16</v>
      </c>
      <c r="J1716" s="6">
        <f>INDEX('BASE FORMAÇÃO'!K:K,B1716+1)</f>
        <v>0</v>
      </c>
      <c r="K1716" s="65"/>
      <c r="L1716" s="184" t="s">
        <v>10</v>
      </c>
      <c r="M1716" s="186">
        <f t="shared" ref="M1716" si="5314">IF(OR(ISBLANK($O$8),ISBLANK($O$7),ISBLANK($H$8),ISBLANK($O$6),ISBLANK($O$5),ISBLANK($H$5)),"",IFERROR(IF(VLOOKUP(L1716,L1722:M1731,2,FALSE)&lt;1,ROUND(VLOOKUP(L1716,L1722:M1731,2,FALSE),4),ROUND(VLOOKUP(L1716,L1722:M1731,2,FALSE),2)),""))</f>
        <v>13.8</v>
      </c>
      <c r="N1716" s="69"/>
      <c r="O1716" s="27" t="s">
        <v>17</v>
      </c>
      <c r="P1716" s="113">
        <v>13.53</v>
      </c>
      <c r="Q1716" s="113">
        <v>22.61</v>
      </c>
      <c r="R1716" s="113">
        <v>13.8</v>
      </c>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f t="shared" ref="B1717:D1717" si="5315">B1716</f>
        <v>82</v>
      </c>
      <c r="C1717" s="128">
        <f t="shared" si="5315"/>
        <v>1</v>
      </c>
      <c r="D1717" s="127">
        <f t="shared" si="5315"/>
        <v>82</v>
      </c>
      <c r="E1717" s="188">
        <f t="shared" ref="E1717" si="5316">D1716</f>
        <v>82</v>
      </c>
      <c r="F1717" s="92"/>
      <c r="G1717" s="190" t="s">
        <v>1</v>
      </c>
      <c r="H1717" s="193" t="s">
        <v>757</v>
      </c>
      <c r="I1717" s="194"/>
      <c r="J1717" s="195"/>
      <c r="K1717" s="66"/>
      <c r="L1717" s="185"/>
      <c r="M1717" s="187"/>
      <c r="N1717" s="70"/>
      <c r="O1717" s="27" t="s">
        <v>13</v>
      </c>
      <c r="P1717" s="122">
        <v>46196</v>
      </c>
      <c r="Q1717" s="122">
        <v>46196</v>
      </c>
      <c r="R1717" s="122">
        <v>46196</v>
      </c>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f t="shared" ref="B1718:D1718" si="5317">B1717</f>
        <v>82</v>
      </c>
      <c r="C1718" s="128">
        <f t="shared" si="5317"/>
        <v>1</v>
      </c>
      <c r="D1718" s="127">
        <f t="shared" si="5317"/>
        <v>82</v>
      </c>
      <c r="E1718" s="189"/>
      <c r="F1718" s="93"/>
      <c r="G1718" s="191"/>
      <c r="H1718" s="196"/>
      <c r="I1718" s="196"/>
      <c r="J1718" s="197"/>
      <c r="K1718" s="64"/>
      <c r="L1718" s="130" t="s">
        <v>44</v>
      </c>
      <c r="M1718" s="131">
        <v>12</v>
      </c>
      <c r="N1718" s="71"/>
      <c r="O1718" s="27" t="s">
        <v>380</v>
      </c>
      <c r="P1718" s="114" t="s">
        <v>302</v>
      </c>
      <c r="Q1718" s="114" t="s">
        <v>302</v>
      </c>
      <c r="R1718" s="114" t="s">
        <v>302</v>
      </c>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f t="shared" ref="B1719:C1719" si="5318">B1718</f>
        <v>82</v>
      </c>
      <c r="C1719" s="128">
        <f t="shared" si="5318"/>
        <v>1</v>
      </c>
      <c r="D1719" s="127">
        <f t="shared" si="5198"/>
        <v>82</v>
      </c>
      <c r="E1719" s="38" t="s">
        <v>313</v>
      </c>
      <c r="F1719" s="93"/>
      <c r="G1719" s="192"/>
      <c r="H1719" s="198"/>
      <c r="I1719" s="198"/>
      <c r="J1719" s="199"/>
      <c r="K1719" s="64"/>
      <c r="L1719" s="1" t="s">
        <v>2</v>
      </c>
      <c r="M1719" s="6" t="s">
        <v>288</v>
      </c>
      <c r="N1719" s="71"/>
      <c r="O1719" s="27" t="s">
        <v>381</v>
      </c>
      <c r="P1719" s="182" t="s">
        <v>758</v>
      </c>
      <c r="Q1719" s="182" t="s">
        <v>759</v>
      </c>
      <c r="R1719" s="182" t="s">
        <v>760</v>
      </c>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f t="shared" ref="B1720:C1720" si="5319">B1718</f>
        <v>82</v>
      </c>
      <c r="C1720" s="128">
        <f t="shared" si="5319"/>
        <v>1</v>
      </c>
      <c r="D1720" s="127">
        <f t="shared" si="5198"/>
        <v>82</v>
      </c>
      <c r="E1720" s="200">
        <f t="shared" ref="E1720" si="5320">C1716</f>
        <v>1</v>
      </c>
      <c r="F1720" s="93"/>
      <c r="G1720" s="202" t="s">
        <v>304</v>
      </c>
      <c r="H1720" s="204"/>
      <c r="I1720" s="205"/>
      <c r="J1720" s="205"/>
      <c r="K1720" s="67"/>
      <c r="L1720" s="28" t="s">
        <v>303</v>
      </c>
      <c r="M1720" s="133">
        <f t="shared" ref="M1720" si="5321">IFERROR(INDEX(I1722:I1734,MATCH(MAX(J1722:J1734),J1722:J1734,0)),"")</f>
        <v>0.25339330524182929</v>
      </c>
      <c r="N1720" s="71"/>
      <c r="O1720" s="27" t="s">
        <v>18</v>
      </c>
      <c r="P1720" s="106">
        <f>IF(P1716="","",
IF(OR(P1718="Orçamento",P1717="",MAX('Tabela de Apoio'!$A:$A)&lt;=P1717),
P1716,
(INDEX('Tabela de Apoio'!$B:$B,MATCH('MAPA DE PREÇOS'!$O$8,'Tabela de Apoio'!$A:$A,1))/INDEX('Tabela de Apoio'!$B:$B,MATCH('MAPA DE PREÇOS'!P1717,'Tabela de Apoio'!$A:$A,1)-1))*P1716))</f>
        <v>13.53</v>
      </c>
      <c r="Q1720" s="106">
        <f>IF(Q1716="","",
IF(OR(Q1718="Orçamento",Q1717="",MAX('Tabela de Apoio'!$A:$A)&lt;=Q1717),
Q1716,
(INDEX('Tabela de Apoio'!$B:$B,MATCH('MAPA DE PREÇOS'!$O$8,'Tabela de Apoio'!$A:$A,1))/INDEX('Tabela de Apoio'!$B:$B,MATCH('MAPA DE PREÇOS'!Q1717,'Tabela de Apoio'!$A:$A,1)-1))*Q1716))</f>
        <v>22.61</v>
      </c>
      <c r="R1720" s="106">
        <f>IF(R1716="","",
IF(OR(R1718="Orçamento",R1717="",MAX('Tabela de Apoio'!$A:$A)&lt;=R1717),
R1716,
(INDEX('Tabela de Apoio'!$B:$B,MATCH('MAPA DE PREÇOS'!$O$8,'Tabela de Apoio'!$A:$A,1))/INDEX('Tabela de Apoio'!$B:$B,MATCH('MAPA DE PREÇOS'!R1717,'Tabela de Apoio'!$A:$A,1)-1))*R1716))</f>
        <v>13.8</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f t="shared" ref="B1721" si="5322">B1720</f>
        <v>82</v>
      </c>
      <c r="C1721" s="128">
        <f t="shared" ref="C1721" si="5323">C1720</f>
        <v>1</v>
      </c>
      <c r="D1721" s="127">
        <f t="shared" si="5198"/>
        <v>82</v>
      </c>
      <c r="E1721" s="201"/>
      <c r="F1721" s="93"/>
      <c r="G1721" s="203"/>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f t="shared" ref="B1722:C1722" si="5324">B1721</f>
        <v>82</v>
      </c>
      <c r="C1722" s="128">
        <f t="shared" si="5324"/>
        <v>1</v>
      </c>
      <c r="D1722" s="127">
        <f t="shared" si="5198"/>
        <v>82</v>
      </c>
      <c r="E1722" s="201"/>
      <c r="F1722" s="93"/>
      <c r="G1722" s="203"/>
      <c r="H1722" s="134">
        <f t="shared" ref="H1722" si="5325">COUNT($P1722:$XX1722)</f>
        <v>3</v>
      </c>
      <c r="I1722" s="132">
        <f t="shared" ref="I1722" si="5326">_xlfn.STDEV.P($P1721:$XX1722)/AVERAGE($P1721:$XX1722)</f>
        <v>0.25339330524182929</v>
      </c>
      <c r="J1722" s="7">
        <f>ROW()</f>
        <v>1722</v>
      </c>
      <c r="K1722" s="67"/>
      <c r="L1722" s="29" t="s">
        <v>10</v>
      </c>
      <c r="M1722" s="30">
        <f t="shared" ref="M1722" si="5327">IFERROR(
IF(COUNTA(P1716:AI1716)=COUNTIF(P1718:XX1718,"Orçamento"),MIN(M1727,M1724),
IF(M1725&lt;&gt;"",M1725,
IF(M1726&lt;&gt;"",M1726,
M1724
))),"")</f>
        <v>13.8</v>
      </c>
      <c r="N1722" s="71"/>
      <c r="O1722" s="27" t="s">
        <v>376</v>
      </c>
      <c r="P1722" s="106">
        <f t="shared" ref="P1722:AI1722" si="5328">IFERROR(IF(P1720="",
            "",
            IF(COUNT($P1720:$XX1720)&lt;=4,
               P1720,
               IF(OR(P1720&gt;(QUARTILE($P1720:$XX1720,3)+(QUARTILE($P1720:$XX1720,3)-QUARTILE($P1720:$XX1720,1))),
                     P1720&lt;(QUARTILE($P1720:$XX1720,1)-(QUARTILE($P1720:$XX1720,3)-QUARTILE($P1720:$XX1720,1)))
                  ),
               "DESCARTADO",P1720)
             )
  ),P1720)</f>
        <v>13.53</v>
      </c>
      <c r="Q1722" s="106">
        <f t="shared" si="5328"/>
        <v>22.61</v>
      </c>
      <c r="R1722" s="106">
        <f t="shared" si="5328"/>
        <v>13.8</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f t="shared" ref="B1723" si="5329">B1722</f>
        <v>82</v>
      </c>
      <c r="C1723" s="128">
        <f t="shared" ref="C1723" si="5330">C1722</f>
        <v>1</v>
      </c>
      <c r="D1723" s="127">
        <f t="shared" si="5198"/>
        <v>82</v>
      </c>
      <c r="E1723" s="201"/>
      <c r="F1723" s="93"/>
      <c r="G1723" s="203"/>
      <c r="H1723"/>
      <c r="I1723"/>
      <c r="J1723"/>
      <c r="K1723" s="66"/>
      <c r="L1723" s="29" t="s">
        <v>360</v>
      </c>
      <c r="M1723" s="30">
        <f t="shared" ref="M1723" si="5331">AVERAGE($P1722:$XX1722)</f>
        <v>16.646666666666665</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f t="shared" si="5197"/>
        <v>82</v>
      </c>
      <c r="C1724" s="128">
        <f t="shared" si="5198"/>
        <v>1</v>
      </c>
      <c r="D1724" s="127">
        <f t="shared" si="5198"/>
        <v>82</v>
      </c>
      <c r="E1724" s="201"/>
      <c r="F1724" s="93"/>
      <c r="G1724" s="203"/>
      <c r="H1724" s="134">
        <f t="shared" ref="H1724" si="5333">COUNT($P1724:$XX1724)</f>
        <v>2</v>
      </c>
      <c r="I1724" s="132">
        <f t="shared" ref="I1724" si="5334">_xlfn.STDEV.P($P1723:$XX1724)/AVERAGE($P1723:$XX1724)</f>
        <v>9.8792535675082827E-3</v>
      </c>
      <c r="J1724" s="7">
        <f t="shared" ref="J1724" si="5335">IF(AND(H1724&gt;2,
OR(L1716="MÉDIA SANEADA",L1716="MEDIANA SANEADA",
AND(L1716="PREÇO ESTIMADO",NOT(AND(P1718="Orçamento",COUNTA(P1716:XX1716)=COUNTIF(P1718:XX1718,"Orçamento")))))),
ROW(),0)</f>
        <v>0</v>
      </c>
      <c r="K1724" s="66"/>
      <c r="L1724" s="29" t="s">
        <v>361</v>
      </c>
      <c r="M1724" s="30">
        <f t="shared" ref="M1724" si="5336">MEDIAN($P1722:$XX1722)</f>
        <v>13.8</v>
      </c>
      <c r="N1724" s="71"/>
      <c r="O1724" s="27" t="str">
        <f t="shared" ref="O1724" si="5337">"1 RODADA"</f>
        <v>1 RODADA</v>
      </c>
      <c r="P1724" s="107">
        <f t="shared" ref="P1724:AI1724" si="5338">IF(P1722="","",IF((_xlfn.STDEV.P($P1721:$XX1722)/AVERAGE($P1721:$XX1722))&lt;=25%,P1722,IF(OR(P1722&gt;(AVERAGE($P1721:$XX1722)+_xlfn.STDEV.P($P1721:$XX1722)),P1722&lt;(AVERAGE($P1721:$XX1722)-_xlfn.STDEV.P($P1721:$XX1722))),"DESCARTADO",P1722)))</f>
        <v>13.53</v>
      </c>
      <c r="Q1724" s="107" t="str">
        <f t="shared" si="5338"/>
        <v>DESCARTADO</v>
      </c>
      <c r="R1724" s="107">
        <f t="shared" si="5338"/>
        <v>13.8</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f t="shared" si="5197"/>
        <v>82</v>
      </c>
      <c r="C1725" s="128">
        <f t="shared" si="5198"/>
        <v>1</v>
      </c>
      <c r="D1725" s="127">
        <f t="shared" si="5198"/>
        <v>82</v>
      </c>
      <c r="E1725" s="201"/>
      <c r="F1725" s="93"/>
      <c r="G1725" s="203"/>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f t="shared" si="5197"/>
        <v>82</v>
      </c>
      <c r="C1726" s="128">
        <f t="shared" si="5198"/>
        <v>1</v>
      </c>
      <c r="D1726" s="127">
        <f t="shared" si="5198"/>
        <v>82</v>
      </c>
      <c r="E1726" s="201"/>
      <c r="F1726" s="93"/>
      <c r="G1726" s="203"/>
      <c r="H1726" s="134">
        <f t="shared" ref="H1726" si="5341">COUNT($P1726:$XX1726)</f>
        <v>2</v>
      </c>
      <c r="I1726" s="132">
        <f t="shared" ref="I1726" si="5342">_xlfn.STDEV.P($P1725:$XX1726)/AVERAGE($P1725:$XX1726)</f>
        <v>9.8792535675082827E-3</v>
      </c>
      <c r="J1726" s="7">
        <f t="shared" ref="J1726" si="5343">IF(AND(H1726&gt;2,
OR(L1716="MÉDIA SANEADA",L1716="MEDIANA SANEADA",
AND(L1716="PREÇO ESTIMADO",NOT(AND(P1718="Orçamento",COUNTA(P1716:XX1716)=COUNTIF(P1718:XX1718,"Orçamento")))))),
ROW(),0)</f>
        <v>0</v>
      </c>
      <c r="K1726" s="66"/>
      <c r="L1726" s="29" t="s">
        <v>362</v>
      </c>
      <c r="M1726" s="30">
        <f t="shared" ref="M1726" si="5344" xml:space="preserve">
IF(H1724&gt;2,MEDIAN(P1723:XX1724),
IF(H1726&gt;2,MEDIAN(P1725:XX1726),
IF(H1728&gt;2,MEDIAN(P1727:XX1728),
IF(H1730&gt;2,MEDIAN(P1729:XX1730),
IF(H1732&gt;2,MEDIAN(P1731:XX1732),
IF(H1734&gt;2,MEDIAN(P1733:XX1734),
MEDIAN(P1721:XX1722)))))))</f>
        <v>13.8</v>
      </c>
      <c r="N1726" s="71"/>
      <c r="O1726" s="27" t="str">
        <f t="shared" ref="O1726" si="5345">"2 RODADA"</f>
        <v>2 RODADA</v>
      </c>
      <c r="P1726" s="107">
        <f t="shared" ref="P1726:AI1726" si="5346">IF(P1724="","",IF((_xlfn.STDEV.P($P1723:$XX1724)/AVERAGE($P1723:$XX1724))&lt;=25%,P1724,IF(OR(P1724&gt;(AVERAGE($P1723:$XX1724)+_xlfn.STDEV.P($P1723:$XX1724)),P1724&lt;(AVERAGE($P1723:$XX1724)-_xlfn.STDEV.P($P1723:$XX1724))),"DESCARTADO",P1724)))</f>
        <v>13.53</v>
      </c>
      <c r="Q1726" s="107" t="str">
        <f t="shared" si="5346"/>
        <v>DESCARTADO</v>
      </c>
      <c r="R1726" s="107">
        <f t="shared" si="5346"/>
        <v>13.8</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f t="shared" si="5197"/>
        <v>82</v>
      </c>
      <c r="C1727" s="128">
        <f t="shared" si="5198"/>
        <v>1</v>
      </c>
      <c r="D1727" s="127">
        <f t="shared" si="5198"/>
        <v>82</v>
      </c>
      <c r="E1727" s="201"/>
      <c r="F1727" s="93"/>
      <c r="G1727" s="203"/>
      <c r="H1727"/>
      <c r="I1727"/>
      <c r="J1727"/>
      <c r="K1727" s="66"/>
      <c r="L1727" s="29" t="s">
        <v>359</v>
      </c>
      <c r="M1727" s="30">
        <f t="shared" ref="M1727" si="5347">HARMEAN($P1721:$XX1722)</f>
        <v>15.739619208612789</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f t="shared" si="5197"/>
        <v>82</v>
      </c>
      <c r="C1728" s="128">
        <f t="shared" si="5198"/>
        <v>1</v>
      </c>
      <c r="D1728" s="127">
        <f t="shared" si="5198"/>
        <v>82</v>
      </c>
      <c r="E1728" s="201"/>
      <c r="F1728" s="93"/>
      <c r="G1728" s="203"/>
      <c r="H1728" s="134">
        <f t="shared" ref="H1728" si="5349">COUNT($P1728:$XX1728)</f>
        <v>2</v>
      </c>
      <c r="I1728" s="132">
        <f t="shared" ref="I1728" si="5350">_xlfn.STDEV.P($P1727:$XX1728)/AVERAGE($P1727:$XX1728)</f>
        <v>9.8792535675082827E-3</v>
      </c>
      <c r="J1728" s="7">
        <f t="shared" ref="J1728" si="5351">IF(AND(H1728&gt;2,
OR(L1716="MÉDIA SANEADA",L1716="MEDIANA SANEADA",
AND(L1716="PREÇO ESTIMADO",NOT(AND(P1718="Orçamento",COUNTA(P1716:XX1716)=COUNTIF(P1718:XX1718,"Orçamento")))))),
ROW(),0)</f>
        <v>0</v>
      </c>
      <c r="K1728" s="66"/>
      <c r="L1728" s="29" t="s">
        <v>41</v>
      </c>
      <c r="M1728" s="30">
        <f t="shared" ref="M1728" si="5352">IFERROR(_xlfn.QUARTILE.EXC($P1722:$XX1722,1),"")</f>
        <v>13.53</v>
      </c>
      <c r="N1728" s="71"/>
      <c r="O1728" s="27" t="str">
        <f t="shared" ref="O1728" si="5353">"3 RODADA"</f>
        <v>3 RODADA</v>
      </c>
      <c r="P1728" s="107">
        <f t="shared" ref="P1728:AI1728" si="5354">IF(P1726="","",IF((_xlfn.STDEV.P($P1725:$XX1726)/AVERAGE($P1725:$XX1726))&lt;=25%,P1726,IF(OR(P1726&gt;(AVERAGE($P1725:$XX1726)+_xlfn.STDEV.P($P1725:$XX1726)),P1726&lt;(AVERAGE($P1725:$XX1726)-_xlfn.STDEV.P($P1725:$XX1726))),"DESCARTADO",P1726)))</f>
        <v>13.53</v>
      </c>
      <c r="Q1728" s="107" t="str">
        <f t="shared" si="5354"/>
        <v>DESCARTADO</v>
      </c>
      <c r="R1728" s="107">
        <f t="shared" si="5354"/>
        <v>13.8</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f t="shared" si="5197"/>
        <v>82</v>
      </c>
      <c r="C1729" s="128">
        <f t="shared" si="5198"/>
        <v>1</v>
      </c>
      <c r="D1729" s="127">
        <f t="shared" si="5198"/>
        <v>82</v>
      </c>
      <c r="E1729" s="201"/>
      <c r="F1729" s="93"/>
      <c r="G1729" s="203"/>
      <c r="H1729"/>
      <c r="I1729"/>
      <c r="J1729"/>
      <c r="K1729" s="66"/>
      <c r="L1729" s="29" t="s">
        <v>39</v>
      </c>
      <c r="M1729" s="30">
        <f t="shared" ref="M1729" si="5355">IFERROR(_xlfn.QUARTILE.EXC($P1722:$XX1722,3),"")</f>
        <v>22.61</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f t="shared" si="5197"/>
        <v>82</v>
      </c>
      <c r="C1730" s="128">
        <f t="shared" si="5198"/>
        <v>1</v>
      </c>
      <c r="D1730" s="127">
        <f t="shared" si="5198"/>
        <v>82</v>
      </c>
      <c r="E1730" s="201"/>
      <c r="F1730" s="93"/>
      <c r="G1730" s="203"/>
      <c r="H1730" s="134">
        <f t="shared" ref="H1730" si="5357">COUNT($P1730:$XX1730)</f>
        <v>2</v>
      </c>
      <c r="I1730" s="132">
        <f t="shared" ref="I1730" si="5358">_xlfn.STDEV.P($P1729:$XX1730)/AVERAGE($P1729:$XX1730)</f>
        <v>9.8792535675082827E-3</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13.53</v>
      </c>
      <c r="N1730" s="71"/>
      <c r="O1730" s="27" t="str">
        <f t="shared" ref="O1730" si="5361">"4 RODADA"</f>
        <v>4 RODADA</v>
      </c>
      <c r="P1730" s="107">
        <f t="shared" ref="P1730:AI1730" si="5362">IF(P1728="","",IF((_xlfn.STDEV.P($P1727:$XX1728)/AVERAGE($P1727:$XX1728))&lt;=25%,P1728,IF(OR(P1728&gt;(AVERAGE($P1727:$XX1728)+_xlfn.STDEV.P($P1727:$XX1728)),P1728&lt;(AVERAGE($P1727:$XX1728)-_xlfn.STDEV.P($P1727:$XX1728))),"DESCARTADO",P1728)))</f>
        <v>13.53</v>
      </c>
      <c r="Q1730" s="107" t="str">
        <f t="shared" si="5362"/>
        <v>DESCARTADO</v>
      </c>
      <c r="R1730" s="107">
        <f t="shared" si="5362"/>
        <v>13.8</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f t="shared" si="5197"/>
        <v>82</v>
      </c>
      <c r="C1731" s="128">
        <f t="shared" si="5198"/>
        <v>1</v>
      </c>
      <c r="D1731" s="127">
        <f t="shared" si="5198"/>
        <v>82</v>
      </c>
      <c r="E1731" s="201"/>
      <c r="F1731" s="93"/>
      <c r="G1731" s="203"/>
      <c r="H1731"/>
      <c r="I1731"/>
      <c r="J1731"/>
      <c r="K1731" s="66"/>
      <c r="L1731" s="29" t="s">
        <v>40</v>
      </c>
      <c r="M1731" s="30">
        <f t="shared" ref="M1731" si="5363">MAX($P1722:$XX1722)</f>
        <v>22.61</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f t="shared" si="5197"/>
        <v>82</v>
      </c>
      <c r="C1732" s="128">
        <f t="shared" si="5198"/>
        <v>1</v>
      </c>
      <c r="D1732" s="127">
        <f t="shared" si="5198"/>
        <v>82</v>
      </c>
      <c r="E1732" s="201"/>
      <c r="F1732" s="93"/>
      <c r="G1732" s="203"/>
      <c r="H1732" s="134">
        <f t="shared" ref="H1732" si="5365">COUNT($P1732:$XX1732)</f>
        <v>2</v>
      </c>
      <c r="I1732" s="132">
        <f t="shared" ref="I1732" si="5366">_xlfn.STDEV.P($P1731:$XX1732)/AVERAGE($P1731:$XX1732)</f>
        <v>9.8792535675082827E-3</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f t="shared" ref="P1732:AI1732" si="5369">IF(P1730="","",IF((_xlfn.STDEV.P($P1729:$XX1730)/AVERAGE($P1729:$XX1730))&lt;=25%,P1730,IF(OR(P1730&gt;(AVERAGE($P1729:$XX1730)+_xlfn.STDEV.P($P1729:$XX1730)),P1730&lt;(AVERAGE($P1729:$XX1730)-_xlfn.STDEV.P($P1729:$XX1730))),"DESCARTADO",P1730)))</f>
        <v>13.53</v>
      </c>
      <c r="Q1732" s="107" t="str">
        <f t="shared" si="5369"/>
        <v>DESCARTADO</v>
      </c>
      <c r="R1732" s="107">
        <f t="shared" si="5369"/>
        <v>13.8</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f t="shared" si="5197"/>
        <v>82</v>
      </c>
      <c r="C1733" s="128">
        <f t="shared" si="5198"/>
        <v>1</v>
      </c>
      <c r="D1733" s="127">
        <f t="shared" si="5198"/>
        <v>82</v>
      </c>
      <c r="E1733" s="201"/>
      <c r="F1733" s="93"/>
      <c r="G1733" s="203"/>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f t="shared" si="5197"/>
        <v>82</v>
      </c>
      <c r="C1734" s="128">
        <f t="shared" si="5198"/>
        <v>1</v>
      </c>
      <c r="D1734" s="127">
        <f t="shared" si="5198"/>
        <v>82</v>
      </c>
      <c r="E1734" s="201"/>
      <c r="F1734" s="93"/>
      <c r="G1734" s="203"/>
      <c r="H1734" s="134">
        <f t="shared" ref="H1734" si="5371">COUNT($P1734:$XX1734)</f>
        <v>2</v>
      </c>
      <c r="I1734" s="132">
        <f t="shared" ref="I1734" si="5372">_xlfn.STDEV.P($P1733:$XX1734)/AVERAGE($P1733:$XX1734)</f>
        <v>9.8792535675082827E-3</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f t="shared" ref="P1734:AI1734" si="5375">IFERROR(IF(P1732="","",IF((_xlfn.STDEV.P($P1731:$XX1732)/AVERAGE($P1731:$XX1732))&lt;=25%,P1732,IF(OR(P1732&gt;(AVERAGE($P1731:$XX1732)+_xlfn.STDEV.P($P1731:$XX1732)),P1732&lt;(AVERAGE($P1731:$XX1732)-_xlfn.STDEV.P($P1731:$XX1732))),"DESCARTADO",P1732))),)</f>
        <v>13.53</v>
      </c>
      <c r="Q1734" s="107" t="str">
        <f t="shared" si="5375"/>
        <v>DESCARTADO</v>
      </c>
      <c r="R1734" s="107">
        <f t="shared" si="5375"/>
        <v>13.8</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f t="shared" si="5197"/>
        <v>82</v>
      </c>
      <c r="C1735" s="128">
        <f t="shared" si="5198"/>
        <v>1</v>
      </c>
      <c r="D1735" s="127">
        <f t="shared" si="5198"/>
        <v>82</v>
      </c>
      <c r="E1735" s="201"/>
      <c r="F1735" s="136"/>
      <c r="G1735" s="203"/>
      <c r="H1735" s="206"/>
      <c r="I1735" s="206"/>
      <c r="J1735" s="207"/>
      <c r="K1735" s="67"/>
      <c r="L1735" s="1" t="s">
        <v>43</v>
      </c>
      <c r="M1735" s="143">
        <f t="shared" ref="M1735" si="5376">IFERROR(ROUND(M1716*M1718,2),"")</f>
        <v>165.6</v>
      </c>
      <c r="O1735" s="27" t="s">
        <v>363</v>
      </c>
      <c r="P1735" s="107">
        <f t="shared" ref="P1735:AI1756" si="5377">INDEX(P1722:P1734,MATCH(MAX($J1722:$J1734),$J1722:$J1734,0))</f>
        <v>13.53</v>
      </c>
      <c r="Q1735" s="107">
        <f t="shared" si="5377"/>
        <v>22.61</v>
      </c>
      <c r="R1735" s="107">
        <f t="shared" si="5377"/>
        <v>13.8</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f t="shared" ref="B1737" si="5378">LARGE(IFERROR(IF(B1735+1&gt;$H$8,"",B1735+1),""),1)</f>
        <v>83</v>
      </c>
      <c r="C1737" s="127">
        <f>IF(_xlfn.ISFORMULA(E1741),MAX(INDEX('BASE FORMAÇÃO'!A:A,B1737+1),1),E1741)</f>
        <v>1</v>
      </c>
      <c r="D1737" s="127">
        <f t="shared" ref="D1737" si="5379">IFERROR(IF(C1737=C1727,D1727+1,1),1)</f>
        <v>83</v>
      </c>
      <c r="E1737" s="38" t="s">
        <v>9</v>
      </c>
      <c r="F1737" s="73"/>
      <c r="G1737" s="38" t="s">
        <v>15</v>
      </c>
      <c r="H1737" s="135">
        <f>INDEX('BASE FORMAÇÃO'!B:B,B1737+1)</f>
        <v>0</v>
      </c>
      <c r="I1737" s="181" t="s">
        <v>16</v>
      </c>
      <c r="J1737" s="6">
        <f>INDEX('BASE FORMAÇÃO'!K:K,B1737+1)</f>
        <v>0</v>
      </c>
      <c r="K1737" s="65"/>
      <c r="L1737" s="184" t="s">
        <v>10</v>
      </c>
      <c r="M1737" s="186">
        <f t="shared" ref="M1737" si="5380">IF(OR(ISBLANK($O$8),ISBLANK($O$7),ISBLANK($H$8),ISBLANK($O$6),ISBLANK($O$5),ISBLANK($H$5)),"",IFERROR(IF(VLOOKUP(L1737,L1743:M1752,2,FALSE)&lt;1,ROUND(VLOOKUP(L1737,L1743:M1752,2,FALSE),4),ROUND(VLOOKUP(L1737,L1743:M1752,2,FALSE),2)),""))</f>
        <v>59.63</v>
      </c>
      <c r="N1737" s="69"/>
      <c r="O1737" s="27" t="s">
        <v>17</v>
      </c>
      <c r="P1737" s="113">
        <v>53.9</v>
      </c>
      <c r="Q1737" s="113">
        <v>60.49</v>
      </c>
      <c r="R1737" s="113">
        <v>64.5</v>
      </c>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f t="shared" ref="B1738:D1738" si="5381">B1737</f>
        <v>83</v>
      </c>
      <c r="C1738" s="128">
        <f t="shared" si="5381"/>
        <v>1</v>
      </c>
      <c r="D1738" s="127">
        <f t="shared" si="5381"/>
        <v>83</v>
      </c>
      <c r="E1738" s="188">
        <f t="shared" ref="E1738" si="5382">D1737</f>
        <v>83</v>
      </c>
      <c r="F1738" s="92"/>
      <c r="G1738" s="190" t="s">
        <v>1</v>
      </c>
      <c r="H1738" s="193" t="s">
        <v>761</v>
      </c>
      <c r="I1738" s="194"/>
      <c r="J1738" s="195"/>
      <c r="K1738" s="66"/>
      <c r="L1738" s="185"/>
      <c r="M1738" s="187"/>
      <c r="N1738" s="70"/>
      <c r="O1738" s="27" t="s">
        <v>13</v>
      </c>
      <c r="P1738" s="122">
        <v>46196</v>
      </c>
      <c r="Q1738" s="122">
        <v>46196</v>
      </c>
      <c r="R1738" s="122">
        <v>46196</v>
      </c>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f t="shared" ref="B1739:D1739" si="5383">B1738</f>
        <v>83</v>
      </c>
      <c r="C1739" s="128">
        <f t="shared" si="5383"/>
        <v>1</v>
      </c>
      <c r="D1739" s="127">
        <f t="shared" si="5383"/>
        <v>83</v>
      </c>
      <c r="E1739" s="189"/>
      <c r="F1739" s="93"/>
      <c r="G1739" s="191"/>
      <c r="H1739" s="196"/>
      <c r="I1739" s="196"/>
      <c r="J1739" s="197"/>
      <c r="K1739" s="64"/>
      <c r="L1739" s="130" t="s">
        <v>44</v>
      </c>
      <c r="M1739" s="131">
        <v>6</v>
      </c>
      <c r="N1739" s="71"/>
      <c r="O1739" s="27" t="s">
        <v>380</v>
      </c>
      <c r="P1739" s="114" t="s">
        <v>302</v>
      </c>
      <c r="Q1739" s="114" t="s">
        <v>302</v>
      </c>
      <c r="R1739" s="114" t="s">
        <v>302</v>
      </c>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f t="shared" ref="B1740:C1740" si="5384">B1739</f>
        <v>83</v>
      </c>
      <c r="C1740" s="128">
        <f t="shared" si="5384"/>
        <v>1</v>
      </c>
      <c r="D1740" s="127">
        <f t="shared" si="5198"/>
        <v>83</v>
      </c>
      <c r="E1740" s="38" t="s">
        <v>313</v>
      </c>
      <c r="F1740" s="93"/>
      <c r="G1740" s="192"/>
      <c r="H1740" s="198"/>
      <c r="I1740" s="198"/>
      <c r="J1740" s="199"/>
      <c r="K1740" s="64"/>
      <c r="L1740" s="1" t="s">
        <v>2</v>
      </c>
      <c r="M1740" s="6" t="s">
        <v>288</v>
      </c>
      <c r="N1740" s="71"/>
      <c r="O1740" s="27" t="s">
        <v>381</v>
      </c>
      <c r="P1740" s="182" t="s">
        <v>762</v>
      </c>
      <c r="Q1740" s="182" t="s">
        <v>763</v>
      </c>
      <c r="R1740" s="182" t="s">
        <v>764</v>
      </c>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f t="shared" ref="B1741:C1741" si="5385">B1739</f>
        <v>83</v>
      </c>
      <c r="C1741" s="128">
        <f t="shared" si="5385"/>
        <v>1</v>
      </c>
      <c r="D1741" s="127">
        <f t="shared" si="5198"/>
        <v>83</v>
      </c>
      <c r="E1741" s="200">
        <f t="shared" ref="E1741" si="5386">C1737</f>
        <v>1</v>
      </c>
      <c r="F1741" s="93"/>
      <c r="G1741" s="202" t="s">
        <v>304</v>
      </c>
      <c r="H1741" s="204"/>
      <c r="I1741" s="205"/>
      <c r="J1741" s="205"/>
      <c r="K1741" s="67"/>
      <c r="L1741" s="28" t="s">
        <v>303</v>
      </c>
      <c r="M1741" s="133">
        <f t="shared" ref="M1741" si="5387">IFERROR(INDEX(I1743:I1755,MATCH(MAX(J1743:J1755),J1743:J1755,0)),"")</f>
        <v>7.3284427624447687E-2</v>
      </c>
      <c r="N1741" s="71"/>
      <c r="O1741" s="27" t="s">
        <v>18</v>
      </c>
      <c r="P1741" s="106">
        <f>IF(P1737="","",
IF(OR(P1739="Orçamento",P1738="",MAX('Tabela de Apoio'!$A:$A)&lt;=P1738),
P1737,
(INDEX('Tabela de Apoio'!$B:$B,MATCH('MAPA DE PREÇOS'!$O$8,'Tabela de Apoio'!$A:$A,1))/INDEX('Tabela de Apoio'!$B:$B,MATCH('MAPA DE PREÇOS'!P1738,'Tabela de Apoio'!$A:$A,1)-1))*P1737))</f>
        <v>53.9</v>
      </c>
      <c r="Q1741" s="106">
        <f>IF(Q1737="","",
IF(OR(Q1739="Orçamento",Q1738="",MAX('Tabela de Apoio'!$A:$A)&lt;=Q1738),
Q1737,
(INDEX('Tabela de Apoio'!$B:$B,MATCH('MAPA DE PREÇOS'!$O$8,'Tabela de Apoio'!$A:$A,1))/INDEX('Tabela de Apoio'!$B:$B,MATCH('MAPA DE PREÇOS'!Q1738,'Tabela de Apoio'!$A:$A,1)-1))*Q1737))</f>
        <v>60.49</v>
      </c>
      <c r="R1741" s="106">
        <f>IF(R1737="","",
IF(OR(R1739="Orçamento",R1738="",MAX('Tabela de Apoio'!$A:$A)&lt;=R1738),
R1737,
(INDEX('Tabela de Apoio'!$B:$B,MATCH('MAPA DE PREÇOS'!$O$8,'Tabela de Apoio'!$A:$A,1))/INDEX('Tabela de Apoio'!$B:$B,MATCH('MAPA DE PREÇOS'!R1738,'Tabela de Apoio'!$A:$A,1)-1))*R1737))</f>
        <v>64.5</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f t="shared" ref="B1742" si="5388">B1741</f>
        <v>83</v>
      </c>
      <c r="C1742" s="128">
        <f t="shared" ref="C1742" si="5389">C1741</f>
        <v>1</v>
      </c>
      <c r="D1742" s="127">
        <f t="shared" si="5198"/>
        <v>83</v>
      </c>
      <c r="E1742" s="201"/>
      <c r="F1742" s="93"/>
      <c r="G1742" s="203"/>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f t="shared" ref="B1743:C1743" si="5390">B1742</f>
        <v>83</v>
      </c>
      <c r="C1743" s="128">
        <f t="shared" si="5390"/>
        <v>1</v>
      </c>
      <c r="D1743" s="127">
        <f t="shared" si="5198"/>
        <v>83</v>
      </c>
      <c r="E1743" s="201"/>
      <c r="F1743" s="93"/>
      <c r="G1743" s="203"/>
      <c r="H1743" s="134">
        <f t="shared" ref="H1743" si="5391">COUNT($P1743:$XX1743)</f>
        <v>3</v>
      </c>
      <c r="I1743" s="132">
        <f t="shared" ref="I1743" si="5392">_xlfn.STDEV.P($P1742:$XX1743)/AVERAGE($P1742:$XX1743)</f>
        <v>7.3284427624447687E-2</v>
      </c>
      <c r="J1743" s="7">
        <f>ROW()</f>
        <v>1743</v>
      </c>
      <c r="K1743" s="67"/>
      <c r="L1743" s="29" t="s">
        <v>10</v>
      </c>
      <c r="M1743" s="30">
        <f t="shared" ref="M1743" si="5393">IFERROR(
IF(COUNTA(P1737:AI1737)=COUNTIF(P1739:XX1739,"Orçamento"),MIN(M1748,M1745),
IF(M1746&lt;&gt;"",M1746,
IF(M1747&lt;&gt;"",M1747,
M1745
))),"")</f>
        <v>59.629999999999995</v>
      </c>
      <c r="N1743" s="71"/>
      <c r="O1743" s="27" t="s">
        <v>376</v>
      </c>
      <c r="P1743" s="106">
        <f t="shared" ref="P1743:AI1743" si="5394">IFERROR(IF(P1741="",
            "",
            IF(COUNT($P1741:$XX1741)&lt;=4,
               P1741,
               IF(OR(P1741&gt;(QUARTILE($P1741:$XX1741,3)+(QUARTILE($P1741:$XX1741,3)-QUARTILE($P1741:$XX1741,1))),
                     P1741&lt;(QUARTILE($P1741:$XX1741,1)-(QUARTILE($P1741:$XX1741,3)-QUARTILE($P1741:$XX1741,1)))
                  ),
               "DESCARTADO",P1741)
             )
  ),P1741)</f>
        <v>53.9</v>
      </c>
      <c r="Q1743" s="106">
        <f t="shared" si="5394"/>
        <v>60.49</v>
      </c>
      <c r="R1743" s="106">
        <f t="shared" si="5394"/>
        <v>64.5</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f t="shared" ref="B1744:B1798" si="5395">B1743</f>
        <v>83</v>
      </c>
      <c r="C1744" s="128">
        <f t="shared" ref="C1744:D1807" si="5396">C1743</f>
        <v>1</v>
      </c>
      <c r="D1744" s="127">
        <f t="shared" si="5198"/>
        <v>83</v>
      </c>
      <c r="E1744" s="201"/>
      <c r="F1744" s="93"/>
      <c r="G1744" s="203"/>
      <c r="H1744"/>
      <c r="I1744"/>
      <c r="J1744"/>
      <c r="K1744" s="66"/>
      <c r="L1744" s="29" t="s">
        <v>360</v>
      </c>
      <c r="M1744" s="30">
        <f t="shared" ref="M1744" si="5397">AVERAGE($P1743:$XX1743)</f>
        <v>59.629999999999995</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f t="shared" si="5395"/>
        <v>83</v>
      </c>
      <c r="C1745" s="128">
        <f t="shared" si="5396"/>
        <v>1</v>
      </c>
      <c r="D1745" s="127">
        <f t="shared" si="5396"/>
        <v>83</v>
      </c>
      <c r="E1745" s="201"/>
      <c r="F1745" s="93"/>
      <c r="G1745" s="203"/>
      <c r="H1745" s="134">
        <f t="shared" ref="H1745" si="5399">COUNT($P1745:$XX1745)</f>
        <v>3</v>
      </c>
      <c r="I1745" s="132">
        <f t="shared" ref="I1745" si="5400">_xlfn.STDEV.P($P1744:$XX1745)/AVERAGE($P1744:$XX1745)</f>
        <v>7.3284427624447687E-2</v>
      </c>
      <c r="J1745" s="7">
        <f t="shared" ref="J1745" si="5401">IF(AND(H1745&gt;2,
OR(L1737="MÉDIA SANEADA",L1737="MEDIANA SANEADA",
AND(L1737="PREÇO ESTIMADO",NOT(AND(P1739="Orçamento",COUNTA(P1737:XX1737)=COUNTIF(P1739:XX1739,"Orçamento")))))),
ROW(),0)</f>
        <v>1745</v>
      </c>
      <c r="K1745" s="66"/>
      <c r="L1745" s="29" t="s">
        <v>361</v>
      </c>
      <c r="M1745" s="30">
        <f t="shared" ref="M1745" si="5402">MEDIAN($P1743:$XX1743)</f>
        <v>60.49</v>
      </c>
      <c r="N1745" s="71"/>
      <c r="O1745" s="27" t="str">
        <f t="shared" ref="O1745" si="5403">"1 RODADA"</f>
        <v>1 RODADA</v>
      </c>
      <c r="P1745" s="107">
        <f t="shared" ref="P1745:AI1745" si="5404">IF(P1743="","",IF((_xlfn.STDEV.P($P1742:$XX1743)/AVERAGE($P1742:$XX1743))&lt;=25%,P1743,IF(OR(P1743&gt;(AVERAGE($P1742:$XX1743)+_xlfn.STDEV.P($P1742:$XX1743)),P1743&lt;(AVERAGE($P1742:$XX1743)-_xlfn.STDEV.P($P1742:$XX1743))),"DESCARTADO",P1743)))</f>
        <v>53.9</v>
      </c>
      <c r="Q1745" s="107">
        <f t="shared" si="5404"/>
        <v>60.49</v>
      </c>
      <c r="R1745" s="107">
        <f t="shared" si="5404"/>
        <v>64.5</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f t="shared" si="5395"/>
        <v>83</v>
      </c>
      <c r="C1746" s="128">
        <f t="shared" si="5396"/>
        <v>1</v>
      </c>
      <c r="D1746" s="127">
        <f t="shared" si="5396"/>
        <v>83</v>
      </c>
      <c r="E1746" s="201"/>
      <c r="F1746" s="93"/>
      <c r="G1746" s="203"/>
      <c r="H1746"/>
      <c r="I1746"/>
      <c r="J1746"/>
      <c r="L1746" s="29" t="s">
        <v>38</v>
      </c>
      <c r="M1746" s="30">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59.629999999999995</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f t="shared" si="5395"/>
        <v>83</v>
      </c>
      <c r="C1747" s="128">
        <f t="shared" si="5396"/>
        <v>1</v>
      </c>
      <c r="D1747" s="127">
        <f t="shared" si="5396"/>
        <v>83</v>
      </c>
      <c r="E1747" s="201"/>
      <c r="F1747" s="93"/>
      <c r="G1747" s="203"/>
      <c r="H1747" s="134">
        <f t="shared" ref="H1747" si="5407">COUNT($P1747:$XX1747)</f>
        <v>3</v>
      </c>
      <c r="I1747" s="132">
        <f t="shared" ref="I1747" si="5408">_xlfn.STDEV.P($P1746:$XX1747)/AVERAGE($P1746:$XX1747)</f>
        <v>7.3284427624447687E-2</v>
      </c>
      <c r="J1747" s="7">
        <f t="shared" ref="J1747" si="5409">IF(AND(H1747&gt;2,
OR(L1737="MÉDIA SANEADA",L1737="MEDIANA SANEADA",
AND(L1737="PREÇO ESTIMADO",NOT(AND(P1739="Orçamento",COUNTA(P1737:XX1737)=COUNTIF(P1739:XX1739,"Orçamento")))))),
ROW(),0)</f>
        <v>1747</v>
      </c>
      <c r="K1747" s="66"/>
      <c r="L1747" s="29" t="s">
        <v>362</v>
      </c>
      <c r="M1747" s="30">
        <f t="shared" ref="M1747" si="5410" xml:space="preserve">
IF(H1745&gt;2,MEDIAN(P1744:XX1745),
IF(H1747&gt;2,MEDIAN(P1746:XX1747),
IF(H1749&gt;2,MEDIAN(P1748:XX1749),
IF(H1751&gt;2,MEDIAN(P1750:XX1751),
IF(H1753&gt;2,MEDIAN(P1752:XX1753),
IF(H1755&gt;2,MEDIAN(P1754:XX1755),
MEDIAN(P1742:XX1743)))))))</f>
        <v>60.49</v>
      </c>
      <c r="N1747" s="71"/>
      <c r="O1747" s="27" t="str">
        <f t="shared" ref="O1747" si="5411">"2 RODADA"</f>
        <v>2 RODADA</v>
      </c>
      <c r="P1747" s="107">
        <f t="shared" ref="P1747:AI1747" si="5412">IF(P1745="","",IF((_xlfn.STDEV.P($P1744:$XX1745)/AVERAGE($P1744:$XX1745))&lt;=25%,P1745,IF(OR(P1745&gt;(AVERAGE($P1744:$XX1745)+_xlfn.STDEV.P($P1744:$XX1745)),P1745&lt;(AVERAGE($P1744:$XX1745)-_xlfn.STDEV.P($P1744:$XX1745))),"DESCARTADO",P1745)))</f>
        <v>53.9</v>
      </c>
      <c r="Q1747" s="107">
        <f t="shared" si="5412"/>
        <v>60.49</v>
      </c>
      <c r="R1747" s="107">
        <f t="shared" si="5412"/>
        <v>64.5</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f t="shared" si="5395"/>
        <v>83</v>
      </c>
      <c r="C1748" s="128">
        <f t="shared" si="5396"/>
        <v>1</v>
      </c>
      <c r="D1748" s="127">
        <f t="shared" si="5396"/>
        <v>83</v>
      </c>
      <c r="E1748" s="201"/>
      <c r="F1748" s="93"/>
      <c r="G1748" s="203"/>
      <c r="H1748"/>
      <c r="I1748"/>
      <c r="J1748"/>
      <c r="K1748" s="66"/>
      <c r="L1748" s="29" t="s">
        <v>359</v>
      </c>
      <c r="M1748" s="30">
        <f t="shared" ref="M1748" si="5413">HARMEAN($P1742:$XX1743)</f>
        <v>59.302121028341602</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f t="shared" si="5395"/>
        <v>83</v>
      </c>
      <c r="C1749" s="128">
        <f t="shared" si="5396"/>
        <v>1</v>
      </c>
      <c r="D1749" s="127">
        <f t="shared" si="5396"/>
        <v>83</v>
      </c>
      <c r="E1749" s="201"/>
      <c r="F1749" s="93"/>
      <c r="G1749" s="203"/>
      <c r="H1749" s="134">
        <f t="shared" ref="H1749" si="5415">COUNT($P1749:$XX1749)</f>
        <v>3</v>
      </c>
      <c r="I1749" s="132">
        <f t="shared" ref="I1749" si="5416">_xlfn.STDEV.P($P1748:$XX1749)/AVERAGE($P1748:$XX1749)</f>
        <v>7.3284427624447687E-2</v>
      </c>
      <c r="J1749" s="7">
        <f t="shared" ref="J1749" si="5417">IF(AND(H1749&gt;2,
OR(L1737="MÉDIA SANEADA",L1737="MEDIANA SANEADA",
AND(L1737="PREÇO ESTIMADO",NOT(AND(P1739="Orçamento",COUNTA(P1737:XX1737)=COUNTIF(P1739:XX1739,"Orçamento")))))),
ROW(),0)</f>
        <v>1749</v>
      </c>
      <c r="K1749" s="66"/>
      <c r="L1749" s="29" t="s">
        <v>41</v>
      </c>
      <c r="M1749" s="30">
        <f t="shared" ref="M1749" si="5418">IFERROR(_xlfn.QUARTILE.EXC($P1743:$XX1743,1),"")</f>
        <v>53.9</v>
      </c>
      <c r="N1749" s="71"/>
      <c r="O1749" s="27" t="str">
        <f t="shared" ref="O1749" si="5419">"3 RODADA"</f>
        <v>3 RODADA</v>
      </c>
      <c r="P1749" s="107">
        <f t="shared" ref="P1749:AI1749" si="5420">IF(P1747="","",IF((_xlfn.STDEV.P($P1746:$XX1747)/AVERAGE($P1746:$XX1747))&lt;=25%,P1747,IF(OR(P1747&gt;(AVERAGE($P1746:$XX1747)+_xlfn.STDEV.P($P1746:$XX1747)),P1747&lt;(AVERAGE($P1746:$XX1747)-_xlfn.STDEV.P($P1746:$XX1747))),"DESCARTADO",P1747)))</f>
        <v>53.9</v>
      </c>
      <c r="Q1749" s="107">
        <f t="shared" si="5420"/>
        <v>60.49</v>
      </c>
      <c r="R1749" s="107">
        <f t="shared" si="5420"/>
        <v>64.5</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f t="shared" si="5395"/>
        <v>83</v>
      </c>
      <c r="C1750" s="128">
        <f t="shared" si="5396"/>
        <v>1</v>
      </c>
      <c r="D1750" s="127">
        <f t="shared" si="5396"/>
        <v>83</v>
      </c>
      <c r="E1750" s="201"/>
      <c r="F1750" s="93"/>
      <c r="G1750" s="203"/>
      <c r="H1750"/>
      <c r="I1750"/>
      <c r="J1750"/>
      <c r="K1750" s="66"/>
      <c r="L1750" s="29" t="s">
        <v>39</v>
      </c>
      <c r="M1750" s="30">
        <f t="shared" ref="M1750" si="5421">IFERROR(_xlfn.QUARTILE.EXC($P1743:$XX1743,3),"")</f>
        <v>64.5</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f t="shared" si="5395"/>
        <v>83</v>
      </c>
      <c r="C1751" s="128">
        <f t="shared" si="5396"/>
        <v>1</v>
      </c>
      <c r="D1751" s="127">
        <f t="shared" si="5396"/>
        <v>83</v>
      </c>
      <c r="E1751" s="201"/>
      <c r="F1751" s="93"/>
      <c r="G1751" s="203"/>
      <c r="H1751" s="134">
        <f t="shared" ref="H1751" si="5423">COUNT($P1751:$XX1751)</f>
        <v>3</v>
      </c>
      <c r="I1751" s="132">
        <f t="shared" ref="I1751" si="5424">_xlfn.STDEV.P($P1750:$XX1751)/AVERAGE($P1750:$XX1751)</f>
        <v>7.3284427624447687E-2</v>
      </c>
      <c r="J1751" s="7">
        <f t="shared" ref="J1751" si="5425">IF(AND(H1751&gt;2,
OR(L1737="MÉDIA SANEADA",L1737="MEDIANA SANEADA",
AND(L1737="PREÇO ESTIMADO",NOT(AND(P1739="Orçamento",COUNTA(P1737:XX1737)=COUNTIF(P1739:XX1739,"Orçamento")))))),
ROW(),0)</f>
        <v>1751</v>
      </c>
      <c r="K1751" s="66"/>
      <c r="L1751" s="29" t="s">
        <v>42</v>
      </c>
      <c r="M1751" s="30">
        <f t="shared" ref="M1751" si="5426">MIN($P1743:$XX1743)</f>
        <v>53.9</v>
      </c>
      <c r="N1751" s="71"/>
      <c r="O1751" s="27" t="str">
        <f t="shared" ref="O1751" si="5427">"4 RODADA"</f>
        <v>4 RODADA</v>
      </c>
      <c r="P1751" s="107">
        <f t="shared" ref="P1751:AI1751" si="5428">IF(P1749="","",IF((_xlfn.STDEV.P($P1748:$XX1749)/AVERAGE($P1748:$XX1749))&lt;=25%,P1749,IF(OR(P1749&gt;(AVERAGE($P1748:$XX1749)+_xlfn.STDEV.P($P1748:$XX1749)),P1749&lt;(AVERAGE($P1748:$XX1749)-_xlfn.STDEV.P($P1748:$XX1749))),"DESCARTADO",P1749)))</f>
        <v>53.9</v>
      </c>
      <c r="Q1751" s="107">
        <f t="shared" si="5428"/>
        <v>60.49</v>
      </c>
      <c r="R1751" s="107">
        <f t="shared" si="5428"/>
        <v>64.5</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f t="shared" si="5395"/>
        <v>83</v>
      </c>
      <c r="C1752" s="128">
        <f t="shared" si="5396"/>
        <v>1</v>
      </c>
      <c r="D1752" s="127">
        <f t="shared" si="5396"/>
        <v>83</v>
      </c>
      <c r="E1752" s="201"/>
      <c r="F1752" s="93"/>
      <c r="G1752" s="203"/>
      <c r="H1752"/>
      <c r="I1752"/>
      <c r="J1752"/>
      <c r="K1752" s="66"/>
      <c r="L1752" s="29" t="s">
        <v>40</v>
      </c>
      <c r="M1752" s="30">
        <f t="shared" ref="M1752" si="5429">MAX($P1743:$XX1743)</f>
        <v>64.5</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f t="shared" si="5395"/>
        <v>83</v>
      </c>
      <c r="C1753" s="128">
        <f t="shared" si="5396"/>
        <v>1</v>
      </c>
      <c r="D1753" s="127">
        <f t="shared" si="5396"/>
        <v>83</v>
      </c>
      <c r="E1753" s="201"/>
      <c r="F1753" s="93"/>
      <c r="G1753" s="203"/>
      <c r="H1753" s="134">
        <f t="shared" ref="H1753" si="5431">COUNT($P1753:$XX1753)</f>
        <v>3</v>
      </c>
      <c r="I1753" s="132">
        <f t="shared" ref="I1753" si="5432">_xlfn.STDEV.P($P1752:$XX1753)/AVERAGE($P1752:$XX1753)</f>
        <v>7.3284427624447687E-2</v>
      </c>
      <c r="J1753" s="7">
        <f t="shared" ref="J1753" si="5433">IF(AND(H1753&gt;2,
OR(L1737="MÉDIA SANEADA",L1737="MEDIANA SANEADA",
AND(L1737="PREÇO ESTIMADO",NOT(AND(P1739="Orçamento",COUNTA(P1737:XX1737)=COUNTIF(P1739:XX1739,"Orçamento")))))),
ROW(),0)</f>
        <v>1753</v>
      </c>
      <c r="K1753" s="66"/>
      <c r="N1753" s="71"/>
      <c r="O1753" s="27" t="str">
        <f t="shared" ref="O1753" si="5434">"5 RODADA"</f>
        <v>5 RODADA</v>
      </c>
      <c r="P1753" s="107">
        <f t="shared" ref="P1753:AI1753" si="5435">IF(P1751="","",IF((_xlfn.STDEV.P($P1750:$XX1751)/AVERAGE($P1750:$XX1751))&lt;=25%,P1751,IF(OR(P1751&gt;(AVERAGE($P1750:$XX1751)+_xlfn.STDEV.P($P1750:$XX1751)),P1751&lt;(AVERAGE($P1750:$XX1751)-_xlfn.STDEV.P($P1750:$XX1751))),"DESCARTADO",P1751)))</f>
        <v>53.9</v>
      </c>
      <c r="Q1753" s="107">
        <f t="shared" si="5435"/>
        <v>60.49</v>
      </c>
      <c r="R1753" s="107">
        <f t="shared" si="5435"/>
        <v>64.5</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f t="shared" si="5395"/>
        <v>83</v>
      </c>
      <c r="C1754" s="128">
        <f t="shared" si="5396"/>
        <v>1</v>
      </c>
      <c r="D1754" s="127">
        <f t="shared" si="5396"/>
        <v>83</v>
      </c>
      <c r="E1754" s="201"/>
      <c r="F1754" s="93"/>
      <c r="G1754" s="203"/>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f t="shared" si="5395"/>
        <v>83</v>
      </c>
      <c r="C1755" s="128">
        <f t="shared" si="5396"/>
        <v>1</v>
      </c>
      <c r="D1755" s="127">
        <f t="shared" si="5396"/>
        <v>83</v>
      </c>
      <c r="E1755" s="201"/>
      <c r="F1755" s="93"/>
      <c r="G1755" s="203"/>
      <c r="H1755" s="134">
        <f t="shared" ref="H1755" si="5437">COUNT($P1755:$XX1755)</f>
        <v>3</v>
      </c>
      <c r="I1755" s="132">
        <f t="shared" ref="I1755" si="5438">_xlfn.STDEV.P($P1754:$XX1755)/AVERAGE($P1754:$XX1755)</f>
        <v>7.3284427624447687E-2</v>
      </c>
      <c r="J1755" s="7">
        <f t="shared" ref="J1755" si="5439">IF(AND(H1755&gt;2,
OR(L1737="MÉDIA SANEADA",L1737="MEDIANA SANEADA",
AND(L1737="PREÇO ESTIMADO",NOT(AND(P1739="Orçamento",COUNTA(P1737:XX1737)=COUNTIF(P1739:XX1739,"Orçamento")))))),
ROW(),0)</f>
        <v>1755</v>
      </c>
      <c r="N1755" s="71"/>
      <c r="O1755" s="27" t="str">
        <f t="shared" ref="O1755" si="5440">"6 RODADA"</f>
        <v>6 RODADA</v>
      </c>
      <c r="P1755" s="107">
        <f t="shared" ref="P1755:AI1755" si="5441">IFERROR(IF(P1753="","",IF((_xlfn.STDEV.P($P1752:$XX1753)/AVERAGE($P1752:$XX1753))&lt;=25%,P1753,IF(OR(P1753&gt;(AVERAGE($P1752:$XX1753)+_xlfn.STDEV.P($P1752:$XX1753)),P1753&lt;(AVERAGE($P1752:$XX1753)-_xlfn.STDEV.P($P1752:$XX1753))),"DESCARTADO",P1753))),)</f>
        <v>53.9</v>
      </c>
      <c r="Q1755" s="107">
        <f t="shared" si="5441"/>
        <v>60.49</v>
      </c>
      <c r="R1755" s="107">
        <f t="shared" si="5441"/>
        <v>64.5</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f t="shared" si="5395"/>
        <v>83</v>
      </c>
      <c r="C1756" s="128">
        <f t="shared" si="5396"/>
        <v>1</v>
      </c>
      <c r="D1756" s="127">
        <f t="shared" si="5396"/>
        <v>83</v>
      </c>
      <c r="E1756" s="201"/>
      <c r="F1756" s="136"/>
      <c r="G1756" s="203"/>
      <c r="H1756" s="206"/>
      <c r="I1756" s="206"/>
      <c r="J1756" s="207"/>
      <c r="K1756" s="67"/>
      <c r="L1756" s="1" t="s">
        <v>43</v>
      </c>
      <c r="M1756" s="143">
        <f t="shared" ref="M1756" si="5442">IFERROR(ROUND(M1737*M1739,2),"")</f>
        <v>357.78</v>
      </c>
      <c r="O1756" s="27" t="s">
        <v>363</v>
      </c>
      <c r="P1756" s="107">
        <f t="shared" ref="P1756:R1756" si="5443">INDEX(P1743:P1755,MATCH(MAX($J1743:$J1755),$J1743:$J1755,0))</f>
        <v>53.9</v>
      </c>
      <c r="Q1756" s="107">
        <f t="shared" si="5443"/>
        <v>60.49</v>
      </c>
      <c r="R1756" s="107">
        <f t="shared" si="5443"/>
        <v>64.5</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f t="shared" ref="B1758" si="5444">LARGE(IFERROR(IF(B1756+1&gt;$H$8,"",B1756+1),""),1)</f>
        <v>84</v>
      </c>
      <c r="C1758" s="127">
        <f>IF(_xlfn.ISFORMULA(E1762),MAX(INDEX('BASE FORMAÇÃO'!A:A,B1758+1),1),E1762)</f>
        <v>1</v>
      </c>
      <c r="D1758" s="127">
        <f t="shared" ref="D1758" si="5445">IFERROR(IF(C1758=C1748,D1748+1,1),1)</f>
        <v>84</v>
      </c>
      <c r="E1758" s="38" t="s">
        <v>9</v>
      </c>
      <c r="F1758" s="73"/>
      <c r="G1758" s="38" t="s">
        <v>15</v>
      </c>
      <c r="H1758" s="135">
        <f>INDEX('BASE FORMAÇÃO'!B:B,B1758+1)</f>
        <v>0</v>
      </c>
      <c r="I1758" s="181" t="s">
        <v>16</v>
      </c>
      <c r="J1758" s="6">
        <f>INDEX('BASE FORMAÇÃO'!K:K,B1758+1)</f>
        <v>0</v>
      </c>
      <c r="K1758" s="65"/>
      <c r="L1758" s="184" t="s">
        <v>10</v>
      </c>
      <c r="M1758" s="186">
        <f t="shared" ref="M1758" si="5446">IF(OR(ISBLANK($O$8),ISBLANK($O$7),ISBLANK($H$8),ISBLANK($O$6),ISBLANK($O$5),ISBLANK($H$5)),"",IFERROR(IF(VLOOKUP(L1758,L1764:M1773,2,FALSE)&lt;1,ROUND(VLOOKUP(L1758,L1764:M1773,2,FALSE),4),ROUND(VLOOKUP(L1758,L1764:M1773,2,FALSE),2)),""))</f>
        <v>85.55</v>
      </c>
      <c r="N1758" s="69"/>
      <c r="O1758" s="27" t="s">
        <v>17</v>
      </c>
      <c r="P1758" s="113">
        <v>67.2</v>
      </c>
      <c r="Q1758" s="113">
        <v>95.99</v>
      </c>
      <c r="R1758" s="113">
        <v>93.47</v>
      </c>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f t="shared" ref="B1759:D1759" si="5447">B1758</f>
        <v>84</v>
      </c>
      <c r="C1759" s="128">
        <f t="shared" si="5447"/>
        <v>1</v>
      </c>
      <c r="D1759" s="127">
        <f t="shared" si="5447"/>
        <v>84</v>
      </c>
      <c r="E1759" s="188">
        <f t="shared" ref="E1759" si="5448">D1758</f>
        <v>84</v>
      </c>
      <c r="F1759" s="92"/>
      <c r="G1759" s="190" t="s">
        <v>1</v>
      </c>
      <c r="H1759" s="193" t="s">
        <v>765</v>
      </c>
      <c r="I1759" s="194"/>
      <c r="J1759" s="195"/>
      <c r="K1759" s="66"/>
      <c r="L1759" s="185"/>
      <c r="M1759" s="187"/>
      <c r="N1759" s="70"/>
      <c r="O1759" s="27" t="s">
        <v>13</v>
      </c>
      <c r="P1759" s="122">
        <v>46196</v>
      </c>
      <c r="Q1759" s="122">
        <v>46196</v>
      </c>
      <c r="R1759" s="122">
        <v>46196</v>
      </c>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f t="shared" ref="B1760:D1760" si="5449">B1759</f>
        <v>84</v>
      </c>
      <c r="C1760" s="128">
        <f t="shared" si="5449"/>
        <v>1</v>
      </c>
      <c r="D1760" s="127">
        <f t="shared" si="5449"/>
        <v>84</v>
      </c>
      <c r="E1760" s="189"/>
      <c r="F1760" s="93"/>
      <c r="G1760" s="191"/>
      <c r="H1760" s="196"/>
      <c r="I1760" s="196"/>
      <c r="J1760" s="197"/>
      <c r="K1760" s="64"/>
      <c r="L1760" s="130" t="s">
        <v>44</v>
      </c>
      <c r="M1760" s="131">
        <v>4</v>
      </c>
      <c r="N1760" s="71"/>
      <c r="O1760" s="27" t="s">
        <v>380</v>
      </c>
      <c r="P1760" s="114" t="s">
        <v>302</v>
      </c>
      <c r="Q1760" s="114" t="s">
        <v>302</v>
      </c>
      <c r="R1760" s="114" t="s">
        <v>302</v>
      </c>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f t="shared" ref="B1761:C1761" si="5450">B1760</f>
        <v>84</v>
      </c>
      <c r="C1761" s="128">
        <f t="shared" si="5450"/>
        <v>1</v>
      </c>
      <c r="D1761" s="127">
        <f t="shared" si="5396"/>
        <v>84</v>
      </c>
      <c r="E1761" s="38" t="s">
        <v>313</v>
      </c>
      <c r="F1761" s="93"/>
      <c r="G1761" s="192"/>
      <c r="H1761" s="198"/>
      <c r="I1761" s="198"/>
      <c r="J1761" s="199"/>
      <c r="K1761" s="64"/>
      <c r="L1761" s="1" t="s">
        <v>2</v>
      </c>
      <c r="M1761" s="6" t="s">
        <v>288</v>
      </c>
      <c r="N1761" s="71"/>
      <c r="O1761" s="27" t="s">
        <v>381</v>
      </c>
      <c r="P1761" s="182" t="s">
        <v>766</v>
      </c>
      <c r="Q1761" s="182" t="s">
        <v>767</v>
      </c>
      <c r="R1761" s="182" t="s">
        <v>768</v>
      </c>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f t="shared" ref="B1762:C1762" si="5451">B1760</f>
        <v>84</v>
      </c>
      <c r="C1762" s="128">
        <f t="shared" si="5451"/>
        <v>1</v>
      </c>
      <c r="D1762" s="127">
        <f t="shared" si="5396"/>
        <v>84</v>
      </c>
      <c r="E1762" s="200">
        <f t="shared" ref="E1762" si="5452">C1758</f>
        <v>1</v>
      </c>
      <c r="F1762" s="93"/>
      <c r="G1762" s="202" t="s">
        <v>304</v>
      </c>
      <c r="H1762" s="204"/>
      <c r="I1762" s="205"/>
      <c r="J1762" s="205"/>
      <c r="K1762" s="67"/>
      <c r="L1762" s="28" t="s">
        <v>303</v>
      </c>
      <c r="M1762" s="133">
        <f t="shared" ref="M1762" si="5453">IFERROR(INDEX(I1764:I1776,MATCH(MAX(J1764:J1776),J1764:J1776,0)),"")</f>
        <v>0.15216800468330496</v>
      </c>
      <c r="N1762" s="71"/>
      <c r="O1762" s="27" t="s">
        <v>18</v>
      </c>
      <c r="P1762" s="106">
        <f>IF(P1758="","",
IF(OR(P1760="Orçamento",P1759="",MAX('Tabela de Apoio'!$A:$A)&lt;=P1759),
P1758,
(INDEX('Tabela de Apoio'!$B:$B,MATCH('MAPA DE PREÇOS'!$O$8,'Tabela de Apoio'!$A:$A,1))/INDEX('Tabela de Apoio'!$B:$B,MATCH('MAPA DE PREÇOS'!P1759,'Tabela de Apoio'!$A:$A,1)-1))*P1758))</f>
        <v>67.2</v>
      </c>
      <c r="Q1762" s="106">
        <f>IF(Q1758="","",
IF(OR(Q1760="Orçamento",Q1759="",MAX('Tabela de Apoio'!$A:$A)&lt;=Q1759),
Q1758,
(INDEX('Tabela de Apoio'!$B:$B,MATCH('MAPA DE PREÇOS'!$O$8,'Tabela de Apoio'!$A:$A,1))/INDEX('Tabela de Apoio'!$B:$B,MATCH('MAPA DE PREÇOS'!Q1759,'Tabela de Apoio'!$A:$A,1)-1))*Q1758))</f>
        <v>95.99</v>
      </c>
      <c r="R1762" s="106">
        <f>IF(R1758="","",
IF(OR(R1760="Orçamento",R1759="",MAX('Tabela de Apoio'!$A:$A)&lt;=R1759),
R1758,
(INDEX('Tabela de Apoio'!$B:$B,MATCH('MAPA DE PREÇOS'!$O$8,'Tabela de Apoio'!$A:$A,1))/INDEX('Tabela de Apoio'!$B:$B,MATCH('MAPA DE PREÇOS'!R1759,'Tabela de Apoio'!$A:$A,1)-1))*R1758))</f>
        <v>93.47</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f t="shared" ref="B1763" si="5454">B1762</f>
        <v>84</v>
      </c>
      <c r="C1763" s="128">
        <f t="shared" ref="C1763" si="5455">C1762</f>
        <v>1</v>
      </c>
      <c r="D1763" s="127">
        <f t="shared" si="5396"/>
        <v>84</v>
      </c>
      <c r="E1763" s="201"/>
      <c r="F1763" s="93"/>
      <c r="G1763" s="203"/>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f t="shared" ref="B1764:C1764" si="5456">B1763</f>
        <v>84</v>
      </c>
      <c r="C1764" s="128">
        <f t="shared" si="5456"/>
        <v>1</v>
      </c>
      <c r="D1764" s="127">
        <f t="shared" si="5396"/>
        <v>84</v>
      </c>
      <c r="E1764" s="201"/>
      <c r="F1764" s="93"/>
      <c r="G1764" s="203"/>
      <c r="H1764" s="134">
        <f t="shared" ref="H1764" si="5457">COUNT($P1764:$XX1764)</f>
        <v>3</v>
      </c>
      <c r="I1764" s="132">
        <f t="shared" ref="I1764" si="5458">_xlfn.STDEV.P($P1763:$XX1764)/AVERAGE($P1763:$XX1764)</f>
        <v>0.15216800468330496</v>
      </c>
      <c r="J1764" s="7">
        <f>ROW()</f>
        <v>1764</v>
      </c>
      <c r="K1764" s="67"/>
      <c r="L1764" s="29" t="s">
        <v>10</v>
      </c>
      <c r="M1764" s="30">
        <f t="shared" ref="M1764" si="5459">IFERROR(
IF(COUNTA(P1758:AI1758)=COUNTIF(P1760:XX1760,"Orçamento"),MIN(M1769,M1766),
IF(M1767&lt;&gt;"",M1767,
IF(M1768&lt;&gt;"",M1768,
M1766
))),"")</f>
        <v>85.553333333333327</v>
      </c>
      <c r="N1764" s="71"/>
      <c r="O1764" s="27" t="s">
        <v>376</v>
      </c>
      <c r="P1764" s="106">
        <f t="shared" ref="P1764:AI1764" si="5460">IFERROR(IF(P1762="",
            "",
            IF(COUNT($P1762:$XX1762)&lt;=4,
               P1762,
               IF(OR(P1762&gt;(QUARTILE($P1762:$XX1762,3)+(QUARTILE($P1762:$XX1762,3)-QUARTILE($P1762:$XX1762,1))),
                     P1762&lt;(QUARTILE($P1762:$XX1762,1)-(QUARTILE($P1762:$XX1762,3)-QUARTILE($P1762:$XX1762,1)))
                  ),
               "DESCARTADO",P1762)
             )
  ),P1762)</f>
        <v>67.2</v>
      </c>
      <c r="Q1764" s="106">
        <f t="shared" si="5460"/>
        <v>95.99</v>
      </c>
      <c r="R1764" s="106">
        <f t="shared" si="5460"/>
        <v>93.47</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f t="shared" ref="B1765" si="5461">B1764</f>
        <v>84</v>
      </c>
      <c r="C1765" s="128">
        <f t="shared" ref="C1765" si="5462">C1764</f>
        <v>1</v>
      </c>
      <c r="D1765" s="127">
        <f t="shared" si="5396"/>
        <v>84</v>
      </c>
      <c r="E1765" s="201"/>
      <c r="F1765" s="93"/>
      <c r="G1765" s="203"/>
      <c r="H1765"/>
      <c r="I1765"/>
      <c r="J1765"/>
      <c r="K1765" s="66"/>
      <c r="L1765" s="29" t="s">
        <v>360</v>
      </c>
      <c r="M1765" s="30">
        <f t="shared" ref="M1765" si="5463">AVERAGE($P1764:$XX1764)</f>
        <v>85.553333333333327</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f t="shared" si="5395"/>
        <v>84</v>
      </c>
      <c r="C1766" s="128">
        <f t="shared" si="5396"/>
        <v>1</v>
      </c>
      <c r="D1766" s="127">
        <f t="shared" si="5396"/>
        <v>84</v>
      </c>
      <c r="E1766" s="201"/>
      <c r="F1766" s="93"/>
      <c r="G1766" s="203"/>
      <c r="H1766" s="134">
        <f t="shared" ref="H1766" si="5465">COUNT($P1766:$XX1766)</f>
        <v>3</v>
      </c>
      <c r="I1766" s="132">
        <f t="shared" ref="I1766" si="5466">_xlfn.STDEV.P($P1765:$XX1766)/AVERAGE($P1765:$XX1766)</f>
        <v>0.15216800468330496</v>
      </c>
      <c r="J1766" s="7">
        <f t="shared" ref="J1766" si="5467">IF(AND(H1766&gt;2,
OR(L1758="MÉDIA SANEADA",L1758="MEDIANA SANEADA",
AND(L1758="PREÇO ESTIMADO",NOT(AND(P1760="Orçamento",COUNTA(P1758:XX1758)=COUNTIF(P1760:XX1760,"Orçamento")))))),
ROW(),0)</f>
        <v>1766</v>
      </c>
      <c r="K1766" s="66"/>
      <c r="L1766" s="29" t="s">
        <v>361</v>
      </c>
      <c r="M1766" s="30">
        <f t="shared" ref="M1766" si="5468">MEDIAN($P1764:$XX1764)</f>
        <v>93.47</v>
      </c>
      <c r="N1766" s="71"/>
      <c r="O1766" s="27" t="str">
        <f t="shared" ref="O1766" si="5469">"1 RODADA"</f>
        <v>1 RODADA</v>
      </c>
      <c r="P1766" s="107">
        <f t="shared" ref="P1766:AI1766" si="5470">IF(P1764="","",IF((_xlfn.STDEV.P($P1763:$XX1764)/AVERAGE($P1763:$XX1764))&lt;=25%,P1764,IF(OR(P1764&gt;(AVERAGE($P1763:$XX1764)+_xlfn.STDEV.P($P1763:$XX1764)),P1764&lt;(AVERAGE($P1763:$XX1764)-_xlfn.STDEV.P($P1763:$XX1764))),"DESCARTADO",P1764)))</f>
        <v>67.2</v>
      </c>
      <c r="Q1766" s="107">
        <f t="shared" si="5470"/>
        <v>95.99</v>
      </c>
      <c r="R1766" s="107">
        <f t="shared" si="5470"/>
        <v>93.47</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f t="shared" si="5395"/>
        <v>84</v>
      </c>
      <c r="C1767" s="128">
        <f t="shared" si="5396"/>
        <v>1</v>
      </c>
      <c r="D1767" s="127">
        <f t="shared" si="5396"/>
        <v>84</v>
      </c>
      <c r="E1767" s="201"/>
      <c r="F1767" s="93"/>
      <c r="G1767" s="203"/>
      <c r="H1767"/>
      <c r="I1767"/>
      <c r="J1767"/>
      <c r="L1767" s="29" t="s">
        <v>38</v>
      </c>
      <c r="M1767" s="30">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85.553333333333327</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f t="shared" si="5395"/>
        <v>84</v>
      </c>
      <c r="C1768" s="128">
        <f t="shared" si="5396"/>
        <v>1</v>
      </c>
      <c r="D1768" s="127">
        <f t="shared" si="5396"/>
        <v>84</v>
      </c>
      <c r="E1768" s="201"/>
      <c r="F1768" s="93"/>
      <c r="G1768" s="203"/>
      <c r="H1768" s="134">
        <f t="shared" ref="H1768" si="5473">COUNT($P1768:$XX1768)</f>
        <v>3</v>
      </c>
      <c r="I1768" s="132">
        <f t="shared" ref="I1768" si="5474">_xlfn.STDEV.P($P1767:$XX1768)/AVERAGE($P1767:$XX1768)</f>
        <v>0.15216800468330496</v>
      </c>
      <c r="J1768" s="7">
        <f t="shared" ref="J1768" si="5475">IF(AND(H1768&gt;2,
OR(L1758="MÉDIA SANEADA",L1758="MEDIANA SANEADA",
AND(L1758="PREÇO ESTIMADO",NOT(AND(P1760="Orçamento",COUNTA(P1758:XX1758)=COUNTIF(P1760:XX1760,"Orçamento")))))),
ROW(),0)</f>
        <v>1768</v>
      </c>
      <c r="K1768" s="66"/>
      <c r="L1768" s="29" t="s">
        <v>362</v>
      </c>
      <c r="M1768" s="30">
        <f t="shared" ref="M1768" si="5476" xml:space="preserve">
IF(H1766&gt;2,MEDIAN(P1765:XX1766),
IF(H1768&gt;2,MEDIAN(P1767:XX1768),
IF(H1770&gt;2,MEDIAN(P1769:XX1770),
IF(H1772&gt;2,MEDIAN(P1771:XX1772),
IF(H1774&gt;2,MEDIAN(P1773:XX1774),
IF(H1776&gt;2,MEDIAN(P1775:XX1776),
MEDIAN(P1763:XX1764)))))))</f>
        <v>93.47</v>
      </c>
      <c r="N1768" s="71"/>
      <c r="O1768" s="27" t="str">
        <f t="shared" ref="O1768" si="5477">"2 RODADA"</f>
        <v>2 RODADA</v>
      </c>
      <c r="P1768" s="107">
        <f t="shared" ref="P1768:AI1768" si="5478">IF(P1766="","",IF((_xlfn.STDEV.P($P1765:$XX1766)/AVERAGE($P1765:$XX1766))&lt;=25%,P1766,IF(OR(P1766&gt;(AVERAGE($P1765:$XX1766)+_xlfn.STDEV.P($P1765:$XX1766)),P1766&lt;(AVERAGE($P1765:$XX1766)-_xlfn.STDEV.P($P1765:$XX1766))),"DESCARTADO",P1766)))</f>
        <v>67.2</v>
      </c>
      <c r="Q1768" s="107">
        <f t="shared" si="5478"/>
        <v>95.99</v>
      </c>
      <c r="R1768" s="107">
        <f t="shared" si="5478"/>
        <v>93.47</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f t="shared" si="5395"/>
        <v>84</v>
      </c>
      <c r="C1769" s="128">
        <f t="shared" si="5396"/>
        <v>1</v>
      </c>
      <c r="D1769" s="127">
        <f t="shared" si="5396"/>
        <v>84</v>
      </c>
      <c r="E1769" s="201"/>
      <c r="F1769" s="93"/>
      <c r="G1769" s="203"/>
      <c r="H1769"/>
      <c r="I1769"/>
      <c r="J1769"/>
      <c r="K1769" s="66"/>
      <c r="L1769" s="29" t="s">
        <v>359</v>
      </c>
      <c r="M1769" s="30">
        <f t="shared" ref="M1769" si="5479">HARMEAN($P1763:$XX1764)</f>
        <v>83.339527987906578</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f t="shared" si="5395"/>
        <v>84</v>
      </c>
      <c r="C1770" s="128">
        <f t="shared" si="5396"/>
        <v>1</v>
      </c>
      <c r="D1770" s="127">
        <f t="shared" si="5396"/>
        <v>84</v>
      </c>
      <c r="E1770" s="201"/>
      <c r="F1770" s="93"/>
      <c r="G1770" s="203"/>
      <c r="H1770" s="134">
        <f t="shared" ref="H1770" si="5481">COUNT($P1770:$XX1770)</f>
        <v>3</v>
      </c>
      <c r="I1770" s="132">
        <f t="shared" ref="I1770" si="5482">_xlfn.STDEV.P($P1769:$XX1770)/AVERAGE($P1769:$XX1770)</f>
        <v>0.15216800468330496</v>
      </c>
      <c r="J1770" s="7">
        <f t="shared" ref="J1770" si="5483">IF(AND(H1770&gt;2,
OR(L1758="MÉDIA SANEADA",L1758="MEDIANA SANEADA",
AND(L1758="PREÇO ESTIMADO",NOT(AND(P1760="Orçamento",COUNTA(P1758:XX1758)=COUNTIF(P1760:XX1760,"Orçamento")))))),
ROW(),0)</f>
        <v>1770</v>
      </c>
      <c r="K1770" s="66"/>
      <c r="L1770" s="29" t="s">
        <v>41</v>
      </c>
      <c r="M1770" s="30">
        <f t="shared" ref="M1770" si="5484">IFERROR(_xlfn.QUARTILE.EXC($P1764:$XX1764,1),"")</f>
        <v>67.2</v>
      </c>
      <c r="N1770" s="71"/>
      <c r="O1770" s="27" t="str">
        <f t="shared" ref="O1770" si="5485">"3 RODADA"</f>
        <v>3 RODADA</v>
      </c>
      <c r="P1770" s="107">
        <f t="shared" ref="P1770:AI1770" si="5486">IF(P1768="","",IF((_xlfn.STDEV.P($P1767:$XX1768)/AVERAGE($P1767:$XX1768))&lt;=25%,P1768,IF(OR(P1768&gt;(AVERAGE($P1767:$XX1768)+_xlfn.STDEV.P($P1767:$XX1768)),P1768&lt;(AVERAGE($P1767:$XX1768)-_xlfn.STDEV.P($P1767:$XX1768))),"DESCARTADO",P1768)))</f>
        <v>67.2</v>
      </c>
      <c r="Q1770" s="107">
        <f t="shared" si="5486"/>
        <v>95.99</v>
      </c>
      <c r="R1770" s="107">
        <f t="shared" si="5486"/>
        <v>93.47</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f t="shared" si="5395"/>
        <v>84</v>
      </c>
      <c r="C1771" s="128">
        <f t="shared" si="5396"/>
        <v>1</v>
      </c>
      <c r="D1771" s="127">
        <f t="shared" si="5396"/>
        <v>84</v>
      </c>
      <c r="E1771" s="201"/>
      <c r="F1771" s="93"/>
      <c r="G1771" s="203"/>
      <c r="H1771"/>
      <c r="I1771"/>
      <c r="J1771"/>
      <c r="K1771" s="66"/>
      <c r="L1771" s="29" t="s">
        <v>39</v>
      </c>
      <c r="M1771" s="30">
        <f t="shared" ref="M1771" si="5487">IFERROR(_xlfn.QUARTILE.EXC($P1764:$XX1764,3),"")</f>
        <v>95.99</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f t="shared" si="5395"/>
        <v>84</v>
      </c>
      <c r="C1772" s="128">
        <f t="shared" si="5396"/>
        <v>1</v>
      </c>
      <c r="D1772" s="127">
        <f t="shared" si="5396"/>
        <v>84</v>
      </c>
      <c r="E1772" s="201"/>
      <c r="F1772" s="93"/>
      <c r="G1772" s="203"/>
      <c r="H1772" s="134">
        <f t="shared" ref="H1772" si="5489">COUNT($P1772:$XX1772)</f>
        <v>3</v>
      </c>
      <c r="I1772" s="132">
        <f t="shared" ref="I1772" si="5490">_xlfn.STDEV.P($P1771:$XX1772)/AVERAGE($P1771:$XX1772)</f>
        <v>0.15216800468330496</v>
      </c>
      <c r="J1772" s="7">
        <f t="shared" ref="J1772" si="5491">IF(AND(H1772&gt;2,
OR(L1758="MÉDIA SANEADA",L1758="MEDIANA SANEADA",
AND(L1758="PREÇO ESTIMADO",NOT(AND(P1760="Orçamento",COUNTA(P1758:XX1758)=COUNTIF(P1760:XX1760,"Orçamento")))))),
ROW(),0)</f>
        <v>1772</v>
      </c>
      <c r="K1772" s="66"/>
      <c r="L1772" s="29" t="s">
        <v>42</v>
      </c>
      <c r="M1772" s="30">
        <f t="shared" ref="M1772" si="5492">MIN($P1764:$XX1764)</f>
        <v>67.2</v>
      </c>
      <c r="N1772" s="71"/>
      <c r="O1772" s="27" t="str">
        <f t="shared" ref="O1772" si="5493">"4 RODADA"</f>
        <v>4 RODADA</v>
      </c>
      <c r="P1772" s="107">
        <f t="shared" ref="P1772:AI1772" si="5494">IF(P1770="","",IF((_xlfn.STDEV.P($P1769:$XX1770)/AVERAGE($P1769:$XX1770))&lt;=25%,P1770,IF(OR(P1770&gt;(AVERAGE($P1769:$XX1770)+_xlfn.STDEV.P($P1769:$XX1770)),P1770&lt;(AVERAGE($P1769:$XX1770)-_xlfn.STDEV.P($P1769:$XX1770))),"DESCARTADO",P1770)))</f>
        <v>67.2</v>
      </c>
      <c r="Q1772" s="107">
        <f t="shared" si="5494"/>
        <v>95.99</v>
      </c>
      <c r="R1772" s="107">
        <f t="shared" si="5494"/>
        <v>93.47</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f t="shared" si="5395"/>
        <v>84</v>
      </c>
      <c r="C1773" s="128">
        <f t="shared" si="5396"/>
        <v>1</v>
      </c>
      <c r="D1773" s="127">
        <f t="shared" si="5396"/>
        <v>84</v>
      </c>
      <c r="E1773" s="201"/>
      <c r="F1773" s="93"/>
      <c r="G1773" s="203"/>
      <c r="H1773"/>
      <c r="I1773"/>
      <c r="J1773"/>
      <c r="K1773" s="66"/>
      <c r="L1773" s="29" t="s">
        <v>40</v>
      </c>
      <c r="M1773" s="30">
        <f t="shared" ref="M1773" si="5495">MAX($P1764:$XX1764)</f>
        <v>95.99</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f t="shared" si="5395"/>
        <v>84</v>
      </c>
      <c r="C1774" s="128">
        <f t="shared" si="5396"/>
        <v>1</v>
      </c>
      <c r="D1774" s="127">
        <f t="shared" si="5396"/>
        <v>84</v>
      </c>
      <c r="E1774" s="201"/>
      <c r="F1774" s="93"/>
      <c r="G1774" s="203"/>
      <c r="H1774" s="134">
        <f t="shared" ref="H1774" si="5497">COUNT($P1774:$XX1774)</f>
        <v>3</v>
      </c>
      <c r="I1774" s="132">
        <f t="shared" ref="I1774" si="5498">_xlfn.STDEV.P($P1773:$XX1774)/AVERAGE($P1773:$XX1774)</f>
        <v>0.15216800468330496</v>
      </c>
      <c r="J1774" s="7">
        <f t="shared" ref="J1774" si="5499">IF(AND(H1774&gt;2,
OR(L1758="MÉDIA SANEADA",L1758="MEDIANA SANEADA",
AND(L1758="PREÇO ESTIMADO",NOT(AND(P1760="Orçamento",COUNTA(P1758:XX1758)=COUNTIF(P1760:XX1760,"Orçamento")))))),
ROW(),0)</f>
        <v>1774</v>
      </c>
      <c r="K1774" s="66"/>
      <c r="N1774" s="71"/>
      <c r="O1774" s="27" t="str">
        <f t="shared" ref="O1774" si="5500">"5 RODADA"</f>
        <v>5 RODADA</v>
      </c>
      <c r="P1774" s="107">
        <f t="shared" ref="P1774:AI1774" si="5501">IF(P1772="","",IF((_xlfn.STDEV.P($P1771:$XX1772)/AVERAGE($P1771:$XX1772))&lt;=25%,P1772,IF(OR(P1772&gt;(AVERAGE($P1771:$XX1772)+_xlfn.STDEV.P($P1771:$XX1772)),P1772&lt;(AVERAGE($P1771:$XX1772)-_xlfn.STDEV.P($P1771:$XX1772))),"DESCARTADO",P1772)))</f>
        <v>67.2</v>
      </c>
      <c r="Q1774" s="107">
        <f t="shared" si="5501"/>
        <v>95.99</v>
      </c>
      <c r="R1774" s="107">
        <f t="shared" si="5501"/>
        <v>93.47</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f t="shared" si="5395"/>
        <v>84</v>
      </c>
      <c r="C1775" s="128">
        <f t="shared" si="5396"/>
        <v>1</v>
      </c>
      <c r="D1775" s="127">
        <f t="shared" si="5396"/>
        <v>84</v>
      </c>
      <c r="E1775" s="201"/>
      <c r="F1775" s="93"/>
      <c r="G1775" s="203"/>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f t="shared" si="5395"/>
        <v>84</v>
      </c>
      <c r="C1776" s="128">
        <f t="shared" si="5396"/>
        <v>1</v>
      </c>
      <c r="D1776" s="127">
        <f t="shared" si="5396"/>
        <v>84</v>
      </c>
      <c r="E1776" s="201"/>
      <c r="F1776" s="93"/>
      <c r="G1776" s="203"/>
      <c r="H1776" s="134">
        <f t="shared" ref="H1776" si="5503">COUNT($P1776:$XX1776)</f>
        <v>3</v>
      </c>
      <c r="I1776" s="132">
        <f t="shared" ref="I1776" si="5504">_xlfn.STDEV.P($P1775:$XX1776)/AVERAGE($P1775:$XX1776)</f>
        <v>0.15216800468330496</v>
      </c>
      <c r="J1776" s="7">
        <f t="shared" ref="J1776" si="5505">IF(AND(H1776&gt;2,
OR(L1758="MÉDIA SANEADA",L1758="MEDIANA SANEADA",
AND(L1758="PREÇO ESTIMADO",NOT(AND(P1760="Orçamento",COUNTA(P1758:XX1758)=COUNTIF(P1760:XX1760,"Orçamento")))))),
ROW(),0)</f>
        <v>1776</v>
      </c>
      <c r="N1776" s="71"/>
      <c r="O1776" s="27" t="str">
        <f t="shared" ref="O1776" si="5506">"6 RODADA"</f>
        <v>6 RODADA</v>
      </c>
      <c r="P1776" s="107">
        <f t="shared" ref="P1776:AI1776" si="5507">IFERROR(IF(P1774="","",IF((_xlfn.STDEV.P($P1773:$XX1774)/AVERAGE($P1773:$XX1774))&lt;=25%,P1774,IF(OR(P1774&gt;(AVERAGE($P1773:$XX1774)+_xlfn.STDEV.P($P1773:$XX1774)),P1774&lt;(AVERAGE($P1773:$XX1774)-_xlfn.STDEV.P($P1773:$XX1774))),"DESCARTADO",P1774))),)</f>
        <v>67.2</v>
      </c>
      <c r="Q1776" s="107">
        <f t="shared" si="5507"/>
        <v>95.99</v>
      </c>
      <c r="R1776" s="107">
        <f t="shared" si="5507"/>
        <v>93.47</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f t="shared" si="5395"/>
        <v>84</v>
      </c>
      <c r="C1777" s="128">
        <f t="shared" si="5396"/>
        <v>1</v>
      </c>
      <c r="D1777" s="127">
        <f t="shared" si="5396"/>
        <v>84</v>
      </c>
      <c r="E1777" s="201"/>
      <c r="F1777" s="136"/>
      <c r="G1777" s="203"/>
      <c r="H1777" s="206"/>
      <c r="I1777" s="206"/>
      <c r="J1777" s="207"/>
      <c r="K1777" s="67"/>
      <c r="L1777" s="1" t="s">
        <v>43</v>
      </c>
      <c r="M1777" s="143">
        <f t="shared" ref="M1777" si="5508">IFERROR(ROUND(M1758*M1760,2),"")</f>
        <v>342.2</v>
      </c>
      <c r="O1777" s="27" t="s">
        <v>363</v>
      </c>
      <c r="P1777" s="107">
        <f t="shared" ref="P1777:AI1798" si="5509">INDEX(P1764:P1776,MATCH(MAX($J1764:$J1776),$J1764:$J1776,0))</f>
        <v>67.2</v>
      </c>
      <c r="Q1777" s="107">
        <f t="shared" si="5509"/>
        <v>95.99</v>
      </c>
      <c r="R1777" s="107">
        <f t="shared" si="5509"/>
        <v>93.47</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f t="shared" ref="B1779" si="5510">LARGE(IFERROR(IF(B1777+1&gt;$H$8,"",B1777+1),""),1)</f>
        <v>85</v>
      </c>
      <c r="C1779" s="127">
        <f>IF(_xlfn.ISFORMULA(E1783),MAX(INDEX('BASE FORMAÇÃO'!A:A,B1779+1),1),E1783)</f>
        <v>1</v>
      </c>
      <c r="D1779" s="127">
        <f t="shared" ref="D1779" si="5511">IFERROR(IF(C1779=C1769,D1769+1,1),1)</f>
        <v>85</v>
      </c>
      <c r="E1779" s="38" t="s">
        <v>9</v>
      </c>
      <c r="F1779" s="73"/>
      <c r="G1779" s="38" t="s">
        <v>15</v>
      </c>
      <c r="H1779" s="135">
        <f>INDEX('BASE FORMAÇÃO'!B:B,B1779+1)</f>
        <v>0</v>
      </c>
      <c r="I1779" s="181" t="s">
        <v>16</v>
      </c>
      <c r="J1779" s="6">
        <f>INDEX('BASE FORMAÇÃO'!K:K,B1779+1)</f>
        <v>0</v>
      </c>
      <c r="K1779" s="65"/>
      <c r="L1779" s="184" t="s">
        <v>10</v>
      </c>
      <c r="M1779" s="186">
        <f t="shared" ref="M1779" si="5512">IF(OR(ISBLANK($O$8),ISBLANK($O$7),ISBLANK($H$8),ISBLANK($O$6),ISBLANK($O$5),ISBLANK($H$5)),"",IFERROR(IF(VLOOKUP(L1779,L1785:M1794,2,FALSE)&lt;1,ROUND(VLOOKUP(L1779,L1785:M1794,2,FALSE),4),ROUND(VLOOKUP(L1779,L1785:M1794,2,FALSE),2)),""))</f>
        <v>94.94</v>
      </c>
      <c r="N1779" s="69"/>
      <c r="O1779" s="27" t="s">
        <v>17</v>
      </c>
      <c r="P1779" s="113">
        <v>96.9</v>
      </c>
      <c r="Q1779" s="113">
        <v>93.94</v>
      </c>
      <c r="R1779" s="113">
        <v>93.99</v>
      </c>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f t="shared" ref="B1780:D1780" si="5513">B1779</f>
        <v>85</v>
      </c>
      <c r="C1780" s="128">
        <f t="shared" si="5513"/>
        <v>1</v>
      </c>
      <c r="D1780" s="127">
        <f t="shared" si="5513"/>
        <v>85</v>
      </c>
      <c r="E1780" s="188">
        <f t="shared" ref="E1780" si="5514">D1779</f>
        <v>85</v>
      </c>
      <c r="F1780" s="92"/>
      <c r="G1780" s="190" t="s">
        <v>1</v>
      </c>
      <c r="H1780" s="193" t="s">
        <v>769</v>
      </c>
      <c r="I1780" s="194"/>
      <c r="J1780" s="195"/>
      <c r="K1780" s="66"/>
      <c r="L1780" s="185"/>
      <c r="M1780" s="187"/>
      <c r="N1780" s="70"/>
      <c r="O1780" s="27" t="s">
        <v>13</v>
      </c>
      <c r="P1780" s="122">
        <v>46196</v>
      </c>
      <c r="Q1780" s="122">
        <v>46196</v>
      </c>
      <c r="R1780" s="122">
        <v>46196</v>
      </c>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f t="shared" ref="B1781:D1781" si="5515">B1780</f>
        <v>85</v>
      </c>
      <c r="C1781" s="128">
        <f t="shared" si="5515"/>
        <v>1</v>
      </c>
      <c r="D1781" s="127">
        <f t="shared" si="5515"/>
        <v>85</v>
      </c>
      <c r="E1781" s="189"/>
      <c r="F1781" s="93"/>
      <c r="G1781" s="191"/>
      <c r="H1781" s="196"/>
      <c r="I1781" s="196"/>
      <c r="J1781" s="197"/>
      <c r="K1781" s="64"/>
      <c r="L1781" s="130" t="s">
        <v>44</v>
      </c>
      <c r="M1781" s="131">
        <v>4</v>
      </c>
      <c r="N1781" s="71"/>
      <c r="O1781" s="27" t="s">
        <v>380</v>
      </c>
      <c r="P1781" s="114" t="s">
        <v>302</v>
      </c>
      <c r="Q1781" s="114" t="s">
        <v>302</v>
      </c>
      <c r="R1781" s="114" t="s">
        <v>302</v>
      </c>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f t="shared" ref="B1782:C1782" si="5516">B1781</f>
        <v>85</v>
      </c>
      <c r="C1782" s="128">
        <f t="shared" si="5516"/>
        <v>1</v>
      </c>
      <c r="D1782" s="127">
        <f t="shared" si="5396"/>
        <v>85</v>
      </c>
      <c r="E1782" s="38" t="s">
        <v>313</v>
      </c>
      <c r="F1782" s="93"/>
      <c r="G1782" s="192"/>
      <c r="H1782" s="198"/>
      <c r="I1782" s="198"/>
      <c r="J1782" s="199"/>
      <c r="K1782" s="64"/>
      <c r="L1782" s="1" t="s">
        <v>2</v>
      </c>
      <c r="M1782" s="6" t="s">
        <v>288</v>
      </c>
      <c r="N1782" s="71"/>
      <c r="O1782" s="27" t="s">
        <v>381</v>
      </c>
      <c r="P1782" s="182" t="s">
        <v>770</v>
      </c>
      <c r="Q1782" s="182" t="s">
        <v>771</v>
      </c>
      <c r="R1782" s="182" t="s">
        <v>772</v>
      </c>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f t="shared" ref="B1783:C1783" si="5517">B1781</f>
        <v>85</v>
      </c>
      <c r="C1783" s="128">
        <f t="shared" si="5517"/>
        <v>1</v>
      </c>
      <c r="D1783" s="127">
        <f t="shared" si="5396"/>
        <v>85</v>
      </c>
      <c r="E1783" s="200">
        <f t="shared" ref="E1783" si="5518">C1779</f>
        <v>1</v>
      </c>
      <c r="F1783" s="93"/>
      <c r="G1783" s="202" t="s">
        <v>304</v>
      </c>
      <c r="H1783" s="204"/>
      <c r="I1783" s="205"/>
      <c r="J1783" s="205"/>
      <c r="K1783" s="67"/>
      <c r="L1783" s="28" t="s">
        <v>303</v>
      </c>
      <c r="M1783" s="133">
        <f t="shared" ref="M1783" si="5519">IFERROR(INDEX(I1785:I1797,MATCH(MAX(J1785:J1797),J1785:J1797,0)),"")</f>
        <v>1.4574196925151316E-2</v>
      </c>
      <c r="N1783" s="71"/>
      <c r="O1783" s="27" t="s">
        <v>18</v>
      </c>
      <c r="P1783" s="106">
        <f>IF(P1779="","",
IF(OR(P1781="Orçamento",P1780="",MAX('Tabela de Apoio'!$A:$A)&lt;=P1780),
P1779,
(INDEX('Tabela de Apoio'!$B:$B,MATCH('MAPA DE PREÇOS'!$O$8,'Tabela de Apoio'!$A:$A,1))/INDEX('Tabela de Apoio'!$B:$B,MATCH('MAPA DE PREÇOS'!P1780,'Tabela de Apoio'!$A:$A,1)-1))*P1779))</f>
        <v>96.9</v>
      </c>
      <c r="Q1783" s="106">
        <f>IF(Q1779="","",
IF(OR(Q1781="Orçamento",Q1780="",MAX('Tabela de Apoio'!$A:$A)&lt;=Q1780),
Q1779,
(INDEX('Tabela de Apoio'!$B:$B,MATCH('MAPA DE PREÇOS'!$O$8,'Tabela de Apoio'!$A:$A,1))/INDEX('Tabela de Apoio'!$B:$B,MATCH('MAPA DE PREÇOS'!Q1780,'Tabela de Apoio'!$A:$A,1)-1))*Q1779))</f>
        <v>93.94</v>
      </c>
      <c r="R1783" s="106">
        <f>IF(R1779="","",
IF(OR(R1781="Orçamento",R1780="",MAX('Tabela de Apoio'!$A:$A)&lt;=R1780),
R1779,
(INDEX('Tabela de Apoio'!$B:$B,MATCH('MAPA DE PREÇOS'!$O$8,'Tabela de Apoio'!$A:$A,1))/INDEX('Tabela de Apoio'!$B:$B,MATCH('MAPA DE PREÇOS'!R1780,'Tabela de Apoio'!$A:$A,1)-1))*R1779))</f>
        <v>93.99</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f t="shared" ref="B1784" si="5520">B1783</f>
        <v>85</v>
      </c>
      <c r="C1784" s="128">
        <f t="shared" ref="C1784" si="5521">C1783</f>
        <v>1</v>
      </c>
      <c r="D1784" s="127">
        <f t="shared" si="5396"/>
        <v>85</v>
      </c>
      <c r="E1784" s="201"/>
      <c r="F1784" s="93"/>
      <c r="G1784" s="203"/>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f t="shared" ref="B1785:C1785" si="5522">B1784</f>
        <v>85</v>
      </c>
      <c r="C1785" s="128">
        <f t="shared" si="5522"/>
        <v>1</v>
      </c>
      <c r="D1785" s="127">
        <f t="shared" si="5396"/>
        <v>85</v>
      </c>
      <c r="E1785" s="201"/>
      <c r="F1785" s="93"/>
      <c r="G1785" s="203"/>
      <c r="H1785" s="134">
        <f t="shared" ref="H1785" si="5523">COUNT($P1785:$XX1785)</f>
        <v>3</v>
      </c>
      <c r="I1785" s="132">
        <f t="shared" ref="I1785" si="5524">_xlfn.STDEV.P($P1784:$XX1785)/AVERAGE($P1784:$XX1785)</f>
        <v>1.4574196925151316E-2</v>
      </c>
      <c r="J1785" s="7">
        <f>ROW()</f>
        <v>1785</v>
      </c>
      <c r="K1785" s="67"/>
      <c r="L1785" s="29" t="s">
        <v>10</v>
      </c>
      <c r="M1785" s="30">
        <f t="shared" ref="M1785" si="5525">IFERROR(
IF(COUNTA(P1779:AI1779)=COUNTIF(P1781:XX1781,"Orçamento"),MIN(M1790,M1787),
IF(M1788&lt;&gt;"",M1788,
IF(M1789&lt;&gt;"",M1789,
M1787
))),"")</f>
        <v>94.943333333333328</v>
      </c>
      <c r="N1785" s="71"/>
      <c r="O1785" s="27" t="s">
        <v>376</v>
      </c>
      <c r="P1785" s="106">
        <f t="shared" ref="P1785:AI1785" si="5526">IFERROR(IF(P1783="",
            "",
            IF(COUNT($P1783:$XX1783)&lt;=4,
               P1783,
               IF(OR(P1783&gt;(QUARTILE($P1783:$XX1783,3)+(QUARTILE($P1783:$XX1783,3)-QUARTILE($P1783:$XX1783,1))),
                     P1783&lt;(QUARTILE($P1783:$XX1783,1)-(QUARTILE($P1783:$XX1783,3)-QUARTILE($P1783:$XX1783,1)))
                  ),
               "DESCARTADO",P1783)
             )
  ),P1783)</f>
        <v>96.9</v>
      </c>
      <c r="Q1785" s="106">
        <f t="shared" si="5526"/>
        <v>93.94</v>
      </c>
      <c r="R1785" s="106">
        <f t="shared" si="5526"/>
        <v>93.99</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f t="shared" ref="B1786" si="5527">B1785</f>
        <v>85</v>
      </c>
      <c r="C1786" s="128">
        <f t="shared" ref="C1786" si="5528">C1785</f>
        <v>1</v>
      </c>
      <c r="D1786" s="127">
        <f t="shared" si="5396"/>
        <v>85</v>
      </c>
      <c r="E1786" s="201"/>
      <c r="F1786" s="93"/>
      <c r="G1786" s="203"/>
      <c r="H1786"/>
      <c r="I1786"/>
      <c r="J1786"/>
      <c r="K1786" s="66"/>
      <c r="L1786" s="29" t="s">
        <v>360</v>
      </c>
      <c r="M1786" s="30">
        <f t="shared" ref="M1786" si="5529">AVERAGE($P1785:$XX1785)</f>
        <v>94.943333333333328</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f t="shared" si="5395"/>
        <v>85</v>
      </c>
      <c r="C1787" s="128">
        <f t="shared" si="5396"/>
        <v>1</v>
      </c>
      <c r="D1787" s="127">
        <f t="shared" si="5396"/>
        <v>85</v>
      </c>
      <c r="E1787" s="201"/>
      <c r="F1787" s="93"/>
      <c r="G1787" s="203"/>
      <c r="H1787" s="134">
        <f t="shared" ref="H1787" si="5531">COUNT($P1787:$XX1787)</f>
        <v>3</v>
      </c>
      <c r="I1787" s="132">
        <f t="shared" ref="I1787" si="5532">_xlfn.STDEV.P($P1786:$XX1787)/AVERAGE($P1786:$XX1787)</f>
        <v>1.4574196925151316E-2</v>
      </c>
      <c r="J1787" s="7">
        <f t="shared" ref="J1787" si="5533">IF(AND(H1787&gt;2,
OR(L1779="MÉDIA SANEADA",L1779="MEDIANA SANEADA",
AND(L1779="PREÇO ESTIMADO",NOT(AND(P1781="Orçamento",COUNTA(P1779:XX1779)=COUNTIF(P1781:XX1781,"Orçamento")))))),
ROW(),0)</f>
        <v>1787</v>
      </c>
      <c r="K1787" s="66"/>
      <c r="L1787" s="29" t="s">
        <v>361</v>
      </c>
      <c r="M1787" s="30">
        <f t="shared" ref="M1787" si="5534">MEDIAN($P1785:$XX1785)</f>
        <v>93.99</v>
      </c>
      <c r="N1787" s="71"/>
      <c r="O1787" s="27" t="str">
        <f t="shared" ref="O1787" si="5535">"1 RODADA"</f>
        <v>1 RODADA</v>
      </c>
      <c r="P1787" s="107">
        <f t="shared" ref="P1787:AI1787" si="5536">IF(P1785="","",IF((_xlfn.STDEV.P($P1784:$XX1785)/AVERAGE($P1784:$XX1785))&lt;=25%,P1785,IF(OR(P1785&gt;(AVERAGE($P1784:$XX1785)+_xlfn.STDEV.P($P1784:$XX1785)),P1785&lt;(AVERAGE($P1784:$XX1785)-_xlfn.STDEV.P($P1784:$XX1785))),"DESCARTADO",P1785)))</f>
        <v>96.9</v>
      </c>
      <c r="Q1787" s="107">
        <f t="shared" si="5536"/>
        <v>93.94</v>
      </c>
      <c r="R1787" s="107">
        <f t="shared" si="5536"/>
        <v>93.99</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f t="shared" si="5395"/>
        <v>85</v>
      </c>
      <c r="C1788" s="128">
        <f t="shared" si="5396"/>
        <v>1</v>
      </c>
      <c r="D1788" s="127">
        <f t="shared" si="5396"/>
        <v>85</v>
      </c>
      <c r="E1788" s="201"/>
      <c r="F1788" s="93"/>
      <c r="G1788" s="203"/>
      <c r="H1788"/>
      <c r="I1788"/>
      <c r="J1788"/>
      <c r="L1788" s="29" t="s">
        <v>38</v>
      </c>
      <c r="M1788" s="30">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94.943333333333328</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f t="shared" si="5395"/>
        <v>85</v>
      </c>
      <c r="C1789" s="128">
        <f t="shared" si="5396"/>
        <v>1</v>
      </c>
      <c r="D1789" s="127">
        <f t="shared" si="5396"/>
        <v>85</v>
      </c>
      <c r="E1789" s="201"/>
      <c r="F1789" s="93"/>
      <c r="G1789" s="203"/>
      <c r="H1789" s="134">
        <f t="shared" ref="H1789" si="5539">COUNT($P1789:$XX1789)</f>
        <v>3</v>
      </c>
      <c r="I1789" s="132">
        <f t="shared" ref="I1789" si="5540">_xlfn.STDEV.P($P1788:$XX1789)/AVERAGE($P1788:$XX1789)</f>
        <v>1.4574196925151316E-2</v>
      </c>
      <c r="J1789" s="7">
        <f t="shared" ref="J1789" si="5541">IF(AND(H1789&gt;2,
OR(L1779="MÉDIA SANEADA",L1779="MEDIANA SANEADA",
AND(L1779="PREÇO ESTIMADO",NOT(AND(P1781="Orçamento",COUNTA(P1779:XX1779)=COUNTIF(P1781:XX1781,"Orçamento")))))),
ROW(),0)</f>
        <v>1789</v>
      </c>
      <c r="K1789" s="66"/>
      <c r="L1789" s="29" t="s">
        <v>362</v>
      </c>
      <c r="M1789" s="30">
        <f t="shared" ref="M1789" si="5542" xml:space="preserve">
IF(H1787&gt;2,MEDIAN(P1786:XX1787),
IF(H1789&gt;2,MEDIAN(P1788:XX1789),
IF(H1791&gt;2,MEDIAN(P1790:XX1791),
IF(H1793&gt;2,MEDIAN(P1792:XX1793),
IF(H1795&gt;2,MEDIAN(P1794:XX1795),
IF(H1797&gt;2,MEDIAN(P1796:XX1797),
MEDIAN(P1784:XX1785)))))))</f>
        <v>93.99</v>
      </c>
      <c r="N1789" s="71"/>
      <c r="O1789" s="27" t="str">
        <f t="shared" ref="O1789" si="5543">"2 RODADA"</f>
        <v>2 RODADA</v>
      </c>
      <c r="P1789" s="107">
        <f t="shared" ref="P1789:AI1789" si="5544">IF(P1787="","",IF((_xlfn.STDEV.P($P1786:$XX1787)/AVERAGE($P1786:$XX1787))&lt;=25%,P1787,IF(OR(P1787&gt;(AVERAGE($P1786:$XX1787)+_xlfn.STDEV.P($P1786:$XX1787)),P1787&lt;(AVERAGE($P1786:$XX1787)-_xlfn.STDEV.P($P1786:$XX1787))),"DESCARTADO",P1787)))</f>
        <v>96.9</v>
      </c>
      <c r="Q1789" s="107">
        <f t="shared" si="5544"/>
        <v>93.94</v>
      </c>
      <c r="R1789" s="107">
        <f t="shared" si="5544"/>
        <v>93.99</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f t="shared" si="5395"/>
        <v>85</v>
      </c>
      <c r="C1790" s="128">
        <f t="shared" si="5396"/>
        <v>1</v>
      </c>
      <c r="D1790" s="127">
        <f t="shared" si="5396"/>
        <v>85</v>
      </c>
      <c r="E1790" s="201"/>
      <c r="F1790" s="93"/>
      <c r="G1790" s="203"/>
      <c r="H1790"/>
      <c r="I1790"/>
      <c r="J1790"/>
      <c r="K1790" s="66"/>
      <c r="L1790" s="29" t="s">
        <v>359</v>
      </c>
      <c r="M1790" s="30">
        <f t="shared" ref="M1790" si="5545">HARMEAN($P1784:$XX1785)</f>
        <v>94.923372188448369</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f t="shared" si="5395"/>
        <v>85</v>
      </c>
      <c r="C1791" s="128">
        <f t="shared" si="5396"/>
        <v>1</v>
      </c>
      <c r="D1791" s="127">
        <f t="shared" si="5396"/>
        <v>85</v>
      </c>
      <c r="E1791" s="201"/>
      <c r="F1791" s="93"/>
      <c r="G1791" s="203"/>
      <c r="H1791" s="134">
        <f t="shared" ref="H1791" si="5547">COUNT($P1791:$XX1791)</f>
        <v>3</v>
      </c>
      <c r="I1791" s="132">
        <f t="shared" ref="I1791" si="5548">_xlfn.STDEV.P($P1790:$XX1791)/AVERAGE($P1790:$XX1791)</f>
        <v>1.4574196925151316E-2</v>
      </c>
      <c r="J1791" s="7">
        <f t="shared" ref="J1791" si="5549">IF(AND(H1791&gt;2,
OR(L1779="MÉDIA SANEADA",L1779="MEDIANA SANEADA",
AND(L1779="PREÇO ESTIMADO",NOT(AND(P1781="Orçamento",COUNTA(P1779:XX1779)=COUNTIF(P1781:XX1781,"Orçamento")))))),
ROW(),0)</f>
        <v>1791</v>
      </c>
      <c r="K1791" s="66"/>
      <c r="L1791" s="29" t="s">
        <v>41</v>
      </c>
      <c r="M1791" s="30">
        <f t="shared" ref="M1791" si="5550">IFERROR(_xlfn.QUARTILE.EXC($P1785:$XX1785,1),"")</f>
        <v>93.94</v>
      </c>
      <c r="N1791" s="71"/>
      <c r="O1791" s="27" t="str">
        <f t="shared" ref="O1791" si="5551">"3 RODADA"</f>
        <v>3 RODADA</v>
      </c>
      <c r="P1791" s="107">
        <f t="shared" ref="P1791:AI1791" si="5552">IF(P1789="","",IF((_xlfn.STDEV.P($P1788:$XX1789)/AVERAGE($P1788:$XX1789))&lt;=25%,P1789,IF(OR(P1789&gt;(AVERAGE($P1788:$XX1789)+_xlfn.STDEV.P($P1788:$XX1789)),P1789&lt;(AVERAGE($P1788:$XX1789)-_xlfn.STDEV.P($P1788:$XX1789))),"DESCARTADO",P1789)))</f>
        <v>96.9</v>
      </c>
      <c r="Q1791" s="107">
        <f t="shared" si="5552"/>
        <v>93.94</v>
      </c>
      <c r="R1791" s="107">
        <f t="shared" si="5552"/>
        <v>93.99</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f t="shared" si="5395"/>
        <v>85</v>
      </c>
      <c r="C1792" s="128">
        <f t="shared" si="5396"/>
        <v>1</v>
      </c>
      <c r="D1792" s="127">
        <f t="shared" si="5396"/>
        <v>85</v>
      </c>
      <c r="E1792" s="201"/>
      <c r="F1792" s="93"/>
      <c r="G1792" s="203"/>
      <c r="H1792"/>
      <c r="I1792"/>
      <c r="J1792"/>
      <c r="K1792" s="66"/>
      <c r="L1792" s="29" t="s">
        <v>39</v>
      </c>
      <c r="M1792" s="30">
        <f t="shared" ref="M1792" si="5553">IFERROR(_xlfn.QUARTILE.EXC($P1785:$XX1785,3),"")</f>
        <v>96.9</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f t="shared" si="5395"/>
        <v>85</v>
      </c>
      <c r="C1793" s="128">
        <f t="shared" si="5396"/>
        <v>1</v>
      </c>
      <c r="D1793" s="127">
        <f t="shared" si="5396"/>
        <v>85</v>
      </c>
      <c r="E1793" s="201"/>
      <c r="F1793" s="93"/>
      <c r="G1793" s="203"/>
      <c r="H1793" s="134">
        <f t="shared" ref="H1793" si="5555">COUNT($P1793:$XX1793)</f>
        <v>3</v>
      </c>
      <c r="I1793" s="132">
        <f t="shared" ref="I1793" si="5556">_xlfn.STDEV.P($P1792:$XX1793)/AVERAGE($P1792:$XX1793)</f>
        <v>1.4574196925151316E-2</v>
      </c>
      <c r="J1793" s="7">
        <f t="shared" ref="J1793" si="5557">IF(AND(H1793&gt;2,
OR(L1779="MÉDIA SANEADA",L1779="MEDIANA SANEADA",
AND(L1779="PREÇO ESTIMADO",NOT(AND(P1781="Orçamento",COUNTA(P1779:XX1779)=COUNTIF(P1781:XX1781,"Orçamento")))))),
ROW(),0)</f>
        <v>1793</v>
      </c>
      <c r="K1793" s="66"/>
      <c r="L1793" s="29" t="s">
        <v>42</v>
      </c>
      <c r="M1793" s="30">
        <f t="shared" ref="M1793" si="5558">MIN($P1785:$XX1785)</f>
        <v>93.94</v>
      </c>
      <c r="N1793" s="71"/>
      <c r="O1793" s="27" t="str">
        <f t="shared" ref="O1793" si="5559">"4 RODADA"</f>
        <v>4 RODADA</v>
      </c>
      <c r="P1793" s="107">
        <f t="shared" ref="P1793:AI1793" si="5560">IF(P1791="","",IF((_xlfn.STDEV.P($P1790:$XX1791)/AVERAGE($P1790:$XX1791))&lt;=25%,P1791,IF(OR(P1791&gt;(AVERAGE($P1790:$XX1791)+_xlfn.STDEV.P($P1790:$XX1791)),P1791&lt;(AVERAGE($P1790:$XX1791)-_xlfn.STDEV.P($P1790:$XX1791))),"DESCARTADO",P1791)))</f>
        <v>96.9</v>
      </c>
      <c r="Q1793" s="107">
        <f t="shared" si="5560"/>
        <v>93.94</v>
      </c>
      <c r="R1793" s="107">
        <f t="shared" si="5560"/>
        <v>93.99</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f t="shared" si="5395"/>
        <v>85</v>
      </c>
      <c r="C1794" s="128">
        <f t="shared" si="5396"/>
        <v>1</v>
      </c>
      <c r="D1794" s="127">
        <f t="shared" si="5396"/>
        <v>85</v>
      </c>
      <c r="E1794" s="201"/>
      <c r="F1794" s="93"/>
      <c r="G1794" s="203"/>
      <c r="H1794"/>
      <c r="I1794"/>
      <c r="J1794"/>
      <c r="K1794" s="66"/>
      <c r="L1794" s="29" t="s">
        <v>40</v>
      </c>
      <c r="M1794" s="30">
        <f t="shared" ref="M1794" si="5561">MAX($P1785:$XX1785)</f>
        <v>96.9</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f t="shared" si="5395"/>
        <v>85</v>
      </c>
      <c r="C1795" s="128">
        <f t="shared" si="5396"/>
        <v>1</v>
      </c>
      <c r="D1795" s="127">
        <f t="shared" si="5396"/>
        <v>85</v>
      </c>
      <c r="E1795" s="201"/>
      <c r="F1795" s="93"/>
      <c r="G1795" s="203"/>
      <c r="H1795" s="134">
        <f t="shared" ref="H1795" si="5563">COUNT($P1795:$XX1795)</f>
        <v>3</v>
      </c>
      <c r="I1795" s="132">
        <f t="shared" ref="I1795" si="5564">_xlfn.STDEV.P($P1794:$XX1795)/AVERAGE($P1794:$XX1795)</f>
        <v>1.4574196925151316E-2</v>
      </c>
      <c r="J1795" s="7">
        <f t="shared" ref="J1795" si="5565">IF(AND(H1795&gt;2,
OR(L1779="MÉDIA SANEADA",L1779="MEDIANA SANEADA",
AND(L1779="PREÇO ESTIMADO",NOT(AND(P1781="Orçamento",COUNTA(P1779:XX1779)=COUNTIF(P1781:XX1781,"Orçamento")))))),
ROW(),0)</f>
        <v>1795</v>
      </c>
      <c r="K1795" s="66"/>
      <c r="N1795" s="71"/>
      <c r="O1795" s="27" t="str">
        <f t="shared" ref="O1795" si="5566">"5 RODADA"</f>
        <v>5 RODADA</v>
      </c>
      <c r="P1795" s="107">
        <f t="shared" ref="P1795:AI1795" si="5567">IF(P1793="","",IF((_xlfn.STDEV.P($P1792:$XX1793)/AVERAGE($P1792:$XX1793))&lt;=25%,P1793,IF(OR(P1793&gt;(AVERAGE($P1792:$XX1793)+_xlfn.STDEV.P($P1792:$XX1793)),P1793&lt;(AVERAGE($P1792:$XX1793)-_xlfn.STDEV.P($P1792:$XX1793))),"DESCARTADO",P1793)))</f>
        <v>96.9</v>
      </c>
      <c r="Q1795" s="107">
        <f t="shared" si="5567"/>
        <v>93.94</v>
      </c>
      <c r="R1795" s="107">
        <f t="shared" si="5567"/>
        <v>93.99</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f t="shared" si="5395"/>
        <v>85</v>
      </c>
      <c r="C1796" s="128">
        <f t="shared" si="5396"/>
        <v>1</v>
      </c>
      <c r="D1796" s="127">
        <f t="shared" si="5396"/>
        <v>85</v>
      </c>
      <c r="E1796" s="201"/>
      <c r="F1796" s="93"/>
      <c r="G1796" s="203"/>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f t="shared" si="5395"/>
        <v>85</v>
      </c>
      <c r="C1797" s="128">
        <f t="shared" si="5396"/>
        <v>1</v>
      </c>
      <c r="D1797" s="127">
        <f t="shared" si="5396"/>
        <v>85</v>
      </c>
      <c r="E1797" s="201"/>
      <c r="F1797" s="93"/>
      <c r="G1797" s="203"/>
      <c r="H1797" s="134">
        <f t="shared" ref="H1797" si="5569">COUNT($P1797:$XX1797)</f>
        <v>3</v>
      </c>
      <c r="I1797" s="132">
        <f t="shared" ref="I1797" si="5570">_xlfn.STDEV.P($P1796:$XX1797)/AVERAGE($P1796:$XX1797)</f>
        <v>1.4574196925151316E-2</v>
      </c>
      <c r="J1797" s="7">
        <f t="shared" ref="J1797" si="5571">IF(AND(H1797&gt;2,
OR(L1779="MÉDIA SANEADA",L1779="MEDIANA SANEADA",
AND(L1779="PREÇO ESTIMADO",NOT(AND(P1781="Orçamento",COUNTA(P1779:XX1779)=COUNTIF(P1781:XX1781,"Orçamento")))))),
ROW(),0)</f>
        <v>1797</v>
      </c>
      <c r="N1797" s="71"/>
      <c r="O1797" s="27" t="str">
        <f t="shared" ref="O1797" si="5572">"6 RODADA"</f>
        <v>6 RODADA</v>
      </c>
      <c r="P1797" s="107">
        <f t="shared" ref="P1797:AI1797" si="5573">IFERROR(IF(P1795="","",IF((_xlfn.STDEV.P($P1794:$XX1795)/AVERAGE($P1794:$XX1795))&lt;=25%,P1795,IF(OR(P1795&gt;(AVERAGE($P1794:$XX1795)+_xlfn.STDEV.P($P1794:$XX1795)),P1795&lt;(AVERAGE($P1794:$XX1795)-_xlfn.STDEV.P($P1794:$XX1795))),"DESCARTADO",P1795))),)</f>
        <v>96.9</v>
      </c>
      <c r="Q1797" s="107">
        <f t="shared" si="5573"/>
        <v>93.94</v>
      </c>
      <c r="R1797" s="107">
        <f t="shared" si="5573"/>
        <v>93.99</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f t="shared" si="5395"/>
        <v>85</v>
      </c>
      <c r="C1798" s="128">
        <f t="shared" si="5396"/>
        <v>1</v>
      </c>
      <c r="D1798" s="127">
        <f t="shared" si="5396"/>
        <v>85</v>
      </c>
      <c r="E1798" s="201"/>
      <c r="F1798" s="136"/>
      <c r="G1798" s="203"/>
      <c r="H1798" s="206"/>
      <c r="I1798" s="206"/>
      <c r="J1798" s="207"/>
      <c r="K1798" s="67"/>
      <c r="L1798" s="1" t="s">
        <v>43</v>
      </c>
      <c r="M1798" s="143">
        <f t="shared" ref="M1798" si="5574">IFERROR(ROUND(M1779*M1781,2),"")</f>
        <v>379.76</v>
      </c>
      <c r="O1798" s="27" t="s">
        <v>363</v>
      </c>
      <c r="P1798" s="107">
        <f t="shared" ref="P1798:R1798" si="5575">INDEX(P1785:P1797,MATCH(MAX($J1785:$J1797),$J1785:$J1797,0))</f>
        <v>96.9</v>
      </c>
      <c r="Q1798" s="107">
        <f t="shared" si="5575"/>
        <v>93.94</v>
      </c>
      <c r="R1798" s="107">
        <f t="shared" si="5575"/>
        <v>93.99</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f t="shared" ref="B1800" si="5576">LARGE(IFERROR(IF(B1798+1&gt;$H$8,"",B1798+1),""),1)</f>
        <v>86</v>
      </c>
      <c r="C1800" s="127">
        <f>IF(_xlfn.ISFORMULA(E1804),MAX(INDEX('BASE FORMAÇÃO'!A:A,B1800+1),1),E1804)</f>
        <v>1</v>
      </c>
      <c r="D1800" s="127">
        <f t="shared" ref="D1800" si="5577">IFERROR(IF(C1800=C1790,D1790+1,1),1)</f>
        <v>86</v>
      </c>
      <c r="E1800" s="38" t="s">
        <v>9</v>
      </c>
      <c r="F1800" s="73"/>
      <c r="G1800" s="38" t="s">
        <v>15</v>
      </c>
      <c r="H1800" s="135">
        <f>INDEX('BASE FORMAÇÃO'!B:B,B1800+1)</f>
        <v>0</v>
      </c>
      <c r="I1800" s="181" t="s">
        <v>16</v>
      </c>
      <c r="J1800" s="6">
        <f>INDEX('BASE FORMAÇÃO'!K:K,B1800+1)</f>
        <v>0</v>
      </c>
      <c r="K1800" s="65"/>
      <c r="L1800" s="184" t="s">
        <v>10</v>
      </c>
      <c r="M1800" s="186">
        <f t="shared" ref="M1800" si="5578">IF(OR(ISBLANK($O$8),ISBLANK($O$7),ISBLANK($H$8),ISBLANK($O$6),ISBLANK($O$5),ISBLANK($H$5)),"",IFERROR(IF(VLOOKUP(L1800,L1806:M1815,2,FALSE)&lt;1,ROUND(VLOOKUP(L1800,L1806:M1815,2,FALSE),4),ROUND(VLOOKUP(L1800,L1806:M1815,2,FALSE),2)),""))</f>
        <v>41.93</v>
      </c>
      <c r="N1800" s="69"/>
      <c r="O1800" s="27" t="s">
        <v>17</v>
      </c>
      <c r="P1800" s="113">
        <v>38.9</v>
      </c>
      <c r="Q1800" s="113">
        <v>45.9</v>
      </c>
      <c r="R1800" s="113">
        <v>40.99</v>
      </c>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f t="shared" ref="B1801:D1801" si="5579">B1800</f>
        <v>86</v>
      </c>
      <c r="C1801" s="128">
        <f t="shared" si="5579"/>
        <v>1</v>
      </c>
      <c r="D1801" s="127">
        <f t="shared" si="5579"/>
        <v>86</v>
      </c>
      <c r="E1801" s="188">
        <f t="shared" ref="E1801" si="5580">D1800</f>
        <v>86</v>
      </c>
      <c r="F1801" s="92"/>
      <c r="G1801" s="190" t="s">
        <v>1</v>
      </c>
      <c r="H1801" s="193" t="s">
        <v>773</v>
      </c>
      <c r="I1801" s="194"/>
      <c r="J1801" s="195"/>
      <c r="K1801" s="66"/>
      <c r="L1801" s="185"/>
      <c r="M1801" s="187"/>
      <c r="N1801" s="70"/>
      <c r="O1801" s="27" t="s">
        <v>13</v>
      </c>
      <c r="P1801" s="122">
        <v>46196</v>
      </c>
      <c r="Q1801" s="122">
        <v>46196</v>
      </c>
      <c r="R1801" s="122">
        <v>46196</v>
      </c>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f t="shared" ref="B1802:D1802" si="5581">B1801</f>
        <v>86</v>
      </c>
      <c r="C1802" s="128">
        <f t="shared" si="5581"/>
        <v>1</v>
      </c>
      <c r="D1802" s="127">
        <f t="shared" si="5581"/>
        <v>86</v>
      </c>
      <c r="E1802" s="189"/>
      <c r="F1802" s="93"/>
      <c r="G1802" s="191"/>
      <c r="H1802" s="196"/>
      <c r="I1802" s="196"/>
      <c r="J1802" s="197"/>
      <c r="K1802" s="64"/>
      <c r="L1802" s="130" t="s">
        <v>44</v>
      </c>
      <c r="M1802" s="131">
        <v>4</v>
      </c>
      <c r="N1802" s="71"/>
      <c r="O1802" s="27" t="s">
        <v>380</v>
      </c>
      <c r="P1802" s="114" t="s">
        <v>302</v>
      </c>
      <c r="Q1802" s="114" t="s">
        <v>302</v>
      </c>
      <c r="R1802" s="114" t="s">
        <v>302</v>
      </c>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f t="shared" ref="B1803:C1803" si="5582">B1802</f>
        <v>86</v>
      </c>
      <c r="C1803" s="128">
        <f t="shared" si="5582"/>
        <v>1</v>
      </c>
      <c r="D1803" s="127">
        <f t="shared" si="5396"/>
        <v>86</v>
      </c>
      <c r="E1803" s="38" t="s">
        <v>313</v>
      </c>
      <c r="F1803" s="93"/>
      <c r="G1803" s="192"/>
      <c r="H1803" s="198"/>
      <c r="I1803" s="198"/>
      <c r="J1803" s="199"/>
      <c r="K1803" s="64"/>
      <c r="L1803" s="1" t="s">
        <v>2</v>
      </c>
      <c r="M1803" s="6" t="s">
        <v>288</v>
      </c>
      <c r="N1803" s="71"/>
      <c r="O1803" s="27" t="s">
        <v>381</v>
      </c>
      <c r="P1803" s="182" t="s">
        <v>774</v>
      </c>
      <c r="Q1803" s="182" t="s">
        <v>775</v>
      </c>
      <c r="R1803" s="182" t="s">
        <v>776</v>
      </c>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f t="shared" ref="B1804:C1804" si="5583">B1802</f>
        <v>86</v>
      </c>
      <c r="C1804" s="128">
        <f t="shared" si="5583"/>
        <v>1</v>
      </c>
      <c r="D1804" s="127">
        <f t="shared" si="5396"/>
        <v>86</v>
      </c>
      <c r="E1804" s="200">
        <f t="shared" ref="E1804" si="5584">C1800</f>
        <v>1</v>
      </c>
      <c r="F1804" s="93"/>
      <c r="G1804" s="202" t="s">
        <v>304</v>
      </c>
      <c r="H1804" s="204"/>
      <c r="I1804" s="205"/>
      <c r="J1804" s="205"/>
      <c r="K1804" s="67"/>
      <c r="L1804" s="28" t="s">
        <v>303</v>
      </c>
      <c r="M1804" s="133">
        <f t="shared" ref="M1804" si="5585">IFERROR(INDEX(I1806:I1818,MATCH(MAX(J1806:J1818),J1806:J1818,0)),"")</f>
        <v>6.9974215580480198E-2</v>
      </c>
      <c r="N1804" s="71"/>
      <c r="O1804" s="27" t="s">
        <v>18</v>
      </c>
      <c r="P1804" s="106">
        <f>IF(P1800="","",
IF(OR(P1802="Orçamento",P1801="",MAX('Tabela de Apoio'!$A:$A)&lt;=P1801),
P1800,
(INDEX('Tabela de Apoio'!$B:$B,MATCH('MAPA DE PREÇOS'!$O$8,'Tabela de Apoio'!$A:$A,1))/INDEX('Tabela de Apoio'!$B:$B,MATCH('MAPA DE PREÇOS'!P1801,'Tabela de Apoio'!$A:$A,1)-1))*P1800))</f>
        <v>38.9</v>
      </c>
      <c r="Q1804" s="106">
        <f>IF(Q1800="","",
IF(OR(Q1802="Orçamento",Q1801="",MAX('Tabela de Apoio'!$A:$A)&lt;=Q1801),
Q1800,
(INDEX('Tabela de Apoio'!$B:$B,MATCH('MAPA DE PREÇOS'!$O$8,'Tabela de Apoio'!$A:$A,1))/INDEX('Tabela de Apoio'!$B:$B,MATCH('MAPA DE PREÇOS'!Q1801,'Tabela de Apoio'!$A:$A,1)-1))*Q1800))</f>
        <v>45.9</v>
      </c>
      <c r="R1804" s="106">
        <f>IF(R1800="","",
IF(OR(R1802="Orçamento",R1801="",MAX('Tabela de Apoio'!$A:$A)&lt;=R1801),
R1800,
(INDEX('Tabela de Apoio'!$B:$B,MATCH('MAPA DE PREÇOS'!$O$8,'Tabela de Apoio'!$A:$A,1))/INDEX('Tabela de Apoio'!$B:$B,MATCH('MAPA DE PREÇOS'!R1801,'Tabela de Apoio'!$A:$A,1)-1))*R1800))</f>
        <v>40.99</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f t="shared" ref="B1805" si="5586">B1804</f>
        <v>86</v>
      </c>
      <c r="C1805" s="128">
        <f t="shared" ref="C1805" si="5587">C1804</f>
        <v>1</v>
      </c>
      <c r="D1805" s="127">
        <f t="shared" si="5396"/>
        <v>86</v>
      </c>
      <c r="E1805" s="201"/>
      <c r="F1805" s="93"/>
      <c r="G1805" s="203"/>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f t="shared" ref="B1806:C1806" si="5588">B1805</f>
        <v>86</v>
      </c>
      <c r="C1806" s="128">
        <f t="shared" si="5588"/>
        <v>1</v>
      </c>
      <c r="D1806" s="127">
        <f t="shared" si="5396"/>
        <v>86</v>
      </c>
      <c r="E1806" s="201"/>
      <c r="F1806" s="93"/>
      <c r="G1806" s="203"/>
      <c r="H1806" s="134">
        <f t="shared" ref="H1806" si="5589">COUNT($P1806:$XX1806)</f>
        <v>3</v>
      </c>
      <c r="I1806" s="132">
        <f t="shared" ref="I1806" si="5590">_xlfn.STDEV.P($P1805:$XX1806)/AVERAGE($P1805:$XX1806)</f>
        <v>6.9974215580480198E-2</v>
      </c>
      <c r="J1806" s="7">
        <f>ROW()</f>
        <v>1806</v>
      </c>
      <c r="K1806" s="67"/>
      <c r="L1806" s="29" t="s">
        <v>10</v>
      </c>
      <c r="M1806" s="30">
        <f t="shared" ref="M1806" si="5591">IFERROR(
IF(COUNTA(P1800:AI1800)=COUNTIF(P1802:XX1802,"Orçamento"),MIN(M1811,M1808),
IF(M1809&lt;&gt;"",M1809,
IF(M1810&lt;&gt;"",M1810,
M1808
))),"")</f>
        <v>41.93</v>
      </c>
      <c r="N1806" s="71"/>
      <c r="O1806" s="27" t="s">
        <v>376</v>
      </c>
      <c r="P1806" s="106">
        <f t="shared" ref="P1806:AI1806" si="5592">IFERROR(IF(P1804="",
            "",
            IF(COUNT($P1804:$XX1804)&lt;=4,
               P1804,
               IF(OR(P1804&gt;(QUARTILE($P1804:$XX1804,3)+(QUARTILE($P1804:$XX1804,3)-QUARTILE($P1804:$XX1804,1))),
                     P1804&lt;(QUARTILE($P1804:$XX1804,1)-(QUARTILE($P1804:$XX1804,3)-QUARTILE($P1804:$XX1804,1)))
                  ),
               "DESCARTADO",P1804)
             )
  ),P1804)</f>
        <v>38.9</v>
      </c>
      <c r="Q1806" s="106">
        <f t="shared" si="5592"/>
        <v>45.9</v>
      </c>
      <c r="R1806" s="106">
        <f t="shared" si="5592"/>
        <v>40.99</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f t="shared" ref="B1807:B1861" si="5593">B1806</f>
        <v>86</v>
      </c>
      <c r="C1807" s="128">
        <f t="shared" ref="C1807:D1870" si="5594">C1806</f>
        <v>1</v>
      </c>
      <c r="D1807" s="127">
        <f t="shared" si="5396"/>
        <v>86</v>
      </c>
      <c r="E1807" s="201"/>
      <c r="F1807" s="93"/>
      <c r="G1807" s="203"/>
      <c r="H1807"/>
      <c r="I1807"/>
      <c r="J1807"/>
      <c r="K1807" s="66"/>
      <c r="L1807" s="29" t="s">
        <v>360</v>
      </c>
      <c r="M1807" s="30">
        <f t="shared" ref="M1807" si="5595">AVERAGE($P1806:$XX1806)</f>
        <v>41.93</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f t="shared" si="5593"/>
        <v>86</v>
      </c>
      <c r="C1808" s="128">
        <f t="shared" si="5594"/>
        <v>1</v>
      </c>
      <c r="D1808" s="127">
        <f t="shared" si="5594"/>
        <v>86</v>
      </c>
      <c r="E1808" s="201"/>
      <c r="F1808" s="93"/>
      <c r="G1808" s="203"/>
      <c r="H1808" s="134">
        <f t="shared" ref="H1808" si="5597">COUNT($P1808:$XX1808)</f>
        <v>3</v>
      </c>
      <c r="I1808" s="132">
        <f t="shared" ref="I1808" si="5598">_xlfn.STDEV.P($P1807:$XX1808)/AVERAGE($P1807:$XX1808)</f>
        <v>6.9974215580480198E-2</v>
      </c>
      <c r="J1808" s="7">
        <f t="shared" ref="J1808" si="5599">IF(AND(H1808&gt;2,
OR(L1800="MÉDIA SANEADA",L1800="MEDIANA SANEADA",
AND(L1800="PREÇO ESTIMADO",NOT(AND(P1802="Orçamento",COUNTA(P1800:XX1800)=COUNTIF(P1802:XX1802,"Orçamento")))))),
ROW(),0)</f>
        <v>1808</v>
      </c>
      <c r="K1808" s="66"/>
      <c r="L1808" s="29" t="s">
        <v>361</v>
      </c>
      <c r="M1808" s="30">
        <f t="shared" ref="M1808" si="5600">MEDIAN($P1806:$XX1806)</f>
        <v>40.99</v>
      </c>
      <c r="N1808" s="71"/>
      <c r="O1808" s="27" t="str">
        <f t="shared" ref="O1808" si="5601">"1 RODADA"</f>
        <v>1 RODADA</v>
      </c>
      <c r="P1808" s="107">
        <f t="shared" ref="P1808:AI1808" si="5602">IF(P1806="","",IF((_xlfn.STDEV.P($P1805:$XX1806)/AVERAGE($P1805:$XX1806))&lt;=25%,P1806,IF(OR(P1806&gt;(AVERAGE($P1805:$XX1806)+_xlfn.STDEV.P($P1805:$XX1806)),P1806&lt;(AVERAGE($P1805:$XX1806)-_xlfn.STDEV.P($P1805:$XX1806))),"DESCARTADO",P1806)))</f>
        <v>38.9</v>
      </c>
      <c r="Q1808" s="107">
        <f t="shared" si="5602"/>
        <v>45.9</v>
      </c>
      <c r="R1808" s="107">
        <f t="shared" si="5602"/>
        <v>40.99</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f t="shared" si="5593"/>
        <v>86</v>
      </c>
      <c r="C1809" s="128">
        <f t="shared" si="5594"/>
        <v>1</v>
      </c>
      <c r="D1809" s="127">
        <f t="shared" si="5594"/>
        <v>86</v>
      </c>
      <c r="E1809" s="201"/>
      <c r="F1809" s="93"/>
      <c r="G1809" s="203"/>
      <c r="H1809"/>
      <c r="I1809"/>
      <c r="J1809"/>
      <c r="L1809" s="29" t="s">
        <v>38</v>
      </c>
      <c r="M1809" s="30">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41.93</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f t="shared" si="5593"/>
        <v>86</v>
      </c>
      <c r="C1810" s="128">
        <f t="shared" si="5594"/>
        <v>1</v>
      </c>
      <c r="D1810" s="127">
        <f t="shared" si="5594"/>
        <v>86</v>
      </c>
      <c r="E1810" s="201"/>
      <c r="F1810" s="93"/>
      <c r="G1810" s="203"/>
      <c r="H1810" s="134">
        <f t="shared" ref="H1810" si="5605">COUNT($P1810:$XX1810)</f>
        <v>3</v>
      </c>
      <c r="I1810" s="132">
        <f t="shared" ref="I1810" si="5606">_xlfn.STDEV.P($P1809:$XX1810)/AVERAGE($P1809:$XX1810)</f>
        <v>6.9974215580480198E-2</v>
      </c>
      <c r="J1810" s="7">
        <f t="shared" ref="J1810" si="5607">IF(AND(H1810&gt;2,
OR(L1800="MÉDIA SANEADA",L1800="MEDIANA SANEADA",
AND(L1800="PREÇO ESTIMADO",NOT(AND(P1802="Orçamento",COUNTA(P1800:XX1800)=COUNTIF(P1802:XX1802,"Orçamento")))))),
ROW(),0)</f>
        <v>1810</v>
      </c>
      <c r="K1810" s="66"/>
      <c r="L1810" s="29" t="s">
        <v>362</v>
      </c>
      <c r="M1810" s="30">
        <f t="shared" ref="M1810" si="5608" xml:space="preserve">
IF(H1808&gt;2,MEDIAN(P1807:XX1808),
IF(H1810&gt;2,MEDIAN(P1809:XX1810),
IF(H1812&gt;2,MEDIAN(P1811:XX1812),
IF(H1814&gt;2,MEDIAN(P1813:XX1814),
IF(H1816&gt;2,MEDIAN(P1815:XX1816),
IF(H1818&gt;2,MEDIAN(P1817:XX1818),
MEDIAN(P1805:XX1806)))))))</f>
        <v>40.99</v>
      </c>
      <c r="N1810" s="71"/>
      <c r="O1810" s="27" t="str">
        <f t="shared" ref="O1810" si="5609">"2 RODADA"</f>
        <v>2 RODADA</v>
      </c>
      <c r="P1810" s="107">
        <f t="shared" ref="P1810:AI1810" si="5610">IF(P1808="","",IF((_xlfn.STDEV.P($P1807:$XX1808)/AVERAGE($P1807:$XX1808))&lt;=25%,P1808,IF(OR(P1808&gt;(AVERAGE($P1807:$XX1808)+_xlfn.STDEV.P($P1807:$XX1808)),P1808&lt;(AVERAGE($P1807:$XX1808)-_xlfn.STDEV.P($P1807:$XX1808))),"DESCARTADO",P1808)))</f>
        <v>38.9</v>
      </c>
      <c r="Q1810" s="107">
        <f t="shared" si="5610"/>
        <v>45.9</v>
      </c>
      <c r="R1810" s="107">
        <f t="shared" si="5610"/>
        <v>40.99</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f t="shared" si="5593"/>
        <v>86</v>
      </c>
      <c r="C1811" s="128">
        <f t="shared" si="5594"/>
        <v>1</v>
      </c>
      <c r="D1811" s="127">
        <f t="shared" si="5594"/>
        <v>86</v>
      </c>
      <c r="E1811" s="201"/>
      <c r="F1811" s="93"/>
      <c r="G1811" s="203"/>
      <c r="H1811"/>
      <c r="I1811"/>
      <c r="J1811"/>
      <c r="K1811" s="66"/>
      <c r="L1811" s="29" t="s">
        <v>359</v>
      </c>
      <c r="M1811" s="30">
        <f t="shared" ref="M1811" si="5611">HARMEAN($P1805:$XX1806)</f>
        <v>41.730637739092288</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f t="shared" si="5593"/>
        <v>86</v>
      </c>
      <c r="C1812" s="128">
        <f t="shared" si="5594"/>
        <v>1</v>
      </c>
      <c r="D1812" s="127">
        <f t="shared" si="5594"/>
        <v>86</v>
      </c>
      <c r="E1812" s="201"/>
      <c r="F1812" s="93"/>
      <c r="G1812" s="203"/>
      <c r="H1812" s="134">
        <f t="shared" ref="H1812" si="5613">COUNT($P1812:$XX1812)</f>
        <v>3</v>
      </c>
      <c r="I1812" s="132">
        <f t="shared" ref="I1812" si="5614">_xlfn.STDEV.P($P1811:$XX1812)/AVERAGE($P1811:$XX1812)</f>
        <v>6.9974215580480198E-2</v>
      </c>
      <c r="J1812" s="7">
        <f t="shared" ref="J1812" si="5615">IF(AND(H1812&gt;2,
OR(L1800="MÉDIA SANEADA",L1800="MEDIANA SANEADA",
AND(L1800="PREÇO ESTIMADO",NOT(AND(P1802="Orçamento",COUNTA(P1800:XX1800)=COUNTIF(P1802:XX1802,"Orçamento")))))),
ROW(),0)</f>
        <v>1812</v>
      </c>
      <c r="K1812" s="66"/>
      <c r="L1812" s="29" t="s">
        <v>41</v>
      </c>
      <c r="M1812" s="30">
        <f t="shared" ref="M1812" si="5616">IFERROR(_xlfn.QUARTILE.EXC($P1806:$XX1806,1),"")</f>
        <v>38.9</v>
      </c>
      <c r="N1812" s="71"/>
      <c r="O1812" s="27" t="str">
        <f t="shared" ref="O1812" si="5617">"3 RODADA"</f>
        <v>3 RODADA</v>
      </c>
      <c r="P1812" s="107">
        <f t="shared" ref="P1812:AI1812" si="5618">IF(P1810="","",IF((_xlfn.STDEV.P($P1809:$XX1810)/AVERAGE($P1809:$XX1810))&lt;=25%,P1810,IF(OR(P1810&gt;(AVERAGE($P1809:$XX1810)+_xlfn.STDEV.P($P1809:$XX1810)),P1810&lt;(AVERAGE($P1809:$XX1810)-_xlfn.STDEV.P($P1809:$XX1810))),"DESCARTADO",P1810)))</f>
        <v>38.9</v>
      </c>
      <c r="Q1812" s="107">
        <f t="shared" si="5618"/>
        <v>45.9</v>
      </c>
      <c r="R1812" s="107">
        <f t="shared" si="5618"/>
        <v>40.99</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f t="shared" si="5593"/>
        <v>86</v>
      </c>
      <c r="C1813" s="128">
        <f t="shared" si="5594"/>
        <v>1</v>
      </c>
      <c r="D1813" s="127">
        <f t="shared" si="5594"/>
        <v>86</v>
      </c>
      <c r="E1813" s="201"/>
      <c r="F1813" s="93"/>
      <c r="G1813" s="203"/>
      <c r="H1813"/>
      <c r="I1813"/>
      <c r="J1813"/>
      <c r="K1813" s="66"/>
      <c r="L1813" s="29" t="s">
        <v>39</v>
      </c>
      <c r="M1813" s="30">
        <f t="shared" ref="M1813" si="5619">IFERROR(_xlfn.QUARTILE.EXC($P1806:$XX1806,3),"")</f>
        <v>45.9</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f t="shared" si="5593"/>
        <v>86</v>
      </c>
      <c r="C1814" s="128">
        <f t="shared" si="5594"/>
        <v>1</v>
      </c>
      <c r="D1814" s="127">
        <f t="shared" si="5594"/>
        <v>86</v>
      </c>
      <c r="E1814" s="201"/>
      <c r="F1814" s="93"/>
      <c r="G1814" s="203"/>
      <c r="H1814" s="134">
        <f t="shared" ref="H1814" si="5621">COUNT($P1814:$XX1814)</f>
        <v>3</v>
      </c>
      <c r="I1814" s="132">
        <f t="shared" ref="I1814" si="5622">_xlfn.STDEV.P($P1813:$XX1814)/AVERAGE($P1813:$XX1814)</f>
        <v>6.9974215580480198E-2</v>
      </c>
      <c r="J1814" s="7">
        <f t="shared" ref="J1814" si="5623">IF(AND(H1814&gt;2,
OR(L1800="MÉDIA SANEADA",L1800="MEDIANA SANEADA",
AND(L1800="PREÇO ESTIMADO",NOT(AND(P1802="Orçamento",COUNTA(P1800:XX1800)=COUNTIF(P1802:XX1802,"Orçamento")))))),
ROW(),0)</f>
        <v>1814</v>
      </c>
      <c r="K1814" s="66"/>
      <c r="L1814" s="29" t="s">
        <v>42</v>
      </c>
      <c r="M1814" s="30">
        <f t="shared" ref="M1814" si="5624">MIN($P1806:$XX1806)</f>
        <v>38.9</v>
      </c>
      <c r="N1814" s="71"/>
      <c r="O1814" s="27" t="str">
        <f t="shared" ref="O1814" si="5625">"4 RODADA"</f>
        <v>4 RODADA</v>
      </c>
      <c r="P1814" s="107">
        <f t="shared" ref="P1814:AI1814" si="5626">IF(P1812="","",IF((_xlfn.STDEV.P($P1811:$XX1812)/AVERAGE($P1811:$XX1812))&lt;=25%,P1812,IF(OR(P1812&gt;(AVERAGE($P1811:$XX1812)+_xlfn.STDEV.P($P1811:$XX1812)),P1812&lt;(AVERAGE($P1811:$XX1812)-_xlfn.STDEV.P($P1811:$XX1812))),"DESCARTADO",P1812)))</f>
        <v>38.9</v>
      </c>
      <c r="Q1814" s="107">
        <f t="shared" si="5626"/>
        <v>45.9</v>
      </c>
      <c r="R1814" s="107">
        <f t="shared" si="5626"/>
        <v>40.99</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f t="shared" si="5593"/>
        <v>86</v>
      </c>
      <c r="C1815" s="128">
        <f t="shared" si="5594"/>
        <v>1</v>
      </c>
      <c r="D1815" s="127">
        <f t="shared" si="5594"/>
        <v>86</v>
      </c>
      <c r="E1815" s="201"/>
      <c r="F1815" s="93"/>
      <c r="G1815" s="203"/>
      <c r="H1815"/>
      <c r="I1815"/>
      <c r="J1815"/>
      <c r="K1815" s="66"/>
      <c r="L1815" s="29" t="s">
        <v>40</v>
      </c>
      <c r="M1815" s="30">
        <f t="shared" ref="M1815" si="5627">MAX($P1806:$XX1806)</f>
        <v>45.9</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f t="shared" si="5593"/>
        <v>86</v>
      </c>
      <c r="C1816" s="128">
        <f t="shared" si="5594"/>
        <v>1</v>
      </c>
      <c r="D1816" s="127">
        <f t="shared" si="5594"/>
        <v>86</v>
      </c>
      <c r="E1816" s="201"/>
      <c r="F1816" s="93"/>
      <c r="G1816" s="203"/>
      <c r="H1816" s="134">
        <f t="shared" ref="H1816" si="5629">COUNT($P1816:$XX1816)</f>
        <v>3</v>
      </c>
      <c r="I1816" s="132">
        <f t="shared" ref="I1816" si="5630">_xlfn.STDEV.P($P1815:$XX1816)/AVERAGE($P1815:$XX1816)</f>
        <v>6.9974215580480198E-2</v>
      </c>
      <c r="J1816" s="7">
        <f t="shared" ref="J1816" si="5631">IF(AND(H1816&gt;2,
OR(L1800="MÉDIA SANEADA",L1800="MEDIANA SANEADA",
AND(L1800="PREÇO ESTIMADO",NOT(AND(P1802="Orçamento",COUNTA(P1800:XX1800)=COUNTIF(P1802:XX1802,"Orçamento")))))),
ROW(),0)</f>
        <v>1816</v>
      </c>
      <c r="K1816" s="66"/>
      <c r="N1816" s="71"/>
      <c r="O1816" s="27" t="str">
        <f t="shared" ref="O1816" si="5632">"5 RODADA"</f>
        <v>5 RODADA</v>
      </c>
      <c r="P1816" s="107">
        <f t="shared" ref="P1816:AI1816" si="5633">IF(P1814="","",IF((_xlfn.STDEV.P($P1813:$XX1814)/AVERAGE($P1813:$XX1814))&lt;=25%,P1814,IF(OR(P1814&gt;(AVERAGE($P1813:$XX1814)+_xlfn.STDEV.P($P1813:$XX1814)),P1814&lt;(AVERAGE($P1813:$XX1814)-_xlfn.STDEV.P($P1813:$XX1814))),"DESCARTADO",P1814)))</f>
        <v>38.9</v>
      </c>
      <c r="Q1816" s="107">
        <f t="shared" si="5633"/>
        <v>45.9</v>
      </c>
      <c r="R1816" s="107">
        <f t="shared" si="5633"/>
        <v>40.99</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f t="shared" si="5593"/>
        <v>86</v>
      </c>
      <c r="C1817" s="128">
        <f t="shared" si="5594"/>
        <v>1</v>
      </c>
      <c r="D1817" s="127">
        <f t="shared" si="5594"/>
        <v>86</v>
      </c>
      <c r="E1817" s="201"/>
      <c r="F1817" s="93"/>
      <c r="G1817" s="203"/>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f t="shared" si="5593"/>
        <v>86</v>
      </c>
      <c r="C1818" s="128">
        <f t="shared" si="5594"/>
        <v>1</v>
      </c>
      <c r="D1818" s="127">
        <f t="shared" si="5594"/>
        <v>86</v>
      </c>
      <c r="E1818" s="201"/>
      <c r="F1818" s="93"/>
      <c r="G1818" s="203"/>
      <c r="H1818" s="134">
        <f t="shared" ref="H1818" si="5635">COUNT($P1818:$XX1818)</f>
        <v>3</v>
      </c>
      <c r="I1818" s="132">
        <f t="shared" ref="I1818" si="5636">_xlfn.STDEV.P($P1817:$XX1818)/AVERAGE($P1817:$XX1818)</f>
        <v>6.9974215580480198E-2</v>
      </c>
      <c r="J1818" s="7">
        <f t="shared" ref="J1818" si="5637">IF(AND(H1818&gt;2,
OR(L1800="MÉDIA SANEADA",L1800="MEDIANA SANEADA",
AND(L1800="PREÇO ESTIMADO",NOT(AND(P1802="Orçamento",COUNTA(P1800:XX1800)=COUNTIF(P1802:XX1802,"Orçamento")))))),
ROW(),0)</f>
        <v>1818</v>
      </c>
      <c r="N1818" s="71"/>
      <c r="O1818" s="27" t="str">
        <f t="shared" ref="O1818" si="5638">"6 RODADA"</f>
        <v>6 RODADA</v>
      </c>
      <c r="P1818" s="107">
        <f t="shared" ref="P1818:AI1818" si="5639">IFERROR(IF(P1816="","",IF((_xlfn.STDEV.P($P1815:$XX1816)/AVERAGE($P1815:$XX1816))&lt;=25%,P1816,IF(OR(P1816&gt;(AVERAGE($P1815:$XX1816)+_xlfn.STDEV.P($P1815:$XX1816)),P1816&lt;(AVERAGE($P1815:$XX1816)-_xlfn.STDEV.P($P1815:$XX1816))),"DESCARTADO",P1816))),)</f>
        <v>38.9</v>
      </c>
      <c r="Q1818" s="107">
        <f t="shared" si="5639"/>
        <v>45.9</v>
      </c>
      <c r="R1818" s="107">
        <f t="shared" si="5639"/>
        <v>40.99</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f t="shared" si="5593"/>
        <v>86</v>
      </c>
      <c r="C1819" s="128">
        <f t="shared" si="5594"/>
        <v>1</v>
      </c>
      <c r="D1819" s="127">
        <f t="shared" si="5594"/>
        <v>86</v>
      </c>
      <c r="E1819" s="201"/>
      <c r="F1819" s="136"/>
      <c r="G1819" s="203"/>
      <c r="H1819" s="206"/>
      <c r="I1819" s="206"/>
      <c r="J1819" s="207"/>
      <c r="K1819" s="67"/>
      <c r="L1819" s="1" t="s">
        <v>43</v>
      </c>
      <c r="M1819" s="143">
        <f t="shared" ref="M1819" si="5640">IFERROR(ROUND(M1800*M1802,2),"")</f>
        <v>167.72</v>
      </c>
      <c r="O1819" s="27" t="s">
        <v>363</v>
      </c>
      <c r="P1819" s="107">
        <f t="shared" ref="P1819:AI1840" si="5641">INDEX(P1806:P1818,MATCH(MAX($J1806:$J1818),$J1806:$J1818,0))</f>
        <v>38.9</v>
      </c>
      <c r="Q1819" s="107">
        <f t="shared" si="5641"/>
        <v>45.9</v>
      </c>
      <c r="R1819" s="107">
        <f t="shared" si="5641"/>
        <v>40.99</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f t="shared" ref="B1821" si="5642">LARGE(IFERROR(IF(B1819+1&gt;$H$8,"",B1819+1),""),1)</f>
        <v>87</v>
      </c>
      <c r="C1821" s="127">
        <f>IF(_xlfn.ISFORMULA(E1825),MAX(INDEX('BASE FORMAÇÃO'!A:A,B1821+1),1),E1825)</f>
        <v>1</v>
      </c>
      <c r="D1821" s="127">
        <f t="shared" ref="D1821" si="5643">IFERROR(IF(C1821=C1811,D1811+1,1),1)</f>
        <v>87</v>
      </c>
      <c r="E1821" s="38" t="s">
        <v>9</v>
      </c>
      <c r="F1821" s="73"/>
      <c r="G1821" s="38" t="s">
        <v>15</v>
      </c>
      <c r="H1821" s="135">
        <f>INDEX('BASE FORMAÇÃO'!B:B,B1821+1)</f>
        <v>0</v>
      </c>
      <c r="I1821" s="181" t="s">
        <v>16</v>
      </c>
      <c r="J1821" s="6">
        <f>INDEX('BASE FORMAÇÃO'!K:K,B1821+1)</f>
        <v>0</v>
      </c>
      <c r="K1821" s="65"/>
      <c r="L1821" s="184" t="s">
        <v>10</v>
      </c>
      <c r="M1821" s="186">
        <f t="shared" ref="M1821" si="5644">IF(OR(ISBLANK($O$8),ISBLANK($O$7),ISBLANK($H$8),ISBLANK($O$6),ISBLANK($O$5),ISBLANK($H$5)),"",IFERROR(IF(VLOOKUP(L1821,L1827:M1836,2,FALSE)&lt;1,ROUND(VLOOKUP(L1821,L1827:M1836,2,FALSE),4),ROUND(VLOOKUP(L1821,L1827:M1836,2,FALSE),2)),""))</f>
        <v>40.64</v>
      </c>
      <c r="N1821" s="69"/>
      <c r="O1821" s="27" t="s">
        <v>17</v>
      </c>
      <c r="P1821" s="113">
        <v>36.9</v>
      </c>
      <c r="Q1821" s="113">
        <v>50.26</v>
      </c>
      <c r="R1821" s="113">
        <v>34.75</v>
      </c>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f t="shared" ref="B1822:D1822" si="5645">B1821</f>
        <v>87</v>
      </c>
      <c r="C1822" s="128">
        <f t="shared" si="5645"/>
        <v>1</v>
      </c>
      <c r="D1822" s="127">
        <f t="shared" si="5645"/>
        <v>87</v>
      </c>
      <c r="E1822" s="188">
        <f t="shared" ref="E1822" si="5646">D1821</f>
        <v>87</v>
      </c>
      <c r="F1822" s="92"/>
      <c r="G1822" s="190" t="s">
        <v>1</v>
      </c>
      <c r="H1822" s="193" t="s">
        <v>777</v>
      </c>
      <c r="I1822" s="194"/>
      <c r="J1822" s="195"/>
      <c r="K1822" s="66"/>
      <c r="L1822" s="185"/>
      <c r="M1822" s="187"/>
      <c r="N1822" s="70"/>
      <c r="O1822" s="27" t="s">
        <v>13</v>
      </c>
      <c r="P1822" s="122">
        <v>46196</v>
      </c>
      <c r="Q1822" s="122">
        <v>46196</v>
      </c>
      <c r="R1822" s="122">
        <v>46196</v>
      </c>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f t="shared" ref="B1823:D1823" si="5647">B1822</f>
        <v>87</v>
      </c>
      <c r="C1823" s="128">
        <f t="shared" si="5647"/>
        <v>1</v>
      </c>
      <c r="D1823" s="127">
        <f t="shared" si="5647"/>
        <v>87</v>
      </c>
      <c r="E1823" s="189"/>
      <c r="F1823" s="93"/>
      <c r="G1823" s="191"/>
      <c r="H1823" s="196"/>
      <c r="I1823" s="196"/>
      <c r="J1823" s="197"/>
      <c r="K1823" s="64"/>
      <c r="L1823" s="130" t="s">
        <v>44</v>
      </c>
      <c r="M1823" s="131">
        <v>6</v>
      </c>
      <c r="N1823" s="71"/>
      <c r="O1823" s="27" t="s">
        <v>380</v>
      </c>
      <c r="P1823" s="114" t="s">
        <v>302</v>
      </c>
      <c r="Q1823" s="114" t="s">
        <v>302</v>
      </c>
      <c r="R1823" s="114" t="s">
        <v>302</v>
      </c>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f t="shared" ref="B1824:C1824" si="5648">B1823</f>
        <v>87</v>
      </c>
      <c r="C1824" s="128">
        <f t="shared" si="5648"/>
        <v>1</v>
      </c>
      <c r="D1824" s="127">
        <f t="shared" si="5594"/>
        <v>87</v>
      </c>
      <c r="E1824" s="38" t="s">
        <v>313</v>
      </c>
      <c r="F1824" s="93"/>
      <c r="G1824" s="192"/>
      <c r="H1824" s="198"/>
      <c r="I1824" s="198"/>
      <c r="J1824" s="199"/>
      <c r="K1824" s="64"/>
      <c r="L1824" s="1" t="s">
        <v>2</v>
      </c>
      <c r="M1824" s="6" t="s">
        <v>288</v>
      </c>
      <c r="N1824" s="71"/>
      <c r="O1824" s="27" t="s">
        <v>381</v>
      </c>
      <c r="P1824" s="182" t="s">
        <v>778</v>
      </c>
      <c r="Q1824" s="182" t="s">
        <v>779</v>
      </c>
      <c r="R1824" s="182" t="s">
        <v>780</v>
      </c>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f t="shared" ref="B1825:C1825" si="5649">B1823</f>
        <v>87</v>
      </c>
      <c r="C1825" s="128">
        <f t="shared" si="5649"/>
        <v>1</v>
      </c>
      <c r="D1825" s="127">
        <f t="shared" si="5594"/>
        <v>87</v>
      </c>
      <c r="E1825" s="200">
        <f t="shared" ref="E1825" si="5650">C1821</f>
        <v>1</v>
      </c>
      <c r="F1825" s="93"/>
      <c r="G1825" s="202" t="s">
        <v>304</v>
      </c>
      <c r="H1825" s="204"/>
      <c r="I1825" s="205"/>
      <c r="J1825" s="205"/>
      <c r="K1825" s="67"/>
      <c r="L1825" s="28" t="s">
        <v>303</v>
      </c>
      <c r="M1825" s="133">
        <f t="shared" ref="M1825" si="5651">IFERROR(INDEX(I1827:I1839,MATCH(MAX(J1827:J1839),J1827:J1839,0)),"")</f>
        <v>0.16884012021410971</v>
      </c>
      <c r="N1825" s="71"/>
      <c r="O1825" s="27" t="s">
        <v>18</v>
      </c>
      <c r="P1825" s="106">
        <f>IF(P1821="","",
IF(OR(P1823="Orçamento",P1822="",MAX('Tabela de Apoio'!$A:$A)&lt;=P1822),
P1821,
(INDEX('Tabela de Apoio'!$B:$B,MATCH('MAPA DE PREÇOS'!$O$8,'Tabela de Apoio'!$A:$A,1))/INDEX('Tabela de Apoio'!$B:$B,MATCH('MAPA DE PREÇOS'!P1822,'Tabela de Apoio'!$A:$A,1)-1))*P1821))</f>
        <v>36.9</v>
      </c>
      <c r="Q1825" s="106">
        <f>IF(Q1821="","",
IF(OR(Q1823="Orçamento",Q1822="",MAX('Tabela de Apoio'!$A:$A)&lt;=Q1822),
Q1821,
(INDEX('Tabela de Apoio'!$B:$B,MATCH('MAPA DE PREÇOS'!$O$8,'Tabela de Apoio'!$A:$A,1))/INDEX('Tabela de Apoio'!$B:$B,MATCH('MAPA DE PREÇOS'!Q1822,'Tabela de Apoio'!$A:$A,1)-1))*Q1821))</f>
        <v>50.26</v>
      </c>
      <c r="R1825" s="106">
        <f>IF(R1821="","",
IF(OR(R1823="Orçamento",R1822="",MAX('Tabela de Apoio'!$A:$A)&lt;=R1822),
R1821,
(INDEX('Tabela de Apoio'!$B:$B,MATCH('MAPA DE PREÇOS'!$O$8,'Tabela de Apoio'!$A:$A,1))/INDEX('Tabela de Apoio'!$B:$B,MATCH('MAPA DE PREÇOS'!R1822,'Tabela de Apoio'!$A:$A,1)-1))*R1821))</f>
        <v>34.75</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f t="shared" ref="B1826" si="5652">B1825</f>
        <v>87</v>
      </c>
      <c r="C1826" s="128">
        <f t="shared" ref="C1826" si="5653">C1825</f>
        <v>1</v>
      </c>
      <c r="D1826" s="127">
        <f t="shared" si="5594"/>
        <v>87</v>
      </c>
      <c r="E1826" s="201"/>
      <c r="F1826" s="93"/>
      <c r="G1826" s="203"/>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f t="shared" ref="B1827:C1827" si="5654">B1826</f>
        <v>87</v>
      </c>
      <c r="C1827" s="128">
        <f t="shared" si="5654"/>
        <v>1</v>
      </c>
      <c r="D1827" s="127">
        <f t="shared" si="5594"/>
        <v>87</v>
      </c>
      <c r="E1827" s="201"/>
      <c r="F1827" s="93"/>
      <c r="G1827" s="203"/>
      <c r="H1827" s="134">
        <f t="shared" ref="H1827" si="5655">COUNT($P1827:$XX1827)</f>
        <v>3</v>
      </c>
      <c r="I1827" s="132">
        <f t="shared" ref="I1827" si="5656">_xlfn.STDEV.P($P1826:$XX1827)/AVERAGE($P1826:$XX1827)</f>
        <v>0.16884012021410971</v>
      </c>
      <c r="J1827" s="7">
        <f>ROW()</f>
        <v>1827</v>
      </c>
      <c r="K1827" s="67"/>
      <c r="L1827" s="29" t="s">
        <v>10</v>
      </c>
      <c r="M1827" s="30">
        <f t="shared" ref="M1827" si="5657">IFERROR(
IF(COUNTA(P1821:AI1821)=COUNTIF(P1823:XX1823,"Orçamento"),MIN(M1832,M1829),
IF(M1830&lt;&gt;"",M1830,
IF(M1831&lt;&gt;"",M1831,
M1829
))),"")</f>
        <v>40.636666666666663</v>
      </c>
      <c r="N1827" s="71"/>
      <c r="O1827" s="27" t="s">
        <v>376</v>
      </c>
      <c r="P1827" s="106">
        <f t="shared" ref="P1827:AI1827" si="5658">IFERROR(IF(P1825="",
            "",
            IF(COUNT($P1825:$XX1825)&lt;=4,
               P1825,
               IF(OR(P1825&gt;(QUARTILE($P1825:$XX1825,3)+(QUARTILE($P1825:$XX1825,3)-QUARTILE($P1825:$XX1825,1))),
                     P1825&lt;(QUARTILE($P1825:$XX1825,1)-(QUARTILE($P1825:$XX1825,3)-QUARTILE($P1825:$XX1825,1)))
                  ),
               "DESCARTADO",P1825)
             )
  ),P1825)</f>
        <v>36.9</v>
      </c>
      <c r="Q1827" s="106">
        <f t="shared" si="5658"/>
        <v>50.26</v>
      </c>
      <c r="R1827" s="106">
        <f t="shared" si="5658"/>
        <v>34.75</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f t="shared" ref="B1828" si="5659">B1827</f>
        <v>87</v>
      </c>
      <c r="C1828" s="128">
        <f t="shared" ref="C1828" si="5660">C1827</f>
        <v>1</v>
      </c>
      <c r="D1828" s="127">
        <f t="shared" si="5594"/>
        <v>87</v>
      </c>
      <c r="E1828" s="201"/>
      <c r="F1828" s="93"/>
      <c r="G1828" s="203"/>
      <c r="H1828"/>
      <c r="I1828"/>
      <c r="J1828"/>
      <c r="K1828" s="66"/>
      <c r="L1828" s="29" t="s">
        <v>360</v>
      </c>
      <c r="M1828" s="30">
        <f t="shared" ref="M1828" si="5661">AVERAGE($P1827:$XX1827)</f>
        <v>40.636666666666663</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f t="shared" si="5593"/>
        <v>87</v>
      </c>
      <c r="C1829" s="128">
        <f t="shared" si="5594"/>
        <v>1</v>
      </c>
      <c r="D1829" s="127">
        <f t="shared" si="5594"/>
        <v>87</v>
      </c>
      <c r="E1829" s="201"/>
      <c r="F1829" s="93"/>
      <c r="G1829" s="203"/>
      <c r="H1829" s="134">
        <f t="shared" ref="H1829" si="5663">COUNT($P1829:$XX1829)</f>
        <v>3</v>
      </c>
      <c r="I1829" s="132">
        <f t="shared" ref="I1829" si="5664">_xlfn.STDEV.P($P1828:$XX1829)/AVERAGE($P1828:$XX1829)</f>
        <v>0.16884012021410971</v>
      </c>
      <c r="J1829" s="7">
        <f t="shared" ref="J1829" si="5665">IF(AND(H1829&gt;2,
OR(L1821="MÉDIA SANEADA",L1821="MEDIANA SANEADA",
AND(L1821="PREÇO ESTIMADO",NOT(AND(P1823="Orçamento",COUNTA(P1821:XX1821)=COUNTIF(P1823:XX1823,"Orçamento")))))),
ROW(),0)</f>
        <v>1829</v>
      </c>
      <c r="K1829" s="66"/>
      <c r="L1829" s="29" t="s">
        <v>361</v>
      </c>
      <c r="M1829" s="30">
        <f t="shared" ref="M1829" si="5666">MEDIAN($P1827:$XX1827)</f>
        <v>36.9</v>
      </c>
      <c r="N1829" s="71"/>
      <c r="O1829" s="27" t="str">
        <f t="shared" ref="O1829" si="5667">"1 RODADA"</f>
        <v>1 RODADA</v>
      </c>
      <c r="P1829" s="107">
        <f t="shared" ref="P1829:AI1829" si="5668">IF(P1827="","",IF((_xlfn.STDEV.P($P1826:$XX1827)/AVERAGE($P1826:$XX1827))&lt;=25%,P1827,IF(OR(P1827&gt;(AVERAGE($P1826:$XX1827)+_xlfn.STDEV.P($P1826:$XX1827)),P1827&lt;(AVERAGE($P1826:$XX1827)-_xlfn.STDEV.P($P1826:$XX1827))),"DESCARTADO",P1827)))</f>
        <v>36.9</v>
      </c>
      <c r="Q1829" s="107">
        <f t="shared" si="5668"/>
        <v>50.26</v>
      </c>
      <c r="R1829" s="107">
        <f t="shared" si="5668"/>
        <v>34.75</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f t="shared" si="5593"/>
        <v>87</v>
      </c>
      <c r="C1830" s="128">
        <f t="shared" si="5594"/>
        <v>1</v>
      </c>
      <c r="D1830" s="127">
        <f t="shared" si="5594"/>
        <v>87</v>
      </c>
      <c r="E1830" s="201"/>
      <c r="F1830" s="93"/>
      <c r="G1830" s="203"/>
      <c r="H1830"/>
      <c r="I1830"/>
      <c r="J1830"/>
      <c r="L1830" s="29" t="s">
        <v>38</v>
      </c>
      <c r="M1830" s="30">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40.636666666666663</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f t="shared" si="5593"/>
        <v>87</v>
      </c>
      <c r="C1831" s="128">
        <f t="shared" si="5594"/>
        <v>1</v>
      </c>
      <c r="D1831" s="127">
        <f t="shared" si="5594"/>
        <v>87</v>
      </c>
      <c r="E1831" s="201"/>
      <c r="F1831" s="93"/>
      <c r="G1831" s="203"/>
      <c r="H1831" s="134">
        <f t="shared" ref="H1831" si="5671">COUNT($P1831:$XX1831)</f>
        <v>3</v>
      </c>
      <c r="I1831" s="132">
        <f t="shared" ref="I1831" si="5672">_xlfn.STDEV.P($P1830:$XX1831)/AVERAGE($P1830:$XX1831)</f>
        <v>0.16884012021410971</v>
      </c>
      <c r="J1831" s="7">
        <f t="shared" ref="J1831" si="5673">IF(AND(H1831&gt;2,
OR(L1821="MÉDIA SANEADA",L1821="MEDIANA SANEADA",
AND(L1821="PREÇO ESTIMADO",NOT(AND(P1823="Orçamento",COUNTA(P1821:XX1821)=COUNTIF(P1823:XX1823,"Orçamento")))))),
ROW(),0)</f>
        <v>1831</v>
      </c>
      <c r="K1831" s="66"/>
      <c r="L1831" s="29" t="s">
        <v>362</v>
      </c>
      <c r="M1831" s="30">
        <f t="shared" ref="M1831" si="5674" xml:space="preserve">
IF(H1829&gt;2,MEDIAN(P1828:XX1829),
IF(H1831&gt;2,MEDIAN(P1830:XX1831),
IF(H1833&gt;2,MEDIAN(P1832:XX1833),
IF(H1835&gt;2,MEDIAN(P1834:XX1835),
IF(H1837&gt;2,MEDIAN(P1836:XX1837),
IF(H1839&gt;2,MEDIAN(P1838:XX1839),
MEDIAN(P1826:XX1827)))))))</f>
        <v>36.9</v>
      </c>
      <c r="N1831" s="71"/>
      <c r="O1831" s="27" t="str">
        <f t="shared" ref="O1831" si="5675">"2 RODADA"</f>
        <v>2 RODADA</v>
      </c>
      <c r="P1831" s="107">
        <f t="shared" ref="P1831:AI1831" si="5676">IF(P1829="","",IF((_xlfn.STDEV.P($P1828:$XX1829)/AVERAGE($P1828:$XX1829))&lt;=25%,P1829,IF(OR(P1829&gt;(AVERAGE($P1828:$XX1829)+_xlfn.STDEV.P($P1828:$XX1829)),P1829&lt;(AVERAGE($P1828:$XX1829)-_xlfn.STDEV.P($P1828:$XX1829))),"DESCARTADO",P1829)))</f>
        <v>36.9</v>
      </c>
      <c r="Q1831" s="107">
        <f t="shared" si="5676"/>
        <v>50.26</v>
      </c>
      <c r="R1831" s="107">
        <f t="shared" si="5676"/>
        <v>34.75</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f t="shared" si="5593"/>
        <v>87</v>
      </c>
      <c r="C1832" s="128">
        <f t="shared" si="5594"/>
        <v>1</v>
      </c>
      <c r="D1832" s="127">
        <f t="shared" si="5594"/>
        <v>87</v>
      </c>
      <c r="E1832" s="201"/>
      <c r="F1832" s="93"/>
      <c r="G1832" s="203"/>
      <c r="H1832"/>
      <c r="I1832"/>
      <c r="J1832"/>
      <c r="K1832" s="66"/>
      <c r="L1832" s="29" t="s">
        <v>359</v>
      </c>
      <c r="M1832" s="30">
        <f t="shared" ref="M1832" si="5677">HARMEAN($P1826:$XX1827)</f>
        <v>39.591527651613504</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f t="shared" si="5593"/>
        <v>87</v>
      </c>
      <c r="C1833" s="128">
        <f t="shared" si="5594"/>
        <v>1</v>
      </c>
      <c r="D1833" s="127">
        <f t="shared" si="5594"/>
        <v>87</v>
      </c>
      <c r="E1833" s="201"/>
      <c r="F1833" s="93"/>
      <c r="G1833" s="203"/>
      <c r="H1833" s="134">
        <f t="shared" ref="H1833" si="5679">COUNT($P1833:$XX1833)</f>
        <v>3</v>
      </c>
      <c r="I1833" s="132">
        <f t="shared" ref="I1833" si="5680">_xlfn.STDEV.P($P1832:$XX1833)/AVERAGE($P1832:$XX1833)</f>
        <v>0.16884012021410971</v>
      </c>
      <c r="J1833" s="7">
        <f t="shared" ref="J1833" si="5681">IF(AND(H1833&gt;2,
OR(L1821="MÉDIA SANEADA",L1821="MEDIANA SANEADA",
AND(L1821="PREÇO ESTIMADO",NOT(AND(P1823="Orçamento",COUNTA(P1821:XX1821)=COUNTIF(P1823:XX1823,"Orçamento")))))),
ROW(),0)</f>
        <v>1833</v>
      </c>
      <c r="K1833" s="66"/>
      <c r="L1833" s="29" t="s">
        <v>41</v>
      </c>
      <c r="M1833" s="30">
        <f t="shared" ref="M1833" si="5682">IFERROR(_xlfn.QUARTILE.EXC($P1827:$XX1827,1),"")</f>
        <v>34.75</v>
      </c>
      <c r="N1833" s="71"/>
      <c r="O1833" s="27" t="str">
        <f t="shared" ref="O1833" si="5683">"3 RODADA"</f>
        <v>3 RODADA</v>
      </c>
      <c r="P1833" s="107">
        <f t="shared" ref="P1833:AI1833" si="5684">IF(P1831="","",IF((_xlfn.STDEV.P($P1830:$XX1831)/AVERAGE($P1830:$XX1831))&lt;=25%,P1831,IF(OR(P1831&gt;(AVERAGE($P1830:$XX1831)+_xlfn.STDEV.P($P1830:$XX1831)),P1831&lt;(AVERAGE($P1830:$XX1831)-_xlfn.STDEV.P($P1830:$XX1831))),"DESCARTADO",P1831)))</f>
        <v>36.9</v>
      </c>
      <c r="Q1833" s="107">
        <f t="shared" si="5684"/>
        <v>50.26</v>
      </c>
      <c r="R1833" s="107">
        <f t="shared" si="5684"/>
        <v>34.75</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f t="shared" si="5593"/>
        <v>87</v>
      </c>
      <c r="C1834" s="128">
        <f t="shared" si="5594"/>
        <v>1</v>
      </c>
      <c r="D1834" s="127">
        <f t="shared" si="5594"/>
        <v>87</v>
      </c>
      <c r="E1834" s="201"/>
      <c r="F1834" s="93"/>
      <c r="G1834" s="203"/>
      <c r="H1834"/>
      <c r="I1834"/>
      <c r="J1834"/>
      <c r="K1834" s="66"/>
      <c r="L1834" s="29" t="s">
        <v>39</v>
      </c>
      <c r="M1834" s="30">
        <f t="shared" ref="M1834" si="5685">IFERROR(_xlfn.QUARTILE.EXC($P1827:$XX1827,3),"")</f>
        <v>50.26</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f t="shared" si="5593"/>
        <v>87</v>
      </c>
      <c r="C1835" s="128">
        <f t="shared" si="5594"/>
        <v>1</v>
      </c>
      <c r="D1835" s="127">
        <f t="shared" si="5594"/>
        <v>87</v>
      </c>
      <c r="E1835" s="201"/>
      <c r="F1835" s="93"/>
      <c r="G1835" s="203"/>
      <c r="H1835" s="134">
        <f t="shared" ref="H1835" si="5687">COUNT($P1835:$XX1835)</f>
        <v>3</v>
      </c>
      <c r="I1835" s="132">
        <f t="shared" ref="I1835" si="5688">_xlfn.STDEV.P($P1834:$XX1835)/AVERAGE($P1834:$XX1835)</f>
        <v>0.16884012021410971</v>
      </c>
      <c r="J1835" s="7">
        <f t="shared" ref="J1835" si="5689">IF(AND(H1835&gt;2,
OR(L1821="MÉDIA SANEADA",L1821="MEDIANA SANEADA",
AND(L1821="PREÇO ESTIMADO",NOT(AND(P1823="Orçamento",COUNTA(P1821:XX1821)=COUNTIF(P1823:XX1823,"Orçamento")))))),
ROW(),0)</f>
        <v>1835</v>
      </c>
      <c r="K1835" s="66"/>
      <c r="L1835" s="29" t="s">
        <v>42</v>
      </c>
      <c r="M1835" s="30">
        <f t="shared" ref="M1835" si="5690">MIN($P1827:$XX1827)</f>
        <v>34.75</v>
      </c>
      <c r="N1835" s="71"/>
      <c r="O1835" s="27" t="str">
        <f t="shared" ref="O1835" si="5691">"4 RODADA"</f>
        <v>4 RODADA</v>
      </c>
      <c r="P1835" s="107">
        <f t="shared" ref="P1835:AI1835" si="5692">IF(P1833="","",IF((_xlfn.STDEV.P($P1832:$XX1833)/AVERAGE($P1832:$XX1833))&lt;=25%,P1833,IF(OR(P1833&gt;(AVERAGE($P1832:$XX1833)+_xlfn.STDEV.P($P1832:$XX1833)),P1833&lt;(AVERAGE($P1832:$XX1833)-_xlfn.STDEV.P($P1832:$XX1833))),"DESCARTADO",P1833)))</f>
        <v>36.9</v>
      </c>
      <c r="Q1835" s="107">
        <f t="shared" si="5692"/>
        <v>50.26</v>
      </c>
      <c r="R1835" s="107">
        <f t="shared" si="5692"/>
        <v>34.75</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f t="shared" si="5593"/>
        <v>87</v>
      </c>
      <c r="C1836" s="128">
        <f t="shared" si="5594"/>
        <v>1</v>
      </c>
      <c r="D1836" s="127">
        <f t="shared" si="5594"/>
        <v>87</v>
      </c>
      <c r="E1836" s="201"/>
      <c r="F1836" s="93"/>
      <c r="G1836" s="203"/>
      <c r="H1836"/>
      <c r="I1836"/>
      <c r="J1836"/>
      <c r="K1836" s="66"/>
      <c r="L1836" s="29" t="s">
        <v>40</v>
      </c>
      <c r="M1836" s="30">
        <f t="shared" ref="M1836" si="5693">MAX($P1827:$XX1827)</f>
        <v>50.26</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f t="shared" si="5593"/>
        <v>87</v>
      </c>
      <c r="C1837" s="128">
        <f t="shared" si="5594"/>
        <v>1</v>
      </c>
      <c r="D1837" s="127">
        <f t="shared" si="5594"/>
        <v>87</v>
      </c>
      <c r="E1837" s="201"/>
      <c r="F1837" s="93"/>
      <c r="G1837" s="203"/>
      <c r="H1837" s="134">
        <f t="shared" ref="H1837" si="5695">COUNT($P1837:$XX1837)</f>
        <v>3</v>
      </c>
      <c r="I1837" s="132">
        <f t="shared" ref="I1837" si="5696">_xlfn.STDEV.P($P1836:$XX1837)/AVERAGE($P1836:$XX1837)</f>
        <v>0.16884012021410971</v>
      </c>
      <c r="J1837" s="7">
        <f t="shared" ref="J1837" si="5697">IF(AND(H1837&gt;2,
OR(L1821="MÉDIA SANEADA",L1821="MEDIANA SANEADA",
AND(L1821="PREÇO ESTIMADO",NOT(AND(P1823="Orçamento",COUNTA(P1821:XX1821)=COUNTIF(P1823:XX1823,"Orçamento")))))),
ROW(),0)</f>
        <v>1837</v>
      </c>
      <c r="K1837" s="66"/>
      <c r="N1837" s="71"/>
      <c r="O1837" s="27" t="str">
        <f t="shared" ref="O1837" si="5698">"5 RODADA"</f>
        <v>5 RODADA</v>
      </c>
      <c r="P1837" s="107">
        <f t="shared" ref="P1837:AI1837" si="5699">IF(P1835="","",IF((_xlfn.STDEV.P($P1834:$XX1835)/AVERAGE($P1834:$XX1835))&lt;=25%,P1835,IF(OR(P1835&gt;(AVERAGE($P1834:$XX1835)+_xlfn.STDEV.P($P1834:$XX1835)),P1835&lt;(AVERAGE($P1834:$XX1835)-_xlfn.STDEV.P($P1834:$XX1835))),"DESCARTADO",P1835)))</f>
        <v>36.9</v>
      </c>
      <c r="Q1837" s="107">
        <f t="shared" si="5699"/>
        <v>50.26</v>
      </c>
      <c r="R1837" s="107">
        <f t="shared" si="5699"/>
        <v>34.75</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f t="shared" si="5593"/>
        <v>87</v>
      </c>
      <c r="C1838" s="128">
        <f t="shared" si="5594"/>
        <v>1</v>
      </c>
      <c r="D1838" s="127">
        <f t="shared" si="5594"/>
        <v>87</v>
      </c>
      <c r="E1838" s="201"/>
      <c r="F1838" s="93"/>
      <c r="G1838" s="203"/>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f t="shared" si="5593"/>
        <v>87</v>
      </c>
      <c r="C1839" s="128">
        <f t="shared" si="5594"/>
        <v>1</v>
      </c>
      <c r="D1839" s="127">
        <f t="shared" si="5594"/>
        <v>87</v>
      </c>
      <c r="E1839" s="201"/>
      <c r="F1839" s="93"/>
      <c r="G1839" s="203"/>
      <c r="H1839" s="134">
        <f t="shared" ref="H1839" si="5701">COUNT($P1839:$XX1839)</f>
        <v>3</v>
      </c>
      <c r="I1839" s="132">
        <f t="shared" ref="I1839" si="5702">_xlfn.STDEV.P($P1838:$XX1839)/AVERAGE($P1838:$XX1839)</f>
        <v>0.16884012021410971</v>
      </c>
      <c r="J1839" s="7">
        <f t="shared" ref="J1839" si="5703">IF(AND(H1839&gt;2,
OR(L1821="MÉDIA SANEADA",L1821="MEDIANA SANEADA",
AND(L1821="PREÇO ESTIMADO",NOT(AND(P1823="Orçamento",COUNTA(P1821:XX1821)=COUNTIF(P1823:XX1823,"Orçamento")))))),
ROW(),0)</f>
        <v>1839</v>
      </c>
      <c r="N1839" s="71"/>
      <c r="O1839" s="27" t="str">
        <f t="shared" ref="O1839" si="5704">"6 RODADA"</f>
        <v>6 RODADA</v>
      </c>
      <c r="P1839" s="107">
        <f t="shared" ref="P1839:AI1839" si="5705">IFERROR(IF(P1837="","",IF((_xlfn.STDEV.P($P1836:$XX1837)/AVERAGE($P1836:$XX1837))&lt;=25%,P1837,IF(OR(P1837&gt;(AVERAGE($P1836:$XX1837)+_xlfn.STDEV.P($P1836:$XX1837)),P1837&lt;(AVERAGE($P1836:$XX1837)-_xlfn.STDEV.P($P1836:$XX1837))),"DESCARTADO",P1837))),)</f>
        <v>36.9</v>
      </c>
      <c r="Q1839" s="107">
        <f t="shared" si="5705"/>
        <v>50.26</v>
      </c>
      <c r="R1839" s="107">
        <f t="shared" si="5705"/>
        <v>34.75</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f t="shared" si="5593"/>
        <v>87</v>
      </c>
      <c r="C1840" s="128">
        <f t="shared" si="5594"/>
        <v>1</v>
      </c>
      <c r="D1840" s="127">
        <f t="shared" si="5594"/>
        <v>87</v>
      </c>
      <c r="E1840" s="201"/>
      <c r="F1840" s="136"/>
      <c r="G1840" s="203"/>
      <c r="H1840" s="206"/>
      <c r="I1840" s="206"/>
      <c r="J1840" s="207"/>
      <c r="K1840" s="67"/>
      <c r="L1840" s="1" t="s">
        <v>43</v>
      </c>
      <c r="M1840" s="143">
        <f t="shared" ref="M1840" si="5706">IFERROR(ROUND(M1821*M1823,2),"")</f>
        <v>243.84</v>
      </c>
      <c r="O1840" s="27" t="s">
        <v>363</v>
      </c>
      <c r="P1840" s="107">
        <f t="shared" ref="P1840:R1840" si="5707">INDEX(P1827:P1839,MATCH(MAX($J1827:$J1839),$J1827:$J1839,0))</f>
        <v>36.9</v>
      </c>
      <c r="Q1840" s="107">
        <f t="shared" si="5707"/>
        <v>50.26</v>
      </c>
      <c r="R1840" s="107">
        <f t="shared" si="5707"/>
        <v>34.75</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f t="shared" ref="B1842" si="5708">LARGE(IFERROR(IF(B1840+1&gt;$H$8,"",B1840+1),""),1)</f>
        <v>88</v>
      </c>
      <c r="C1842" s="127">
        <f>IF(_xlfn.ISFORMULA(E1846),MAX(INDEX('BASE FORMAÇÃO'!A:A,B1842+1),1),E1846)</f>
        <v>1</v>
      </c>
      <c r="D1842" s="127">
        <f t="shared" ref="D1842" si="5709">IFERROR(IF(C1842=C1832,D1832+1,1),1)</f>
        <v>88</v>
      </c>
      <c r="E1842" s="38" t="s">
        <v>9</v>
      </c>
      <c r="F1842" s="73"/>
      <c r="G1842" s="38" t="s">
        <v>15</v>
      </c>
      <c r="H1842" s="135">
        <f>INDEX('BASE FORMAÇÃO'!B:B,B1842+1)</f>
        <v>0</v>
      </c>
      <c r="I1842" s="181" t="s">
        <v>16</v>
      </c>
      <c r="J1842" s="6">
        <f>INDEX('BASE FORMAÇÃO'!K:K,B1842+1)</f>
        <v>0</v>
      </c>
      <c r="K1842" s="65"/>
      <c r="L1842" s="184" t="s">
        <v>10</v>
      </c>
      <c r="M1842" s="186">
        <f t="shared" ref="M1842" si="5710">IF(OR(ISBLANK($O$8),ISBLANK($O$7),ISBLANK($H$8),ISBLANK($O$6),ISBLANK($O$5),ISBLANK($H$5)),"",IFERROR(IF(VLOOKUP(L1842,L1848:M1857,2,FALSE)&lt;1,ROUND(VLOOKUP(L1842,L1848:M1857,2,FALSE),4),ROUND(VLOOKUP(L1842,L1848:M1857,2,FALSE),2)),""))</f>
        <v>77.900000000000006</v>
      </c>
      <c r="N1842" s="69"/>
      <c r="O1842" s="27" t="s">
        <v>17</v>
      </c>
      <c r="P1842" s="113">
        <v>79.900000000000006</v>
      </c>
      <c r="Q1842" s="113">
        <v>79.89</v>
      </c>
      <c r="R1842" s="113">
        <v>73.900000000000006</v>
      </c>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f t="shared" ref="B1843:D1843" si="5711">B1842</f>
        <v>88</v>
      </c>
      <c r="C1843" s="128">
        <f t="shared" si="5711"/>
        <v>1</v>
      </c>
      <c r="D1843" s="127">
        <f t="shared" si="5711"/>
        <v>88</v>
      </c>
      <c r="E1843" s="188">
        <f t="shared" ref="E1843" si="5712">D1842</f>
        <v>88</v>
      </c>
      <c r="F1843" s="92"/>
      <c r="G1843" s="190" t="s">
        <v>1</v>
      </c>
      <c r="H1843" s="193" t="s">
        <v>781</v>
      </c>
      <c r="I1843" s="194"/>
      <c r="J1843" s="195"/>
      <c r="K1843" s="66"/>
      <c r="L1843" s="185"/>
      <c r="M1843" s="187"/>
      <c r="N1843" s="70"/>
      <c r="O1843" s="27" t="s">
        <v>13</v>
      </c>
      <c r="P1843" s="122">
        <v>46196</v>
      </c>
      <c r="Q1843" s="122">
        <v>46196</v>
      </c>
      <c r="R1843" s="122">
        <v>46196</v>
      </c>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f t="shared" ref="B1844:D1844" si="5713">B1843</f>
        <v>88</v>
      </c>
      <c r="C1844" s="128">
        <f t="shared" si="5713"/>
        <v>1</v>
      </c>
      <c r="D1844" s="127">
        <f t="shared" si="5713"/>
        <v>88</v>
      </c>
      <c r="E1844" s="189"/>
      <c r="F1844" s="93"/>
      <c r="G1844" s="191"/>
      <c r="H1844" s="196"/>
      <c r="I1844" s="196"/>
      <c r="J1844" s="197"/>
      <c r="K1844" s="64"/>
      <c r="L1844" s="130" t="s">
        <v>44</v>
      </c>
      <c r="M1844" s="131">
        <v>2</v>
      </c>
      <c r="N1844" s="71"/>
      <c r="O1844" s="27" t="s">
        <v>380</v>
      </c>
      <c r="P1844" s="114" t="s">
        <v>302</v>
      </c>
      <c r="Q1844" s="114" t="s">
        <v>302</v>
      </c>
      <c r="R1844" s="114" t="s">
        <v>302</v>
      </c>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f t="shared" ref="B1845:C1845" si="5714">B1844</f>
        <v>88</v>
      </c>
      <c r="C1845" s="128">
        <f t="shared" si="5714"/>
        <v>1</v>
      </c>
      <c r="D1845" s="127">
        <f t="shared" si="5594"/>
        <v>88</v>
      </c>
      <c r="E1845" s="38" t="s">
        <v>313</v>
      </c>
      <c r="F1845" s="93"/>
      <c r="G1845" s="192"/>
      <c r="H1845" s="198"/>
      <c r="I1845" s="198"/>
      <c r="J1845" s="199"/>
      <c r="K1845" s="64"/>
      <c r="L1845" s="1" t="s">
        <v>2</v>
      </c>
      <c r="M1845" s="6" t="s">
        <v>288</v>
      </c>
      <c r="N1845" s="71"/>
      <c r="O1845" s="27" t="s">
        <v>381</v>
      </c>
      <c r="P1845" s="182" t="s">
        <v>782</v>
      </c>
      <c r="Q1845" s="182" t="s">
        <v>783</v>
      </c>
      <c r="R1845" s="182" t="s">
        <v>784</v>
      </c>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f t="shared" ref="B1846:C1846" si="5715">B1844</f>
        <v>88</v>
      </c>
      <c r="C1846" s="128">
        <f t="shared" si="5715"/>
        <v>1</v>
      </c>
      <c r="D1846" s="127">
        <f t="shared" si="5594"/>
        <v>88</v>
      </c>
      <c r="E1846" s="200">
        <f t="shared" ref="E1846" si="5716">C1842</f>
        <v>1</v>
      </c>
      <c r="F1846" s="93"/>
      <c r="G1846" s="202" t="s">
        <v>304</v>
      </c>
      <c r="H1846" s="204"/>
      <c r="I1846" s="205"/>
      <c r="J1846" s="205"/>
      <c r="K1846" s="67"/>
      <c r="L1846" s="28" t="s">
        <v>303</v>
      </c>
      <c r="M1846" s="133">
        <f t="shared" ref="M1846" si="5717">IFERROR(INDEX(I1848:I1860,MATCH(MAX(J1848:J1860),J1848:J1860,0)),"")</f>
        <v>3.6279768721933711E-2</v>
      </c>
      <c r="N1846" s="71"/>
      <c r="O1846" s="27" t="s">
        <v>18</v>
      </c>
      <c r="P1846" s="106">
        <f>IF(P1842="","",
IF(OR(P1844="Orçamento",P1843="",MAX('Tabela de Apoio'!$A:$A)&lt;=P1843),
P1842,
(INDEX('Tabela de Apoio'!$B:$B,MATCH('MAPA DE PREÇOS'!$O$8,'Tabela de Apoio'!$A:$A,1))/INDEX('Tabela de Apoio'!$B:$B,MATCH('MAPA DE PREÇOS'!P1843,'Tabela de Apoio'!$A:$A,1)-1))*P1842))</f>
        <v>79.900000000000006</v>
      </c>
      <c r="Q1846" s="106">
        <f>IF(Q1842="","",
IF(OR(Q1844="Orçamento",Q1843="",MAX('Tabela de Apoio'!$A:$A)&lt;=Q1843),
Q1842,
(INDEX('Tabela de Apoio'!$B:$B,MATCH('MAPA DE PREÇOS'!$O$8,'Tabela de Apoio'!$A:$A,1))/INDEX('Tabela de Apoio'!$B:$B,MATCH('MAPA DE PREÇOS'!Q1843,'Tabela de Apoio'!$A:$A,1)-1))*Q1842))</f>
        <v>79.89</v>
      </c>
      <c r="R1846" s="106">
        <f>IF(R1842="","",
IF(OR(R1844="Orçamento",R1843="",MAX('Tabela de Apoio'!$A:$A)&lt;=R1843),
R1842,
(INDEX('Tabela de Apoio'!$B:$B,MATCH('MAPA DE PREÇOS'!$O$8,'Tabela de Apoio'!$A:$A,1))/INDEX('Tabela de Apoio'!$B:$B,MATCH('MAPA DE PREÇOS'!R1843,'Tabela de Apoio'!$A:$A,1)-1))*R1842))</f>
        <v>73.900000000000006</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f t="shared" ref="B1847" si="5718">B1846</f>
        <v>88</v>
      </c>
      <c r="C1847" s="128">
        <f t="shared" ref="C1847" si="5719">C1846</f>
        <v>1</v>
      </c>
      <c r="D1847" s="127">
        <f t="shared" si="5594"/>
        <v>88</v>
      </c>
      <c r="E1847" s="201"/>
      <c r="F1847" s="93"/>
      <c r="G1847" s="203"/>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f t="shared" ref="B1848:C1848" si="5720">B1847</f>
        <v>88</v>
      </c>
      <c r="C1848" s="128">
        <f t="shared" si="5720"/>
        <v>1</v>
      </c>
      <c r="D1848" s="127">
        <f t="shared" si="5594"/>
        <v>88</v>
      </c>
      <c r="E1848" s="201"/>
      <c r="F1848" s="93"/>
      <c r="G1848" s="203"/>
      <c r="H1848" s="134">
        <f t="shared" ref="H1848" si="5721">COUNT($P1848:$XX1848)</f>
        <v>3</v>
      </c>
      <c r="I1848" s="132">
        <f t="shared" ref="I1848" si="5722">_xlfn.STDEV.P($P1847:$XX1848)/AVERAGE($P1847:$XX1848)</f>
        <v>3.6279768721933711E-2</v>
      </c>
      <c r="J1848" s="7">
        <f>ROW()</f>
        <v>1848</v>
      </c>
      <c r="K1848" s="67"/>
      <c r="L1848" s="29" t="s">
        <v>10</v>
      </c>
      <c r="M1848" s="30">
        <f t="shared" ref="M1848" si="5723">IFERROR(
IF(COUNTA(P1842:AI1842)=COUNTIF(P1844:XX1844,"Orçamento"),MIN(M1853,M1850),
IF(M1851&lt;&gt;"",M1851,
IF(M1852&lt;&gt;"",M1852,
M1850
))),"")</f>
        <v>77.896666666666675</v>
      </c>
      <c r="N1848" s="71"/>
      <c r="O1848" s="27" t="s">
        <v>376</v>
      </c>
      <c r="P1848" s="106">
        <f t="shared" ref="P1848:AI1848" si="5724">IFERROR(IF(P1846="",
            "",
            IF(COUNT($P1846:$XX1846)&lt;=4,
               P1846,
               IF(OR(P1846&gt;(QUARTILE($P1846:$XX1846,3)+(QUARTILE($P1846:$XX1846,3)-QUARTILE($P1846:$XX1846,1))),
                     P1846&lt;(QUARTILE($P1846:$XX1846,1)-(QUARTILE($P1846:$XX1846,3)-QUARTILE($P1846:$XX1846,1)))
                  ),
               "DESCARTADO",P1846)
             )
  ),P1846)</f>
        <v>79.900000000000006</v>
      </c>
      <c r="Q1848" s="106">
        <f t="shared" si="5724"/>
        <v>79.89</v>
      </c>
      <c r="R1848" s="106">
        <f t="shared" si="5724"/>
        <v>73.900000000000006</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f t="shared" ref="B1849" si="5725">B1848</f>
        <v>88</v>
      </c>
      <c r="C1849" s="128">
        <f t="shared" ref="C1849" si="5726">C1848</f>
        <v>1</v>
      </c>
      <c r="D1849" s="127">
        <f t="shared" si="5594"/>
        <v>88</v>
      </c>
      <c r="E1849" s="201"/>
      <c r="F1849" s="93"/>
      <c r="G1849" s="203"/>
      <c r="H1849"/>
      <c r="I1849"/>
      <c r="J1849"/>
      <c r="K1849" s="66"/>
      <c r="L1849" s="29" t="s">
        <v>360</v>
      </c>
      <c r="M1849" s="30">
        <f t="shared" ref="M1849" si="5727">AVERAGE($P1848:$XX1848)</f>
        <v>77.896666666666675</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f t="shared" si="5593"/>
        <v>88</v>
      </c>
      <c r="C1850" s="128">
        <f t="shared" si="5594"/>
        <v>1</v>
      </c>
      <c r="D1850" s="127">
        <f t="shared" si="5594"/>
        <v>88</v>
      </c>
      <c r="E1850" s="201"/>
      <c r="F1850" s="93"/>
      <c r="G1850" s="203"/>
      <c r="H1850" s="134">
        <f t="shared" ref="H1850" si="5729">COUNT($P1850:$XX1850)</f>
        <v>3</v>
      </c>
      <c r="I1850" s="132">
        <f t="shared" ref="I1850" si="5730">_xlfn.STDEV.P($P1849:$XX1850)/AVERAGE($P1849:$XX1850)</f>
        <v>3.6279768721933711E-2</v>
      </c>
      <c r="J1850" s="7">
        <f t="shared" ref="J1850" si="5731">IF(AND(H1850&gt;2,
OR(L1842="MÉDIA SANEADA",L1842="MEDIANA SANEADA",
AND(L1842="PREÇO ESTIMADO",NOT(AND(P1844="Orçamento",COUNTA(P1842:XX1842)=COUNTIF(P1844:XX1844,"Orçamento")))))),
ROW(),0)</f>
        <v>1850</v>
      </c>
      <c r="K1850" s="66"/>
      <c r="L1850" s="29" t="s">
        <v>361</v>
      </c>
      <c r="M1850" s="30">
        <f t="shared" ref="M1850" si="5732">MEDIAN($P1848:$XX1848)</f>
        <v>79.89</v>
      </c>
      <c r="N1850" s="71"/>
      <c r="O1850" s="27" t="str">
        <f t="shared" ref="O1850" si="5733">"1 RODADA"</f>
        <v>1 RODADA</v>
      </c>
      <c r="P1850" s="107">
        <f t="shared" ref="P1850:AI1850" si="5734">IF(P1848="","",IF((_xlfn.STDEV.P($P1847:$XX1848)/AVERAGE($P1847:$XX1848))&lt;=25%,P1848,IF(OR(P1848&gt;(AVERAGE($P1847:$XX1848)+_xlfn.STDEV.P($P1847:$XX1848)),P1848&lt;(AVERAGE($P1847:$XX1848)-_xlfn.STDEV.P($P1847:$XX1848))),"DESCARTADO",P1848)))</f>
        <v>79.900000000000006</v>
      </c>
      <c r="Q1850" s="107">
        <f t="shared" si="5734"/>
        <v>79.89</v>
      </c>
      <c r="R1850" s="107">
        <f t="shared" si="5734"/>
        <v>73.900000000000006</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f t="shared" si="5593"/>
        <v>88</v>
      </c>
      <c r="C1851" s="128">
        <f t="shared" si="5594"/>
        <v>1</v>
      </c>
      <c r="D1851" s="127">
        <f t="shared" si="5594"/>
        <v>88</v>
      </c>
      <c r="E1851" s="201"/>
      <c r="F1851" s="93"/>
      <c r="G1851" s="203"/>
      <c r="H1851"/>
      <c r="I1851"/>
      <c r="J1851"/>
      <c r="L1851" s="29" t="s">
        <v>38</v>
      </c>
      <c r="M1851" s="30">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77.896666666666675</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f t="shared" si="5593"/>
        <v>88</v>
      </c>
      <c r="C1852" s="128">
        <f t="shared" si="5594"/>
        <v>1</v>
      </c>
      <c r="D1852" s="127">
        <f t="shared" si="5594"/>
        <v>88</v>
      </c>
      <c r="E1852" s="201"/>
      <c r="F1852" s="93"/>
      <c r="G1852" s="203"/>
      <c r="H1852" s="134">
        <f t="shared" ref="H1852" si="5737">COUNT($P1852:$XX1852)</f>
        <v>3</v>
      </c>
      <c r="I1852" s="132">
        <f t="shared" ref="I1852" si="5738">_xlfn.STDEV.P($P1851:$XX1852)/AVERAGE($P1851:$XX1852)</f>
        <v>3.6279768721933711E-2</v>
      </c>
      <c r="J1852" s="7">
        <f t="shared" ref="J1852" si="5739">IF(AND(H1852&gt;2,
OR(L1842="MÉDIA SANEADA",L1842="MEDIANA SANEADA",
AND(L1842="PREÇO ESTIMADO",NOT(AND(P1844="Orçamento",COUNTA(P1842:XX1842)=COUNTIF(P1844:XX1844,"Orçamento")))))),
ROW(),0)</f>
        <v>1852</v>
      </c>
      <c r="K1852" s="66"/>
      <c r="L1852" s="29" t="s">
        <v>362</v>
      </c>
      <c r="M1852" s="30">
        <f t="shared" ref="M1852" si="5740" xml:space="preserve">
IF(H1850&gt;2,MEDIAN(P1849:XX1850),
IF(H1852&gt;2,MEDIAN(P1851:XX1852),
IF(H1854&gt;2,MEDIAN(P1853:XX1854),
IF(H1856&gt;2,MEDIAN(P1855:XX1856),
IF(H1858&gt;2,MEDIAN(P1857:XX1858),
IF(H1860&gt;2,MEDIAN(P1859:XX1860),
MEDIAN(P1847:XX1848)))))))</f>
        <v>79.89</v>
      </c>
      <c r="N1852" s="71"/>
      <c r="O1852" s="27" t="str">
        <f t="shared" ref="O1852" si="5741">"2 RODADA"</f>
        <v>2 RODADA</v>
      </c>
      <c r="P1852" s="107">
        <f t="shared" ref="P1852:AI1852" si="5742">IF(P1850="","",IF((_xlfn.STDEV.P($P1849:$XX1850)/AVERAGE($P1849:$XX1850))&lt;=25%,P1850,IF(OR(P1850&gt;(AVERAGE($P1849:$XX1850)+_xlfn.STDEV.P($P1849:$XX1850)),P1850&lt;(AVERAGE($P1849:$XX1850)-_xlfn.STDEV.P($P1849:$XX1850))),"DESCARTADO",P1850)))</f>
        <v>79.900000000000006</v>
      </c>
      <c r="Q1852" s="107">
        <f t="shared" si="5742"/>
        <v>79.89</v>
      </c>
      <c r="R1852" s="107">
        <f t="shared" si="5742"/>
        <v>73.900000000000006</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f t="shared" si="5593"/>
        <v>88</v>
      </c>
      <c r="C1853" s="128">
        <f t="shared" si="5594"/>
        <v>1</v>
      </c>
      <c r="D1853" s="127">
        <f t="shared" si="5594"/>
        <v>88</v>
      </c>
      <c r="E1853" s="201"/>
      <c r="F1853" s="93"/>
      <c r="G1853" s="203"/>
      <c r="H1853"/>
      <c r="I1853"/>
      <c r="J1853"/>
      <c r="K1853" s="66"/>
      <c r="L1853" s="29" t="s">
        <v>359</v>
      </c>
      <c r="M1853" s="30">
        <f t="shared" ref="M1853" si="5743">HARMEAN($P1847:$XX1848)</f>
        <v>77.791437910228467</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f t="shared" si="5593"/>
        <v>88</v>
      </c>
      <c r="C1854" s="128">
        <f t="shared" si="5594"/>
        <v>1</v>
      </c>
      <c r="D1854" s="127">
        <f t="shared" si="5594"/>
        <v>88</v>
      </c>
      <c r="E1854" s="201"/>
      <c r="F1854" s="93"/>
      <c r="G1854" s="203"/>
      <c r="H1854" s="134">
        <f t="shared" ref="H1854" si="5745">COUNT($P1854:$XX1854)</f>
        <v>3</v>
      </c>
      <c r="I1854" s="132">
        <f t="shared" ref="I1854" si="5746">_xlfn.STDEV.P($P1853:$XX1854)/AVERAGE($P1853:$XX1854)</f>
        <v>3.6279768721933711E-2</v>
      </c>
      <c r="J1854" s="7">
        <f t="shared" ref="J1854" si="5747">IF(AND(H1854&gt;2,
OR(L1842="MÉDIA SANEADA",L1842="MEDIANA SANEADA",
AND(L1842="PREÇO ESTIMADO",NOT(AND(P1844="Orçamento",COUNTA(P1842:XX1842)=COUNTIF(P1844:XX1844,"Orçamento")))))),
ROW(),0)</f>
        <v>1854</v>
      </c>
      <c r="K1854" s="66"/>
      <c r="L1854" s="29" t="s">
        <v>41</v>
      </c>
      <c r="M1854" s="30">
        <f t="shared" ref="M1854" si="5748">IFERROR(_xlfn.QUARTILE.EXC($P1848:$XX1848,1),"")</f>
        <v>73.900000000000006</v>
      </c>
      <c r="N1854" s="71"/>
      <c r="O1854" s="27" t="str">
        <f t="shared" ref="O1854" si="5749">"3 RODADA"</f>
        <v>3 RODADA</v>
      </c>
      <c r="P1854" s="107">
        <f t="shared" ref="P1854:AI1854" si="5750">IF(P1852="","",IF((_xlfn.STDEV.P($P1851:$XX1852)/AVERAGE($P1851:$XX1852))&lt;=25%,P1852,IF(OR(P1852&gt;(AVERAGE($P1851:$XX1852)+_xlfn.STDEV.P($P1851:$XX1852)),P1852&lt;(AVERAGE($P1851:$XX1852)-_xlfn.STDEV.P($P1851:$XX1852))),"DESCARTADO",P1852)))</f>
        <v>79.900000000000006</v>
      </c>
      <c r="Q1854" s="107">
        <f t="shared" si="5750"/>
        <v>79.89</v>
      </c>
      <c r="R1854" s="107">
        <f t="shared" si="5750"/>
        <v>73.900000000000006</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f t="shared" si="5593"/>
        <v>88</v>
      </c>
      <c r="C1855" s="128">
        <f t="shared" si="5594"/>
        <v>1</v>
      </c>
      <c r="D1855" s="127">
        <f t="shared" si="5594"/>
        <v>88</v>
      </c>
      <c r="E1855" s="201"/>
      <c r="F1855" s="93"/>
      <c r="G1855" s="203"/>
      <c r="H1855"/>
      <c r="I1855"/>
      <c r="J1855"/>
      <c r="K1855" s="66"/>
      <c r="L1855" s="29" t="s">
        <v>39</v>
      </c>
      <c r="M1855" s="30">
        <f t="shared" ref="M1855" si="5751">IFERROR(_xlfn.QUARTILE.EXC($P1848:$XX1848,3),"")</f>
        <v>79.900000000000006</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f t="shared" si="5593"/>
        <v>88</v>
      </c>
      <c r="C1856" s="128">
        <f t="shared" si="5594"/>
        <v>1</v>
      </c>
      <c r="D1856" s="127">
        <f t="shared" si="5594"/>
        <v>88</v>
      </c>
      <c r="E1856" s="201"/>
      <c r="F1856" s="93"/>
      <c r="G1856" s="203"/>
      <c r="H1856" s="134">
        <f t="shared" ref="H1856" si="5753">COUNT($P1856:$XX1856)</f>
        <v>3</v>
      </c>
      <c r="I1856" s="132">
        <f t="shared" ref="I1856" si="5754">_xlfn.STDEV.P($P1855:$XX1856)/AVERAGE($P1855:$XX1856)</f>
        <v>3.6279768721933711E-2</v>
      </c>
      <c r="J1856" s="7">
        <f t="shared" ref="J1856" si="5755">IF(AND(H1856&gt;2,
OR(L1842="MÉDIA SANEADA",L1842="MEDIANA SANEADA",
AND(L1842="PREÇO ESTIMADO",NOT(AND(P1844="Orçamento",COUNTA(P1842:XX1842)=COUNTIF(P1844:XX1844,"Orçamento")))))),
ROW(),0)</f>
        <v>1856</v>
      </c>
      <c r="K1856" s="66"/>
      <c r="L1856" s="29" t="s">
        <v>42</v>
      </c>
      <c r="M1856" s="30">
        <f t="shared" ref="M1856" si="5756">MIN($P1848:$XX1848)</f>
        <v>73.900000000000006</v>
      </c>
      <c r="N1856" s="71"/>
      <c r="O1856" s="27" t="str">
        <f t="shared" ref="O1856" si="5757">"4 RODADA"</f>
        <v>4 RODADA</v>
      </c>
      <c r="P1856" s="107">
        <f t="shared" ref="P1856:AI1856" si="5758">IF(P1854="","",IF((_xlfn.STDEV.P($P1853:$XX1854)/AVERAGE($P1853:$XX1854))&lt;=25%,P1854,IF(OR(P1854&gt;(AVERAGE($P1853:$XX1854)+_xlfn.STDEV.P($P1853:$XX1854)),P1854&lt;(AVERAGE($P1853:$XX1854)-_xlfn.STDEV.P($P1853:$XX1854))),"DESCARTADO",P1854)))</f>
        <v>79.900000000000006</v>
      </c>
      <c r="Q1856" s="107">
        <f t="shared" si="5758"/>
        <v>79.89</v>
      </c>
      <c r="R1856" s="107">
        <f t="shared" si="5758"/>
        <v>73.900000000000006</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f t="shared" si="5593"/>
        <v>88</v>
      </c>
      <c r="C1857" s="128">
        <f t="shared" si="5594"/>
        <v>1</v>
      </c>
      <c r="D1857" s="127">
        <f t="shared" si="5594"/>
        <v>88</v>
      </c>
      <c r="E1857" s="201"/>
      <c r="F1857" s="93"/>
      <c r="G1857" s="203"/>
      <c r="H1857"/>
      <c r="I1857"/>
      <c r="J1857"/>
      <c r="K1857" s="66"/>
      <c r="L1857" s="29" t="s">
        <v>40</v>
      </c>
      <c r="M1857" s="30">
        <f t="shared" ref="M1857" si="5759">MAX($P1848:$XX1848)</f>
        <v>79.900000000000006</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f t="shared" si="5593"/>
        <v>88</v>
      </c>
      <c r="C1858" s="128">
        <f t="shared" si="5594"/>
        <v>1</v>
      </c>
      <c r="D1858" s="127">
        <f t="shared" si="5594"/>
        <v>88</v>
      </c>
      <c r="E1858" s="201"/>
      <c r="F1858" s="93"/>
      <c r="G1858" s="203"/>
      <c r="H1858" s="134">
        <f t="shared" ref="H1858" si="5761">COUNT($P1858:$XX1858)</f>
        <v>3</v>
      </c>
      <c r="I1858" s="132">
        <f t="shared" ref="I1858" si="5762">_xlfn.STDEV.P($P1857:$XX1858)/AVERAGE($P1857:$XX1858)</f>
        <v>3.6279768721933711E-2</v>
      </c>
      <c r="J1858" s="7">
        <f t="shared" ref="J1858" si="5763">IF(AND(H1858&gt;2,
OR(L1842="MÉDIA SANEADA",L1842="MEDIANA SANEADA",
AND(L1842="PREÇO ESTIMADO",NOT(AND(P1844="Orçamento",COUNTA(P1842:XX1842)=COUNTIF(P1844:XX1844,"Orçamento")))))),
ROW(),0)</f>
        <v>1858</v>
      </c>
      <c r="K1858" s="66"/>
      <c r="N1858" s="71"/>
      <c r="O1858" s="27" t="str">
        <f t="shared" ref="O1858" si="5764">"5 RODADA"</f>
        <v>5 RODADA</v>
      </c>
      <c r="P1858" s="107">
        <f t="shared" ref="P1858:AI1858" si="5765">IF(P1856="","",IF((_xlfn.STDEV.P($P1855:$XX1856)/AVERAGE($P1855:$XX1856))&lt;=25%,P1856,IF(OR(P1856&gt;(AVERAGE($P1855:$XX1856)+_xlfn.STDEV.P($P1855:$XX1856)),P1856&lt;(AVERAGE($P1855:$XX1856)-_xlfn.STDEV.P($P1855:$XX1856))),"DESCARTADO",P1856)))</f>
        <v>79.900000000000006</v>
      </c>
      <c r="Q1858" s="107">
        <f t="shared" si="5765"/>
        <v>79.89</v>
      </c>
      <c r="R1858" s="107">
        <f t="shared" si="5765"/>
        <v>73.900000000000006</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f t="shared" si="5593"/>
        <v>88</v>
      </c>
      <c r="C1859" s="128">
        <f t="shared" si="5594"/>
        <v>1</v>
      </c>
      <c r="D1859" s="127">
        <f t="shared" si="5594"/>
        <v>88</v>
      </c>
      <c r="E1859" s="201"/>
      <c r="F1859" s="93"/>
      <c r="G1859" s="203"/>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f t="shared" si="5593"/>
        <v>88</v>
      </c>
      <c r="C1860" s="128">
        <f t="shared" si="5594"/>
        <v>1</v>
      </c>
      <c r="D1860" s="127">
        <f t="shared" si="5594"/>
        <v>88</v>
      </c>
      <c r="E1860" s="201"/>
      <c r="F1860" s="93"/>
      <c r="G1860" s="203"/>
      <c r="H1860" s="134">
        <f t="shared" ref="H1860" si="5767">COUNT($P1860:$XX1860)</f>
        <v>3</v>
      </c>
      <c r="I1860" s="132">
        <f t="shared" ref="I1860" si="5768">_xlfn.STDEV.P($P1859:$XX1860)/AVERAGE($P1859:$XX1860)</f>
        <v>3.6279768721933711E-2</v>
      </c>
      <c r="J1860" s="7">
        <f t="shared" ref="J1860" si="5769">IF(AND(H1860&gt;2,
OR(L1842="MÉDIA SANEADA",L1842="MEDIANA SANEADA",
AND(L1842="PREÇO ESTIMADO",NOT(AND(P1844="Orçamento",COUNTA(P1842:XX1842)=COUNTIF(P1844:XX1844,"Orçamento")))))),
ROW(),0)</f>
        <v>1860</v>
      </c>
      <c r="N1860" s="71"/>
      <c r="O1860" s="27" t="str">
        <f t="shared" ref="O1860" si="5770">"6 RODADA"</f>
        <v>6 RODADA</v>
      </c>
      <c r="P1860" s="107">
        <f t="shared" ref="P1860:AI1860" si="5771">IFERROR(IF(P1858="","",IF((_xlfn.STDEV.P($P1857:$XX1858)/AVERAGE($P1857:$XX1858))&lt;=25%,P1858,IF(OR(P1858&gt;(AVERAGE($P1857:$XX1858)+_xlfn.STDEV.P($P1857:$XX1858)),P1858&lt;(AVERAGE($P1857:$XX1858)-_xlfn.STDEV.P($P1857:$XX1858))),"DESCARTADO",P1858))),)</f>
        <v>79.900000000000006</v>
      </c>
      <c r="Q1860" s="107">
        <f t="shared" si="5771"/>
        <v>79.89</v>
      </c>
      <c r="R1860" s="107">
        <f t="shared" si="5771"/>
        <v>73.900000000000006</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f t="shared" si="5593"/>
        <v>88</v>
      </c>
      <c r="C1861" s="128">
        <f t="shared" si="5594"/>
        <v>1</v>
      </c>
      <c r="D1861" s="127">
        <f t="shared" si="5594"/>
        <v>88</v>
      </c>
      <c r="E1861" s="201"/>
      <c r="F1861" s="136"/>
      <c r="G1861" s="203"/>
      <c r="H1861" s="206"/>
      <c r="I1861" s="206"/>
      <c r="J1861" s="207"/>
      <c r="K1861" s="67"/>
      <c r="L1861" s="1" t="s">
        <v>43</v>
      </c>
      <c r="M1861" s="143">
        <f t="shared" ref="M1861" si="5772">IFERROR(ROUND(M1842*M1844,2),"")</f>
        <v>155.80000000000001</v>
      </c>
      <c r="O1861" s="27" t="s">
        <v>363</v>
      </c>
      <c r="P1861" s="107">
        <f t="shared" ref="P1861:AI1882" si="5773">INDEX(P1848:P1860,MATCH(MAX($J1848:$J1860),$J1848:$J1860,0))</f>
        <v>79.900000000000006</v>
      </c>
      <c r="Q1861" s="107">
        <f t="shared" si="5773"/>
        <v>79.89</v>
      </c>
      <c r="R1861" s="107">
        <f t="shared" si="5773"/>
        <v>73.900000000000006</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f t="shared" ref="B1863" si="5774">LARGE(IFERROR(IF(B1861+1&gt;$H$8,"",B1861+1),""),1)</f>
        <v>89</v>
      </c>
      <c r="C1863" s="127">
        <f>IF(_xlfn.ISFORMULA(E1867),MAX(INDEX('BASE FORMAÇÃO'!A:A,B1863+1),1),E1867)</f>
        <v>1</v>
      </c>
      <c r="D1863" s="127">
        <f t="shared" ref="D1863" si="5775">IFERROR(IF(C1863=C1853,D1853+1,1),1)</f>
        <v>89</v>
      </c>
      <c r="E1863" s="38" t="s">
        <v>9</v>
      </c>
      <c r="F1863" s="73"/>
      <c r="G1863" s="38" t="s">
        <v>15</v>
      </c>
      <c r="H1863" s="135">
        <f>INDEX('BASE FORMAÇÃO'!B:B,B1863+1)</f>
        <v>0</v>
      </c>
      <c r="I1863" s="181" t="s">
        <v>16</v>
      </c>
      <c r="J1863" s="6">
        <f>INDEX('BASE FORMAÇÃO'!K:K,B1863+1)</f>
        <v>0</v>
      </c>
      <c r="K1863" s="65"/>
      <c r="L1863" s="184" t="s">
        <v>10</v>
      </c>
      <c r="M1863" s="186">
        <f t="shared" ref="M1863" si="5776">IF(OR(ISBLANK($O$8),ISBLANK($O$7),ISBLANK($H$8),ISBLANK($O$6),ISBLANK($O$5),ISBLANK($H$5)),"",IFERROR(IF(VLOOKUP(L1863,L1869:M1878,2,FALSE)&lt;1,ROUND(VLOOKUP(L1863,L1869:M1878,2,FALSE),4),ROUND(VLOOKUP(L1863,L1869:M1878,2,FALSE),2)),""))</f>
        <v>37.1</v>
      </c>
      <c r="N1863" s="69"/>
      <c r="O1863" s="27" t="s">
        <v>17</v>
      </c>
      <c r="P1863" s="113">
        <v>26.9</v>
      </c>
      <c r="Q1863" s="113">
        <v>38.99</v>
      </c>
      <c r="R1863" s="113">
        <v>45.41</v>
      </c>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f t="shared" ref="B1864:D1864" si="5777">B1863</f>
        <v>89</v>
      </c>
      <c r="C1864" s="128">
        <f t="shared" si="5777"/>
        <v>1</v>
      </c>
      <c r="D1864" s="127">
        <f t="shared" si="5777"/>
        <v>89</v>
      </c>
      <c r="E1864" s="188">
        <f t="shared" ref="E1864" si="5778">D1863</f>
        <v>89</v>
      </c>
      <c r="F1864" s="92"/>
      <c r="G1864" s="190" t="s">
        <v>1</v>
      </c>
      <c r="H1864" s="193" t="s">
        <v>785</v>
      </c>
      <c r="I1864" s="194"/>
      <c r="J1864" s="195"/>
      <c r="K1864" s="66"/>
      <c r="L1864" s="185"/>
      <c r="M1864" s="187"/>
      <c r="N1864" s="70"/>
      <c r="O1864" s="27" t="s">
        <v>13</v>
      </c>
      <c r="P1864" s="122">
        <v>46196</v>
      </c>
      <c r="Q1864" s="122">
        <v>46196</v>
      </c>
      <c r="R1864" s="122">
        <v>46196</v>
      </c>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f t="shared" ref="B1865:D1865" si="5779">B1864</f>
        <v>89</v>
      </c>
      <c r="C1865" s="128">
        <f t="shared" si="5779"/>
        <v>1</v>
      </c>
      <c r="D1865" s="127">
        <f t="shared" si="5779"/>
        <v>89</v>
      </c>
      <c r="E1865" s="189"/>
      <c r="F1865" s="93"/>
      <c r="G1865" s="191"/>
      <c r="H1865" s="196"/>
      <c r="I1865" s="196"/>
      <c r="J1865" s="197"/>
      <c r="K1865" s="64"/>
      <c r="L1865" s="130" t="s">
        <v>44</v>
      </c>
      <c r="M1865" s="131">
        <v>2</v>
      </c>
      <c r="N1865" s="71"/>
      <c r="O1865" s="27" t="s">
        <v>380</v>
      </c>
      <c r="P1865" s="114" t="s">
        <v>302</v>
      </c>
      <c r="Q1865" s="114" t="s">
        <v>302</v>
      </c>
      <c r="R1865" s="114" t="s">
        <v>302</v>
      </c>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f t="shared" ref="B1866:C1866" si="5780">B1865</f>
        <v>89</v>
      </c>
      <c r="C1866" s="128">
        <f t="shared" si="5780"/>
        <v>1</v>
      </c>
      <c r="D1866" s="127">
        <f t="shared" si="5594"/>
        <v>89</v>
      </c>
      <c r="E1866" s="38" t="s">
        <v>313</v>
      </c>
      <c r="F1866" s="93"/>
      <c r="G1866" s="192"/>
      <c r="H1866" s="198"/>
      <c r="I1866" s="198"/>
      <c r="J1866" s="199"/>
      <c r="K1866" s="64"/>
      <c r="L1866" s="1" t="s">
        <v>2</v>
      </c>
      <c r="M1866" s="6" t="s">
        <v>288</v>
      </c>
      <c r="N1866" s="71"/>
      <c r="O1866" s="27" t="s">
        <v>381</v>
      </c>
      <c r="P1866" s="182" t="s">
        <v>786</v>
      </c>
      <c r="Q1866" s="182" t="s">
        <v>787</v>
      </c>
      <c r="R1866" s="182" t="s">
        <v>788</v>
      </c>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f t="shared" ref="B1867:C1867" si="5781">B1865</f>
        <v>89</v>
      </c>
      <c r="C1867" s="128">
        <f t="shared" si="5781"/>
        <v>1</v>
      </c>
      <c r="D1867" s="127">
        <f t="shared" si="5594"/>
        <v>89</v>
      </c>
      <c r="E1867" s="200">
        <f t="shared" ref="E1867" si="5782">C1863</f>
        <v>1</v>
      </c>
      <c r="F1867" s="93"/>
      <c r="G1867" s="202" t="s">
        <v>304</v>
      </c>
      <c r="H1867" s="204"/>
      <c r="I1867" s="205"/>
      <c r="J1867" s="205"/>
      <c r="K1867" s="67"/>
      <c r="L1867" s="28" t="s">
        <v>303</v>
      </c>
      <c r="M1867" s="133">
        <f t="shared" ref="M1867" si="5783">IFERROR(INDEX(I1869:I1881,MATCH(MAX(J1869:J1881),J1869:J1881,0)),"")</f>
        <v>0.20684482274790422</v>
      </c>
      <c r="N1867" s="71"/>
      <c r="O1867" s="27" t="s">
        <v>18</v>
      </c>
      <c r="P1867" s="106">
        <f>IF(P1863="","",
IF(OR(P1865="Orçamento",P1864="",MAX('Tabela de Apoio'!$A:$A)&lt;=P1864),
P1863,
(INDEX('Tabela de Apoio'!$B:$B,MATCH('MAPA DE PREÇOS'!$O$8,'Tabela de Apoio'!$A:$A,1))/INDEX('Tabela de Apoio'!$B:$B,MATCH('MAPA DE PREÇOS'!P1864,'Tabela de Apoio'!$A:$A,1)-1))*P1863))</f>
        <v>26.9</v>
      </c>
      <c r="Q1867" s="106">
        <f>IF(Q1863="","",
IF(OR(Q1865="Orçamento",Q1864="",MAX('Tabela de Apoio'!$A:$A)&lt;=Q1864),
Q1863,
(INDEX('Tabela de Apoio'!$B:$B,MATCH('MAPA DE PREÇOS'!$O$8,'Tabela de Apoio'!$A:$A,1))/INDEX('Tabela de Apoio'!$B:$B,MATCH('MAPA DE PREÇOS'!Q1864,'Tabela de Apoio'!$A:$A,1)-1))*Q1863))</f>
        <v>38.99</v>
      </c>
      <c r="R1867" s="106">
        <f>IF(R1863="","",
IF(OR(R1865="Orçamento",R1864="",MAX('Tabela de Apoio'!$A:$A)&lt;=R1864),
R1863,
(INDEX('Tabela de Apoio'!$B:$B,MATCH('MAPA DE PREÇOS'!$O$8,'Tabela de Apoio'!$A:$A,1))/INDEX('Tabela de Apoio'!$B:$B,MATCH('MAPA DE PREÇOS'!R1864,'Tabela de Apoio'!$A:$A,1)-1))*R1863))</f>
        <v>45.41</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f t="shared" ref="B1868" si="5784">B1867</f>
        <v>89</v>
      </c>
      <c r="C1868" s="128">
        <f t="shared" ref="C1868" si="5785">C1867</f>
        <v>1</v>
      </c>
      <c r="D1868" s="127">
        <f t="shared" si="5594"/>
        <v>89</v>
      </c>
      <c r="E1868" s="201"/>
      <c r="F1868" s="93"/>
      <c r="G1868" s="203"/>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f t="shared" ref="B1869:C1869" si="5786">B1868</f>
        <v>89</v>
      </c>
      <c r="C1869" s="128">
        <f t="shared" si="5786"/>
        <v>1</v>
      </c>
      <c r="D1869" s="127">
        <f t="shared" si="5594"/>
        <v>89</v>
      </c>
      <c r="E1869" s="201"/>
      <c r="F1869" s="93"/>
      <c r="G1869" s="203"/>
      <c r="H1869" s="134">
        <f t="shared" ref="H1869" si="5787">COUNT($P1869:$XX1869)</f>
        <v>3</v>
      </c>
      <c r="I1869" s="132">
        <f t="shared" ref="I1869" si="5788">_xlfn.STDEV.P($P1868:$XX1869)/AVERAGE($P1868:$XX1869)</f>
        <v>0.20684482274790422</v>
      </c>
      <c r="J1869" s="7">
        <f>ROW()</f>
        <v>1869</v>
      </c>
      <c r="K1869" s="67"/>
      <c r="L1869" s="29" t="s">
        <v>10</v>
      </c>
      <c r="M1869" s="30">
        <f t="shared" ref="M1869" si="5789">IFERROR(
IF(COUNTA(P1863:AI1863)=COUNTIF(P1865:XX1865,"Orçamento"),MIN(M1874,M1871),
IF(M1872&lt;&gt;"",M1872,
IF(M1873&lt;&gt;"",M1873,
M1871
))),"")</f>
        <v>37.1</v>
      </c>
      <c r="N1869" s="71"/>
      <c r="O1869" s="27" t="s">
        <v>376</v>
      </c>
      <c r="P1869" s="106">
        <f t="shared" ref="P1869:AI1869" si="5790">IFERROR(IF(P1867="",
            "",
            IF(COUNT($P1867:$XX1867)&lt;=4,
               P1867,
               IF(OR(P1867&gt;(QUARTILE($P1867:$XX1867,3)+(QUARTILE($P1867:$XX1867,3)-QUARTILE($P1867:$XX1867,1))),
                     P1867&lt;(QUARTILE($P1867:$XX1867,1)-(QUARTILE($P1867:$XX1867,3)-QUARTILE($P1867:$XX1867,1)))
                  ),
               "DESCARTADO",P1867)
             )
  ),P1867)</f>
        <v>26.9</v>
      </c>
      <c r="Q1869" s="106">
        <f t="shared" si="5790"/>
        <v>38.99</v>
      </c>
      <c r="R1869" s="106">
        <f t="shared" si="5790"/>
        <v>45.41</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f t="shared" ref="B1870:B1924" si="5791">B1869</f>
        <v>89</v>
      </c>
      <c r="C1870" s="128">
        <f t="shared" ref="C1870:D1933" si="5792">C1869</f>
        <v>1</v>
      </c>
      <c r="D1870" s="127">
        <f t="shared" si="5594"/>
        <v>89</v>
      </c>
      <c r="E1870" s="201"/>
      <c r="F1870" s="93"/>
      <c r="G1870" s="203"/>
      <c r="H1870"/>
      <c r="I1870"/>
      <c r="J1870"/>
      <c r="K1870" s="66"/>
      <c r="L1870" s="29" t="s">
        <v>360</v>
      </c>
      <c r="M1870" s="30">
        <f t="shared" ref="M1870" si="5793">AVERAGE($P1869:$XX1869)</f>
        <v>37.1</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f t="shared" si="5791"/>
        <v>89</v>
      </c>
      <c r="C1871" s="128">
        <f t="shared" si="5792"/>
        <v>1</v>
      </c>
      <c r="D1871" s="127">
        <f t="shared" si="5792"/>
        <v>89</v>
      </c>
      <c r="E1871" s="201"/>
      <c r="F1871" s="93"/>
      <c r="G1871" s="203"/>
      <c r="H1871" s="134">
        <f t="shared" ref="H1871" si="5795">COUNT($P1871:$XX1871)</f>
        <v>3</v>
      </c>
      <c r="I1871" s="132">
        <f t="shared" ref="I1871" si="5796">_xlfn.STDEV.P($P1870:$XX1871)/AVERAGE($P1870:$XX1871)</f>
        <v>0.20684482274790422</v>
      </c>
      <c r="J1871" s="7">
        <f t="shared" ref="J1871" si="5797">IF(AND(H1871&gt;2,
OR(L1863="MÉDIA SANEADA",L1863="MEDIANA SANEADA",
AND(L1863="PREÇO ESTIMADO",NOT(AND(P1865="Orçamento",COUNTA(P1863:XX1863)=COUNTIF(P1865:XX1865,"Orçamento")))))),
ROW(),0)</f>
        <v>1871</v>
      </c>
      <c r="K1871" s="66"/>
      <c r="L1871" s="29" t="s">
        <v>361</v>
      </c>
      <c r="M1871" s="30">
        <f t="shared" ref="M1871" si="5798">MEDIAN($P1869:$XX1869)</f>
        <v>38.99</v>
      </c>
      <c r="N1871" s="71"/>
      <c r="O1871" s="27" t="str">
        <f t="shared" ref="O1871" si="5799">"1 RODADA"</f>
        <v>1 RODADA</v>
      </c>
      <c r="P1871" s="107">
        <f t="shared" ref="P1871:AI1871" si="5800">IF(P1869="","",IF((_xlfn.STDEV.P($P1868:$XX1869)/AVERAGE($P1868:$XX1869))&lt;=25%,P1869,IF(OR(P1869&gt;(AVERAGE($P1868:$XX1869)+_xlfn.STDEV.P($P1868:$XX1869)),P1869&lt;(AVERAGE($P1868:$XX1869)-_xlfn.STDEV.P($P1868:$XX1869))),"DESCARTADO",P1869)))</f>
        <v>26.9</v>
      </c>
      <c r="Q1871" s="107">
        <f t="shared" si="5800"/>
        <v>38.99</v>
      </c>
      <c r="R1871" s="107">
        <f t="shared" si="5800"/>
        <v>45.41</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f t="shared" si="5791"/>
        <v>89</v>
      </c>
      <c r="C1872" s="128">
        <f t="shared" si="5792"/>
        <v>1</v>
      </c>
      <c r="D1872" s="127">
        <f t="shared" si="5792"/>
        <v>89</v>
      </c>
      <c r="E1872" s="201"/>
      <c r="F1872" s="93"/>
      <c r="G1872" s="203"/>
      <c r="H1872"/>
      <c r="I1872"/>
      <c r="J1872"/>
      <c r="L1872" s="29" t="s">
        <v>38</v>
      </c>
      <c r="M1872" s="30">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37.1</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f t="shared" si="5791"/>
        <v>89</v>
      </c>
      <c r="C1873" s="128">
        <f t="shared" si="5792"/>
        <v>1</v>
      </c>
      <c r="D1873" s="127">
        <f t="shared" si="5792"/>
        <v>89</v>
      </c>
      <c r="E1873" s="201"/>
      <c r="F1873" s="93"/>
      <c r="G1873" s="203"/>
      <c r="H1873" s="134">
        <f t="shared" ref="H1873" si="5803">COUNT($P1873:$XX1873)</f>
        <v>3</v>
      </c>
      <c r="I1873" s="132">
        <f t="shared" ref="I1873" si="5804">_xlfn.STDEV.P($P1872:$XX1873)/AVERAGE($P1872:$XX1873)</f>
        <v>0.20684482274790422</v>
      </c>
      <c r="J1873" s="7">
        <f t="shared" ref="J1873" si="5805">IF(AND(H1873&gt;2,
OR(L1863="MÉDIA SANEADA",L1863="MEDIANA SANEADA",
AND(L1863="PREÇO ESTIMADO",NOT(AND(P1865="Orçamento",COUNTA(P1863:XX1863)=COUNTIF(P1865:XX1865,"Orçamento")))))),
ROW(),0)</f>
        <v>1873</v>
      </c>
      <c r="K1873" s="66"/>
      <c r="L1873" s="29" t="s">
        <v>362</v>
      </c>
      <c r="M1873" s="30">
        <f t="shared" ref="M1873" si="5806" xml:space="preserve">
IF(H1871&gt;2,MEDIAN(P1870:XX1871),
IF(H1873&gt;2,MEDIAN(P1872:XX1873),
IF(H1875&gt;2,MEDIAN(P1874:XX1875),
IF(H1877&gt;2,MEDIAN(P1876:XX1877),
IF(H1879&gt;2,MEDIAN(P1878:XX1879),
IF(H1881&gt;2,MEDIAN(P1880:XX1881),
MEDIAN(P1868:XX1869)))))))</f>
        <v>38.99</v>
      </c>
      <c r="N1873" s="71"/>
      <c r="O1873" s="27" t="str">
        <f t="shared" ref="O1873" si="5807">"2 RODADA"</f>
        <v>2 RODADA</v>
      </c>
      <c r="P1873" s="107">
        <f t="shared" ref="P1873:AI1873" si="5808">IF(P1871="","",IF((_xlfn.STDEV.P($P1870:$XX1871)/AVERAGE($P1870:$XX1871))&lt;=25%,P1871,IF(OR(P1871&gt;(AVERAGE($P1870:$XX1871)+_xlfn.STDEV.P($P1870:$XX1871)),P1871&lt;(AVERAGE($P1870:$XX1871)-_xlfn.STDEV.P($P1870:$XX1871))),"DESCARTADO",P1871)))</f>
        <v>26.9</v>
      </c>
      <c r="Q1873" s="107">
        <f t="shared" si="5808"/>
        <v>38.99</v>
      </c>
      <c r="R1873" s="107">
        <f t="shared" si="5808"/>
        <v>45.41</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f t="shared" si="5791"/>
        <v>89</v>
      </c>
      <c r="C1874" s="128">
        <f t="shared" si="5792"/>
        <v>1</v>
      </c>
      <c r="D1874" s="127">
        <f t="shared" si="5792"/>
        <v>89</v>
      </c>
      <c r="E1874" s="201"/>
      <c r="F1874" s="93"/>
      <c r="G1874" s="203"/>
      <c r="H1874"/>
      <c r="I1874"/>
      <c r="J1874"/>
      <c r="K1874" s="66"/>
      <c r="L1874" s="29" t="s">
        <v>359</v>
      </c>
      <c r="M1874" s="30">
        <f t="shared" ref="M1874" si="5809">HARMEAN($P1868:$XX1869)</f>
        <v>35.359051721673893</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f t="shared" si="5791"/>
        <v>89</v>
      </c>
      <c r="C1875" s="128">
        <f t="shared" si="5792"/>
        <v>1</v>
      </c>
      <c r="D1875" s="127">
        <f t="shared" si="5792"/>
        <v>89</v>
      </c>
      <c r="E1875" s="201"/>
      <c r="F1875" s="93"/>
      <c r="G1875" s="203"/>
      <c r="H1875" s="134">
        <f t="shared" ref="H1875" si="5811">COUNT($P1875:$XX1875)</f>
        <v>3</v>
      </c>
      <c r="I1875" s="132">
        <f t="shared" ref="I1875" si="5812">_xlfn.STDEV.P($P1874:$XX1875)/AVERAGE($P1874:$XX1875)</f>
        <v>0.20684482274790422</v>
      </c>
      <c r="J1875" s="7">
        <f t="shared" ref="J1875" si="5813">IF(AND(H1875&gt;2,
OR(L1863="MÉDIA SANEADA",L1863="MEDIANA SANEADA",
AND(L1863="PREÇO ESTIMADO",NOT(AND(P1865="Orçamento",COUNTA(P1863:XX1863)=COUNTIF(P1865:XX1865,"Orçamento")))))),
ROW(),0)</f>
        <v>1875</v>
      </c>
      <c r="K1875" s="66"/>
      <c r="L1875" s="29" t="s">
        <v>41</v>
      </c>
      <c r="M1875" s="30">
        <f t="shared" ref="M1875" si="5814">IFERROR(_xlfn.QUARTILE.EXC($P1869:$XX1869,1),"")</f>
        <v>26.9</v>
      </c>
      <c r="N1875" s="71"/>
      <c r="O1875" s="27" t="str">
        <f t="shared" ref="O1875" si="5815">"3 RODADA"</f>
        <v>3 RODADA</v>
      </c>
      <c r="P1875" s="107">
        <f t="shared" ref="P1875:AI1875" si="5816">IF(P1873="","",IF((_xlfn.STDEV.P($P1872:$XX1873)/AVERAGE($P1872:$XX1873))&lt;=25%,P1873,IF(OR(P1873&gt;(AVERAGE($P1872:$XX1873)+_xlfn.STDEV.P($P1872:$XX1873)),P1873&lt;(AVERAGE($P1872:$XX1873)-_xlfn.STDEV.P($P1872:$XX1873))),"DESCARTADO",P1873)))</f>
        <v>26.9</v>
      </c>
      <c r="Q1875" s="107">
        <f t="shared" si="5816"/>
        <v>38.99</v>
      </c>
      <c r="R1875" s="107">
        <f t="shared" si="5816"/>
        <v>45.41</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f t="shared" si="5791"/>
        <v>89</v>
      </c>
      <c r="C1876" s="128">
        <f t="shared" si="5792"/>
        <v>1</v>
      </c>
      <c r="D1876" s="127">
        <f t="shared" si="5792"/>
        <v>89</v>
      </c>
      <c r="E1876" s="201"/>
      <c r="F1876" s="93"/>
      <c r="G1876" s="203"/>
      <c r="H1876"/>
      <c r="I1876"/>
      <c r="J1876"/>
      <c r="K1876" s="66"/>
      <c r="L1876" s="29" t="s">
        <v>39</v>
      </c>
      <c r="M1876" s="30">
        <f t="shared" ref="M1876" si="5817">IFERROR(_xlfn.QUARTILE.EXC($P1869:$XX1869,3),"")</f>
        <v>45.41</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f t="shared" si="5791"/>
        <v>89</v>
      </c>
      <c r="C1877" s="128">
        <f t="shared" si="5792"/>
        <v>1</v>
      </c>
      <c r="D1877" s="127">
        <f t="shared" si="5792"/>
        <v>89</v>
      </c>
      <c r="E1877" s="201"/>
      <c r="F1877" s="93"/>
      <c r="G1877" s="203"/>
      <c r="H1877" s="134">
        <f t="shared" ref="H1877" si="5819">COUNT($P1877:$XX1877)</f>
        <v>3</v>
      </c>
      <c r="I1877" s="132">
        <f t="shared" ref="I1877" si="5820">_xlfn.STDEV.P($P1876:$XX1877)/AVERAGE($P1876:$XX1877)</f>
        <v>0.20684482274790422</v>
      </c>
      <c r="J1877" s="7">
        <f t="shared" ref="J1877" si="5821">IF(AND(H1877&gt;2,
OR(L1863="MÉDIA SANEADA",L1863="MEDIANA SANEADA",
AND(L1863="PREÇO ESTIMADO",NOT(AND(P1865="Orçamento",COUNTA(P1863:XX1863)=COUNTIF(P1865:XX1865,"Orçamento")))))),
ROW(),0)</f>
        <v>1877</v>
      </c>
      <c r="K1877" s="66"/>
      <c r="L1877" s="29" t="s">
        <v>42</v>
      </c>
      <c r="M1877" s="30">
        <f t="shared" ref="M1877" si="5822">MIN($P1869:$XX1869)</f>
        <v>26.9</v>
      </c>
      <c r="N1877" s="71"/>
      <c r="O1877" s="27" t="str">
        <f t="shared" ref="O1877" si="5823">"4 RODADA"</f>
        <v>4 RODADA</v>
      </c>
      <c r="P1877" s="107">
        <f t="shared" ref="P1877:AI1877" si="5824">IF(P1875="","",IF((_xlfn.STDEV.P($P1874:$XX1875)/AVERAGE($P1874:$XX1875))&lt;=25%,P1875,IF(OR(P1875&gt;(AVERAGE($P1874:$XX1875)+_xlfn.STDEV.P($P1874:$XX1875)),P1875&lt;(AVERAGE($P1874:$XX1875)-_xlfn.STDEV.P($P1874:$XX1875))),"DESCARTADO",P1875)))</f>
        <v>26.9</v>
      </c>
      <c r="Q1877" s="107">
        <f t="shared" si="5824"/>
        <v>38.99</v>
      </c>
      <c r="R1877" s="107">
        <f t="shared" si="5824"/>
        <v>45.41</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f t="shared" si="5791"/>
        <v>89</v>
      </c>
      <c r="C1878" s="128">
        <f t="shared" si="5792"/>
        <v>1</v>
      </c>
      <c r="D1878" s="127">
        <f t="shared" si="5792"/>
        <v>89</v>
      </c>
      <c r="E1878" s="201"/>
      <c r="F1878" s="93"/>
      <c r="G1878" s="203"/>
      <c r="H1878"/>
      <c r="I1878"/>
      <c r="J1878"/>
      <c r="K1878" s="66"/>
      <c r="L1878" s="29" t="s">
        <v>40</v>
      </c>
      <c r="M1878" s="30">
        <f t="shared" ref="M1878" si="5825">MAX($P1869:$XX1869)</f>
        <v>45.41</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f t="shared" si="5791"/>
        <v>89</v>
      </c>
      <c r="C1879" s="128">
        <f t="shared" si="5792"/>
        <v>1</v>
      </c>
      <c r="D1879" s="127">
        <f t="shared" si="5792"/>
        <v>89</v>
      </c>
      <c r="E1879" s="201"/>
      <c r="F1879" s="93"/>
      <c r="G1879" s="203"/>
      <c r="H1879" s="134">
        <f t="shared" ref="H1879" si="5827">COUNT($P1879:$XX1879)</f>
        <v>3</v>
      </c>
      <c r="I1879" s="132">
        <f t="shared" ref="I1879" si="5828">_xlfn.STDEV.P($P1878:$XX1879)/AVERAGE($P1878:$XX1879)</f>
        <v>0.20684482274790422</v>
      </c>
      <c r="J1879" s="7">
        <f t="shared" ref="J1879" si="5829">IF(AND(H1879&gt;2,
OR(L1863="MÉDIA SANEADA",L1863="MEDIANA SANEADA",
AND(L1863="PREÇO ESTIMADO",NOT(AND(P1865="Orçamento",COUNTA(P1863:XX1863)=COUNTIF(P1865:XX1865,"Orçamento")))))),
ROW(),0)</f>
        <v>1879</v>
      </c>
      <c r="K1879" s="66"/>
      <c r="N1879" s="71"/>
      <c r="O1879" s="27" t="str">
        <f t="shared" ref="O1879" si="5830">"5 RODADA"</f>
        <v>5 RODADA</v>
      </c>
      <c r="P1879" s="107">
        <f t="shared" ref="P1879:AI1879" si="5831">IF(P1877="","",IF((_xlfn.STDEV.P($P1876:$XX1877)/AVERAGE($P1876:$XX1877))&lt;=25%,P1877,IF(OR(P1877&gt;(AVERAGE($P1876:$XX1877)+_xlfn.STDEV.P($P1876:$XX1877)),P1877&lt;(AVERAGE($P1876:$XX1877)-_xlfn.STDEV.P($P1876:$XX1877))),"DESCARTADO",P1877)))</f>
        <v>26.9</v>
      </c>
      <c r="Q1879" s="107">
        <f t="shared" si="5831"/>
        <v>38.99</v>
      </c>
      <c r="R1879" s="107">
        <f t="shared" si="5831"/>
        <v>45.41</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f t="shared" si="5791"/>
        <v>89</v>
      </c>
      <c r="C1880" s="128">
        <f t="shared" si="5792"/>
        <v>1</v>
      </c>
      <c r="D1880" s="127">
        <f t="shared" si="5792"/>
        <v>89</v>
      </c>
      <c r="E1880" s="201"/>
      <c r="F1880" s="93"/>
      <c r="G1880" s="203"/>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f t="shared" si="5791"/>
        <v>89</v>
      </c>
      <c r="C1881" s="128">
        <f t="shared" si="5792"/>
        <v>1</v>
      </c>
      <c r="D1881" s="127">
        <f t="shared" si="5792"/>
        <v>89</v>
      </c>
      <c r="E1881" s="201"/>
      <c r="F1881" s="93"/>
      <c r="G1881" s="203"/>
      <c r="H1881" s="134">
        <f t="shared" ref="H1881" si="5833">COUNT($P1881:$XX1881)</f>
        <v>3</v>
      </c>
      <c r="I1881" s="132">
        <f t="shared" ref="I1881" si="5834">_xlfn.STDEV.P($P1880:$XX1881)/AVERAGE($P1880:$XX1881)</f>
        <v>0.20684482274790422</v>
      </c>
      <c r="J1881" s="7">
        <f t="shared" ref="J1881" si="5835">IF(AND(H1881&gt;2,
OR(L1863="MÉDIA SANEADA",L1863="MEDIANA SANEADA",
AND(L1863="PREÇO ESTIMADO",NOT(AND(P1865="Orçamento",COUNTA(P1863:XX1863)=COUNTIF(P1865:XX1865,"Orçamento")))))),
ROW(),0)</f>
        <v>1881</v>
      </c>
      <c r="N1881" s="71"/>
      <c r="O1881" s="27" t="str">
        <f t="shared" ref="O1881" si="5836">"6 RODADA"</f>
        <v>6 RODADA</v>
      </c>
      <c r="P1881" s="107">
        <f t="shared" ref="P1881:AI1881" si="5837">IFERROR(IF(P1879="","",IF((_xlfn.STDEV.P($P1878:$XX1879)/AVERAGE($P1878:$XX1879))&lt;=25%,P1879,IF(OR(P1879&gt;(AVERAGE($P1878:$XX1879)+_xlfn.STDEV.P($P1878:$XX1879)),P1879&lt;(AVERAGE($P1878:$XX1879)-_xlfn.STDEV.P($P1878:$XX1879))),"DESCARTADO",P1879))),)</f>
        <v>26.9</v>
      </c>
      <c r="Q1881" s="107">
        <f t="shared" si="5837"/>
        <v>38.99</v>
      </c>
      <c r="R1881" s="107">
        <f t="shared" si="5837"/>
        <v>45.41</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f t="shared" si="5791"/>
        <v>89</v>
      </c>
      <c r="C1882" s="128">
        <f t="shared" si="5792"/>
        <v>1</v>
      </c>
      <c r="D1882" s="127">
        <f t="shared" si="5792"/>
        <v>89</v>
      </c>
      <c r="E1882" s="201"/>
      <c r="F1882" s="136"/>
      <c r="G1882" s="203"/>
      <c r="H1882" s="206"/>
      <c r="I1882" s="206"/>
      <c r="J1882" s="207"/>
      <c r="K1882" s="67"/>
      <c r="L1882" s="1" t="s">
        <v>43</v>
      </c>
      <c r="M1882" s="143">
        <f t="shared" ref="M1882" si="5838">IFERROR(ROUND(M1863*M1865,2),"")</f>
        <v>74.2</v>
      </c>
      <c r="O1882" s="27" t="s">
        <v>363</v>
      </c>
      <c r="P1882" s="107">
        <f t="shared" ref="P1882:R1882" si="5839">INDEX(P1869:P1881,MATCH(MAX($J1869:$J1881),$J1869:$J1881,0))</f>
        <v>26.9</v>
      </c>
      <c r="Q1882" s="107">
        <f t="shared" si="5839"/>
        <v>38.99</v>
      </c>
      <c r="R1882" s="107">
        <f t="shared" si="5839"/>
        <v>45.41</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f t="shared" ref="B1884" si="5840">LARGE(IFERROR(IF(B1882+1&gt;$H$8,"",B1882+1),""),1)</f>
        <v>90</v>
      </c>
      <c r="C1884" s="127">
        <f>IF(_xlfn.ISFORMULA(E1888),MAX(INDEX('BASE FORMAÇÃO'!A:A,B1884+1),1),E1888)</f>
        <v>1</v>
      </c>
      <c r="D1884" s="127">
        <f t="shared" ref="D1884" si="5841">IFERROR(IF(C1884=C1874,D1874+1,1),1)</f>
        <v>90</v>
      </c>
      <c r="E1884" s="38" t="s">
        <v>9</v>
      </c>
      <c r="F1884" s="73"/>
      <c r="G1884" s="38" t="s">
        <v>15</v>
      </c>
      <c r="H1884" s="135">
        <f>INDEX('BASE FORMAÇÃO'!B:B,B1884+1)</f>
        <v>0</v>
      </c>
      <c r="I1884" s="181" t="s">
        <v>16</v>
      </c>
      <c r="J1884" s="6">
        <f>INDEX('BASE FORMAÇÃO'!K:K,B1884+1)</f>
        <v>0</v>
      </c>
      <c r="K1884" s="65"/>
      <c r="L1884" s="184" t="s">
        <v>10</v>
      </c>
      <c r="M1884" s="186">
        <f t="shared" ref="M1884" si="5842">IF(OR(ISBLANK($O$8),ISBLANK($O$7),ISBLANK($H$8),ISBLANK($O$6),ISBLANK($O$5),ISBLANK($H$5)),"",IFERROR(IF(VLOOKUP(L1884,L1890:M1899,2,FALSE)&lt;1,ROUND(VLOOKUP(L1884,L1890:M1899,2,FALSE),4),ROUND(VLOOKUP(L1884,L1890:M1899,2,FALSE),2)),""))</f>
        <v>624.20000000000005</v>
      </c>
      <c r="N1884" s="69"/>
      <c r="O1884" s="27" t="s">
        <v>17</v>
      </c>
      <c r="P1884" s="113">
        <v>624</v>
      </c>
      <c r="Q1884" s="113">
        <v>624</v>
      </c>
      <c r="R1884" s="113">
        <v>624.6</v>
      </c>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f t="shared" ref="B1885:D1885" si="5843">B1884</f>
        <v>90</v>
      </c>
      <c r="C1885" s="128">
        <f t="shared" si="5843"/>
        <v>1</v>
      </c>
      <c r="D1885" s="127">
        <f t="shared" si="5843"/>
        <v>90</v>
      </c>
      <c r="E1885" s="188">
        <f t="shared" ref="E1885" si="5844">D1884</f>
        <v>90</v>
      </c>
      <c r="F1885" s="92"/>
      <c r="G1885" s="190" t="s">
        <v>1</v>
      </c>
      <c r="H1885" s="193" t="s">
        <v>789</v>
      </c>
      <c r="I1885" s="194"/>
      <c r="J1885" s="195"/>
      <c r="K1885" s="66"/>
      <c r="L1885" s="185"/>
      <c r="M1885" s="187"/>
      <c r="N1885" s="70"/>
      <c r="O1885" s="27" t="s">
        <v>13</v>
      </c>
      <c r="P1885" s="122">
        <v>46196</v>
      </c>
      <c r="Q1885" s="122">
        <v>46196</v>
      </c>
      <c r="R1885" s="122">
        <v>46196</v>
      </c>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f t="shared" ref="B1886:D1886" si="5845">B1885</f>
        <v>90</v>
      </c>
      <c r="C1886" s="128">
        <f t="shared" si="5845"/>
        <v>1</v>
      </c>
      <c r="D1886" s="127">
        <f t="shared" si="5845"/>
        <v>90</v>
      </c>
      <c r="E1886" s="189"/>
      <c r="F1886" s="93"/>
      <c r="G1886" s="191"/>
      <c r="H1886" s="196"/>
      <c r="I1886" s="196"/>
      <c r="J1886" s="197"/>
      <c r="K1886" s="64"/>
      <c r="L1886" s="130" t="s">
        <v>44</v>
      </c>
      <c r="M1886" s="131">
        <v>2</v>
      </c>
      <c r="N1886" s="71"/>
      <c r="O1886" s="27" t="s">
        <v>380</v>
      </c>
      <c r="P1886" s="114" t="s">
        <v>302</v>
      </c>
      <c r="Q1886" s="114" t="s">
        <v>302</v>
      </c>
      <c r="R1886" s="114" t="s">
        <v>302</v>
      </c>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f t="shared" ref="B1887:C1887" si="5846">B1886</f>
        <v>90</v>
      </c>
      <c r="C1887" s="128">
        <f t="shared" si="5846"/>
        <v>1</v>
      </c>
      <c r="D1887" s="127">
        <f t="shared" si="5792"/>
        <v>90</v>
      </c>
      <c r="E1887" s="38" t="s">
        <v>313</v>
      </c>
      <c r="F1887" s="93"/>
      <c r="G1887" s="192"/>
      <c r="H1887" s="198"/>
      <c r="I1887" s="198"/>
      <c r="J1887" s="199"/>
      <c r="K1887" s="64"/>
      <c r="L1887" s="1" t="s">
        <v>2</v>
      </c>
      <c r="M1887" s="6" t="s">
        <v>288</v>
      </c>
      <c r="N1887" s="71"/>
      <c r="O1887" s="27" t="s">
        <v>381</v>
      </c>
      <c r="P1887" s="182" t="s">
        <v>790</v>
      </c>
      <c r="Q1887" s="182" t="s">
        <v>791</v>
      </c>
      <c r="R1887" s="182" t="s">
        <v>792</v>
      </c>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f t="shared" ref="B1888:C1888" si="5847">B1886</f>
        <v>90</v>
      </c>
      <c r="C1888" s="128">
        <f t="shared" si="5847"/>
        <v>1</v>
      </c>
      <c r="D1888" s="127">
        <f t="shared" si="5792"/>
        <v>90</v>
      </c>
      <c r="E1888" s="200">
        <f t="shared" ref="E1888" si="5848">C1884</f>
        <v>1</v>
      </c>
      <c r="F1888" s="93"/>
      <c r="G1888" s="202" t="s">
        <v>304</v>
      </c>
      <c r="H1888" s="204"/>
      <c r="I1888" s="205"/>
      <c r="J1888" s="205"/>
      <c r="K1888" s="67"/>
      <c r="L1888" s="28" t="s">
        <v>303</v>
      </c>
      <c r="M1888" s="133">
        <f t="shared" ref="M1888" si="5849">IFERROR(INDEX(I1890:I1902,MATCH(MAX(J1890:J1902),J1890:J1902,0)),"")</f>
        <v>4.5312834424003482E-4</v>
      </c>
      <c r="N1888" s="71"/>
      <c r="O1888" s="27" t="s">
        <v>18</v>
      </c>
      <c r="P1888" s="106">
        <f>IF(P1884="","",
IF(OR(P1886="Orçamento",P1885="",MAX('Tabela de Apoio'!$A:$A)&lt;=P1885),
P1884,
(INDEX('Tabela de Apoio'!$B:$B,MATCH('MAPA DE PREÇOS'!$O$8,'Tabela de Apoio'!$A:$A,1))/INDEX('Tabela de Apoio'!$B:$B,MATCH('MAPA DE PREÇOS'!P1885,'Tabela de Apoio'!$A:$A,1)-1))*P1884))</f>
        <v>624</v>
      </c>
      <c r="Q1888" s="106">
        <f>IF(Q1884="","",
IF(OR(Q1886="Orçamento",Q1885="",MAX('Tabela de Apoio'!$A:$A)&lt;=Q1885),
Q1884,
(INDEX('Tabela de Apoio'!$B:$B,MATCH('MAPA DE PREÇOS'!$O$8,'Tabela de Apoio'!$A:$A,1))/INDEX('Tabela de Apoio'!$B:$B,MATCH('MAPA DE PREÇOS'!Q1885,'Tabela de Apoio'!$A:$A,1)-1))*Q1884))</f>
        <v>624</v>
      </c>
      <c r="R1888" s="106">
        <f>IF(R1884="","",
IF(OR(R1886="Orçamento",R1885="",MAX('Tabela de Apoio'!$A:$A)&lt;=R1885),
R1884,
(INDEX('Tabela de Apoio'!$B:$B,MATCH('MAPA DE PREÇOS'!$O$8,'Tabela de Apoio'!$A:$A,1))/INDEX('Tabela de Apoio'!$B:$B,MATCH('MAPA DE PREÇOS'!R1885,'Tabela de Apoio'!$A:$A,1)-1))*R1884))</f>
        <v>624.6</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f t="shared" ref="B1889" si="5850">B1888</f>
        <v>90</v>
      </c>
      <c r="C1889" s="128">
        <f t="shared" ref="C1889" si="5851">C1888</f>
        <v>1</v>
      </c>
      <c r="D1889" s="127">
        <f t="shared" si="5792"/>
        <v>90</v>
      </c>
      <c r="E1889" s="201"/>
      <c r="F1889" s="93"/>
      <c r="G1889" s="203"/>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f t="shared" ref="B1890:C1890" si="5852">B1889</f>
        <v>90</v>
      </c>
      <c r="C1890" s="128">
        <f t="shared" si="5852"/>
        <v>1</v>
      </c>
      <c r="D1890" s="127">
        <f t="shared" si="5792"/>
        <v>90</v>
      </c>
      <c r="E1890" s="201"/>
      <c r="F1890" s="93"/>
      <c r="G1890" s="203"/>
      <c r="H1890" s="134">
        <f t="shared" ref="H1890" si="5853">COUNT($P1890:$XX1890)</f>
        <v>3</v>
      </c>
      <c r="I1890" s="132">
        <f t="shared" ref="I1890" si="5854">_xlfn.STDEV.P($P1889:$XX1890)/AVERAGE($P1889:$XX1890)</f>
        <v>4.5312834424003482E-4</v>
      </c>
      <c r="J1890" s="7">
        <f>ROW()</f>
        <v>1890</v>
      </c>
      <c r="K1890" s="67"/>
      <c r="L1890" s="29" t="s">
        <v>10</v>
      </c>
      <c r="M1890" s="30">
        <f t="shared" ref="M1890" si="5855">IFERROR(
IF(COUNTA(P1884:AI1884)=COUNTIF(P1886:XX1886,"Orçamento"),MIN(M1895,M1892),
IF(M1893&lt;&gt;"",M1893,
IF(M1894&lt;&gt;"",M1894,
M1892
))),"")</f>
        <v>624.19999999999993</v>
      </c>
      <c r="N1890" s="71"/>
      <c r="O1890" s="27" t="s">
        <v>376</v>
      </c>
      <c r="P1890" s="106">
        <f t="shared" ref="P1890:AI1890" si="5856">IFERROR(IF(P1888="",
            "",
            IF(COUNT($P1888:$XX1888)&lt;=4,
               P1888,
               IF(OR(P1888&gt;(QUARTILE($P1888:$XX1888,3)+(QUARTILE($P1888:$XX1888,3)-QUARTILE($P1888:$XX1888,1))),
                     P1888&lt;(QUARTILE($P1888:$XX1888,1)-(QUARTILE($P1888:$XX1888,3)-QUARTILE($P1888:$XX1888,1)))
                  ),
               "DESCARTADO",P1888)
             )
  ),P1888)</f>
        <v>624</v>
      </c>
      <c r="Q1890" s="106">
        <f t="shared" si="5856"/>
        <v>624</v>
      </c>
      <c r="R1890" s="106">
        <f t="shared" si="5856"/>
        <v>624.6</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f t="shared" ref="B1891" si="5857">B1890</f>
        <v>90</v>
      </c>
      <c r="C1891" s="128">
        <f t="shared" ref="C1891" si="5858">C1890</f>
        <v>1</v>
      </c>
      <c r="D1891" s="127">
        <f t="shared" si="5792"/>
        <v>90</v>
      </c>
      <c r="E1891" s="201"/>
      <c r="F1891" s="93"/>
      <c r="G1891" s="203"/>
      <c r="H1891"/>
      <c r="I1891"/>
      <c r="J1891"/>
      <c r="K1891" s="66"/>
      <c r="L1891" s="29" t="s">
        <v>360</v>
      </c>
      <c r="M1891" s="30">
        <f t="shared" ref="M1891" si="5859">AVERAGE($P1890:$XX1890)</f>
        <v>624.19999999999993</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f t="shared" si="5791"/>
        <v>90</v>
      </c>
      <c r="C1892" s="128">
        <f t="shared" si="5792"/>
        <v>1</v>
      </c>
      <c r="D1892" s="127">
        <f t="shared" si="5792"/>
        <v>90</v>
      </c>
      <c r="E1892" s="201"/>
      <c r="F1892" s="93"/>
      <c r="G1892" s="203"/>
      <c r="H1892" s="134">
        <f t="shared" ref="H1892" si="5861">COUNT($P1892:$XX1892)</f>
        <v>3</v>
      </c>
      <c r="I1892" s="132">
        <f t="shared" ref="I1892" si="5862">_xlfn.STDEV.P($P1891:$XX1892)/AVERAGE($P1891:$XX1892)</f>
        <v>4.5312834424003482E-4</v>
      </c>
      <c r="J1892" s="7">
        <f t="shared" ref="J1892" si="5863">IF(AND(H1892&gt;2,
OR(L1884="MÉDIA SANEADA",L1884="MEDIANA SANEADA",
AND(L1884="PREÇO ESTIMADO",NOT(AND(P1886="Orçamento",COUNTA(P1884:XX1884)=COUNTIF(P1886:XX1886,"Orçamento")))))),
ROW(),0)</f>
        <v>1892</v>
      </c>
      <c r="K1892" s="66"/>
      <c r="L1892" s="29" t="s">
        <v>361</v>
      </c>
      <c r="M1892" s="30">
        <f t="shared" ref="M1892" si="5864">MEDIAN($P1890:$XX1890)</f>
        <v>624</v>
      </c>
      <c r="N1892" s="71"/>
      <c r="O1892" s="27" t="str">
        <f t="shared" ref="O1892" si="5865">"1 RODADA"</f>
        <v>1 RODADA</v>
      </c>
      <c r="P1892" s="107">
        <f t="shared" ref="P1892:AI1892" si="5866">IF(P1890="","",IF((_xlfn.STDEV.P($P1889:$XX1890)/AVERAGE($P1889:$XX1890))&lt;=25%,P1890,IF(OR(P1890&gt;(AVERAGE($P1889:$XX1890)+_xlfn.STDEV.P($P1889:$XX1890)),P1890&lt;(AVERAGE($P1889:$XX1890)-_xlfn.STDEV.P($P1889:$XX1890))),"DESCARTADO",P1890)))</f>
        <v>624</v>
      </c>
      <c r="Q1892" s="107">
        <f t="shared" si="5866"/>
        <v>624</v>
      </c>
      <c r="R1892" s="107">
        <f t="shared" si="5866"/>
        <v>624.6</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f t="shared" si="5791"/>
        <v>90</v>
      </c>
      <c r="C1893" s="128">
        <f t="shared" si="5792"/>
        <v>1</v>
      </c>
      <c r="D1893" s="127">
        <f t="shared" si="5792"/>
        <v>90</v>
      </c>
      <c r="E1893" s="201"/>
      <c r="F1893" s="93"/>
      <c r="G1893" s="203"/>
      <c r="H1893"/>
      <c r="I1893"/>
      <c r="J1893"/>
      <c r="L1893" s="29" t="s">
        <v>38</v>
      </c>
      <c r="M1893" s="30">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624.19999999999993</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f t="shared" si="5791"/>
        <v>90</v>
      </c>
      <c r="C1894" s="128">
        <f t="shared" si="5792"/>
        <v>1</v>
      </c>
      <c r="D1894" s="127">
        <f t="shared" si="5792"/>
        <v>90</v>
      </c>
      <c r="E1894" s="201"/>
      <c r="F1894" s="93"/>
      <c r="G1894" s="203"/>
      <c r="H1894" s="134">
        <f t="shared" ref="H1894" si="5869">COUNT($P1894:$XX1894)</f>
        <v>3</v>
      </c>
      <c r="I1894" s="132">
        <f t="shared" ref="I1894" si="5870">_xlfn.STDEV.P($P1893:$XX1894)/AVERAGE($P1893:$XX1894)</f>
        <v>4.5312834424003482E-4</v>
      </c>
      <c r="J1894" s="7">
        <f t="shared" ref="J1894" si="5871">IF(AND(H1894&gt;2,
OR(L1884="MÉDIA SANEADA",L1884="MEDIANA SANEADA",
AND(L1884="PREÇO ESTIMADO",NOT(AND(P1886="Orçamento",COUNTA(P1884:XX1884)=COUNTIF(P1886:XX1886,"Orçamento")))))),
ROW(),0)</f>
        <v>1894</v>
      </c>
      <c r="K1894" s="66"/>
      <c r="L1894" s="29" t="s">
        <v>362</v>
      </c>
      <c r="M1894" s="30">
        <f t="shared" ref="M1894" si="5872" xml:space="preserve">
IF(H1892&gt;2,MEDIAN(P1891:XX1892),
IF(H1894&gt;2,MEDIAN(P1893:XX1894),
IF(H1896&gt;2,MEDIAN(P1895:XX1896),
IF(H1898&gt;2,MEDIAN(P1897:XX1898),
IF(H1900&gt;2,MEDIAN(P1899:XX1900),
IF(H1902&gt;2,MEDIAN(P1901:XX1902),
MEDIAN(P1889:XX1890)))))))</f>
        <v>624</v>
      </c>
      <c r="N1894" s="71"/>
      <c r="O1894" s="27" t="str">
        <f t="shared" ref="O1894" si="5873">"2 RODADA"</f>
        <v>2 RODADA</v>
      </c>
      <c r="P1894" s="107">
        <f t="shared" ref="P1894:AI1894" si="5874">IF(P1892="","",IF((_xlfn.STDEV.P($P1891:$XX1892)/AVERAGE($P1891:$XX1892))&lt;=25%,P1892,IF(OR(P1892&gt;(AVERAGE($P1891:$XX1892)+_xlfn.STDEV.P($P1891:$XX1892)),P1892&lt;(AVERAGE($P1891:$XX1892)-_xlfn.STDEV.P($P1891:$XX1892))),"DESCARTADO",P1892)))</f>
        <v>624</v>
      </c>
      <c r="Q1894" s="107">
        <f t="shared" si="5874"/>
        <v>624</v>
      </c>
      <c r="R1894" s="107">
        <f t="shared" si="5874"/>
        <v>624.6</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f t="shared" si="5791"/>
        <v>90</v>
      </c>
      <c r="C1895" s="128">
        <f t="shared" si="5792"/>
        <v>1</v>
      </c>
      <c r="D1895" s="127">
        <f t="shared" si="5792"/>
        <v>90</v>
      </c>
      <c r="E1895" s="201"/>
      <c r="F1895" s="93"/>
      <c r="G1895" s="203"/>
      <c r="H1895"/>
      <c r="I1895"/>
      <c r="J1895"/>
      <c r="K1895" s="66"/>
      <c r="L1895" s="29" t="s">
        <v>359</v>
      </c>
      <c r="M1895" s="30">
        <f t="shared" ref="M1895" si="5875">HARMEAN($P1889:$XX1890)</f>
        <v>624.1998718770019</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f t="shared" si="5791"/>
        <v>90</v>
      </c>
      <c r="C1896" s="128">
        <f t="shared" si="5792"/>
        <v>1</v>
      </c>
      <c r="D1896" s="127">
        <f t="shared" si="5792"/>
        <v>90</v>
      </c>
      <c r="E1896" s="201"/>
      <c r="F1896" s="93"/>
      <c r="G1896" s="203"/>
      <c r="H1896" s="134">
        <f t="shared" ref="H1896" si="5877">COUNT($P1896:$XX1896)</f>
        <v>3</v>
      </c>
      <c r="I1896" s="132">
        <f t="shared" ref="I1896" si="5878">_xlfn.STDEV.P($P1895:$XX1896)/AVERAGE($P1895:$XX1896)</f>
        <v>4.5312834424003482E-4</v>
      </c>
      <c r="J1896" s="7">
        <f t="shared" ref="J1896" si="5879">IF(AND(H1896&gt;2,
OR(L1884="MÉDIA SANEADA",L1884="MEDIANA SANEADA",
AND(L1884="PREÇO ESTIMADO",NOT(AND(P1886="Orçamento",COUNTA(P1884:XX1884)=COUNTIF(P1886:XX1886,"Orçamento")))))),
ROW(),0)</f>
        <v>1896</v>
      </c>
      <c r="K1896" s="66"/>
      <c r="L1896" s="29" t="s">
        <v>41</v>
      </c>
      <c r="M1896" s="30">
        <f t="shared" ref="M1896" si="5880">IFERROR(_xlfn.QUARTILE.EXC($P1890:$XX1890,1),"")</f>
        <v>624</v>
      </c>
      <c r="N1896" s="71"/>
      <c r="O1896" s="27" t="str">
        <f t="shared" ref="O1896" si="5881">"3 RODADA"</f>
        <v>3 RODADA</v>
      </c>
      <c r="P1896" s="107">
        <f t="shared" ref="P1896:AI1896" si="5882">IF(P1894="","",IF((_xlfn.STDEV.P($P1893:$XX1894)/AVERAGE($P1893:$XX1894))&lt;=25%,P1894,IF(OR(P1894&gt;(AVERAGE($P1893:$XX1894)+_xlfn.STDEV.P($P1893:$XX1894)),P1894&lt;(AVERAGE($P1893:$XX1894)-_xlfn.STDEV.P($P1893:$XX1894))),"DESCARTADO",P1894)))</f>
        <v>624</v>
      </c>
      <c r="Q1896" s="107">
        <f t="shared" si="5882"/>
        <v>624</v>
      </c>
      <c r="R1896" s="107">
        <f t="shared" si="5882"/>
        <v>624.6</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f t="shared" si="5791"/>
        <v>90</v>
      </c>
      <c r="C1897" s="128">
        <f t="shared" si="5792"/>
        <v>1</v>
      </c>
      <c r="D1897" s="127">
        <f t="shared" si="5792"/>
        <v>90</v>
      </c>
      <c r="E1897" s="201"/>
      <c r="F1897" s="93"/>
      <c r="G1897" s="203"/>
      <c r="H1897"/>
      <c r="I1897"/>
      <c r="J1897"/>
      <c r="K1897" s="66"/>
      <c r="L1897" s="29" t="s">
        <v>39</v>
      </c>
      <c r="M1897" s="30">
        <f t="shared" ref="M1897" si="5883">IFERROR(_xlfn.QUARTILE.EXC($P1890:$XX1890,3),"")</f>
        <v>624.6</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f t="shared" si="5791"/>
        <v>90</v>
      </c>
      <c r="C1898" s="128">
        <f t="shared" si="5792"/>
        <v>1</v>
      </c>
      <c r="D1898" s="127">
        <f t="shared" si="5792"/>
        <v>90</v>
      </c>
      <c r="E1898" s="201"/>
      <c r="F1898" s="93"/>
      <c r="G1898" s="203"/>
      <c r="H1898" s="134">
        <f t="shared" ref="H1898" si="5885">COUNT($P1898:$XX1898)</f>
        <v>3</v>
      </c>
      <c r="I1898" s="132">
        <f t="shared" ref="I1898" si="5886">_xlfn.STDEV.P($P1897:$XX1898)/AVERAGE($P1897:$XX1898)</f>
        <v>4.5312834424003482E-4</v>
      </c>
      <c r="J1898" s="7">
        <f t="shared" ref="J1898" si="5887">IF(AND(H1898&gt;2,
OR(L1884="MÉDIA SANEADA",L1884="MEDIANA SANEADA",
AND(L1884="PREÇO ESTIMADO",NOT(AND(P1886="Orçamento",COUNTA(P1884:XX1884)=COUNTIF(P1886:XX1886,"Orçamento")))))),
ROW(),0)</f>
        <v>1898</v>
      </c>
      <c r="K1898" s="66"/>
      <c r="L1898" s="29" t="s">
        <v>42</v>
      </c>
      <c r="M1898" s="30">
        <f t="shared" ref="M1898" si="5888">MIN($P1890:$XX1890)</f>
        <v>624</v>
      </c>
      <c r="N1898" s="71"/>
      <c r="O1898" s="27" t="str">
        <f t="shared" ref="O1898" si="5889">"4 RODADA"</f>
        <v>4 RODADA</v>
      </c>
      <c r="P1898" s="107">
        <f t="shared" ref="P1898:AI1898" si="5890">IF(P1896="","",IF((_xlfn.STDEV.P($P1895:$XX1896)/AVERAGE($P1895:$XX1896))&lt;=25%,P1896,IF(OR(P1896&gt;(AVERAGE($P1895:$XX1896)+_xlfn.STDEV.P($P1895:$XX1896)),P1896&lt;(AVERAGE($P1895:$XX1896)-_xlfn.STDEV.P($P1895:$XX1896))),"DESCARTADO",P1896)))</f>
        <v>624</v>
      </c>
      <c r="Q1898" s="107">
        <f t="shared" si="5890"/>
        <v>624</v>
      </c>
      <c r="R1898" s="107">
        <f t="shared" si="5890"/>
        <v>624.6</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f t="shared" si="5791"/>
        <v>90</v>
      </c>
      <c r="C1899" s="128">
        <f t="shared" si="5792"/>
        <v>1</v>
      </c>
      <c r="D1899" s="127">
        <f t="shared" si="5792"/>
        <v>90</v>
      </c>
      <c r="E1899" s="201"/>
      <c r="F1899" s="93"/>
      <c r="G1899" s="203"/>
      <c r="H1899"/>
      <c r="I1899"/>
      <c r="J1899"/>
      <c r="K1899" s="66"/>
      <c r="L1899" s="29" t="s">
        <v>40</v>
      </c>
      <c r="M1899" s="30">
        <f t="shared" ref="M1899" si="5891">MAX($P1890:$XX1890)</f>
        <v>624.6</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f t="shared" si="5791"/>
        <v>90</v>
      </c>
      <c r="C1900" s="128">
        <f t="shared" si="5792"/>
        <v>1</v>
      </c>
      <c r="D1900" s="127">
        <f t="shared" si="5792"/>
        <v>90</v>
      </c>
      <c r="E1900" s="201"/>
      <c r="F1900" s="93"/>
      <c r="G1900" s="203"/>
      <c r="H1900" s="134">
        <f t="shared" ref="H1900" si="5893">COUNT($P1900:$XX1900)</f>
        <v>3</v>
      </c>
      <c r="I1900" s="132">
        <f t="shared" ref="I1900" si="5894">_xlfn.STDEV.P($P1899:$XX1900)/AVERAGE($P1899:$XX1900)</f>
        <v>4.5312834424003482E-4</v>
      </c>
      <c r="J1900" s="7">
        <f t="shared" ref="J1900" si="5895">IF(AND(H1900&gt;2,
OR(L1884="MÉDIA SANEADA",L1884="MEDIANA SANEADA",
AND(L1884="PREÇO ESTIMADO",NOT(AND(P1886="Orçamento",COUNTA(P1884:XX1884)=COUNTIF(P1886:XX1886,"Orçamento")))))),
ROW(),0)</f>
        <v>1900</v>
      </c>
      <c r="K1900" s="66"/>
      <c r="N1900" s="71"/>
      <c r="O1900" s="27" t="str">
        <f t="shared" ref="O1900" si="5896">"5 RODADA"</f>
        <v>5 RODADA</v>
      </c>
      <c r="P1900" s="107">
        <f t="shared" ref="P1900:AI1900" si="5897">IF(P1898="","",IF((_xlfn.STDEV.P($P1897:$XX1898)/AVERAGE($P1897:$XX1898))&lt;=25%,P1898,IF(OR(P1898&gt;(AVERAGE($P1897:$XX1898)+_xlfn.STDEV.P($P1897:$XX1898)),P1898&lt;(AVERAGE($P1897:$XX1898)-_xlfn.STDEV.P($P1897:$XX1898))),"DESCARTADO",P1898)))</f>
        <v>624</v>
      </c>
      <c r="Q1900" s="107">
        <f t="shared" si="5897"/>
        <v>624</v>
      </c>
      <c r="R1900" s="107">
        <f t="shared" si="5897"/>
        <v>624.6</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f t="shared" si="5791"/>
        <v>90</v>
      </c>
      <c r="C1901" s="128">
        <f t="shared" si="5792"/>
        <v>1</v>
      </c>
      <c r="D1901" s="127">
        <f t="shared" si="5792"/>
        <v>90</v>
      </c>
      <c r="E1901" s="201"/>
      <c r="F1901" s="93"/>
      <c r="G1901" s="203"/>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f t="shared" si="5791"/>
        <v>90</v>
      </c>
      <c r="C1902" s="128">
        <f t="shared" si="5792"/>
        <v>1</v>
      </c>
      <c r="D1902" s="127">
        <f t="shared" si="5792"/>
        <v>90</v>
      </c>
      <c r="E1902" s="201"/>
      <c r="F1902" s="93"/>
      <c r="G1902" s="203"/>
      <c r="H1902" s="134">
        <f t="shared" ref="H1902" si="5899">COUNT($P1902:$XX1902)</f>
        <v>3</v>
      </c>
      <c r="I1902" s="132">
        <f t="shared" ref="I1902" si="5900">_xlfn.STDEV.P($P1901:$XX1902)/AVERAGE($P1901:$XX1902)</f>
        <v>4.5312834424003482E-4</v>
      </c>
      <c r="J1902" s="7">
        <f t="shared" ref="J1902" si="5901">IF(AND(H1902&gt;2,
OR(L1884="MÉDIA SANEADA",L1884="MEDIANA SANEADA",
AND(L1884="PREÇO ESTIMADO",NOT(AND(P1886="Orçamento",COUNTA(P1884:XX1884)=COUNTIF(P1886:XX1886,"Orçamento")))))),
ROW(),0)</f>
        <v>1902</v>
      </c>
      <c r="N1902" s="71"/>
      <c r="O1902" s="27" t="str">
        <f t="shared" ref="O1902" si="5902">"6 RODADA"</f>
        <v>6 RODADA</v>
      </c>
      <c r="P1902" s="107">
        <f t="shared" ref="P1902:AI1902" si="5903">IFERROR(IF(P1900="","",IF((_xlfn.STDEV.P($P1899:$XX1900)/AVERAGE($P1899:$XX1900))&lt;=25%,P1900,IF(OR(P1900&gt;(AVERAGE($P1899:$XX1900)+_xlfn.STDEV.P($P1899:$XX1900)),P1900&lt;(AVERAGE($P1899:$XX1900)-_xlfn.STDEV.P($P1899:$XX1900))),"DESCARTADO",P1900))),)</f>
        <v>624</v>
      </c>
      <c r="Q1902" s="107">
        <f t="shared" si="5903"/>
        <v>624</v>
      </c>
      <c r="R1902" s="107">
        <f t="shared" si="5903"/>
        <v>624.6</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f t="shared" si="5791"/>
        <v>90</v>
      </c>
      <c r="C1903" s="128">
        <f t="shared" si="5792"/>
        <v>1</v>
      </c>
      <c r="D1903" s="127">
        <f t="shared" si="5792"/>
        <v>90</v>
      </c>
      <c r="E1903" s="201"/>
      <c r="F1903" s="136"/>
      <c r="G1903" s="203"/>
      <c r="H1903" s="206"/>
      <c r="I1903" s="206"/>
      <c r="J1903" s="207"/>
      <c r="K1903" s="67"/>
      <c r="L1903" s="1" t="s">
        <v>43</v>
      </c>
      <c r="M1903" s="143">
        <f t="shared" ref="M1903" si="5904">IFERROR(ROUND(M1884*M1886,2),"")</f>
        <v>1248.4000000000001</v>
      </c>
      <c r="O1903" s="27" t="s">
        <v>363</v>
      </c>
      <c r="P1903" s="107">
        <f t="shared" ref="P1903:AI1924" si="5905">INDEX(P1890:P1902,MATCH(MAX($J1890:$J1902),$J1890:$J1902,0))</f>
        <v>624</v>
      </c>
      <c r="Q1903" s="107">
        <f t="shared" si="5905"/>
        <v>624</v>
      </c>
      <c r="R1903" s="107">
        <f t="shared" si="5905"/>
        <v>624.6</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f t="shared" ref="B1905" si="5906">LARGE(IFERROR(IF(B1903+1&gt;$H$8,"",B1903+1),""),1)</f>
        <v>91</v>
      </c>
      <c r="C1905" s="127">
        <f>IF(_xlfn.ISFORMULA(E1909),MAX(INDEX('BASE FORMAÇÃO'!A:A,B1905+1),1),E1909)</f>
        <v>1</v>
      </c>
      <c r="D1905" s="127">
        <f t="shared" ref="D1905" si="5907">IFERROR(IF(C1905=C1895,D1895+1,1),1)</f>
        <v>91</v>
      </c>
      <c r="E1905" s="38" t="s">
        <v>9</v>
      </c>
      <c r="F1905" s="73"/>
      <c r="G1905" s="38" t="s">
        <v>15</v>
      </c>
      <c r="H1905" s="135">
        <f>INDEX('BASE FORMAÇÃO'!B:B,B1905+1)</f>
        <v>0</v>
      </c>
      <c r="I1905" s="181" t="s">
        <v>16</v>
      </c>
      <c r="J1905" s="6">
        <f>INDEX('BASE FORMAÇÃO'!K:K,B1905+1)</f>
        <v>0</v>
      </c>
      <c r="K1905" s="65"/>
      <c r="L1905" s="184" t="s">
        <v>10</v>
      </c>
      <c r="M1905" s="186">
        <f t="shared" ref="M1905" si="5908">IF(OR(ISBLANK($O$8),ISBLANK($O$7),ISBLANK($H$8),ISBLANK($O$6),ISBLANK($O$5),ISBLANK($H$5)),"",IFERROR(IF(VLOOKUP(L1905,L1911:M1920,2,FALSE)&lt;1,ROUND(VLOOKUP(L1905,L1911:M1920,2,FALSE),4),ROUND(VLOOKUP(L1905,L1911:M1920,2,FALSE),2)),""))</f>
        <v>44.97</v>
      </c>
      <c r="N1905" s="69"/>
      <c r="O1905" s="27" t="s">
        <v>17</v>
      </c>
      <c r="P1905" s="113">
        <v>39.9</v>
      </c>
      <c r="Q1905" s="113">
        <v>43.9</v>
      </c>
      <c r="R1905" s="113">
        <v>51.11</v>
      </c>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f t="shared" ref="B1906:D1906" si="5909">B1905</f>
        <v>91</v>
      </c>
      <c r="C1906" s="128">
        <f t="shared" si="5909"/>
        <v>1</v>
      </c>
      <c r="D1906" s="127">
        <f t="shared" si="5909"/>
        <v>91</v>
      </c>
      <c r="E1906" s="188">
        <f t="shared" ref="E1906" si="5910">D1905</f>
        <v>91</v>
      </c>
      <c r="F1906" s="92"/>
      <c r="G1906" s="190" t="s">
        <v>1</v>
      </c>
      <c r="H1906" s="193" t="s">
        <v>793</v>
      </c>
      <c r="I1906" s="194"/>
      <c r="J1906" s="195"/>
      <c r="K1906" s="66"/>
      <c r="L1906" s="185"/>
      <c r="M1906" s="187"/>
      <c r="N1906" s="70"/>
      <c r="O1906" s="27" t="s">
        <v>13</v>
      </c>
      <c r="P1906" s="122">
        <v>46196</v>
      </c>
      <c r="Q1906" s="122">
        <v>46196</v>
      </c>
      <c r="R1906" s="122">
        <v>46196</v>
      </c>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f t="shared" ref="B1907:D1907" si="5911">B1906</f>
        <v>91</v>
      </c>
      <c r="C1907" s="128">
        <f t="shared" si="5911"/>
        <v>1</v>
      </c>
      <c r="D1907" s="127">
        <f t="shared" si="5911"/>
        <v>91</v>
      </c>
      <c r="E1907" s="189"/>
      <c r="F1907" s="93"/>
      <c r="G1907" s="191"/>
      <c r="H1907" s="196"/>
      <c r="I1907" s="196"/>
      <c r="J1907" s="197"/>
      <c r="K1907" s="64"/>
      <c r="L1907" s="130" t="s">
        <v>44</v>
      </c>
      <c r="M1907" s="131">
        <v>1</v>
      </c>
      <c r="N1907" s="71"/>
      <c r="O1907" s="27" t="s">
        <v>380</v>
      </c>
      <c r="P1907" s="114" t="s">
        <v>302</v>
      </c>
      <c r="Q1907" s="114" t="s">
        <v>302</v>
      </c>
      <c r="R1907" s="114" t="s">
        <v>302</v>
      </c>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f t="shared" ref="B1908:C1908" si="5912">B1907</f>
        <v>91</v>
      </c>
      <c r="C1908" s="128">
        <f t="shared" si="5912"/>
        <v>1</v>
      </c>
      <c r="D1908" s="127">
        <f t="shared" si="5792"/>
        <v>91</v>
      </c>
      <c r="E1908" s="38" t="s">
        <v>313</v>
      </c>
      <c r="F1908" s="93"/>
      <c r="G1908" s="192"/>
      <c r="H1908" s="198"/>
      <c r="I1908" s="198"/>
      <c r="J1908" s="199"/>
      <c r="K1908" s="64"/>
      <c r="L1908" s="1" t="s">
        <v>2</v>
      </c>
      <c r="M1908" s="6" t="s">
        <v>288</v>
      </c>
      <c r="N1908" s="71"/>
      <c r="O1908" s="27" t="s">
        <v>381</v>
      </c>
      <c r="P1908" s="182" t="s">
        <v>794</v>
      </c>
      <c r="Q1908" s="182" t="s">
        <v>795</v>
      </c>
      <c r="R1908" s="182" t="s">
        <v>796</v>
      </c>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f t="shared" ref="B1909:C1909" si="5913">B1907</f>
        <v>91</v>
      </c>
      <c r="C1909" s="128">
        <f t="shared" si="5913"/>
        <v>1</v>
      </c>
      <c r="D1909" s="127">
        <f t="shared" si="5792"/>
        <v>91</v>
      </c>
      <c r="E1909" s="200">
        <f t="shared" ref="E1909" si="5914">C1905</f>
        <v>1</v>
      </c>
      <c r="F1909" s="93"/>
      <c r="G1909" s="202" t="s">
        <v>304</v>
      </c>
      <c r="H1909" s="204"/>
      <c r="I1909" s="205"/>
      <c r="J1909" s="205"/>
      <c r="K1909" s="67"/>
      <c r="L1909" s="28" t="s">
        <v>303</v>
      </c>
      <c r="M1909" s="133">
        <f t="shared" ref="M1909" si="5915">IFERROR(INDEX(I1911:I1923,MATCH(MAX(J1911:J1923),J1911:J1923,0)),"")</f>
        <v>0.10314842237540515</v>
      </c>
      <c r="N1909" s="71"/>
      <c r="O1909" s="27" t="s">
        <v>18</v>
      </c>
      <c r="P1909" s="106">
        <f>IF(P1905="","",
IF(OR(P1907="Orçamento",P1906="",MAX('Tabela de Apoio'!$A:$A)&lt;=P1906),
P1905,
(INDEX('Tabela de Apoio'!$B:$B,MATCH('MAPA DE PREÇOS'!$O$8,'Tabela de Apoio'!$A:$A,1))/INDEX('Tabela de Apoio'!$B:$B,MATCH('MAPA DE PREÇOS'!P1906,'Tabela de Apoio'!$A:$A,1)-1))*P1905))</f>
        <v>39.9</v>
      </c>
      <c r="Q1909" s="106">
        <f>IF(Q1905="","",
IF(OR(Q1907="Orçamento",Q1906="",MAX('Tabela de Apoio'!$A:$A)&lt;=Q1906),
Q1905,
(INDEX('Tabela de Apoio'!$B:$B,MATCH('MAPA DE PREÇOS'!$O$8,'Tabela de Apoio'!$A:$A,1))/INDEX('Tabela de Apoio'!$B:$B,MATCH('MAPA DE PREÇOS'!Q1906,'Tabela de Apoio'!$A:$A,1)-1))*Q1905))</f>
        <v>43.9</v>
      </c>
      <c r="R1909" s="106">
        <f>IF(R1905="","",
IF(OR(R1907="Orçamento",R1906="",MAX('Tabela de Apoio'!$A:$A)&lt;=R1906),
R1905,
(INDEX('Tabela de Apoio'!$B:$B,MATCH('MAPA DE PREÇOS'!$O$8,'Tabela de Apoio'!$A:$A,1))/INDEX('Tabela de Apoio'!$B:$B,MATCH('MAPA DE PREÇOS'!R1906,'Tabela de Apoio'!$A:$A,1)-1))*R1905))</f>
        <v>51.11</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f t="shared" ref="B1910" si="5916">B1909</f>
        <v>91</v>
      </c>
      <c r="C1910" s="128">
        <f t="shared" ref="C1910" si="5917">C1909</f>
        <v>1</v>
      </c>
      <c r="D1910" s="127">
        <f t="shared" si="5792"/>
        <v>91</v>
      </c>
      <c r="E1910" s="201"/>
      <c r="F1910" s="93"/>
      <c r="G1910" s="203"/>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f t="shared" ref="B1911:C1911" si="5918">B1910</f>
        <v>91</v>
      </c>
      <c r="C1911" s="128">
        <f t="shared" si="5918"/>
        <v>1</v>
      </c>
      <c r="D1911" s="127">
        <f t="shared" si="5792"/>
        <v>91</v>
      </c>
      <c r="E1911" s="201"/>
      <c r="F1911" s="93"/>
      <c r="G1911" s="203"/>
      <c r="H1911" s="134">
        <f t="shared" ref="H1911" si="5919">COUNT($P1911:$XX1911)</f>
        <v>3</v>
      </c>
      <c r="I1911" s="132">
        <f t="shared" ref="I1911" si="5920">_xlfn.STDEV.P($P1910:$XX1911)/AVERAGE($P1910:$XX1911)</f>
        <v>0.10314842237540515</v>
      </c>
      <c r="J1911" s="7">
        <f>ROW()</f>
        <v>1911</v>
      </c>
      <c r="K1911" s="67"/>
      <c r="L1911" s="29" t="s">
        <v>10</v>
      </c>
      <c r="M1911" s="30">
        <f t="shared" ref="M1911" si="5921">IFERROR(
IF(COUNTA(P1905:AI1905)=COUNTIF(P1907:XX1907,"Orçamento"),MIN(M1916,M1913),
IF(M1914&lt;&gt;"",M1914,
IF(M1915&lt;&gt;"",M1915,
M1913
))),"")</f>
        <v>44.97</v>
      </c>
      <c r="N1911" s="71"/>
      <c r="O1911" s="27" t="s">
        <v>376</v>
      </c>
      <c r="P1911" s="106">
        <f t="shared" ref="P1911:AI1911" si="5922">IFERROR(IF(P1909="",
            "",
            IF(COUNT($P1909:$XX1909)&lt;=4,
               P1909,
               IF(OR(P1909&gt;(QUARTILE($P1909:$XX1909,3)+(QUARTILE($P1909:$XX1909,3)-QUARTILE($P1909:$XX1909,1))),
                     P1909&lt;(QUARTILE($P1909:$XX1909,1)-(QUARTILE($P1909:$XX1909,3)-QUARTILE($P1909:$XX1909,1)))
                  ),
               "DESCARTADO",P1909)
             )
  ),P1909)</f>
        <v>39.9</v>
      </c>
      <c r="Q1911" s="106">
        <f t="shared" si="5922"/>
        <v>43.9</v>
      </c>
      <c r="R1911" s="106">
        <f t="shared" si="5922"/>
        <v>51.11</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f t="shared" ref="B1912" si="5923">B1911</f>
        <v>91</v>
      </c>
      <c r="C1912" s="128">
        <f t="shared" ref="C1912" si="5924">C1911</f>
        <v>1</v>
      </c>
      <c r="D1912" s="127">
        <f t="shared" si="5792"/>
        <v>91</v>
      </c>
      <c r="E1912" s="201"/>
      <c r="F1912" s="93"/>
      <c r="G1912" s="203"/>
      <c r="H1912"/>
      <c r="I1912"/>
      <c r="J1912"/>
      <c r="K1912" s="66"/>
      <c r="L1912" s="29" t="s">
        <v>360</v>
      </c>
      <c r="M1912" s="30">
        <f t="shared" ref="M1912" si="5925">AVERAGE($P1911:$XX1911)</f>
        <v>44.97</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f t="shared" si="5791"/>
        <v>91</v>
      </c>
      <c r="C1913" s="128">
        <f t="shared" si="5792"/>
        <v>1</v>
      </c>
      <c r="D1913" s="127">
        <f t="shared" si="5792"/>
        <v>91</v>
      </c>
      <c r="E1913" s="201"/>
      <c r="F1913" s="93"/>
      <c r="G1913" s="203"/>
      <c r="H1913" s="134">
        <f t="shared" ref="H1913" si="5927">COUNT($P1913:$XX1913)</f>
        <v>3</v>
      </c>
      <c r="I1913" s="132">
        <f t="shared" ref="I1913" si="5928">_xlfn.STDEV.P($P1912:$XX1913)/AVERAGE($P1912:$XX1913)</f>
        <v>0.10314842237540515</v>
      </c>
      <c r="J1913" s="7">
        <f t="shared" ref="J1913" si="5929">IF(AND(H1913&gt;2,
OR(L1905="MÉDIA SANEADA",L1905="MEDIANA SANEADA",
AND(L1905="PREÇO ESTIMADO",NOT(AND(P1907="Orçamento",COUNTA(P1905:XX1905)=COUNTIF(P1907:XX1907,"Orçamento")))))),
ROW(),0)</f>
        <v>1913</v>
      </c>
      <c r="K1913" s="66"/>
      <c r="L1913" s="29" t="s">
        <v>361</v>
      </c>
      <c r="M1913" s="30">
        <f t="shared" ref="M1913" si="5930">MEDIAN($P1911:$XX1911)</f>
        <v>43.9</v>
      </c>
      <c r="N1913" s="71"/>
      <c r="O1913" s="27" t="str">
        <f t="shared" ref="O1913" si="5931">"1 RODADA"</f>
        <v>1 RODADA</v>
      </c>
      <c r="P1913" s="107">
        <f t="shared" ref="P1913:AI1913" si="5932">IF(P1911="","",IF((_xlfn.STDEV.P($P1910:$XX1911)/AVERAGE($P1910:$XX1911))&lt;=25%,P1911,IF(OR(P1911&gt;(AVERAGE($P1910:$XX1911)+_xlfn.STDEV.P($P1910:$XX1911)),P1911&lt;(AVERAGE($P1910:$XX1911)-_xlfn.STDEV.P($P1910:$XX1911))),"DESCARTADO",P1911)))</f>
        <v>39.9</v>
      </c>
      <c r="Q1913" s="107">
        <f t="shared" si="5932"/>
        <v>43.9</v>
      </c>
      <c r="R1913" s="107">
        <f t="shared" si="5932"/>
        <v>51.11</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f t="shared" si="5791"/>
        <v>91</v>
      </c>
      <c r="C1914" s="128">
        <f t="shared" si="5792"/>
        <v>1</v>
      </c>
      <c r="D1914" s="127">
        <f t="shared" si="5792"/>
        <v>91</v>
      </c>
      <c r="E1914" s="201"/>
      <c r="F1914" s="93"/>
      <c r="G1914" s="203"/>
      <c r="H1914"/>
      <c r="I1914"/>
      <c r="J1914"/>
      <c r="L1914" s="29" t="s">
        <v>38</v>
      </c>
      <c r="M1914" s="30">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44.97</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f t="shared" si="5791"/>
        <v>91</v>
      </c>
      <c r="C1915" s="128">
        <f t="shared" si="5792"/>
        <v>1</v>
      </c>
      <c r="D1915" s="127">
        <f t="shared" si="5792"/>
        <v>91</v>
      </c>
      <c r="E1915" s="201"/>
      <c r="F1915" s="93"/>
      <c r="G1915" s="203"/>
      <c r="H1915" s="134">
        <f t="shared" ref="H1915" si="5935">COUNT($P1915:$XX1915)</f>
        <v>3</v>
      </c>
      <c r="I1915" s="132">
        <f t="shared" ref="I1915" si="5936">_xlfn.STDEV.P($P1914:$XX1915)/AVERAGE($P1914:$XX1915)</f>
        <v>0.10314842237540515</v>
      </c>
      <c r="J1915" s="7">
        <f t="shared" ref="J1915" si="5937">IF(AND(H1915&gt;2,
OR(L1905="MÉDIA SANEADA",L1905="MEDIANA SANEADA",
AND(L1905="PREÇO ESTIMADO",NOT(AND(P1907="Orçamento",COUNTA(P1905:XX1905)=COUNTIF(P1907:XX1907,"Orçamento")))))),
ROW(),0)</f>
        <v>1915</v>
      </c>
      <c r="K1915" s="66"/>
      <c r="L1915" s="29" t="s">
        <v>362</v>
      </c>
      <c r="M1915" s="30">
        <f t="shared" ref="M1915" si="5938" xml:space="preserve">
IF(H1913&gt;2,MEDIAN(P1912:XX1913),
IF(H1915&gt;2,MEDIAN(P1914:XX1915),
IF(H1917&gt;2,MEDIAN(P1916:XX1917),
IF(H1919&gt;2,MEDIAN(P1918:XX1919),
IF(H1921&gt;2,MEDIAN(P1920:XX1921),
IF(H1923&gt;2,MEDIAN(P1922:XX1923),
MEDIAN(P1910:XX1911)))))))</f>
        <v>43.9</v>
      </c>
      <c r="N1915" s="71"/>
      <c r="O1915" s="27" t="str">
        <f t="shared" ref="O1915" si="5939">"2 RODADA"</f>
        <v>2 RODADA</v>
      </c>
      <c r="P1915" s="107">
        <f t="shared" ref="P1915:AI1915" si="5940">IF(P1913="","",IF((_xlfn.STDEV.P($P1912:$XX1913)/AVERAGE($P1912:$XX1913))&lt;=25%,P1913,IF(OR(P1913&gt;(AVERAGE($P1912:$XX1913)+_xlfn.STDEV.P($P1912:$XX1913)),P1913&lt;(AVERAGE($P1912:$XX1913)-_xlfn.STDEV.P($P1912:$XX1913))),"DESCARTADO",P1913)))</f>
        <v>39.9</v>
      </c>
      <c r="Q1915" s="107">
        <f t="shared" si="5940"/>
        <v>43.9</v>
      </c>
      <c r="R1915" s="107">
        <f t="shared" si="5940"/>
        <v>51.11</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f t="shared" si="5791"/>
        <v>91</v>
      </c>
      <c r="C1916" s="128">
        <f t="shared" si="5792"/>
        <v>1</v>
      </c>
      <c r="D1916" s="127">
        <f t="shared" si="5792"/>
        <v>91</v>
      </c>
      <c r="E1916" s="201"/>
      <c r="F1916" s="93"/>
      <c r="G1916" s="203"/>
      <c r="H1916"/>
      <c r="I1916"/>
      <c r="J1916"/>
      <c r="K1916" s="66"/>
      <c r="L1916" s="29" t="s">
        <v>359</v>
      </c>
      <c r="M1916" s="30">
        <f t="shared" ref="M1916" si="5941">HARMEAN($P1910:$XX1911)</f>
        <v>44.505537259297505</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f t="shared" si="5791"/>
        <v>91</v>
      </c>
      <c r="C1917" s="128">
        <f t="shared" si="5792"/>
        <v>1</v>
      </c>
      <c r="D1917" s="127">
        <f t="shared" si="5792"/>
        <v>91</v>
      </c>
      <c r="E1917" s="201"/>
      <c r="F1917" s="93"/>
      <c r="G1917" s="203"/>
      <c r="H1917" s="134">
        <f t="shared" ref="H1917" si="5943">COUNT($P1917:$XX1917)</f>
        <v>3</v>
      </c>
      <c r="I1917" s="132">
        <f t="shared" ref="I1917" si="5944">_xlfn.STDEV.P($P1916:$XX1917)/AVERAGE($P1916:$XX1917)</f>
        <v>0.10314842237540515</v>
      </c>
      <c r="J1917" s="7">
        <f t="shared" ref="J1917" si="5945">IF(AND(H1917&gt;2,
OR(L1905="MÉDIA SANEADA",L1905="MEDIANA SANEADA",
AND(L1905="PREÇO ESTIMADO",NOT(AND(P1907="Orçamento",COUNTA(P1905:XX1905)=COUNTIF(P1907:XX1907,"Orçamento")))))),
ROW(),0)</f>
        <v>1917</v>
      </c>
      <c r="K1917" s="66"/>
      <c r="L1917" s="29" t="s">
        <v>41</v>
      </c>
      <c r="M1917" s="30">
        <f t="shared" ref="M1917" si="5946">IFERROR(_xlfn.QUARTILE.EXC($P1911:$XX1911,1),"")</f>
        <v>39.9</v>
      </c>
      <c r="N1917" s="71"/>
      <c r="O1917" s="27" t="str">
        <f t="shared" ref="O1917" si="5947">"3 RODADA"</f>
        <v>3 RODADA</v>
      </c>
      <c r="P1917" s="107">
        <f t="shared" ref="P1917:AI1917" si="5948">IF(P1915="","",IF((_xlfn.STDEV.P($P1914:$XX1915)/AVERAGE($P1914:$XX1915))&lt;=25%,P1915,IF(OR(P1915&gt;(AVERAGE($P1914:$XX1915)+_xlfn.STDEV.P($P1914:$XX1915)),P1915&lt;(AVERAGE($P1914:$XX1915)-_xlfn.STDEV.P($P1914:$XX1915))),"DESCARTADO",P1915)))</f>
        <v>39.9</v>
      </c>
      <c r="Q1917" s="107">
        <f t="shared" si="5948"/>
        <v>43.9</v>
      </c>
      <c r="R1917" s="107">
        <f t="shared" si="5948"/>
        <v>51.11</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f t="shared" si="5791"/>
        <v>91</v>
      </c>
      <c r="C1918" s="128">
        <f t="shared" si="5792"/>
        <v>1</v>
      </c>
      <c r="D1918" s="127">
        <f t="shared" si="5792"/>
        <v>91</v>
      </c>
      <c r="E1918" s="201"/>
      <c r="F1918" s="93"/>
      <c r="G1918" s="203"/>
      <c r="H1918"/>
      <c r="I1918"/>
      <c r="J1918"/>
      <c r="K1918" s="66"/>
      <c r="L1918" s="29" t="s">
        <v>39</v>
      </c>
      <c r="M1918" s="30">
        <f t="shared" ref="M1918" si="5949">IFERROR(_xlfn.QUARTILE.EXC($P1911:$XX1911,3),"")</f>
        <v>51.11</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f t="shared" si="5791"/>
        <v>91</v>
      </c>
      <c r="C1919" s="128">
        <f t="shared" si="5792"/>
        <v>1</v>
      </c>
      <c r="D1919" s="127">
        <f t="shared" si="5792"/>
        <v>91</v>
      </c>
      <c r="E1919" s="201"/>
      <c r="F1919" s="93"/>
      <c r="G1919" s="203"/>
      <c r="H1919" s="134">
        <f t="shared" ref="H1919" si="5951">COUNT($P1919:$XX1919)</f>
        <v>3</v>
      </c>
      <c r="I1919" s="132">
        <f t="shared" ref="I1919" si="5952">_xlfn.STDEV.P($P1918:$XX1919)/AVERAGE($P1918:$XX1919)</f>
        <v>0.10314842237540515</v>
      </c>
      <c r="J1919" s="7">
        <f t="shared" ref="J1919" si="5953">IF(AND(H1919&gt;2,
OR(L1905="MÉDIA SANEADA",L1905="MEDIANA SANEADA",
AND(L1905="PREÇO ESTIMADO",NOT(AND(P1907="Orçamento",COUNTA(P1905:XX1905)=COUNTIF(P1907:XX1907,"Orçamento")))))),
ROW(),0)</f>
        <v>1919</v>
      </c>
      <c r="K1919" s="66"/>
      <c r="L1919" s="29" t="s">
        <v>42</v>
      </c>
      <c r="M1919" s="30">
        <f t="shared" ref="M1919" si="5954">MIN($P1911:$XX1911)</f>
        <v>39.9</v>
      </c>
      <c r="N1919" s="71"/>
      <c r="O1919" s="27" t="str">
        <f t="shared" ref="O1919" si="5955">"4 RODADA"</f>
        <v>4 RODADA</v>
      </c>
      <c r="P1919" s="107">
        <f t="shared" ref="P1919:AI1919" si="5956">IF(P1917="","",IF((_xlfn.STDEV.P($P1916:$XX1917)/AVERAGE($P1916:$XX1917))&lt;=25%,P1917,IF(OR(P1917&gt;(AVERAGE($P1916:$XX1917)+_xlfn.STDEV.P($P1916:$XX1917)),P1917&lt;(AVERAGE($P1916:$XX1917)-_xlfn.STDEV.P($P1916:$XX1917))),"DESCARTADO",P1917)))</f>
        <v>39.9</v>
      </c>
      <c r="Q1919" s="107">
        <f t="shared" si="5956"/>
        <v>43.9</v>
      </c>
      <c r="R1919" s="107">
        <f t="shared" si="5956"/>
        <v>51.11</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f t="shared" si="5791"/>
        <v>91</v>
      </c>
      <c r="C1920" s="128">
        <f t="shared" si="5792"/>
        <v>1</v>
      </c>
      <c r="D1920" s="127">
        <f t="shared" si="5792"/>
        <v>91</v>
      </c>
      <c r="E1920" s="201"/>
      <c r="F1920" s="93"/>
      <c r="G1920" s="203"/>
      <c r="H1920"/>
      <c r="I1920"/>
      <c r="J1920"/>
      <c r="K1920" s="66"/>
      <c r="L1920" s="29" t="s">
        <v>40</v>
      </c>
      <c r="M1920" s="30">
        <f t="shared" ref="M1920" si="5957">MAX($P1911:$XX1911)</f>
        <v>51.11</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f t="shared" si="5791"/>
        <v>91</v>
      </c>
      <c r="C1921" s="128">
        <f t="shared" si="5792"/>
        <v>1</v>
      </c>
      <c r="D1921" s="127">
        <f t="shared" si="5792"/>
        <v>91</v>
      </c>
      <c r="E1921" s="201"/>
      <c r="F1921" s="93"/>
      <c r="G1921" s="203"/>
      <c r="H1921" s="134">
        <f t="shared" ref="H1921" si="5959">COUNT($P1921:$XX1921)</f>
        <v>3</v>
      </c>
      <c r="I1921" s="132">
        <f t="shared" ref="I1921" si="5960">_xlfn.STDEV.P($P1920:$XX1921)/AVERAGE($P1920:$XX1921)</f>
        <v>0.10314842237540515</v>
      </c>
      <c r="J1921" s="7">
        <f t="shared" ref="J1921" si="5961">IF(AND(H1921&gt;2,
OR(L1905="MÉDIA SANEADA",L1905="MEDIANA SANEADA",
AND(L1905="PREÇO ESTIMADO",NOT(AND(P1907="Orçamento",COUNTA(P1905:XX1905)=COUNTIF(P1907:XX1907,"Orçamento")))))),
ROW(),0)</f>
        <v>1921</v>
      </c>
      <c r="K1921" s="66"/>
      <c r="N1921" s="71"/>
      <c r="O1921" s="27" t="str">
        <f t="shared" ref="O1921" si="5962">"5 RODADA"</f>
        <v>5 RODADA</v>
      </c>
      <c r="P1921" s="107">
        <f t="shared" ref="P1921:AI1921" si="5963">IF(P1919="","",IF((_xlfn.STDEV.P($P1918:$XX1919)/AVERAGE($P1918:$XX1919))&lt;=25%,P1919,IF(OR(P1919&gt;(AVERAGE($P1918:$XX1919)+_xlfn.STDEV.P($P1918:$XX1919)),P1919&lt;(AVERAGE($P1918:$XX1919)-_xlfn.STDEV.P($P1918:$XX1919))),"DESCARTADO",P1919)))</f>
        <v>39.9</v>
      </c>
      <c r="Q1921" s="107">
        <f t="shared" si="5963"/>
        <v>43.9</v>
      </c>
      <c r="R1921" s="107">
        <f t="shared" si="5963"/>
        <v>51.11</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f t="shared" si="5791"/>
        <v>91</v>
      </c>
      <c r="C1922" s="128">
        <f t="shared" si="5792"/>
        <v>1</v>
      </c>
      <c r="D1922" s="127">
        <f t="shared" si="5792"/>
        <v>91</v>
      </c>
      <c r="E1922" s="201"/>
      <c r="F1922" s="93"/>
      <c r="G1922" s="203"/>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f t="shared" si="5791"/>
        <v>91</v>
      </c>
      <c r="C1923" s="128">
        <f t="shared" si="5792"/>
        <v>1</v>
      </c>
      <c r="D1923" s="127">
        <f t="shared" si="5792"/>
        <v>91</v>
      </c>
      <c r="E1923" s="201"/>
      <c r="F1923" s="93"/>
      <c r="G1923" s="203"/>
      <c r="H1923" s="134">
        <f t="shared" ref="H1923" si="5965">COUNT($P1923:$XX1923)</f>
        <v>3</v>
      </c>
      <c r="I1923" s="132">
        <f t="shared" ref="I1923" si="5966">_xlfn.STDEV.P($P1922:$XX1923)/AVERAGE($P1922:$XX1923)</f>
        <v>0.10314842237540515</v>
      </c>
      <c r="J1923" s="7">
        <f t="shared" ref="J1923" si="5967">IF(AND(H1923&gt;2,
OR(L1905="MÉDIA SANEADA",L1905="MEDIANA SANEADA",
AND(L1905="PREÇO ESTIMADO",NOT(AND(P1907="Orçamento",COUNTA(P1905:XX1905)=COUNTIF(P1907:XX1907,"Orçamento")))))),
ROW(),0)</f>
        <v>1923</v>
      </c>
      <c r="N1923" s="71"/>
      <c r="O1923" s="27" t="str">
        <f t="shared" ref="O1923" si="5968">"6 RODADA"</f>
        <v>6 RODADA</v>
      </c>
      <c r="P1923" s="107">
        <f t="shared" ref="P1923:AI1923" si="5969">IFERROR(IF(P1921="","",IF((_xlfn.STDEV.P($P1920:$XX1921)/AVERAGE($P1920:$XX1921))&lt;=25%,P1921,IF(OR(P1921&gt;(AVERAGE($P1920:$XX1921)+_xlfn.STDEV.P($P1920:$XX1921)),P1921&lt;(AVERAGE($P1920:$XX1921)-_xlfn.STDEV.P($P1920:$XX1921))),"DESCARTADO",P1921))),)</f>
        <v>39.9</v>
      </c>
      <c r="Q1923" s="107">
        <f t="shared" si="5969"/>
        <v>43.9</v>
      </c>
      <c r="R1923" s="107">
        <f t="shared" si="5969"/>
        <v>51.11</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f t="shared" si="5791"/>
        <v>91</v>
      </c>
      <c r="C1924" s="128">
        <f t="shared" si="5792"/>
        <v>1</v>
      </c>
      <c r="D1924" s="127">
        <f t="shared" si="5792"/>
        <v>91</v>
      </c>
      <c r="E1924" s="201"/>
      <c r="F1924" s="136"/>
      <c r="G1924" s="203"/>
      <c r="H1924" s="206"/>
      <c r="I1924" s="206"/>
      <c r="J1924" s="207"/>
      <c r="K1924" s="67"/>
      <c r="L1924" s="1" t="s">
        <v>43</v>
      </c>
      <c r="M1924" s="143">
        <f t="shared" ref="M1924" si="5970">IFERROR(ROUND(M1905*M1907,2),"")</f>
        <v>44.97</v>
      </c>
      <c r="O1924" s="27" t="s">
        <v>363</v>
      </c>
      <c r="P1924" s="107">
        <f t="shared" ref="P1924:R1924" si="5971">INDEX(P1911:P1923,MATCH(MAX($J1911:$J1923),$J1911:$J1923,0))</f>
        <v>39.9</v>
      </c>
      <c r="Q1924" s="107">
        <f t="shared" si="5971"/>
        <v>43.9</v>
      </c>
      <c r="R1924" s="107">
        <f t="shared" si="5971"/>
        <v>51.11</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f t="shared" ref="B1926" si="5972">LARGE(IFERROR(IF(B1924+1&gt;$H$8,"",B1924+1),""),1)</f>
        <v>92</v>
      </c>
      <c r="C1926" s="127">
        <f>IF(_xlfn.ISFORMULA(E1930),MAX(INDEX('BASE FORMAÇÃO'!A:A,B1926+1),1),E1930)</f>
        <v>1</v>
      </c>
      <c r="D1926" s="127">
        <f t="shared" ref="D1926" si="5973">IFERROR(IF(C1926=C1916,D1916+1,1),1)</f>
        <v>92</v>
      </c>
      <c r="E1926" s="38" t="s">
        <v>9</v>
      </c>
      <c r="F1926" s="73"/>
      <c r="G1926" s="38" t="s">
        <v>15</v>
      </c>
      <c r="H1926" s="135">
        <f>INDEX('BASE FORMAÇÃO'!B:B,B1926+1)</f>
        <v>0</v>
      </c>
      <c r="I1926" s="181" t="s">
        <v>16</v>
      </c>
      <c r="J1926" s="6">
        <f>INDEX('BASE FORMAÇÃO'!K:K,B1926+1)</f>
        <v>0</v>
      </c>
      <c r="K1926" s="65"/>
      <c r="L1926" s="184" t="s">
        <v>10</v>
      </c>
      <c r="M1926" s="186">
        <f t="shared" ref="M1926" si="5974">IF(OR(ISBLANK($O$8),ISBLANK($O$7),ISBLANK($H$8),ISBLANK($O$6),ISBLANK($O$5),ISBLANK($H$5)),"",IFERROR(IF(VLOOKUP(L1926,L1932:M1941,2,FALSE)&lt;1,ROUND(VLOOKUP(L1926,L1932:M1941,2,FALSE),4),ROUND(VLOOKUP(L1926,L1932:M1941,2,FALSE),2)),""))</f>
        <v>166.25</v>
      </c>
      <c r="N1926" s="69"/>
      <c r="O1926" s="27" t="s">
        <v>17</v>
      </c>
      <c r="P1926" s="113">
        <v>144.13</v>
      </c>
      <c r="Q1926" s="113">
        <v>188.96</v>
      </c>
      <c r="R1926" s="113">
        <v>165.67</v>
      </c>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f t="shared" ref="B1927:D1927" si="5975">B1926</f>
        <v>92</v>
      </c>
      <c r="C1927" s="128">
        <f t="shared" si="5975"/>
        <v>1</v>
      </c>
      <c r="D1927" s="127">
        <f t="shared" si="5975"/>
        <v>92</v>
      </c>
      <c r="E1927" s="188">
        <f t="shared" ref="E1927" si="5976">D1926</f>
        <v>92</v>
      </c>
      <c r="F1927" s="92"/>
      <c r="G1927" s="190" t="s">
        <v>1</v>
      </c>
      <c r="H1927" s="193" t="s">
        <v>797</v>
      </c>
      <c r="I1927" s="194"/>
      <c r="J1927" s="195"/>
      <c r="K1927" s="66"/>
      <c r="L1927" s="185"/>
      <c r="M1927" s="187"/>
      <c r="N1927" s="70"/>
      <c r="O1927" s="27" t="s">
        <v>13</v>
      </c>
      <c r="P1927" s="122">
        <v>46196</v>
      </c>
      <c r="Q1927" s="122">
        <v>46196</v>
      </c>
      <c r="R1927" s="122">
        <v>46196</v>
      </c>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f t="shared" ref="B1928:D1928" si="5977">B1927</f>
        <v>92</v>
      </c>
      <c r="C1928" s="128">
        <f t="shared" si="5977"/>
        <v>1</v>
      </c>
      <c r="D1928" s="127">
        <f t="shared" si="5977"/>
        <v>92</v>
      </c>
      <c r="E1928" s="189"/>
      <c r="F1928" s="93"/>
      <c r="G1928" s="191"/>
      <c r="H1928" s="196"/>
      <c r="I1928" s="196"/>
      <c r="J1928" s="197"/>
      <c r="K1928" s="64"/>
      <c r="L1928" s="130" t="s">
        <v>44</v>
      </c>
      <c r="M1928" s="131">
        <v>1</v>
      </c>
      <c r="N1928" s="71"/>
      <c r="O1928" s="27" t="s">
        <v>380</v>
      </c>
      <c r="P1928" s="114" t="s">
        <v>302</v>
      </c>
      <c r="Q1928" s="114" t="s">
        <v>302</v>
      </c>
      <c r="R1928" s="114" t="s">
        <v>302</v>
      </c>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f t="shared" ref="B1929:C1929" si="5978">B1928</f>
        <v>92</v>
      </c>
      <c r="C1929" s="128">
        <f t="shared" si="5978"/>
        <v>1</v>
      </c>
      <c r="D1929" s="127">
        <f t="shared" si="5792"/>
        <v>92</v>
      </c>
      <c r="E1929" s="38" t="s">
        <v>313</v>
      </c>
      <c r="F1929" s="93"/>
      <c r="G1929" s="192"/>
      <c r="H1929" s="198"/>
      <c r="I1929" s="198"/>
      <c r="J1929" s="199"/>
      <c r="K1929" s="64"/>
      <c r="L1929" s="1" t="s">
        <v>2</v>
      </c>
      <c r="M1929" s="6" t="s">
        <v>288</v>
      </c>
      <c r="N1929" s="71"/>
      <c r="O1929" s="27" t="s">
        <v>381</v>
      </c>
      <c r="P1929" s="182" t="s">
        <v>798</v>
      </c>
      <c r="Q1929" s="182" t="s">
        <v>799</v>
      </c>
      <c r="R1929" s="182" t="s">
        <v>800</v>
      </c>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f t="shared" ref="B1930:C1930" si="5979">B1928</f>
        <v>92</v>
      </c>
      <c r="C1930" s="128">
        <f t="shared" si="5979"/>
        <v>1</v>
      </c>
      <c r="D1930" s="127">
        <f t="shared" si="5792"/>
        <v>92</v>
      </c>
      <c r="E1930" s="200">
        <f t="shared" ref="E1930" si="5980">C1926</f>
        <v>1</v>
      </c>
      <c r="F1930" s="93"/>
      <c r="G1930" s="202" t="s">
        <v>304</v>
      </c>
      <c r="H1930" s="204"/>
      <c r="I1930" s="205"/>
      <c r="J1930" s="205"/>
      <c r="K1930" s="67"/>
      <c r="L1930" s="28" t="s">
        <v>303</v>
      </c>
      <c r="M1930" s="133">
        <f t="shared" ref="M1930" si="5981">IFERROR(INDEX(I1932:I1944,MATCH(MAX(J1932:J1944),J1932:J1944,0)),"")</f>
        <v>0.11011158728718903</v>
      </c>
      <c r="N1930" s="71"/>
      <c r="O1930" s="27" t="s">
        <v>18</v>
      </c>
      <c r="P1930" s="106">
        <f>IF(P1926="","",
IF(OR(P1928="Orçamento",P1927="",MAX('Tabela de Apoio'!$A:$A)&lt;=P1927),
P1926,
(INDEX('Tabela de Apoio'!$B:$B,MATCH('MAPA DE PREÇOS'!$O$8,'Tabela de Apoio'!$A:$A,1))/INDEX('Tabela de Apoio'!$B:$B,MATCH('MAPA DE PREÇOS'!P1927,'Tabela de Apoio'!$A:$A,1)-1))*P1926))</f>
        <v>144.13</v>
      </c>
      <c r="Q1930" s="106">
        <f>IF(Q1926="","",
IF(OR(Q1928="Orçamento",Q1927="",MAX('Tabela de Apoio'!$A:$A)&lt;=Q1927),
Q1926,
(INDEX('Tabela de Apoio'!$B:$B,MATCH('MAPA DE PREÇOS'!$O$8,'Tabela de Apoio'!$A:$A,1))/INDEX('Tabela de Apoio'!$B:$B,MATCH('MAPA DE PREÇOS'!Q1927,'Tabela de Apoio'!$A:$A,1)-1))*Q1926))</f>
        <v>188.96</v>
      </c>
      <c r="R1930" s="106">
        <f>IF(R1926="","",
IF(OR(R1928="Orçamento",R1927="",MAX('Tabela de Apoio'!$A:$A)&lt;=R1927),
R1926,
(INDEX('Tabela de Apoio'!$B:$B,MATCH('MAPA DE PREÇOS'!$O$8,'Tabela de Apoio'!$A:$A,1))/INDEX('Tabela de Apoio'!$B:$B,MATCH('MAPA DE PREÇOS'!R1927,'Tabela de Apoio'!$A:$A,1)-1))*R1926))</f>
        <v>165.67</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f t="shared" ref="B1931" si="5982">B1930</f>
        <v>92</v>
      </c>
      <c r="C1931" s="128">
        <f t="shared" ref="C1931" si="5983">C1930</f>
        <v>1</v>
      </c>
      <c r="D1931" s="127">
        <f t="shared" si="5792"/>
        <v>92</v>
      </c>
      <c r="E1931" s="201"/>
      <c r="F1931" s="93"/>
      <c r="G1931" s="203"/>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f t="shared" ref="B1932:C1932" si="5984">B1931</f>
        <v>92</v>
      </c>
      <c r="C1932" s="128">
        <f t="shared" si="5984"/>
        <v>1</v>
      </c>
      <c r="D1932" s="127">
        <f t="shared" si="5792"/>
        <v>92</v>
      </c>
      <c r="E1932" s="201"/>
      <c r="F1932" s="93"/>
      <c r="G1932" s="203"/>
      <c r="H1932" s="134">
        <f t="shared" ref="H1932" si="5985">COUNT($P1932:$XX1932)</f>
        <v>3</v>
      </c>
      <c r="I1932" s="132">
        <f t="shared" ref="I1932" si="5986">_xlfn.STDEV.P($P1931:$XX1932)/AVERAGE($P1931:$XX1932)</f>
        <v>0.11011158728718903</v>
      </c>
      <c r="J1932" s="7">
        <f>ROW()</f>
        <v>1932</v>
      </c>
      <c r="K1932" s="67"/>
      <c r="L1932" s="29" t="s">
        <v>10</v>
      </c>
      <c r="M1932" s="30">
        <f t="shared" ref="M1932" si="5987">IFERROR(
IF(COUNTA(P1926:AI1926)=COUNTIF(P1928:XX1928,"Orçamento"),MIN(M1937,M1934),
IF(M1935&lt;&gt;"",M1935,
IF(M1936&lt;&gt;"",M1936,
M1934
))),"")</f>
        <v>166.25333333333333</v>
      </c>
      <c r="N1932" s="71"/>
      <c r="O1932" s="27" t="s">
        <v>376</v>
      </c>
      <c r="P1932" s="106">
        <f t="shared" ref="P1932:AI1932" si="5988">IFERROR(IF(P1930="",
            "",
            IF(COUNT($P1930:$XX1930)&lt;=4,
               P1930,
               IF(OR(P1930&gt;(QUARTILE($P1930:$XX1930,3)+(QUARTILE($P1930:$XX1930,3)-QUARTILE($P1930:$XX1930,1))),
                     P1930&lt;(QUARTILE($P1930:$XX1930,1)-(QUARTILE($P1930:$XX1930,3)-QUARTILE($P1930:$XX1930,1)))
                  ),
               "DESCARTADO",P1930)
             )
  ),P1930)</f>
        <v>144.13</v>
      </c>
      <c r="Q1932" s="106">
        <f t="shared" si="5988"/>
        <v>188.96</v>
      </c>
      <c r="R1932" s="106">
        <f t="shared" si="5988"/>
        <v>165.67</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f t="shared" ref="B1933:B1987" si="5989">B1932</f>
        <v>92</v>
      </c>
      <c r="C1933" s="128">
        <f t="shared" ref="C1933:D1996" si="5990">C1932</f>
        <v>1</v>
      </c>
      <c r="D1933" s="127">
        <f t="shared" si="5792"/>
        <v>92</v>
      </c>
      <c r="E1933" s="201"/>
      <c r="F1933" s="93"/>
      <c r="G1933" s="203"/>
      <c r="H1933"/>
      <c r="I1933"/>
      <c r="J1933"/>
      <c r="K1933" s="66"/>
      <c r="L1933" s="29" t="s">
        <v>360</v>
      </c>
      <c r="M1933" s="30">
        <f t="shared" ref="M1933" si="5991">AVERAGE($P1932:$XX1932)</f>
        <v>166.25333333333333</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f t="shared" si="5989"/>
        <v>92</v>
      </c>
      <c r="C1934" s="128">
        <f t="shared" si="5990"/>
        <v>1</v>
      </c>
      <c r="D1934" s="127">
        <f t="shared" si="5990"/>
        <v>92</v>
      </c>
      <c r="E1934" s="201"/>
      <c r="F1934" s="93"/>
      <c r="G1934" s="203"/>
      <c r="H1934" s="134">
        <f t="shared" ref="H1934" si="5993">COUNT($P1934:$XX1934)</f>
        <v>3</v>
      </c>
      <c r="I1934" s="132">
        <f t="shared" ref="I1934" si="5994">_xlfn.STDEV.P($P1933:$XX1934)/AVERAGE($P1933:$XX1934)</f>
        <v>0.11011158728718903</v>
      </c>
      <c r="J1934" s="7">
        <f t="shared" ref="J1934" si="5995">IF(AND(H1934&gt;2,
OR(L1926="MÉDIA SANEADA",L1926="MEDIANA SANEADA",
AND(L1926="PREÇO ESTIMADO",NOT(AND(P1928="Orçamento",COUNTA(P1926:XX1926)=COUNTIF(P1928:XX1928,"Orçamento")))))),
ROW(),0)</f>
        <v>1934</v>
      </c>
      <c r="K1934" s="66"/>
      <c r="L1934" s="29" t="s">
        <v>361</v>
      </c>
      <c r="M1934" s="30">
        <f t="shared" ref="M1934" si="5996">MEDIAN($P1932:$XX1932)</f>
        <v>165.67</v>
      </c>
      <c r="N1934" s="71"/>
      <c r="O1934" s="27" t="str">
        <f t="shared" ref="O1934" si="5997">"1 RODADA"</f>
        <v>1 RODADA</v>
      </c>
      <c r="P1934" s="107">
        <f t="shared" ref="P1934:AI1934" si="5998">IF(P1932="","",IF((_xlfn.STDEV.P($P1931:$XX1932)/AVERAGE($P1931:$XX1932))&lt;=25%,P1932,IF(OR(P1932&gt;(AVERAGE($P1931:$XX1932)+_xlfn.STDEV.P($P1931:$XX1932)),P1932&lt;(AVERAGE($P1931:$XX1932)-_xlfn.STDEV.P($P1931:$XX1932))),"DESCARTADO",P1932)))</f>
        <v>144.13</v>
      </c>
      <c r="Q1934" s="107">
        <f t="shared" si="5998"/>
        <v>188.96</v>
      </c>
      <c r="R1934" s="107">
        <f t="shared" si="5998"/>
        <v>165.67</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f t="shared" si="5989"/>
        <v>92</v>
      </c>
      <c r="C1935" s="128">
        <f t="shared" si="5990"/>
        <v>1</v>
      </c>
      <c r="D1935" s="127">
        <f t="shared" si="5990"/>
        <v>92</v>
      </c>
      <c r="E1935" s="201"/>
      <c r="F1935" s="93"/>
      <c r="G1935" s="203"/>
      <c r="H1935"/>
      <c r="I1935"/>
      <c r="J1935"/>
      <c r="L1935" s="29" t="s">
        <v>38</v>
      </c>
      <c r="M1935" s="30">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166.25333333333333</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f t="shared" si="5989"/>
        <v>92</v>
      </c>
      <c r="C1936" s="128">
        <f t="shared" si="5990"/>
        <v>1</v>
      </c>
      <c r="D1936" s="127">
        <f t="shared" si="5990"/>
        <v>92</v>
      </c>
      <c r="E1936" s="201"/>
      <c r="F1936" s="93"/>
      <c r="G1936" s="203"/>
      <c r="H1936" s="134">
        <f t="shared" ref="H1936" si="6001">COUNT($P1936:$XX1936)</f>
        <v>3</v>
      </c>
      <c r="I1936" s="132">
        <f t="shared" ref="I1936" si="6002">_xlfn.STDEV.P($P1935:$XX1936)/AVERAGE($P1935:$XX1936)</f>
        <v>0.11011158728718903</v>
      </c>
      <c r="J1936" s="7">
        <f t="shared" ref="J1936" si="6003">IF(AND(H1936&gt;2,
OR(L1926="MÉDIA SANEADA",L1926="MEDIANA SANEADA",
AND(L1926="PREÇO ESTIMADO",NOT(AND(P1928="Orçamento",COUNTA(P1926:XX1926)=COUNTIF(P1928:XX1928,"Orçamento")))))),
ROW(),0)</f>
        <v>1936</v>
      </c>
      <c r="K1936" s="66"/>
      <c r="L1936" s="29" t="s">
        <v>362</v>
      </c>
      <c r="M1936" s="30">
        <f t="shared" ref="M1936" si="6004" xml:space="preserve">
IF(H1934&gt;2,MEDIAN(P1933:XX1934),
IF(H1936&gt;2,MEDIAN(P1935:XX1936),
IF(H1938&gt;2,MEDIAN(P1937:XX1938),
IF(H1940&gt;2,MEDIAN(P1939:XX1940),
IF(H1942&gt;2,MEDIAN(P1941:XX1942),
IF(H1944&gt;2,MEDIAN(P1943:XX1944),
MEDIAN(P1931:XX1932)))))))</f>
        <v>165.67</v>
      </c>
      <c r="N1936" s="71"/>
      <c r="O1936" s="27" t="str">
        <f t="shared" ref="O1936" si="6005">"2 RODADA"</f>
        <v>2 RODADA</v>
      </c>
      <c r="P1936" s="107">
        <f t="shared" ref="P1936:AI1936" si="6006">IF(P1934="","",IF((_xlfn.STDEV.P($P1933:$XX1934)/AVERAGE($P1933:$XX1934))&lt;=25%,P1934,IF(OR(P1934&gt;(AVERAGE($P1933:$XX1934)+_xlfn.STDEV.P($P1933:$XX1934)),P1934&lt;(AVERAGE($P1933:$XX1934)-_xlfn.STDEV.P($P1933:$XX1934))),"DESCARTADO",P1934)))</f>
        <v>144.13</v>
      </c>
      <c r="Q1936" s="107">
        <f t="shared" si="6006"/>
        <v>188.96</v>
      </c>
      <c r="R1936" s="107">
        <f t="shared" si="6006"/>
        <v>165.67</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f t="shared" si="5989"/>
        <v>92</v>
      </c>
      <c r="C1937" s="128">
        <f t="shared" si="5990"/>
        <v>1</v>
      </c>
      <c r="D1937" s="127">
        <f t="shared" si="5990"/>
        <v>92</v>
      </c>
      <c r="E1937" s="201"/>
      <c r="F1937" s="93"/>
      <c r="G1937" s="203"/>
      <c r="H1937"/>
      <c r="I1937"/>
      <c r="J1937"/>
      <c r="K1937" s="66"/>
      <c r="L1937" s="29" t="s">
        <v>359</v>
      </c>
      <c r="M1937" s="30">
        <f t="shared" ref="M1937" si="6007">HARMEAN($P1931:$XX1932)</f>
        <v>164.23595644782429</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f t="shared" si="5989"/>
        <v>92</v>
      </c>
      <c r="C1938" s="128">
        <f t="shared" si="5990"/>
        <v>1</v>
      </c>
      <c r="D1938" s="127">
        <f t="shared" si="5990"/>
        <v>92</v>
      </c>
      <c r="E1938" s="201"/>
      <c r="F1938" s="93"/>
      <c r="G1938" s="203"/>
      <c r="H1938" s="134">
        <f t="shared" ref="H1938" si="6009">COUNT($P1938:$XX1938)</f>
        <v>3</v>
      </c>
      <c r="I1938" s="132">
        <f t="shared" ref="I1938" si="6010">_xlfn.STDEV.P($P1937:$XX1938)/AVERAGE($P1937:$XX1938)</f>
        <v>0.11011158728718903</v>
      </c>
      <c r="J1938" s="7">
        <f t="shared" ref="J1938" si="6011">IF(AND(H1938&gt;2,
OR(L1926="MÉDIA SANEADA",L1926="MEDIANA SANEADA",
AND(L1926="PREÇO ESTIMADO",NOT(AND(P1928="Orçamento",COUNTA(P1926:XX1926)=COUNTIF(P1928:XX1928,"Orçamento")))))),
ROW(),0)</f>
        <v>1938</v>
      </c>
      <c r="K1938" s="66"/>
      <c r="L1938" s="29" t="s">
        <v>41</v>
      </c>
      <c r="M1938" s="30">
        <f t="shared" ref="M1938" si="6012">IFERROR(_xlfn.QUARTILE.EXC($P1932:$XX1932,1),"")</f>
        <v>144.13</v>
      </c>
      <c r="N1938" s="71"/>
      <c r="O1938" s="27" t="str">
        <f t="shared" ref="O1938" si="6013">"3 RODADA"</f>
        <v>3 RODADA</v>
      </c>
      <c r="P1938" s="107">
        <f t="shared" ref="P1938:AI1938" si="6014">IF(P1936="","",IF((_xlfn.STDEV.P($P1935:$XX1936)/AVERAGE($P1935:$XX1936))&lt;=25%,P1936,IF(OR(P1936&gt;(AVERAGE($P1935:$XX1936)+_xlfn.STDEV.P($P1935:$XX1936)),P1936&lt;(AVERAGE($P1935:$XX1936)-_xlfn.STDEV.P($P1935:$XX1936))),"DESCARTADO",P1936)))</f>
        <v>144.13</v>
      </c>
      <c r="Q1938" s="107">
        <f t="shared" si="6014"/>
        <v>188.96</v>
      </c>
      <c r="R1938" s="107">
        <f t="shared" si="6014"/>
        <v>165.67</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f t="shared" si="5989"/>
        <v>92</v>
      </c>
      <c r="C1939" s="128">
        <f t="shared" si="5990"/>
        <v>1</v>
      </c>
      <c r="D1939" s="127">
        <f t="shared" si="5990"/>
        <v>92</v>
      </c>
      <c r="E1939" s="201"/>
      <c r="F1939" s="93"/>
      <c r="G1939" s="203"/>
      <c r="H1939"/>
      <c r="I1939"/>
      <c r="J1939"/>
      <c r="K1939" s="66"/>
      <c r="L1939" s="29" t="s">
        <v>39</v>
      </c>
      <c r="M1939" s="30">
        <f t="shared" ref="M1939" si="6015">IFERROR(_xlfn.QUARTILE.EXC($P1932:$XX1932,3),"")</f>
        <v>188.96</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f t="shared" si="5989"/>
        <v>92</v>
      </c>
      <c r="C1940" s="128">
        <f t="shared" si="5990"/>
        <v>1</v>
      </c>
      <c r="D1940" s="127">
        <f t="shared" si="5990"/>
        <v>92</v>
      </c>
      <c r="E1940" s="201"/>
      <c r="F1940" s="93"/>
      <c r="G1940" s="203"/>
      <c r="H1940" s="134">
        <f t="shared" ref="H1940" si="6017">COUNT($P1940:$XX1940)</f>
        <v>3</v>
      </c>
      <c r="I1940" s="132">
        <f t="shared" ref="I1940" si="6018">_xlfn.STDEV.P($P1939:$XX1940)/AVERAGE($P1939:$XX1940)</f>
        <v>0.11011158728718903</v>
      </c>
      <c r="J1940" s="7">
        <f t="shared" ref="J1940" si="6019">IF(AND(H1940&gt;2,
OR(L1926="MÉDIA SANEADA",L1926="MEDIANA SANEADA",
AND(L1926="PREÇO ESTIMADO",NOT(AND(P1928="Orçamento",COUNTA(P1926:XX1926)=COUNTIF(P1928:XX1928,"Orçamento")))))),
ROW(),0)</f>
        <v>1940</v>
      </c>
      <c r="K1940" s="66"/>
      <c r="L1940" s="29" t="s">
        <v>42</v>
      </c>
      <c r="M1940" s="30">
        <f t="shared" ref="M1940" si="6020">MIN($P1932:$XX1932)</f>
        <v>144.13</v>
      </c>
      <c r="N1940" s="71"/>
      <c r="O1940" s="27" t="str">
        <f t="shared" ref="O1940" si="6021">"4 RODADA"</f>
        <v>4 RODADA</v>
      </c>
      <c r="P1940" s="107">
        <f t="shared" ref="P1940:AI1940" si="6022">IF(P1938="","",IF((_xlfn.STDEV.P($P1937:$XX1938)/AVERAGE($P1937:$XX1938))&lt;=25%,P1938,IF(OR(P1938&gt;(AVERAGE($P1937:$XX1938)+_xlfn.STDEV.P($P1937:$XX1938)),P1938&lt;(AVERAGE($P1937:$XX1938)-_xlfn.STDEV.P($P1937:$XX1938))),"DESCARTADO",P1938)))</f>
        <v>144.13</v>
      </c>
      <c r="Q1940" s="107">
        <f t="shared" si="6022"/>
        <v>188.96</v>
      </c>
      <c r="R1940" s="107">
        <f t="shared" si="6022"/>
        <v>165.67</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f t="shared" si="5989"/>
        <v>92</v>
      </c>
      <c r="C1941" s="128">
        <f t="shared" si="5990"/>
        <v>1</v>
      </c>
      <c r="D1941" s="127">
        <f t="shared" si="5990"/>
        <v>92</v>
      </c>
      <c r="E1941" s="201"/>
      <c r="F1941" s="93"/>
      <c r="G1941" s="203"/>
      <c r="H1941"/>
      <c r="I1941"/>
      <c r="J1941"/>
      <c r="K1941" s="66"/>
      <c r="L1941" s="29" t="s">
        <v>40</v>
      </c>
      <c r="M1941" s="30">
        <f t="shared" ref="M1941" si="6023">MAX($P1932:$XX1932)</f>
        <v>188.96</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f t="shared" si="5989"/>
        <v>92</v>
      </c>
      <c r="C1942" s="128">
        <f t="shared" si="5990"/>
        <v>1</v>
      </c>
      <c r="D1942" s="127">
        <f t="shared" si="5990"/>
        <v>92</v>
      </c>
      <c r="E1942" s="201"/>
      <c r="F1942" s="93"/>
      <c r="G1942" s="203"/>
      <c r="H1942" s="134">
        <f t="shared" ref="H1942" si="6025">COUNT($P1942:$XX1942)</f>
        <v>3</v>
      </c>
      <c r="I1942" s="132">
        <f t="shared" ref="I1942" si="6026">_xlfn.STDEV.P($P1941:$XX1942)/AVERAGE($P1941:$XX1942)</f>
        <v>0.11011158728718903</v>
      </c>
      <c r="J1942" s="7">
        <f t="shared" ref="J1942" si="6027">IF(AND(H1942&gt;2,
OR(L1926="MÉDIA SANEADA",L1926="MEDIANA SANEADA",
AND(L1926="PREÇO ESTIMADO",NOT(AND(P1928="Orçamento",COUNTA(P1926:XX1926)=COUNTIF(P1928:XX1928,"Orçamento")))))),
ROW(),0)</f>
        <v>1942</v>
      </c>
      <c r="K1942" s="66"/>
      <c r="N1942" s="71"/>
      <c r="O1942" s="27" t="str">
        <f t="shared" ref="O1942" si="6028">"5 RODADA"</f>
        <v>5 RODADA</v>
      </c>
      <c r="P1942" s="107">
        <f t="shared" ref="P1942:AI1942" si="6029">IF(P1940="","",IF((_xlfn.STDEV.P($P1939:$XX1940)/AVERAGE($P1939:$XX1940))&lt;=25%,P1940,IF(OR(P1940&gt;(AVERAGE($P1939:$XX1940)+_xlfn.STDEV.P($P1939:$XX1940)),P1940&lt;(AVERAGE($P1939:$XX1940)-_xlfn.STDEV.P($P1939:$XX1940))),"DESCARTADO",P1940)))</f>
        <v>144.13</v>
      </c>
      <c r="Q1942" s="107">
        <f t="shared" si="6029"/>
        <v>188.96</v>
      </c>
      <c r="R1942" s="107">
        <f t="shared" si="6029"/>
        <v>165.67</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f t="shared" si="5989"/>
        <v>92</v>
      </c>
      <c r="C1943" s="128">
        <f t="shared" si="5990"/>
        <v>1</v>
      </c>
      <c r="D1943" s="127">
        <f t="shared" si="5990"/>
        <v>92</v>
      </c>
      <c r="E1943" s="201"/>
      <c r="F1943" s="93"/>
      <c r="G1943" s="203"/>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f t="shared" si="5989"/>
        <v>92</v>
      </c>
      <c r="C1944" s="128">
        <f t="shared" si="5990"/>
        <v>1</v>
      </c>
      <c r="D1944" s="127">
        <f t="shared" si="5990"/>
        <v>92</v>
      </c>
      <c r="E1944" s="201"/>
      <c r="F1944" s="93"/>
      <c r="G1944" s="203"/>
      <c r="H1944" s="134">
        <f t="shared" ref="H1944" si="6031">COUNT($P1944:$XX1944)</f>
        <v>3</v>
      </c>
      <c r="I1944" s="132">
        <f t="shared" ref="I1944" si="6032">_xlfn.STDEV.P($P1943:$XX1944)/AVERAGE($P1943:$XX1944)</f>
        <v>0.11011158728718903</v>
      </c>
      <c r="J1944" s="7">
        <f t="shared" ref="J1944" si="6033">IF(AND(H1944&gt;2,
OR(L1926="MÉDIA SANEADA",L1926="MEDIANA SANEADA",
AND(L1926="PREÇO ESTIMADO",NOT(AND(P1928="Orçamento",COUNTA(P1926:XX1926)=COUNTIF(P1928:XX1928,"Orçamento")))))),
ROW(),0)</f>
        <v>1944</v>
      </c>
      <c r="N1944" s="71"/>
      <c r="O1944" s="27" t="str">
        <f t="shared" ref="O1944" si="6034">"6 RODADA"</f>
        <v>6 RODADA</v>
      </c>
      <c r="P1944" s="107">
        <f t="shared" ref="P1944:AI1944" si="6035">IFERROR(IF(P1942="","",IF((_xlfn.STDEV.P($P1941:$XX1942)/AVERAGE($P1941:$XX1942))&lt;=25%,P1942,IF(OR(P1942&gt;(AVERAGE($P1941:$XX1942)+_xlfn.STDEV.P($P1941:$XX1942)),P1942&lt;(AVERAGE($P1941:$XX1942)-_xlfn.STDEV.P($P1941:$XX1942))),"DESCARTADO",P1942))),)</f>
        <v>144.13</v>
      </c>
      <c r="Q1944" s="107">
        <f t="shared" si="6035"/>
        <v>188.96</v>
      </c>
      <c r="R1944" s="107">
        <f t="shared" si="6035"/>
        <v>165.67</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f t="shared" si="5989"/>
        <v>92</v>
      </c>
      <c r="C1945" s="128">
        <f t="shared" si="5990"/>
        <v>1</v>
      </c>
      <c r="D1945" s="127">
        <f t="shared" si="5990"/>
        <v>92</v>
      </c>
      <c r="E1945" s="201"/>
      <c r="F1945" s="136"/>
      <c r="G1945" s="203"/>
      <c r="H1945" s="206"/>
      <c r="I1945" s="206"/>
      <c r="J1945" s="207"/>
      <c r="K1945" s="67"/>
      <c r="L1945" s="1" t="s">
        <v>43</v>
      </c>
      <c r="M1945" s="143">
        <f t="shared" ref="M1945" si="6036">IFERROR(ROUND(M1926*M1928,2),"")</f>
        <v>166.25</v>
      </c>
      <c r="O1945" s="27" t="s">
        <v>363</v>
      </c>
      <c r="P1945" s="107">
        <f t="shared" ref="P1945:AI1966" si="6037">INDEX(P1932:P1944,MATCH(MAX($J1932:$J1944),$J1932:$J1944,0))</f>
        <v>144.13</v>
      </c>
      <c r="Q1945" s="107">
        <f t="shared" si="6037"/>
        <v>188.96</v>
      </c>
      <c r="R1945" s="107">
        <f t="shared" si="6037"/>
        <v>165.67</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f t="shared" ref="B1947" si="6038">LARGE(IFERROR(IF(B1945+1&gt;$H$8,"",B1945+1),""),1)</f>
        <v>93</v>
      </c>
      <c r="C1947" s="127">
        <f>IF(_xlfn.ISFORMULA(E1951),MAX(INDEX('BASE FORMAÇÃO'!A:A,B1947+1),1),E1951)</f>
        <v>1</v>
      </c>
      <c r="D1947" s="127">
        <f t="shared" ref="D1947" si="6039">IFERROR(IF(C1947=C1937,D1937+1,1),1)</f>
        <v>93</v>
      </c>
      <c r="E1947" s="38" t="s">
        <v>9</v>
      </c>
      <c r="F1947" s="73"/>
      <c r="G1947" s="38" t="s">
        <v>15</v>
      </c>
      <c r="H1947" s="135">
        <f>INDEX('BASE FORMAÇÃO'!B:B,B1947+1)</f>
        <v>0</v>
      </c>
      <c r="I1947" s="181" t="s">
        <v>16</v>
      </c>
      <c r="J1947" s="6">
        <f>INDEX('BASE FORMAÇÃO'!K:K,B1947+1)</f>
        <v>0</v>
      </c>
      <c r="K1947" s="65"/>
      <c r="L1947" s="184" t="s">
        <v>10</v>
      </c>
      <c r="M1947" s="186">
        <f t="shared" ref="M1947" si="6040">IF(OR(ISBLANK($O$8),ISBLANK($O$7),ISBLANK($H$8),ISBLANK($O$6),ISBLANK($O$5),ISBLANK($H$5)),"",IFERROR(IF(VLOOKUP(L1947,L1953:M1962,2,FALSE)&lt;1,ROUND(VLOOKUP(L1947,L1953:M1962,2,FALSE),4),ROUND(VLOOKUP(L1947,L1953:M1962,2,FALSE),2)),""))</f>
        <v>108.59</v>
      </c>
      <c r="N1947" s="69"/>
      <c r="O1947" s="27" t="s">
        <v>17</v>
      </c>
      <c r="P1947" s="113">
        <v>97.9</v>
      </c>
      <c r="Q1947" s="113">
        <v>92.98</v>
      </c>
      <c r="R1947" s="113">
        <v>134.9</v>
      </c>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f t="shared" ref="B1948:D1948" si="6041">B1947</f>
        <v>93</v>
      </c>
      <c r="C1948" s="128">
        <f t="shared" si="6041"/>
        <v>1</v>
      </c>
      <c r="D1948" s="127">
        <f t="shared" si="6041"/>
        <v>93</v>
      </c>
      <c r="E1948" s="188">
        <f t="shared" ref="E1948" si="6042">D1947</f>
        <v>93</v>
      </c>
      <c r="F1948" s="92"/>
      <c r="G1948" s="190" t="s">
        <v>1</v>
      </c>
      <c r="H1948" s="193" t="s">
        <v>801</v>
      </c>
      <c r="I1948" s="194"/>
      <c r="J1948" s="195"/>
      <c r="K1948" s="66"/>
      <c r="L1948" s="185"/>
      <c r="M1948" s="187"/>
      <c r="N1948" s="70"/>
      <c r="O1948" s="27" t="s">
        <v>13</v>
      </c>
      <c r="P1948" s="122">
        <v>46196</v>
      </c>
      <c r="Q1948" s="122">
        <v>46196</v>
      </c>
      <c r="R1948" s="122">
        <v>46196</v>
      </c>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f t="shared" ref="B1949:D1949" si="6043">B1948</f>
        <v>93</v>
      </c>
      <c r="C1949" s="128">
        <f t="shared" si="6043"/>
        <v>1</v>
      </c>
      <c r="D1949" s="127">
        <f t="shared" si="6043"/>
        <v>93</v>
      </c>
      <c r="E1949" s="189"/>
      <c r="F1949" s="93"/>
      <c r="G1949" s="191"/>
      <c r="H1949" s="196"/>
      <c r="I1949" s="196"/>
      <c r="J1949" s="197"/>
      <c r="K1949" s="64"/>
      <c r="L1949" s="130" t="s">
        <v>44</v>
      </c>
      <c r="M1949" s="131">
        <v>1</v>
      </c>
      <c r="N1949" s="71"/>
      <c r="O1949" s="27" t="s">
        <v>380</v>
      </c>
      <c r="P1949" s="114" t="s">
        <v>302</v>
      </c>
      <c r="Q1949" s="114" t="s">
        <v>302</v>
      </c>
      <c r="R1949" s="114" t="s">
        <v>302</v>
      </c>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f t="shared" ref="B1950:C1950" si="6044">B1949</f>
        <v>93</v>
      </c>
      <c r="C1950" s="128">
        <f t="shared" si="6044"/>
        <v>1</v>
      </c>
      <c r="D1950" s="127">
        <f t="shared" si="5990"/>
        <v>93</v>
      </c>
      <c r="E1950" s="38" t="s">
        <v>313</v>
      </c>
      <c r="F1950" s="93"/>
      <c r="G1950" s="192"/>
      <c r="H1950" s="198"/>
      <c r="I1950" s="198"/>
      <c r="J1950" s="199"/>
      <c r="K1950" s="64"/>
      <c r="L1950" s="1" t="s">
        <v>2</v>
      </c>
      <c r="M1950" s="6" t="s">
        <v>288</v>
      </c>
      <c r="N1950" s="71"/>
      <c r="O1950" s="27" t="s">
        <v>381</v>
      </c>
      <c r="P1950" s="182" t="s">
        <v>802</v>
      </c>
      <c r="Q1950" s="182" t="s">
        <v>803</v>
      </c>
      <c r="R1950" s="182" t="s">
        <v>804</v>
      </c>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f t="shared" ref="B1951:C1951" si="6045">B1949</f>
        <v>93</v>
      </c>
      <c r="C1951" s="128">
        <f t="shared" si="6045"/>
        <v>1</v>
      </c>
      <c r="D1951" s="127">
        <f t="shared" si="5990"/>
        <v>93</v>
      </c>
      <c r="E1951" s="200">
        <f t="shared" ref="E1951" si="6046">C1947</f>
        <v>1</v>
      </c>
      <c r="F1951" s="93"/>
      <c r="G1951" s="202" t="s">
        <v>304</v>
      </c>
      <c r="H1951" s="204"/>
      <c r="I1951" s="205"/>
      <c r="J1951" s="205"/>
      <c r="K1951" s="67"/>
      <c r="L1951" s="28" t="s">
        <v>303</v>
      </c>
      <c r="M1951" s="133">
        <f t="shared" ref="M1951" si="6047">IFERROR(INDEX(I1953:I1965,MATCH(MAX(J1953:J1965),J1953:J1965,0)),"")</f>
        <v>0.17229188667582576</v>
      </c>
      <c r="N1951" s="71"/>
      <c r="O1951" s="27" t="s">
        <v>18</v>
      </c>
      <c r="P1951" s="106">
        <f>IF(P1947="","",
IF(OR(P1949="Orçamento",P1948="",MAX('Tabela de Apoio'!$A:$A)&lt;=P1948),
P1947,
(INDEX('Tabela de Apoio'!$B:$B,MATCH('MAPA DE PREÇOS'!$O$8,'Tabela de Apoio'!$A:$A,1))/INDEX('Tabela de Apoio'!$B:$B,MATCH('MAPA DE PREÇOS'!P1948,'Tabela de Apoio'!$A:$A,1)-1))*P1947))</f>
        <v>97.9</v>
      </c>
      <c r="Q1951" s="106">
        <f>IF(Q1947="","",
IF(OR(Q1949="Orçamento",Q1948="",MAX('Tabela de Apoio'!$A:$A)&lt;=Q1948),
Q1947,
(INDEX('Tabela de Apoio'!$B:$B,MATCH('MAPA DE PREÇOS'!$O$8,'Tabela de Apoio'!$A:$A,1))/INDEX('Tabela de Apoio'!$B:$B,MATCH('MAPA DE PREÇOS'!Q1948,'Tabela de Apoio'!$A:$A,1)-1))*Q1947))</f>
        <v>92.98</v>
      </c>
      <c r="R1951" s="106">
        <f>IF(R1947="","",
IF(OR(R1949="Orçamento",R1948="",MAX('Tabela de Apoio'!$A:$A)&lt;=R1948),
R1947,
(INDEX('Tabela de Apoio'!$B:$B,MATCH('MAPA DE PREÇOS'!$O$8,'Tabela de Apoio'!$A:$A,1))/INDEX('Tabela de Apoio'!$B:$B,MATCH('MAPA DE PREÇOS'!R1948,'Tabela de Apoio'!$A:$A,1)-1))*R1947))</f>
        <v>134.9</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f t="shared" ref="B1952" si="6048">B1951</f>
        <v>93</v>
      </c>
      <c r="C1952" s="128">
        <f t="shared" ref="C1952" si="6049">C1951</f>
        <v>1</v>
      </c>
      <c r="D1952" s="127">
        <f t="shared" si="5990"/>
        <v>93</v>
      </c>
      <c r="E1952" s="201"/>
      <c r="F1952" s="93"/>
      <c r="G1952" s="203"/>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f t="shared" ref="B1953:C1953" si="6050">B1952</f>
        <v>93</v>
      </c>
      <c r="C1953" s="128">
        <f t="shared" si="6050"/>
        <v>1</v>
      </c>
      <c r="D1953" s="127">
        <f t="shared" si="5990"/>
        <v>93</v>
      </c>
      <c r="E1953" s="201"/>
      <c r="F1953" s="93"/>
      <c r="G1953" s="203"/>
      <c r="H1953" s="134">
        <f t="shared" ref="H1953" si="6051">COUNT($P1953:$XX1953)</f>
        <v>3</v>
      </c>
      <c r="I1953" s="132">
        <f t="shared" ref="I1953" si="6052">_xlfn.STDEV.P($P1952:$XX1953)/AVERAGE($P1952:$XX1953)</f>
        <v>0.17229188667582576</v>
      </c>
      <c r="J1953" s="7">
        <f>ROW()</f>
        <v>1953</v>
      </c>
      <c r="K1953" s="67"/>
      <c r="L1953" s="29" t="s">
        <v>10</v>
      </c>
      <c r="M1953" s="30">
        <f t="shared" ref="M1953" si="6053">IFERROR(
IF(COUNTA(P1947:AI1947)=COUNTIF(P1949:XX1949,"Orçamento"),MIN(M1958,M1955),
IF(M1956&lt;&gt;"",M1956,
IF(M1957&lt;&gt;"",M1957,
M1955
))),"")</f>
        <v>108.59333333333332</v>
      </c>
      <c r="N1953" s="71"/>
      <c r="O1953" s="27" t="s">
        <v>376</v>
      </c>
      <c r="P1953" s="106">
        <f t="shared" ref="P1953:AI1953" si="6054">IFERROR(IF(P1951="",
            "",
            IF(COUNT($P1951:$XX1951)&lt;=4,
               P1951,
               IF(OR(P1951&gt;(QUARTILE($P1951:$XX1951,3)+(QUARTILE($P1951:$XX1951,3)-QUARTILE($P1951:$XX1951,1))),
                     P1951&lt;(QUARTILE($P1951:$XX1951,1)-(QUARTILE($P1951:$XX1951,3)-QUARTILE($P1951:$XX1951,1)))
                  ),
               "DESCARTADO",P1951)
             )
  ),P1951)</f>
        <v>97.9</v>
      </c>
      <c r="Q1953" s="106">
        <f t="shared" si="6054"/>
        <v>92.98</v>
      </c>
      <c r="R1953" s="106">
        <f t="shared" si="6054"/>
        <v>134.9</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f t="shared" ref="B1954" si="6055">B1953</f>
        <v>93</v>
      </c>
      <c r="C1954" s="128">
        <f t="shared" ref="C1954" si="6056">C1953</f>
        <v>1</v>
      </c>
      <c r="D1954" s="127">
        <f t="shared" si="5990"/>
        <v>93</v>
      </c>
      <c r="E1954" s="201"/>
      <c r="F1954" s="93"/>
      <c r="G1954" s="203"/>
      <c r="H1954"/>
      <c r="I1954"/>
      <c r="J1954"/>
      <c r="K1954" s="66"/>
      <c r="L1954" s="29" t="s">
        <v>360</v>
      </c>
      <c r="M1954" s="30">
        <f t="shared" ref="M1954" si="6057">AVERAGE($P1953:$XX1953)</f>
        <v>108.59333333333332</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f t="shared" si="5989"/>
        <v>93</v>
      </c>
      <c r="C1955" s="128">
        <f t="shared" si="5990"/>
        <v>1</v>
      </c>
      <c r="D1955" s="127">
        <f t="shared" si="5990"/>
        <v>93</v>
      </c>
      <c r="E1955" s="201"/>
      <c r="F1955" s="93"/>
      <c r="G1955" s="203"/>
      <c r="H1955" s="134">
        <f t="shared" ref="H1955" si="6059">COUNT($P1955:$XX1955)</f>
        <v>3</v>
      </c>
      <c r="I1955" s="132">
        <f t="shared" ref="I1955" si="6060">_xlfn.STDEV.P($P1954:$XX1955)/AVERAGE($P1954:$XX1955)</f>
        <v>0.17229188667582576</v>
      </c>
      <c r="J1955" s="7">
        <f t="shared" ref="J1955" si="6061">IF(AND(H1955&gt;2,
OR(L1947="MÉDIA SANEADA",L1947="MEDIANA SANEADA",
AND(L1947="PREÇO ESTIMADO",NOT(AND(P1949="Orçamento",COUNTA(P1947:XX1947)=COUNTIF(P1949:XX1949,"Orçamento")))))),
ROW(),0)</f>
        <v>1955</v>
      </c>
      <c r="K1955" s="66"/>
      <c r="L1955" s="29" t="s">
        <v>361</v>
      </c>
      <c r="M1955" s="30">
        <f t="shared" ref="M1955" si="6062">MEDIAN($P1953:$XX1953)</f>
        <v>97.9</v>
      </c>
      <c r="N1955" s="71"/>
      <c r="O1955" s="27" t="str">
        <f t="shared" ref="O1955" si="6063">"1 RODADA"</f>
        <v>1 RODADA</v>
      </c>
      <c r="P1955" s="107">
        <f t="shared" ref="P1955:AI1955" si="6064">IF(P1953="","",IF((_xlfn.STDEV.P($P1952:$XX1953)/AVERAGE($P1952:$XX1953))&lt;=25%,P1953,IF(OR(P1953&gt;(AVERAGE($P1952:$XX1953)+_xlfn.STDEV.P($P1952:$XX1953)),P1953&lt;(AVERAGE($P1952:$XX1953)-_xlfn.STDEV.P($P1952:$XX1953))),"DESCARTADO",P1953)))</f>
        <v>97.9</v>
      </c>
      <c r="Q1955" s="107">
        <f t="shared" si="6064"/>
        <v>92.98</v>
      </c>
      <c r="R1955" s="107">
        <f t="shared" si="6064"/>
        <v>134.9</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f t="shared" si="5989"/>
        <v>93</v>
      </c>
      <c r="C1956" s="128">
        <f t="shared" si="5990"/>
        <v>1</v>
      </c>
      <c r="D1956" s="127">
        <f t="shared" si="5990"/>
        <v>93</v>
      </c>
      <c r="E1956" s="201"/>
      <c r="F1956" s="93"/>
      <c r="G1956" s="203"/>
      <c r="H1956"/>
      <c r="I1956"/>
      <c r="J1956"/>
      <c r="L1956" s="29" t="s">
        <v>38</v>
      </c>
      <c r="M1956" s="30">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108.59333333333332</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f t="shared" si="5989"/>
        <v>93</v>
      </c>
      <c r="C1957" s="128">
        <f t="shared" si="5990"/>
        <v>1</v>
      </c>
      <c r="D1957" s="127">
        <f t="shared" si="5990"/>
        <v>93</v>
      </c>
      <c r="E1957" s="201"/>
      <c r="F1957" s="93"/>
      <c r="G1957" s="203"/>
      <c r="H1957" s="134">
        <f t="shared" ref="H1957" si="6067">COUNT($P1957:$XX1957)</f>
        <v>3</v>
      </c>
      <c r="I1957" s="132">
        <f t="shared" ref="I1957" si="6068">_xlfn.STDEV.P($P1956:$XX1957)/AVERAGE($P1956:$XX1957)</f>
        <v>0.17229188667582576</v>
      </c>
      <c r="J1957" s="7">
        <f t="shared" ref="J1957" si="6069">IF(AND(H1957&gt;2,
OR(L1947="MÉDIA SANEADA",L1947="MEDIANA SANEADA",
AND(L1947="PREÇO ESTIMADO",NOT(AND(P1949="Orçamento",COUNTA(P1947:XX1947)=COUNTIF(P1949:XX1949,"Orçamento")))))),
ROW(),0)</f>
        <v>1957</v>
      </c>
      <c r="K1957" s="66"/>
      <c r="L1957" s="29" t="s">
        <v>362</v>
      </c>
      <c r="M1957" s="30">
        <f t="shared" ref="M1957" si="6070" xml:space="preserve">
IF(H1955&gt;2,MEDIAN(P1954:XX1955),
IF(H1957&gt;2,MEDIAN(P1956:XX1957),
IF(H1959&gt;2,MEDIAN(P1958:XX1959),
IF(H1961&gt;2,MEDIAN(P1960:XX1961),
IF(H1963&gt;2,MEDIAN(P1962:XX1963),
IF(H1965&gt;2,MEDIAN(P1964:XX1965),
MEDIAN(P1952:XX1953)))))))</f>
        <v>97.9</v>
      </c>
      <c r="N1957" s="71"/>
      <c r="O1957" s="27" t="str">
        <f t="shared" ref="O1957" si="6071">"2 RODADA"</f>
        <v>2 RODADA</v>
      </c>
      <c r="P1957" s="107">
        <f t="shared" ref="P1957:AI1957" si="6072">IF(P1955="","",IF((_xlfn.STDEV.P($P1954:$XX1955)/AVERAGE($P1954:$XX1955))&lt;=25%,P1955,IF(OR(P1955&gt;(AVERAGE($P1954:$XX1955)+_xlfn.STDEV.P($P1954:$XX1955)),P1955&lt;(AVERAGE($P1954:$XX1955)-_xlfn.STDEV.P($P1954:$XX1955))),"DESCARTADO",P1955)))</f>
        <v>97.9</v>
      </c>
      <c r="Q1957" s="107">
        <f t="shared" si="6072"/>
        <v>92.98</v>
      </c>
      <c r="R1957" s="107">
        <f t="shared" si="6072"/>
        <v>134.9</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f t="shared" si="5989"/>
        <v>93</v>
      </c>
      <c r="C1958" s="128">
        <f t="shared" si="5990"/>
        <v>1</v>
      </c>
      <c r="D1958" s="127">
        <f t="shared" si="5990"/>
        <v>93</v>
      </c>
      <c r="E1958" s="201"/>
      <c r="F1958" s="93"/>
      <c r="G1958" s="203"/>
      <c r="H1958"/>
      <c r="I1958"/>
      <c r="J1958"/>
      <c r="K1958" s="66"/>
      <c r="L1958" s="29" t="s">
        <v>359</v>
      </c>
      <c r="M1958" s="30">
        <f t="shared" ref="M1958" si="6073">HARMEAN($P1952:$XX1953)</f>
        <v>105.69929128663365</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f t="shared" si="5989"/>
        <v>93</v>
      </c>
      <c r="C1959" s="128">
        <f t="shared" si="5990"/>
        <v>1</v>
      </c>
      <c r="D1959" s="127">
        <f t="shared" si="5990"/>
        <v>93</v>
      </c>
      <c r="E1959" s="201"/>
      <c r="F1959" s="93"/>
      <c r="G1959" s="203"/>
      <c r="H1959" s="134">
        <f t="shared" ref="H1959" si="6075">COUNT($P1959:$XX1959)</f>
        <v>3</v>
      </c>
      <c r="I1959" s="132">
        <f t="shared" ref="I1959" si="6076">_xlfn.STDEV.P($P1958:$XX1959)/AVERAGE($P1958:$XX1959)</f>
        <v>0.17229188667582576</v>
      </c>
      <c r="J1959" s="7">
        <f t="shared" ref="J1959" si="6077">IF(AND(H1959&gt;2,
OR(L1947="MÉDIA SANEADA",L1947="MEDIANA SANEADA",
AND(L1947="PREÇO ESTIMADO",NOT(AND(P1949="Orçamento",COUNTA(P1947:XX1947)=COUNTIF(P1949:XX1949,"Orçamento")))))),
ROW(),0)</f>
        <v>1959</v>
      </c>
      <c r="K1959" s="66"/>
      <c r="L1959" s="29" t="s">
        <v>41</v>
      </c>
      <c r="M1959" s="30">
        <f t="shared" ref="M1959" si="6078">IFERROR(_xlfn.QUARTILE.EXC($P1953:$XX1953,1),"")</f>
        <v>92.98</v>
      </c>
      <c r="N1959" s="71"/>
      <c r="O1959" s="27" t="str">
        <f t="shared" ref="O1959" si="6079">"3 RODADA"</f>
        <v>3 RODADA</v>
      </c>
      <c r="P1959" s="107">
        <f t="shared" ref="P1959:AI1959" si="6080">IF(P1957="","",IF((_xlfn.STDEV.P($P1956:$XX1957)/AVERAGE($P1956:$XX1957))&lt;=25%,P1957,IF(OR(P1957&gt;(AVERAGE($P1956:$XX1957)+_xlfn.STDEV.P($P1956:$XX1957)),P1957&lt;(AVERAGE($P1956:$XX1957)-_xlfn.STDEV.P($P1956:$XX1957))),"DESCARTADO",P1957)))</f>
        <v>97.9</v>
      </c>
      <c r="Q1959" s="107">
        <f t="shared" si="6080"/>
        <v>92.98</v>
      </c>
      <c r="R1959" s="107">
        <f t="shared" si="6080"/>
        <v>134.9</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f t="shared" si="5989"/>
        <v>93</v>
      </c>
      <c r="C1960" s="128">
        <f t="shared" si="5990"/>
        <v>1</v>
      </c>
      <c r="D1960" s="127">
        <f t="shared" si="5990"/>
        <v>93</v>
      </c>
      <c r="E1960" s="201"/>
      <c r="F1960" s="93"/>
      <c r="G1960" s="203"/>
      <c r="H1960"/>
      <c r="I1960"/>
      <c r="J1960"/>
      <c r="K1960" s="66"/>
      <c r="L1960" s="29" t="s">
        <v>39</v>
      </c>
      <c r="M1960" s="30">
        <f t="shared" ref="M1960" si="6081">IFERROR(_xlfn.QUARTILE.EXC($P1953:$XX1953,3),"")</f>
        <v>134.9</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f t="shared" si="5989"/>
        <v>93</v>
      </c>
      <c r="C1961" s="128">
        <f t="shared" si="5990"/>
        <v>1</v>
      </c>
      <c r="D1961" s="127">
        <f t="shared" si="5990"/>
        <v>93</v>
      </c>
      <c r="E1961" s="201"/>
      <c r="F1961" s="93"/>
      <c r="G1961" s="203"/>
      <c r="H1961" s="134">
        <f t="shared" ref="H1961" si="6083">COUNT($P1961:$XX1961)</f>
        <v>3</v>
      </c>
      <c r="I1961" s="132">
        <f t="shared" ref="I1961" si="6084">_xlfn.STDEV.P($P1960:$XX1961)/AVERAGE($P1960:$XX1961)</f>
        <v>0.17229188667582576</v>
      </c>
      <c r="J1961" s="7">
        <f t="shared" ref="J1961" si="6085">IF(AND(H1961&gt;2,
OR(L1947="MÉDIA SANEADA",L1947="MEDIANA SANEADA",
AND(L1947="PREÇO ESTIMADO",NOT(AND(P1949="Orçamento",COUNTA(P1947:XX1947)=COUNTIF(P1949:XX1949,"Orçamento")))))),
ROW(),0)</f>
        <v>1961</v>
      </c>
      <c r="K1961" s="66"/>
      <c r="L1961" s="29" t="s">
        <v>42</v>
      </c>
      <c r="M1961" s="30">
        <f t="shared" ref="M1961" si="6086">MIN($P1953:$XX1953)</f>
        <v>92.98</v>
      </c>
      <c r="N1961" s="71"/>
      <c r="O1961" s="27" t="str">
        <f t="shared" ref="O1961" si="6087">"4 RODADA"</f>
        <v>4 RODADA</v>
      </c>
      <c r="P1961" s="107">
        <f t="shared" ref="P1961:AI1961" si="6088">IF(P1959="","",IF((_xlfn.STDEV.P($P1958:$XX1959)/AVERAGE($P1958:$XX1959))&lt;=25%,P1959,IF(OR(P1959&gt;(AVERAGE($P1958:$XX1959)+_xlfn.STDEV.P($P1958:$XX1959)),P1959&lt;(AVERAGE($P1958:$XX1959)-_xlfn.STDEV.P($P1958:$XX1959))),"DESCARTADO",P1959)))</f>
        <v>97.9</v>
      </c>
      <c r="Q1961" s="107">
        <f t="shared" si="6088"/>
        <v>92.98</v>
      </c>
      <c r="R1961" s="107">
        <f t="shared" si="6088"/>
        <v>134.9</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f t="shared" si="5989"/>
        <v>93</v>
      </c>
      <c r="C1962" s="128">
        <f t="shared" si="5990"/>
        <v>1</v>
      </c>
      <c r="D1962" s="127">
        <f t="shared" si="5990"/>
        <v>93</v>
      </c>
      <c r="E1962" s="201"/>
      <c r="F1962" s="93"/>
      <c r="G1962" s="203"/>
      <c r="H1962"/>
      <c r="I1962"/>
      <c r="J1962"/>
      <c r="K1962" s="66"/>
      <c r="L1962" s="29" t="s">
        <v>40</v>
      </c>
      <c r="M1962" s="30">
        <f t="shared" ref="M1962" si="6089">MAX($P1953:$XX1953)</f>
        <v>134.9</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f t="shared" si="5989"/>
        <v>93</v>
      </c>
      <c r="C1963" s="128">
        <f t="shared" si="5990"/>
        <v>1</v>
      </c>
      <c r="D1963" s="127">
        <f t="shared" si="5990"/>
        <v>93</v>
      </c>
      <c r="E1963" s="201"/>
      <c r="F1963" s="93"/>
      <c r="G1963" s="203"/>
      <c r="H1963" s="134">
        <f t="shared" ref="H1963" si="6091">COUNT($P1963:$XX1963)</f>
        <v>3</v>
      </c>
      <c r="I1963" s="132">
        <f t="shared" ref="I1963" si="6092">_xlfn.STDEV.P($P1962:$XX1963)/AVERAGE($P1962:$XX1963)</f>
        <v>0.17229188667582576</v>
      </c>
      <c r="J1963" s="7">
        <f t="shared" ref="J1963" si="6093">IF(AND(H1963&gt;2,
OR(L1947="MÉDIA SANEADA",L1947="MEDIANA SANEADA",
AND(L1947="PREÇO ESTIMADO",NOT(AND(P1949="Orçamento",COUNTA(P1947:XX1947)=COUNTIF(P1949:XX1949,"Orçamento")))))),
ROW(),0)</f>
        <v>1963</v>
      </c>
      <c r="K1963" s="66"/>
      <c r="N1963" s="71"/>
      <c r="O1963" s="27" t="str">
        <f t="shared" ref="O1963" si="6094">"5 RODADA"</f>
        <v>5 RODADA</v>
      </c>
      <c r="P1963" s="107">
        <f t="shared" ref="P1963:AI1963" si="6095">IF(P1961="","",IF((_xlfn.STDEV.P($P1960:$XX1961)/AVERAGE($P1960:$XX1961))&lt;=25%,P1961,IF(OR(P1961&gt;(AVERAGE($P1960:$XX1961)+_xlfn.STDEV.P($P1960:$XX1961)),P1961&lt;(AVERAGE($P1960:$XX1961)-_xlfn.STDEV.P($P1960:$XX1961))),"DESCARTADO",P1961)))</f>
        <v>97.9</v>
      </c>
      <c r="Q1963" s="107">
        <f t="shared" si="6095"/>
        <v>92.98</v>
      </c>
      <c r="R1963" s="107">
        <f t="shared" si="6095"/>
        <v>134.9</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f t="shared" si="5989"/>
        <v>93</v>
      </c>
      <c r="C1964" s="128">
        <f t="shared" si="5990"/>
        <v>1</v>
      </c>
      <c r="D1964" s="127">
        <f t="shared" si="5990"/>
        <v>93</v>
      </c>
      <c r="E1964" s="201"/>
      <c r="F1964" s="93"/>
      <c r="G1964" s="203"/>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f t="shared" si="5989"/>
        <v>93</v>
      </c>
      <c r="C1965" s="128">
        <f t="shared" si="5990"/>
        <v>1</v>
      </c>
      <c r="D1965" s="127">
        <f t="shared" si="5990"/>
        <v>93</v>
      </c>
      <c r="E1965" s="201"/>
      <c r="F1965" s="93"/>
      <c r="G1965" s="203"/>
      <c r="H1965" s="134">
        <f t="shared" ref="H1965" si="6097">COUNT($P1965:$XX1965)</f>
        <v>3</v>
      </c>
      <c r="I1965" s="132">
        <f t="shared" ref="I1965" si="6098">_xlfn.STDEV.P($P1964:$XX1965)/AVERAGE($P1964:$XX1965)</f>
        <v>0.17229188667582576</v>
      </c>
      <c r="J1965" s="7">
        <f t="shared" ref="J1965" si="6099">IF(AND(H1965&gt;2,
OR(L1947="MÉDIA SANEADA",L1947="MEDIANA SANEADA",
AND(L1947="PREÇO ESTIMADO",NOT(AND(P1949="Orçamento",COUNTA(P1947:XX1947)=COUNTIF(P1949:XX1949,"Orçamento")))))),
ROW(),0)</f>
        <v>1965</v>
      </c>
      <c r="N1965" s="71"/>
      <c r="O1965" s="27" t="str">
        <f t="shared" ref="O1965" si="6100">"6 RODADA"</f>
        <v>6 RODADA</v>
      </c>
      <c r="P1965" s="107">
        <f t="shared" ref="P1965:AI1965" si="6101">IFERROR(IF(P1963="","",IF((_xlfn.STDEV.P($P1962:$XX1963)/AVERAGE($P1962:$XX1963))&lt;=25%,P1963,IF(OR(P1963&gt;(AVERAGE($P1962:$XX1963)+_xlfn.STDEV.P($P1962:$XX1963)),P1963&lt;(AVERAGE($P1962:$XX1963)-_xlfn.STDEV.P($P1962:$XX1963))),"DESCARTADO",P1963))),)</f>
        <v>97.9</v>
      </c>
      <c r="Q1965" s="107">
        <f t="shared" si="6101"/>
        <v>92.98</v>
      </c>
      <c r="R1965" s="107">
        <f t="shared" si="6101"/>
        <v>134.9</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f t="shared" si="5989"/>
        <v>93</v>
      </c>
      <c r="C1966" s="128">
        <f t="shared" si="5990"/>
        <v>1</v>
      </c>
      <c r="D1966" s="127">
        <f t="shared" si="5990"/>
        <v>93</v>
      </c>
      <c r="E1966" s="201"/>
      <c r="F1966" s="136"/>
      <c r="G1966" s="203"/>
      <c r="H1966" s="206"/>
      <c r="I1966" s="206"/>
      <c r="J1966" s="207"/>
      <c r="K1966" s="67"/>
      <c r="L1966" s="1" t="s">
        <v>43</v>
      </c>
      <c r="M1966" s="143">
        <f t="shared" ref="M1966" si="6102">IFERROR(ROUND(M1947*M1949,2),"")</f>
        <v>108.59</v>
      </c>
      <c r="O1966" s="27" t="s">
        <v>363</v>
      </c>
      <c r="P1966" s="107">
        <f t="shared" ref="P1966:R1966" si="6103">INDEX(P1953:P1965,MATCH(MAX($J1953:$J1965),$J1953:$J1965,0))</f>
        <v>97.9</v>
      </c>
      <c r="Q1966" s="107">
        <f t="shared" si="6103"/>
        <v>92.98</v>
      </c>
      <c r="R1966" s="107">
        <f t="shared" si="6103"/>
        <v>134.9</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f t="shared" ref="B1968" si="6104">LARGE(IFERROR(IF(B1966+1&gt;$H$8,"",B1966+1),""),1)</f>
        <v>94</v>
      </c>
      <c r="C1968" s="127">
        <f>IF(_xlfn.ISFORMULA(E1972),MAX(INDEX('BASE FORMAÇÃO'!A:A,B1968+1),1),E1972)</f>
        <v>1</v>
      </c>
      <c r="D1968" s="127">
        <f t="shared" ref="D1968" si="6105">IFERROR(IF(C1968=C1958,D1958+1,1),1)</f>
        <v>94</v>
      </c>
      <c r="E1968" s="38" t="s">
        <v>9</v>
      </c>
      <c r="F1968" s="73"/>
      <c r="G1968" s="38" t="s">
        <v>15</v>
      </c>
      <c r="H1968" s="135">
        <f>INDEX('BASE FORMAÇÃO'!B:B,B1968+1)</f>
        <v>0</v>
      </c>
      <c r="I1968" s="181" t="s">
        <v>16</v>
      </c>
      <c r="J1968" s="6">
        <f>INDEX('BASE FORMAÇÃO'!K:K,B1968+1)</f>
        <v>0</v>
      </c>
      <c r="K1968" s="65"/>
      <c r="L1968" s="184" t="s">
        <v>10</v>
      </c>
      <c r="M1968" s="186">
        <f t="shared" ref="M1968" si="6106">IF(OR(ISBLANK($O$8),ISBLANK($O$7),ISBLANK($H$8),ISBLANK($O$6),ISBLANK($O$5),ISBLANK($H$5)),"",IFERROR(IF(VLOOKUP(L1968,L1974:M1983,2,FALSE)&lt;1,ROUND(VLOOKUP(L1968,L1974:M1983,2,FALSE),4),ROUND(VLOOKUP(L1968,L1974:M1983,2,FALSE),2)),""))</f>
        <v>26.03</v>
      </c>
      <c r="N1968" s="69"/>
      <c r="O1968" s="27" t="s">
        <v>17</v>
      </c>
      <c r="P1968" s="113">
        <v>36.24</v>
      </c>
      <c r="Q1968" s="113">
        <v>12.24</v>
      </c>
      <c r="R1968" s="113">
        <v>26.03</v>
      </c>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f t="shared" ref="B1969:D1969" si="6107">B1968</f>
        <v>94</v>
      </c>
      <c r="C1969" s="128">
        <f t="shared" si="6107"/>
        <v>1</v>
      </c>
      <c r="D1969" s="127">
        <f t="shared" si="6107"/>
        <v>94</v>
      </c>
      <c r="E1969" s="188">
        <f t="shared" ref="E1969" si="6108">D1968</f>
        <v>94</v>
      </c>
      <c r="F1969" s="92"/>
      <c r="G1969" s="190" t="s">
        <v>1</v>
      </c>
      <c r="H1969" s="193" t="s">
        <v>805</v>
      </c>
      <c r="I1969" s="194"/>
      <c r="J1969" s="195"/>
      <c r="K1969" s="66"/>
      <c r="L1969" s="185"/>
      <c r="M1969" s="187"/>
      <c r="N1969" s="70"/>
      <c r="O1969" s="27" t="s">
        <v>13</v>
      </c>
      <c r="P1969" s="122">
        <v>46196</v>
      </c>
      <c r="Q1969" s="122">
        <v>46196</v>
      </c>
      <c r="R1969" s="122">
        <v>46196</v>
      </c>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f t="shared" ref="B1970:D1970" si="6109">B1969</f>
        <v>94</v>
      </c>
      <c r="C1970" s="128">
        <f t="shared" si="6109"/>
        <v>1</v>
      </c>
      <c r="D1970" s="127">
        <f t="shared" si="6109"/>
        <v>94</v>
      </c>
      <c r="E1970" s="189"/>
      <c r="F1970" s="93"/>
      <c r="G1970" s="191"/>
      <c r="H1970" s="196"/>
      <c r="I1970" s="196"/>
      <c r="J1970" s="197"/>
      <c r="K1970" s="64"/>
      <c r="L1970" s="130" t="s">
        <v>44</v>
      </c>
      <c r="M1970" s="131">
        <v>1</v>
      </c>
      <c r="N1970" s="71"/>
      <c r="O1970" s="27" t="s">
        <v>380</v>
      </c>
      <c r="P1970" s="114" t="s">
        <v>302</v>
      </c>
      <c r="Q1970" s="114" t="s">
        <v>302</v>
      </c>
      <c r="R1970" s="114" t="s">
        <v>302</v>
      </c>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f t="shared" ref="B1971:C1971" si="6110">B1970</f>
        <v>94</v>
      </c>
      <c r="C1971" s="128">
        <f t="shared" si="6110"/>
        <v>1</v>
      </c>
      <c r="D1971" s="127">
        <f t="shared" si="5990"/>
        <v>94</v>
      </c>
      <c r="E1971" s="38" t="s">
        <v>313</v>
      </c>
      <c r="F1971" s="93"/>
      <c r="G1971" s="192"/>
      <c r="H1971" s="198"/>
      <c r="I1971" s="198"/>
      <c r="J1971" s="199"/>
      <c r="K1971" s="64"/>
      <c r="L1971" s="1" t="s">
        <v>2</v>
      </c>
      <c r="M1971" s="6" t="s">
        <v>288</v>
      </c>
      <c r="N1971" s="71"/>
      <c r="O1971" s="27" t="s">
        <v>381</v>
      </c>
      <c r="P1971" s="182" t="s">
        <v>806</v>
      </c>
      <c r="Q1971" s="182" t="s">
        <v>807</v>
      </c>
      <c r="R1971" s="182" t="s">
        <v>808</v>
      </c>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f t="shared" ref="B1972:C1972" si="6111">B1970</f>
        <v>94</v>
      </c>
      <c r="C1972" s="128">
        <f t="shared" si="6111"/>
        <v>1</v>
      </c>
      <c r="D1972" s="127">
        <f t="shared" si="5990"/>
        <v>94</v>
      </c>
      <c r="E1972" s="200">
        <f t="shared" ref="E1972" si="6112">C1968</f>
        <v>1</v>
      </c>
      <c r="F1972" s="93"/>
      <c r="G1972" s="202" t="s">
        <v>304</v>
      </c>
      <c r="H1972" s="204"/>
      <c r="I1972" s="205"/>
      <c r="J1972" s="205"/>
      <c r="K1972" s="67"/>
      <c r="L1972" s="28" t="s">
        <v>303</v>
      </c>
      <c r="M1972" s="133">
        <f t="shared" ref="M1972" si="6113">IFERROR(INDEX(I1974:I1986,MATCH(MAX(J1974:J1986),J1974:J1986,0)),"")</f>
        <v>0.39595599562588196</v>
      </c>
      <c r="N1972" s="71"/>
      <c r="O1972" s="27" t="s">
        <v>18</v>
      </c>
      <c r="P1972" s="106">
        <f>IF(P1968="","",
IF(OR(P1970="Orçamento",P1969="",MAX('Tabela de Apoio'!$A:$A)&lt;=P1969),
P1968,
(INDEX('Tabela de Apoio'!$B:$B,MATCH('MAPA DE PREÇOS'!$O$8,'Tabela de Apoio'!$A:$A,1))/INDEX('Tabela de Apoio'!$B:$B,MATCH('MAPA DE PREÇOS'!P1969,'Tabela de Apoio'!$A:$A,1)-1))*P1968))</f>
        <v>36.24</v>
      </c>
      <c r="Q1972" s="106">
        <f>IF(Q1968="","",
IF(OR(Q1970="Orçamento",Q1969="",MAX('Tabela de Apoio'!$A:$A)&lt;=Q1969),
Q1968,
(INDEX('Tabela de Apoio'!$B:$B,MATCH('MAPA DE PREÇOS'!$O$8,'Tabela de Apoio'!$A:$A,1))/INDEX('Tabela de Apoio'!$B:$B,MATCH('MAPA DE PREÇOS'!Q1969,'Tabela de Apoio'!$A:$A,1)-1))*Q1968))</f>
        <v>12.24</v>
      </c>
      <c r="R1972" s="106">
        <f>IF(R1968="","",
IF(OR(R1970="Orçamento",R1969="",MAX('Tabela de Apoio'!$A:$A)&lt;=R1969),
R1968,
(INDEX('Tabela de Apoio'!$B:$B,MATCH('MAPA DE PREÇOS'!$O$8,'Tabela de Apoio'!$A:$A,1))/INDEX('Tabela de Apoio'!$B:$B,MATCH('MAPA DE PREÇOS'!R1969,'Tabela de Apoio'!$A:$A,1)-1))*R1968))</f>
        <v>26.03</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f t="shared" ref="B1973" si="6114">B1972</f>
        <v>94</v>
      </c>
      <c r="C1973" s="128">
        <f t="shared" ref="C1973" si="6115">C1972</f>
        <v>1</v>
      </c>
      <c r="D1973" s="127">
        <f t="shared" si="5990"/>
        <v>94</v>
      </c>
      <c r="E1973" s="201"/>
      <c r="F1973" s="93"/>
      <c r="G1973" s="203"/>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f t="shared" ref="B1974:C1974" si="6116">B1973</f>
        <v>94</v>
      </c>
      <c r="C1974" s="128">
        <f t="shared" si="6116"/>
        <v>1</v>
      </c>
      <c r="D1974" s="127">
        <f t="shared" si="5990"/>
        <v>94</v>
      </c>
      <c r="E1974" s="201"/>
      <c r="F1974" s="93"/>
      <c r="G1974" s="203"/>
      <c r="H1974" s="134">
        <f t="shared" ref="H1974" si="6117">COUNT($P1974:$XX1974)</f>
        <v>3</v>
      </c>
      <c r="I1974" s="132">
        <f t="shared" ref="I1974" si="6118">_xlfn.STDEV.P($P1973:$XX1974)/AVERAGE($P1973:$XX1974)</f>
        <v>0.39595599562588196</v>
      </c>
      <c r="J1974" s="7">
        <f>ROW()</f>
        <v>1974</v>
      </c>
      <c r="K1974" s="67"/>
      <c r="L1974" s="29" t="s">
        <v>10</v>
      </c>
      <c r="M1974" s="30">
        <f t="shared" ref="M1974" si="6119">IFERROR(
IF(COUNTA(P1968:AI1968)=COUNTIF(P1970:XX1970,"Orçamento"),MIN(M1979,M1976),
IF(M1977&lt;&gt;"",M1977,
IF(M1978&lt;&gt;"",M1978,
M1976
))),"")</f>
        <v>26.03</v>
      </c>
      <c r="N1974" s="71"/>
      <c r="O1974" s="27" t="s">
        <v>376</v>
      </c>
      <c r="P1974" s="106">
        <f t="shared" ref="P1974:AI1974" si="6120">IFERROR(IF(P1972="",
            "",
            IF(COUNT($P1972:$XX1972)&lt;=4,
               P1972,
               IF(OR(P1972&gt;(QUARTILE($P1972:$XX1972,3)+(QUARTILE($P1972:$XX1972,3)-QUARTILE($P1972:$XX1972,1))),
                     P1972&lt;(QUARTILE($P1972:$XX1972,1)-(QUARTILE($P1972:$XX1972,3)-QUARTILE($P1972:$XX1972,1)))
                  ),
               "DESCARTADO",P1972)
             )
  ),P1972)</f>
        <v>36.24</v>
      </c>
      <c r="Q1974" s="106">
        <f t="shared" si="6120"/>
        <v>12.24</v>
      </c>
      <c r="R1974" s="106">
        <f t="shared" si="6120"/>
        <v>26.03</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f t="shared" ref="B1975" si="6121">B1974</f>
        <v>94</v>
      </c>
      <c r="C1975" s="128">
        <f t="shared" ref="C1975" si="6122">C1974</f>
        <v>1</v>
      </c>
      <c r="D1975" s="127">
        <f t="shared" si="5990"/>
        <v>94</v>
      </c>
      <c r="E1975" s="201"/>
      <c r="F1975" s="93"/>
      <c r="G1975" s="203"/>
      <c r="H1975"/>
      <c r="I1975"/>
      <c r="J1975"/>
      <c r="K1975" s="66"/>
      <c r="L1975" s="29" t="s">
        <v>360</v>
      </c>
      <c r="M1975" s="30">
        <f t="shared" ref="M1975" si="6123">AVERAGE($P1974:$XX1974)</f>
        <v>24.83666666666667</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f t="shared" si="5989"/>
        <v>94</v>
      </c>
      <c r="C1976" s="128">
        <f t="shared" si="5990"/>
        <v>1</v>
      </c>
      <c r="D1976" s="127">
        <f t="shared" si="5990"/>
        <v>94</v>
      </c>
      <c r="E1976" s="201"/>
      <c r="F1976" s="93"/>
      <c r="G1976" s="203"/>
      <c r="H1976" s="134">
        <f t="shared" ref="H1976" si="6125">COUNT($P1976:$XX1976)</f>
        <v>1</v>
      </c>
      <c r="I1976" s="132">
        <f t="shared" ref="I1976" si="6126">_xlfn.STDEV.P($P1975:$XX1976)/AVERAGE($P1975:$XX1976)</f>
        <v>0</v>
      </c>
      <c r="J1976" s="7">
        <f t="shared" ref="J1976" si="6127">IF(AND(H1976&gt;2,
OR(L1968="MÉDIA SANEADA",L1968="MEDIANA SANEADA",
AND(L1968="PREÇO ESTIMADO",NOT(AND(P1970="Orçamento",COUNTA(P1968:XX1968)=COUNTIF(P1970:XX1970,"Orçamento")))))),
ROW(),0)</f>
        <v>0</v>
      </c>
      <c r="K1976" s="66"/>
      <c r="L1976" s="29" t="s">
        <v>361</v>
      </c>
      <c r="M1976" s="30">
        <f t="shared" ref="M1976" si="6128">MEDIAN($P1974:$XX1974)</f>
        <v>26.03</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DESCARTADO</v>
      </c>
      <c r="Q1976" s="107" t="str">
        <f t="shared" si="6130"/>
        <v>DESCARTADO</v>
      </c>
      <c r="R1976" s="107">
        <f t="shared" si="6130"/>
        <v>26.03</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f t="shared" si="5989"/>
        <v>94</v>
      </c>
      <c r="C1977" s="128">
        <f t="shared" si="5990"/>
        <v>1</v>
      </c>
      <c r="D1977" s="127">
        <f t="shared" si="5990"/>
        <v>94</v>
      </c>
      <c r="E1977" s="201"/>
      <c r="F1977" s="93"/>
      <c r="G1977" s="203"/>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f t="shared" si="5989"/>
        <v>94</v>
      </c>
      <c r="C1978" s="128">
        <f t="shared" si="5990"/>
        <v>1</v>
      </c>
      <c r="D1978" s="127">
        <f t="shared" si="5990"/>
        <v>94</v>
      </c>
      <c r="E1978" s="201"/>
      <c r="F1978" s="93"/>
      <c r="G1978" s="203"/>
      <c r="H1978" s="134">
        <f t="shared" ref="H1978" si="6133">COUNT($P1978:$XX1978)</f>
        <v>1</v>
      </c>
      <c r="I1978" s="132">
        <f t="shared" ref="I1978" si="6134">_xlfn.STDEV.P($P1977:$XX1978)/AVERAGE($P1977:$XX1978)</f>
        <v>0</v>
      </c>
      <c r="J1978" s="7">
        <f t="shared" ref="J1978" si="6135">IF(AND(H1978&gt;2,
OR(L1968="MÉDIA SANEADA",L1968="MEDIANA SANEADA",
AND(L1968="PREÇO ESTIMADO",NOT(AND(P1970="Orçamento",COUNTA(P1968:XX1968)=COUNTIF(P1970:XX1970,"Orçamento")))))),
ROW(),0)</f>
        <v>0</v>
      </c>
      <c r="K1978" s="66"/>
      <c r="L1978" s="29" t="s">
        <v>362</v>
      </c>
      <c r="M1978" s="30">
        <f t="shared" ref="M1978" si="6136" xml:space="preserve">
IF(H1976&gt;2,MEDIAN(P1975:XX1976),
IF(H1978&gt;2,MEDIAN(P1977:XX1978),
IF(H1980&gt;2,MEDIAN(P1979:XX1980),
IF(H1982&gt;2,MEDIAN(P1981:XX1982),
IF(H1984&gt;2,MEDIAN(P1983:XX1984),
IF(H1986&gt;2,MEDIAN(P1985:XX1986),
MEDIAN(P1973:XX1974)))))))</f>
        <v>26.03</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DESCARTADO</v>
      </c>
      <c r="Q1978" s="107" t="str">
        <f t="shared" si="6138"/>
        <v>DESCARTADO</v>
      </c>
      <c r="R1978" s="107">
        <f t="shared" si="6138"/>
        <v>26.03</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f t="shared" si="5989"/>
        <v>94</v>
      </c>
      <c r="C1979" s="128">
        <f t="shared" si="5990"/>
        <v>1</v>
      </c>
      <c r="D1979" s="127">
        <f t="shared" si="5990"/>
        <v>94</v>
      </c>
      <c r="E1979" s="201"/>
      <c r="F1979" s="93"/>
      <c r="G1979" s="203"/>
      <c r="H1979"/>
      <c r="I1979"/>
      <c r="J1979"/>
      <c r="K1979" s="66"/>
      <c r="L1979" s="29" t="s">
        <v>359</v>
      </c>
      <c r="M1979" s="30">
        <f t="shared" ref="M1979" si="6139">HARMEAN($P1973:$XX1974)</f>
        <v>20.310015282214373</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f t="shared" si="5989"/>
        <v>94</v>
      </c>
      <c r="C1980" s="128">
        <f t="shared" si="5990"/>
        <v>1</v>
      </c>
      <c r="D1980" s="127">
        <f t="shared" si="5990"/>
        <v>94</v>
      </c>
      <c r="E1980" s="201"/>
      <c r="F1980" s="93"/>
      <c r="G1980" s="203"/>
      <c r="H1980" s="134">
        <f t="shared" ref="H1980" si="6141">COUNT($P1980:$XX1980)</f>
        <v>1</v>
      </c>
      <c r="I1980" s="132">
        <f t="shared" ref="I1980" si="6142">_xlfn.STDEV.P($P1979:$XX1980)/AVERAGE($P1979:$XX1980)</f>
        <v>0</v>
      </c>
      <c r="J1980" s="7">
        <f t="shared" ref="J1980" si="6143">IF(AND(H1980&gt;2,
OR(L1968="MÉDIA SANEADA",L1968="MEDIANA SANEADA",
AND(L1968="PREÇO ESTIMADO",NOT(AND(P1970="Orçamento",COUNTA(P1968:XX1968)=COUNTIF(P1970:XX1970,"Orçamento")))))),
ROW(),0)</f>
        <v>0</v>
      </c>
      <c r="K1980" s="66"/>
      <c r="L1980" s="29" t="s">
        <v>41</v>
      </c>
      <c r="M1980" s="30">
        <f t="shared" ref="M1980" si="6144">IFERROR(_xlfn.QUARTILE.EXC($P1974:$XX1974,1),"")</f>
        <v>12.24</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DESCARTADO</v>
      </c>
      <c r="Q1980" s="107" t="str">
        <f t="shared" si="6146"/>
        <v>DESCARTADO</v>
      </c>
      <c r="R1980" s="107">
        <f t="shared" si="6146"/>
        <v>26.03</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f t="shared" si="5989"/>
        <v>94</v>
      </c>
      <c r="C1981" s="128">
        <f t="shared" si="5990"/>
        <v>1</v>
      </c>
      <c r="D1981" s="127">
        <f t="shared" si="5990"/>
        <v>94</v>
      </c>
      <c r="E1981" s="201"/>
      <c r="F1981" s="93"/>
      <c r="G1981" s="203"/>
      <c r="H1981"/>
      <c r="I1981"/>
      <c r="J1981"/>
      <c r="K1981" s="66"/>
      <c r="L1981" s="29" t="s">
        <v>39</v>
      </c>
      <c r="M1981" s="30">
        <f t="shared" ref="M1981" si="6147">IFERROR(_xlfn.QUARTILE.EXC($P1974:$XX1974,3),"")</f>
        <v>36.24</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f t="shared" si="5989"/>
        <v>94</v>
      </c>
      <c r="C1982" s="128">
        <f t="shared" si="5990"/>
        <v>1</v>
      </c>
      <c r="D1982" s="127">
        <f t="shared" si="5990"/>
        <v>94</v>
      </c>
      <c r="E1982" s="201"/>
      <c r="F1982" s="93"/>
      <c r="G1982" s="203"/>
      <c r="H1982" s="134">
        <f t="shared" ref="H1982" si="6149">COUNT($P1982:$XX1982)</f>
        <v>1</v>
      </c>
      <c r="I1982" s="132">
        <f t="shared" ref="I1982" si="6150">_xlfn.STDEV.P($P1981:$XX1982)/AVERAGE($P1981:$XX1982)</f>
        <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12.24</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DESCARTADO</v>
      </c>
      <c r="Q1982" s="107" t="str">
        <f t="shared" si="6154"/>
        <v>DESCARTADO</v>
      </c>
      <c r="R1982" s="107">
        <f t="shared" si="6154"/>
        <v>26.03</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f t="shared" si="5989"/>
        <v>94</v>
      </c>
      <c r="C1983" s="128">
        <f t="shared" si="5990"/>
        <v>1</v>
      </c>
      <c r="D1983" s="127">
        <f t="shared" si="5990"/>
        <v>94</v>
      </c>
      <c r="E1983" s="201"/>
      <c r="F1983" s="93"/>
      <c r="G1983" s="203"/>
      <c r="H1983"/>
      <c r="I1983"/>
      <c r="J1983"/>
      <c r="K1983" s="66"/>
      <c r="L1983" s="29" t="s">
        <v>40</v>
      </c>
      <c r="M1983" s="30">
        <f t="shared" ref="M1983" si="6155">MAX($P1974:$XX1974)</f>
        <v>36.24</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f t="shared" si="5989"/>
        <v>94</v>
      </c>
      <c r="C1984" s="128">
        <f t="shared" si="5990"/>
        <v>1</v>
      </c>
      <c r="D1984" s="127">
        <f t="shared" si="5990"/>
        <v>94</v>
      </c>
      <c r="E1984" s="201"/>
      <c r="F1984" s="93"/>
      <c r="G1984" s="203"/>
      <c r="H1984" s="134">
        <f t="shared" ref="H1984" si="6157">COUNT($P1984:$XX1984)</f>
        <v>1</v>
      </c>
      <c r="I1984" s="132">
        <f t="shared" ref="I1984" si="6158">_xlfn.STDEV.P($P1983:$XX1984)/AVERAGE($P1983:$XX1984)</f>
        <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DESCARTADO</v>
      </c>
      <c r="Q1984" s="107" t="str">
        <f t="shared" si="6161"/>
        <v>DESCARTADO</v>
      </c>
      <c r="R1984" s="107">
        <f t="shared" si="6161"/>
        <v>26.03</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f t="shared" si="5989"/>
        <v>94</v>
      </c>
      <c r="C1985" s="128">
        <f t="shared" si="5990"/>
        <v>1</v>
      </c>
      <c r="D1985" s="127">
        <f t="shared" si="5990"/>
        <v>94</v>
      </c>
      <c r="E1985" s="201"/>
      <c r="F1985" s="93"/>
      <c r="G1985" s="203"/>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f t="shared" si="5989"/>
        <v>94</v>
      </c>
      <c r="C1986" s="128">
        <f t="shared" si="5990"/>
        <v>1</v>
      </c>
      <c r="D1986" s="127">
        <f t="shared" si="5990"/>
        <v>94</v>
      </c>
      <c r="E1986" s="201"/>
      <c r="F1986" s="93"/>
      <c r="G1986" s="203"/>
      <c r="H1986" s="134">
        <f t="shared" ref="H1986" si="6163">COUNT($P1986:$XX1986)</f>
        <v>1</v>
      </c>
      <c r="I1986" s="132">
        <f t="shared" ref="I1986" si="6164">_xlfn.STDEV.P($P1985:$XX1986)/AVERAGE($P1985:$XX1986)</f>
        <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DESCARTADO</v>
      </c>
      <c r="Q1986" s="107" t="str">
        <f t="shared" si="6167"/>
        <v>DESCARTADO</v>
      </c>
      <c r="R1986" s="107">
        <f t="shared" si="6167"/>
        <v>26.03</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f t="shared" si="5989"/>
        <v>94</v>
      </c>
      <c r="C1987" s="128">
        <f t="shared" si="5990"/>
        <v>1</v>
      </c>
      <c r="D1987" s="127">
        <f t="shared" si="5990"/>
        <v>94</v>
      </c>
      <c r="E1987" s="201"/>
      <c r="F1987" s="136"/>
      <c r="G1987" s="203"/>
      <c r="H1987" s="206"/>
      <c r="I1987" s="206"/>
      <c r="J1987" s="207"/>
      <c r="K1987" s="67"/>
      <c r="L1987" s="1" t="s">
        <v>43</v>
      </c>
      <c r="M1987" s="143">
        <f t="shared" ref="M1987" si="6168">IFERROR(ROUND(M1968*M1970,2),"")</f>
        <v>26.03</v>
      </c>
      <c r="O1987" s="27" t="s">
        <v>363</v>
      </c>
      <c r="P1987" s="107">
        <f t="shared" ref="P1987:AI2008" si="6169">INDEX(P1974:P1986,MATCH(MAX($J1974:$J1986),$J1974:$J1986,0))</f>
        <v>36.24</v>
      </c>
      <c r="Q1987" s="107">
        <f t="shared" si="6169"/>
        <v>12.24</v>
      </c>
      <c r="R1987" s="107">
        <f t="shared" si="6169"/>
        <v>26.03</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f t="shared" ref="B1989" si="6170">LARGE(IFERROR(IF(B1987+1&gt;$H$8,"",B1987+1),""),1)</f>
        <v>95</v>
      </c>
      <c r="C1989" s="127">
        <f>IF(_xlfn.ISFORMULA(E1993),MAX(INDEX('BASE FORMAÇÃO'!A:A,B1989+1),1),E1993)</f>
        <v>1</v>
      </c>
      <c r="D1989" s="127">
        <f t="shared" ref="D1989" si="6171">IFERROR(IF(C1989=C1979,D1979+1,1),1)</f>
        <v>95</v>
      </c>
      <c r="E1989" s="38" t="s">
        <v>9</v>
      </c>
      <c r="F1989" s="73"/>
      <c r="G1989" s="38" t="s">
        <v>15</v>
      </c>
      <c r="H1989" s="135">
        <f>INDEX('BASE FORMAÇÃO'!B:B,B1989+1)</f>
        <v>0</v>
      </c>
      <c r="I1989" s="181" t="s">
        <v>16</v>
      </c>
      <c r="J1989" s="6">
        <f>INDEX('BASE FORMAÇÃO'!K:K,B1989+1)</f>
        <v>0</v>
      </c>
      <c r="K1989" s="65"/>
      <c r="L1989" s="184" t="s">
        <v>10</v>
      </c>
      <c r="M1989" s="186">
        <f t="shared" ref="M1989" si="6172">IF(OR(ISBLANK($O$8),ISBLANK($O$7),ISBLANK($H$8),ISBLANK($O$6),ISBLANK($O$5),ISBLANK($H$5)),"",IFERROR(IF(VLOOKUP(L1989,L1995:M2004,2,FALSE)&lt;1,ROUND(VLOOKUP(L1989,L1995:M2004,2,FALSE),4),ROUND(VLOOKUP(L1989,L1995:M2004,2,FALSE),2)),""))</f>
        <v>42.09</v>
      </c>
      <c r="N1989" s="69"/>
      <c r="O1989" s="27" t="s">
        <v>17</v>
      </c>
      <c r="P1989" s="113">
        <v>32.9</v>
      </c>
      <c r="Q1989" s="113">
        <v>45.41</v>
      </c>
      <c r="R1989" s="113">
        <v>47.95</v>
      </c>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f t="shared" ref="B1990:D1990" si="6173">B1989</f>
        <v>95</v>
      </c>
      <c r="C1990" s="128">
        <f t="shared" si="6173"/>
        <v>1</v>
      </c>
      <c r="D1990" s="127">
        <f t="shared" si="6173"/>
        <v>95</v>
      </c>
      <c r="E1990" s="188">
        <f t="shared" ref="E1990" si="6174">D1989</f>
        <v>95</v>
      </c>
      <c r="F1990" s="92"/>
      <c r="G1990" s="190" t="s">
        <v>1</v>
      </c>
      <c r="H1990" s="193" t="s">
        <v>809</v>
      </c>
      <c r="I1990" s="194"/>
      <c r="J1990" s="195"/>
      <c r="K1990" s="66"/>
      <c r="L1990" s="185"/>
      <c r="M1990" s="187"/>
      <c r="N1990" s="70"/>
      <c r="O1990" s="27" t="s">
        <v>13</v>
      </c>
      <c r="P1990" s="122">
        <v>46196</v>
      </c>
      <c r="Q1990" s="122">
        <v>46196</v>
      </c>
      <c r="R1990" s="122">
        <v>46196</v>
      </c>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f t="shared" ref="B1991:D1991" si="6175">B1990</f>
        <v>95</v>
      </c>
      <c r="C1991" s="128">
        <f t="shared" si="6175"/>
        <v>1</v>
      </c>
      <c r="D1991" s="127">
        <f t="shared" si="6175"/>
        <v>95</v>
      </c>
      <c r="E1991" s="189"/>
      <c r="F1991" s="93"/>
      <c r="G1991" s="191"/>
      <c r="H1991" s="196"/>
      <c r="I1991" s="196"/>
      <c r="J1991" s="197"/>
      <c r="K1991" s="64"/>
      <c r="L1991" s="130" t="s">
        <v>44</v>
      </c>
      <c r="M1991" s="131">
        <v>1</v>
      </c>
      <c r="N1991" s="71"/>
      <c r="O1991" s="27" t="s">
        <v>380</v>
      </c>
      <c r="P1991" s="114" t="s">
        <v>302</v>
      </c>
      <c r="Q1991" s="114" t="s">
        <v>302</v>
      </c>
      <c r="R1991" s="114" t="s">
        <v>302</v>
      </c>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f t="shared" ref="B1992:C1992" si="6176">B1991</f>
        <v>95</v>
      </c>
      <c r="C1992" s="128">
        <f t="shared" si="6176"/>
        <v>1</v>
      </c>
      <c r="D1992" s="127">
        <f t="shared" si="5990"/>
        <v>95</v>
      </c>
      <c r="E1992" s="38" t="s">
        <v>313</v>
      </c>
      <c r="F1992" s="93"/>
      <c r="G1992" s="192"/>
      <c r="H1992" s="198"/>
      <c r="I1992" s="198"/>
      <c r="J1992" s="199"/>
      <c r="K1992" s="64"/>
      <c r="L1992" s="1" t="s">
        <v>2</v>
      </c>
      <c r="M1992" s="6" t="s">
        <v>288</v>
      </c>
      <c r="N1992" s="71"/>
      <c r="O1992" s="27" t="s">
        <v>381</v>
      </c>
      <c r="P1992" s="182" t="s">
        <v>810</v>
      </c>
      <c r="Q1992" s="182" t="s">
        <v>811</v>
      </c>
      <c r="R1992" s="182" t="s">
        <v>812</v>
      </c>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f t="shared" ref="B1993:C1993" si="6177">B1991</f>
        <v>95</v>
      </c>
      <c r="C1993" s="128">
        <f t="shared" si="6177"/>
        <v>1</v>
      </c>
      <c r="D1993" s="127">
        <f t="shared" si="5990"/>
        <v>95</v>
      </c>
      <c r="E1993" s="200">
        <f t="shared" ref="E1993" si="6178">C1989</f>
        <v>1</v>
      </c>
      <c r="F1993" s="93"/>
      <c r="G1993" s="202" t="s">
        <v>304</v>
      </c>
      <c r="H1993" s="204"/>
      <c r="I1993" s="205"/>
      <c r="J1993" s="205"/>
      <c r="K1993" s="67"/>
      <c r="L1993" s="28" t="s">
        <v>303</v>
      </c>
      <c r="M1993" s="133">
        <f t="shared" ref="M1993" si="6179">IFERROR(INDEX(I1995:I2007,MATCH(MAX(J1995:J2007),J1995:J2007,0)),"")</f>
        <v>0.15630123547650182</v>
      </c>
      <c r="N1993" s="71"/>
      <c r="O1993" s="27" t="s">
        <v>18</v>
      </c>
      <c r="P1993" s="106">
        <f>IF(P1989="","",
IF(OR(P1991="Orçamento",P1990="",MAX('Tabela de Apoio'!$A:$A)&lt;=P1990),
P1989,
(INDEX('Tabela de Apoio'!$B:$B,MATCH('MAPA DE PREÇOS'!$O$8,'Tabela de Apoio'!$A:$A,1))/INDEX('Tabela de Apoio'!$B:$B,MATCH('MAPA DE PREÇOS'!P1990,'Tabela de Apoio'!$A:$A,1)-1))*P1989))</f>
        <v>32.9</v>
      </c>
      <c r="Q1993" s="106">
        <f>IF(Q1989="","",
IF(OR(Q1991="Orçamento",Q1990="",MAX('Tabela de Apoio'!$A:$A)&lt;=Q1990),
Q1989,
(INDEX('Tabela de Apoio'!$B:$B,MATCH('MAPA DE PREÇOS'!$O$8,'Tabela de Apoio'!$A:$A,1))/INDEX('Tabela de Apoio'!$B:$B,MATCH('MAPA DE PREÇOS'!Q1990,'Tabela de Apoio'!$A:$A,1)-1))*Q1989))</f>
        <v>45.41</v>
      </c>
      <c r="R1993" s="106">
        <f>IF(R1989="","",
IF(OR(R1991="Orçamento",R1990="",MAX('Tabela de Apoio'!$A:$A)&lt;=R1990),
R1989,
(INDEX('Tabela de Apoio'!$B:$B,MATCH('MAPA DE PREÇOS'!$O$8,'Tabela de Apoio'!$A:$A,1))/INDEX('Tabela de Apoio'!$B:$B,MATCH('MAPA DE PREÇOS'!R1990,'Tabela de Apoio'!$A:$A,1)-1))*R1989))</f>
        <v>47.95</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f t="shared" ref="B1994" si="6180">B1993</f>
        <v>95</v>
      </c>
      <c r="C1994" s="128">
        <f t="shared" ref="C1994" si="6181">C1993</f>
        <v>1</v>
      </c>
      <c r="D1994" s="127">
        <f t="shared" si="5990"/>
        <v>95</v>
      </c>
      <c r="E1994" s="201"/>
      <c r="F1994" s="93"/>
      <c r="G1994" s="203"/>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f t="shared" ref="B1995:C1995" si="6182">B1994</f>
        <v>95</v>
      </c>
      <c r="C1995" s="128">
        <f t="shared" si="6182"/>
        <v>1</v>
      </c>
      <c r="D1995" s="127">
        <f t="shared" si="5990"/>
        <v>95</v>
      </c>
      <c r="E1995" s="201"/>
      <c r="F1995" s="93"/>
      <c r="G1995" s="203"/>
      <c r="H1995" s="134">
        <f t="shared" ref="H1995" si="6183">COUNT($P1995:$XX1995)</f>
        <v>3</v>
      </c>
      <c r="I1995" s="132">
        <f t="shared" ref="I1995" si="6184">_xlfn.STDEV.P($P1994:$XX1995)/AVERAGE($P1994:$XX1995)</f>
        <v>0.15630123547650182</v>
      </c>
      <c r="J1995" s="7">
        <f>ROW()</f>
        <v>1995</v>
      </c>
      <c r="K1995" s="67"/>
      <c r="L1995" s="29" t="s">
        <v>10</v>
      </c>
      <c r="M1995" s="30">
        <f t="shared" ref="M1995" si="6185">IFERROR(
IF(COUNTA(P1989:AI1989)=COUNTIF(P1991:XX1991,"Orçamento"),MIN(M2000,M1997),
IF(M1998&lt;&gt;"",M1998,
IF(M1999&lt;&gt;"",M1999,
M1997
))),"")</f>
        <v>42.086666666666666</v>
      </c>
      <c r="N1995" s="71"/>
      <c r="O1995" s="27" t="s">
        <v>376</v>
      </c>
      <c r="P1995" s="106">
        <f t="shared" ref="P1995:AI1995" si="6186">IFERROR(IF(P1993="",
            "",
            IF(COUNT($P1993:$XX1993)&lt;=4,
               P1993,
               IF(OR(P1993&gt;(QUARTILE($P1993:$XX1993,3)+(QUARTILE($P1993:$XX1993,3)-QUARTILE($P1993:$XX1993,1))),
                     P1993&lt;(QUARTILE($P1993:$XX1993,1)-(QUARTILE($P1993:$XX1993,3)-QUARTILE($P1993:$XX1993,1)))
                  ),
               "DESCARTADO",P1993)
             )
  ),P1993)</f>
        <v>32.9</v>
      </c>
      <c r="Q1995" s="106">
        <f t="shared" si="6186"/>
        <v>45.41</v>
      </c>
      <c r="R1995" s="106">
        <f t="shared" si="6186"/>
        <v>47.95</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f t="shared" ref="B1996:D2028" si="6187">B1995</f>
        <v>95</v>
      </c>
      <c r="C1996" s="128">
        <f t="shared" ref="C1996:D2027" si="6188">C1995</f>
        <v>1</v>
      </c>
      <c r="D1996" s="127">
        <f t="shared" si="5990"/>
        <v>95</v>
      </c>
      <c r="E1996" s="201"/>
      <c r="F1996" s="93"/>
      <c r="G1996" s="203"/>
      <c r="H1996"/>
      <c r="I1996"/>
      <c r="J1996"/>
      <c r="K1996" s="66"/>
      <c r="L1996" s="29" t="s">
        <v>360</v>
      </c>
      <c r="M1996" s="30">
        <f t="shared" ref="M1996" si="6189">AVERAGE($P1995:$XX1995)</f>
        <v>42.086666666666666</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f t="shared" si="6187"/>
        <v>95</v>
      </c>
      <c r="C1997" s="128">
        <f t="shared" si="6188"/>
        <v>1</v>
      </c>
      <c r="D1997" s="127">
        <f t="shared" si="6188"/>
        <v>95</v>
      </c>
      <c r="E1997" s="201"/>
      <c r="F1997" s="93"/>
      <c r="G1997" s="203"/>
      <c r="H1997" s="134">
        <f t="shared" ref="H1997" si="6191">COUNT($P1997:$XX1997)</f>
        <v>3</v>
      </c>
      <c r="I1997" s="132">
        <f t="shared" ref="I1997" si="6192">_xlfn.STDEV.P($P1996:$XX1997)/AVERAGE($P1996:$XX1997)</f>
        <v>0.15630123547650182</v>
      </c>
      <c r="J1997" s="7">
        <f t="shared" ref="J1997" si="6193">IF(AND(H1997&gt;2,
OR(L1989="MÉDIA SANEADA",L1989="MEDIANA SANEADA",
AND(L1989="PREÇO ESTIMADO",NOT(AND(P1991="Orçamento",COUNTA(P1989:XX1989)=COUNTIF(P1991:XX1991,"Orçamento")))))),
ROW(),0)</f>
        <v>1997</v>
      </c>
      <c r="K1997" s="66"/>
      <c r="L1997" s="29" t="s">
        <v>361</v>
      </c>
      <c r="M1997" s="30">
        <f t="shared" ref="M1997" si="6194">MEDIAN($P1995:$XX1995)</f>
        <v>45.41</v>
      </c>
      <c r="N1997" s="71"/>
      <c r="O1997" s="27" t="str">
        <f t="shared" ref="O1997" si="6195">"1 RODADA"</f>
        <v>1 RODADA</v>
      </c>
      <c r="P1997" s="107">
        <f t="shared" ref="P1997:AI1997" si="6196">IF(P1995="","",IF((_xlfn.STDEV.P($P1994:$XX1995)/AVERAGE($P1994:$XX1995))&lt;=25%,P1995,IF(OR(P1995&gt;(AVERAGE($P1994:$XX1995)+_xlfn.STDEV.P($P1994:$XX1995)),P1995&lt;(AVERAGE($P1994:$XX1995)-_xlfn.STDEV.P($P1994:$XX1995))),"DESCARTADO",P1995)))</f>
        <v>32.9</v>
      </c>
      <c r="Q1997" s="107">
        <f t="shared" si="6196"/>
        <v>45.41</v>
      </c>
      <c r="R1997" s="107">
        <f t="shared" si="6196"/>
        <v>47.95</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f t="shared" si="6187"/>
        <v>95</v>
      </c>
      <c r="C1998" s="128">
        <f t="shared" si="6188"/>
        <v>1</v>
      </c>
      <c r="D1998" s="127">
        <f t="shared" si="6188"/>
        <v>95</v>
      </c>
      <c r="E1998" s="201"/>
      <c r="F1998" s="93"/>
      <c r="G1998" s="203"/>
      <c r="H1998"/>
      <c r="I1998"/>
      <c r="J1998"/>
      <c r="L1998" s="29" t="s">
        <v>38</v>
      </c>
      <c r="M1998" s="30">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42.086666666666666</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f t="shared" si="6187"/>
        <v>95</v>
      </c>
      <c r="C1999" s="128">
        <f t="shared" si="6188"/>
        <v>1</v>
      </c>
      <c r="D1999" s="127">
        <f t="shared" si="6188"/>
        <v>95</v>
      </c>
      <c r="E1999" s="201"/>
      <c r="F1999" s="93"/>
      <c r="G1999" s="203"/>
      <c r="H1999" s="134">
        <f t="shared" ref="H1999" si="6199">COUNT($P1999:$XX1999)</f>
        <v>3</v>
      </c>
      <c r="I1999" s="132">
        <f t="shared" ref="I1999" si="6200">_xlfn.STDEV.P($P1998:$XX1999)/AVERAGE($P1998:$XX1999)</f>
        <v>0.15630123547650182</v>
      </c>
      <c r="J1999" s="7">
        <f t="shared" ref="J1999" si="6201">IF(AND(H1999&gt;2,
OR(L1989="MÉDIA SANEADA",L1989="MEDIANA SANEADA",
AND(L1989="PREÇO ESTIMADO",NOT(AND(P1991="Orçamento",COUNTA(P1989:XX1989)=COUNTIF(P1991:XX1991,"Orçamento")))))),
ROW(),0)</f>
        <v>1999</v>
      </c>
      <c r="K1999" s="66"/>
      <c r="L1999" s="29" t="s">
        <v>362</v>
      </c>
      <c r="M1999" s="30">
        <f t="shared" ref="M1999" si="6202" xml:space="preserve">
IF(H1997&gt;2,MEDIAN(P1996:XX1997),
IF(H1999&gt;2,MEDIAN(P1998:XX1999),
IF(H2001&gt;2,MEDIAN(P2000:XX2001),
IF(H2003&gt;2,MEDIAN(P2002:XX2003),
IF(H2005&gt;2,MEDIAN(P2004:XX2005),
IF(H2007&gt;2,MEDIAN(P2006:XX2007),
MEDIAN(P1994:XX1995)))))))</f>
        <v>45.41</v>
      </c>
      <c r="N1999" s="71"/>
      <c r="O1999" s="27" t="str">
        <f t="shared" ref="O1999" si="6203">"2 RODADA"</f>
        <v>2 RODADA</v>
      </c>
      <c r="P1999" s="107">
        <f t="shared" ref="P1999:AI1999" si="6204">IF(P1997="","",IF((_xlfn.STDEV.P($P1996:$XX1997)/AVERAGE($P1996:$XX1997))&lt;=25%,P1997,IF(OR(P1997&gt;(AVERAGE($P1996:$XX1997)+_xlfn.STDEV.P($P1996:$XX1997)),P1997&lt;(AVERAGE($P1996:$XX1997)-_xlfn.STDEV.P($P1996:$XX1997))),"DESCARTADO",P1997)))</f>
        <v>32.9</v>
      </c>
      <c r="Q1999" s="107">
        <f t="shared" si="6204"/>
        <v>45.41</v>
      </c>
      <c r="R1999" s="107">
        <f t="shared" si="6204"/>
        <v>47.95</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f t="shared" si="6187"/>
        <v>95</v>
      </c>
      <c r="C2000" s="128">
        <f t="shared" si="6188"/>
        <v>1</v>
      </c>
      <c r="D2000" s="127">
        <f t="shared" si="6188"/>
        <v>95</v>
      </c>
      <c r="E2000" s="201"/>
      <c r="F2000" s="93"/>
      <c r="G2000" s="203"/>
      <c r="H2000"/>
      <c r="I2000"/>
      <c r="J2000"/>
      <c r="K2000" s="66"/>
      <c r="L2000" s="29" t="s">
        <v>359</v>
      </c>
      <c r="M2000" s="30">
        <f t="shared" ref="M2000" si="6205">HARMEAN($P1994:$XX1995)</f>
        <v>40.94345999635928</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f t="shared" si="6187"/>
        <v>95</v>
      </c>
      <c r="C2001" s="128">
        <f t="shared" si="6188"/>
        <v>1</v>
      </c>
      <c r="D2001" s="127">
        <f t="shared" si="6188"/>
        <v>95</v>
      </c>
      <c r="E2001" s="201"/>
      <c r="F2001" s="93"/>
      <c r="G2001" s="203"/>
      <c r="H2001" s="134">
        <f t="shared" ref="H2001" si="6207">COUNT($P2001:$XX2001)</f>
        <v>3</v>
      </c>
      <c r="I2001" s="132">
        <f t="shared" ref="I2001" si="6208">_xlfn.STDEV.P($P2000:$XX2001)/AVERAGE($P2000:$XX2001)</f>
        <v>0.15630123547650182</v>
      </c>
      <c r="J2001" s="7">
        <f t="shared" ref="J2001" si="6209">IF(AND(H2001&gt;2,
OR(L1989="MÉDIA SANEADA",L1989="MEDIANA SANEADA",
AND(L1989="PREÇO ESTIMADO",NOT(AND(P1991="Orçamento",COUNTA(P1989:XX1989)=COUNTIF(P1991:XX1991,"Orçamento")))))),
ROW(),0)</f>
        <v>2001</v>
      </c>
      <c r="K2001" s="66"/>
      <c r="L2001" s="29" t="s">
        <v>41</v>
      </c>
      <c r="M2001" s="30">
        <f t="shared" ref="M2001" si="6210">IFERROR(_xlfn.QUARTILE.EXC($P1995:$XX1995,1),"")</f>
        <v>32.9</v>
      </c>
      <c r="N2001" s="71"/>
      <c r="O2001" s="27" t="str">
        <f t="shared" ref="O2001" si="6211">"3 RODADA"</f>
        <v>3 RODADA</v>
      </c>
      <c r="P2001" s="107">
        <f t="shared" ref="P2001:AI2001" si="6212">IF(P1999="","",IF((_xlfn.STDEV.P($P1998:$XX1999)/AVERAGE($P1998:$XX1999))&lt;=25%,P1999,IF(OR(P1999&gt;(AVERAGE($P1998:$XX1999)+_xlfn.STDEV.P($P1998:$XX1999)),P1999&lt;(AVERAGE($P1998:$XX1999)-_xlfn.STDEV.P($P1998:$XX1999))),"DESCARTADO",P1999)))</f>
        <v>32.9</v>
      </c>
      <c r="Q2001" s="107">
        <f t="shared" si="6212"/>
        <v>45.41</v>
      </c>
      <c r="R2001" s="107">
        <f t="shared" si="6212"/>
        <v>47.95</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f t="shared" si="6187"/>
        <v>95</v>
      </c>
      <c r="C2002" s="128">
        <f t="shared" si="6188"/>
        <v>1</v>
      </c>
      <c r="D2002" s="127">
        <f t="shared" si="6188"/>
        <v>95</v>
      </c>
      <c r="E2002" s="201"/>
      <c r="F2002" s="93"/>
      <c r="G2002" s="203"/>
      <c r="H2002"/>
      <c r="I2002"/>
      <c r="J2002"/>
      <c r="K2002" s="66"/>
      <c r="L2002" s="29" t="s">
        <v>39</v>
      </c>
      <c r="M2002" s="30">
        <f t="shared" ref="M2002" si="6213">IFERROR(_xlfn.QUARTILE.EXC($P1995:$XX1995,3),"")</f>
        <v>47.95</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f t="shared" si="6187"/>
        <v>95</v>
      </c>
      <c r="C2003" s="128">
        <f t="shared" si="6188"/>
        <v>1</v>
      </c>
      <c r="D2003" s="127">
        <f t="shared" si="6188"/>
        <v>95</v>
      </c>
      <c r="E2003" s="201"/>
      <c r="F2003" s="93"/>
      <c r="G2003" s="203"/>
      <c r="H2003" s="134">
        <f t="shared" ref="H2003" si="6215">COUNT($P2003:$XX2003)</f>
        <v>3</v>
      </c>
      <c r="I2003" s="132">
        <f t="shared" ref="I2003" si="6216">_xlfn.STDEV.P($P2002:$XX2003)/AVERAGE($P2002:$XX2003)</f>
        <v>0.15630123547650182</v>
      </c>
      <c r="J2003" s="7">
        <f t="shared" ref="J2003" si="6217">IF(AND(H2003&gt;2,
OR(L1989="MÉDIA SANEADA",L1989="MEDIANA SANEADA",
AND(L1989="PREÇO ESTIMADO",NOT(AND(P1991="Orçamento",COUNTA(P1989:XX1989)=COUNTIF(P1991:XX1991,"Orçamento")))))),
ROW(),0)</f>
        <v>2003</v>
      </c>
      <c r="K2003" s="66"/>
      <c r="L2003" s="29" t="s">
        <v>42</v>
      </c>
      <c r="M2003" s="30">
        <f t="shared" ref="M2003" si="6218">MIN($P1995:$XX1995)</f>
        <v>32.9</v>
      </c>
      <c r="N2003" s="71"/>
      <c r="O2003" s="27" t="str">
        <f t="shared" ref="O2003" si="6219">"4 RODADA"</f>
        <v>4 RODADA</v>
      </c>
      <c r="P2003" s="107">
        <f t="shared" ref="P2003:AI2003" si="6220">IF(P2001="","",IF((_xlfn.STDEV.P($P2000:$XX2001)/AVERAGE($P2000:$XX2001))&lt;=25%,P2001,IF(OR(P2001&gt;(AVERAGE($P2000:$XX2001)+_xlfn.STDEV.P($P2000:$XX2001)),P2001&lt;(AVERAGE($P2000:$XX2001)-_xlfn.STDEV.P($P2000:$XX2001))),"DESCARTADO",P2001)))</f>
        <v>32.9</v>
      </c>
      <c r="Q2003" s="107">
        <f t="shared" si="6220"/>
        <v>45.41</v>
      </c>
      <c r="R2003" s="107">
        <f t="shared" si="6220"/>
        <v>47.95</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f t="shared" si="6187"/>
        <v>95</v>
      </c>
      <c r="C2004" s="128">
        <f t="shared" si="6188"/>
        <v>1</v>
      </c>
      <c r="D2004" s="127">
        <f t="shared" si="6188"/>
        <v>95</v>
      </c>
      <c r="E2004" s="201"/>
      <c r="F2004" s="93"/>
      <c r="G2004" s="203"/>
      <c r="H2004"/>
      <c r="I2004"/>
      <c r="J2004"/>
      <c r="K2004" s="66"/>
      <c r="L2004" s="29" t="s">
        <v>40</v>
      </c>
      <c r="M2004" s="30">
        <f t="shared" ref="M2004" si="6221">MAX($P1995:$XX1995)</f>
        <v>47.95</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f t="shared" si="6187"/>
        <v>95</v>
      </c>
      <c r="C2005" s="128">
        <f t="shared" si="6188"/>
        <v>1</v>
      </c>
      <c r="D2005" s="127">
        <f t="shared" si="6188"/>
        <v>95</v>
      </c>
      <c r="E2005" s="201"/>
      <c r="F2005" s="93"/>
      <c r="G2005" s="203"/>
      <c r="H2005" s="134">
        <f t="shared" ref="H2005" si="6223">COUNT($P2005:$XX2005)</f>
        <v>3</v>
      </c>
      <c r="I2005" s="132">
        <f t="shared" ref="I2005" si="6224">_xlfn.STDEV.P($P2004:$XX2005)/AVERAGE($P2004:$XX2005)</f>
        <v>0.15630123547650182</v>
      </c>
      <c r="J2005" s="7">
        <f t="shared" ref="J2005" si="6225">IF(AND(H2005&gt;2,
OR(L1989="MÉDIA SANEADA",L1989="MEDIANA SANEADA",
AND(L1989="PREÇO ESTIMADO",NOT(AND(P1991="Orçamento",COUNTA(P1989:XX1989)=COUNTIF(P1991:XX1991,"Orçamento")))))),
ROW(),0)</f>
        <v>2005</v>
      </c>
      <c r="K2005" s="66"/>
      <c r="N2005" s="71"/>
      <c r="O2005" s="27" t="str">
        <f t="shared" ref="O2005" si="6226">"5 RODADA"</f>
        <v>5 RODADA</v>
      </c>
      <c r="P2005" s="107">
        <f t="shared" ref="P2005:AI2005" si="6227">IF(P2003="","",IF((_xlfn.STDEV.P($P2002:$XX2003)/AVERAGE($P2002:$XX2003))&lt;=25%,P2003,IF(OR(P2003&gt;(AVERAGE($P2002:$XX2003)+_xlfn.STDEV.P($P2002:$XX2003)),P2003&lt;(AVERAGE($P2002:$XX2003)-_xlfn.STDEV.P($P2002:$XX2003))),"DESCARTADO",P2003)))</f>
        <v>32.9</v>
      </c>
      <c r="Q2005" s="107">
        <f t="shared" si="6227"/>
        <v>45.41</v>
      </c>
      <c r="R2005" s="107">
        <f t="shared" si="6227"/>
        <v>47.95</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f t="shared" si="6187"/>
        <v>95</v>
      </c>
      <c r="C2006" s="128">
        <f t="shared" si="6188"/>
        <v>1</v>
      </c>
      <c r="D2006" s="127">
        <f t="shared" si="6188"/>
        <v>95</v>
      </c>
      <c r="E2006" s="201"/>
      <c r="F2006" s="93"/>
      <c r="G2006" s="203"/>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f t="shared" si="6187"/>
        <v>95</v>
      </c>
      <c r="C2007" s="128">
        <f t="shared" si="6188"/>
        <v>1</v>
      </c>
      <c r="D2007" s="127">
        <f t="shared" si="6188"/>
        <v>95</v>
      </c>
      <c r="E2007" s="201"/>
      <c r="F2007" s="93"/>
      <c r="G2007" s="203"/>
      <c r="H2007" s="134">
        <f t="shared" ref="H2007" si="6229">COUNT($P2007:$XX2007)</f>
        <v>3</v>
      </c>
      <c r="I2007" s="132">
        <f t="shared" ref="I2007" si="6230">_xlfn.STDEV.P($P2006:$XX2007)/AVERAGE($P2006:$XX2007)</f>
        <v>0.15630123547650182</v>
      </c>
      <c r="J2007" s="7">
        <f t="shared" ref="J2007" si="6231">IF(AND(H2007&gt;2,
OR(L1989="MÉDIA SANEADA",L1989="MEDIANA SANEADA",
AND(L1989="PREÇO ESTIMADO",NOT(AND(P1991="Orçamento",COUNTA(P1989:XX1989)=COUNTIF(P1991:XX1991,"Orçamento")))))),
ROW(),0)</f>
        <v>2007</v>
      </c>
      <c r="N2007" s="71"/>
      <c r="O2007" s="27" t="str">
        <f t="shared" ref="O2007" si="6232">"6 RODADA"</f>
        <v>6 RODADA</v>
      </c>
      <c r="P2007" s="107">
        <f t="shared" ref="P2007:AI2007" si="6233">IFERROR(IF(P2005="","",IF((_xlfn.STDEV.P($P2004:$XX2005)/AVERAGE($P2004:$XX2005))&lt;=25%,P2005,IF(OR(P2005&gt;(AVERAGE($P2004:$XX2005)+_xlfn.STDEV.P($P2004:$XX2005)),P2005&lt;(AVERAGE($P2004:$XX2005)-_xlfn.STDEV.P($P2004:$XX2005))),"DESCARTADO",P2005))),)</f>
        <v>32.9</v>
      </c>
      <c r="Q2007" s="107">
        <f t="shared" si="6233"/>
        <v>45.41</v>
      </c>
      <c r="R2007" s="107">
        <f t="shared" si="6233"/>
        <v>47.95</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f t="shared" si="6187"/>
        <v>95</v>
      </c>
      <c r="C2008" s="128">
        <f t="shared" si="6188"/>
        <v>1</v>
      </c>
      <c r="D2008" s="127">
        <f t="shared" si="6188"/>
        <v>95</v>
      </c>
      <c r="E2008" s="201"/>
      <c r="F2008" s="136"/>
      <c r="G2008" s="203"/>
      <c r="H2008" s="206"/>
      <c r="I2008" s="206"/>
      <c r="J2008" s="207"/>
      <c r="K2008" s="67"/>
      <c r="L2008" s="1" t="s">
        <v>43</v>
      </c>
      <c r="M2008" s="143">
        <f t="shared" ref="M2008" si="6234">IFERROR(ROUND(M1989*M1991,2),"")</f>
        <v>42.09</v>
      </c>
      <c r="O2008" s="27" t="s">
        <v>363</v>
      </c>
      <c r="P2008" s="107">
        <f t="shared" ref="P2008:R2008" si="6235">INDEX(P1995:P2007,MATCH(MAX($J1995:$J2007),$J1995:$J2007,0))</f>
        <v>32.9</v>
      </c>
      <c r="Q2008" s="107">
        <f t="shared" si="6235"/>
        <v>45.41</v>
      </c>
      <c r="R2008" s="107">
        <f t="shared" si="6235"/>
        <v>47.95</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f t="shared" ref="B2010" si="6236">LARGE(IFERROR(IF(B2008+1&gt;$H$8,"",B2008+1),""),1)</f>
        <v>96</v>
      </c>
      <c r="C2010" s="127">
        <f>IF(_xlfn.ISFORMULA(E2014),MAX(INDEX('BASE FORMAÇÃO'!A:A,B2010+1),1),E2014)</f>
        <v>1</v>
      </c>
      <c r="D2010" s="127">
        <f t="shared" ref="D2010" si="6237">IFERROR(IF(C2010=C2000,D2000+1,1),1)</f>
        <v>96</v>
      </c>
      <c r="E2010" s="38" t="s">
        <v>9</v>
      </c>
      <c r="F2010" s="73"/>
      <c r="G2010" s="38" t="s">
        <v>15</v>
      </c>
      <c r="H2010" s="135">
        <f>INDEX('BASE FORMAÇÃO'!B:B,B2010+1)</f>
        <v>0</v>
      </c>
      <c r="I2010" s="181" t="s">
        <v>16</v>
      </c>
      <c r="J2010" s="6">
        <f>INDEX('BASE FORMAÇÃO'!K:K,B2010+1)</f>
        <v>0</v>
      </c>
      <c r="K2010" s="65"/>
      <c r="L2010" s="184" t="s">
        <v>10</v>
      </c>
      <c r="M2010" s="186">
        <f t="shared" ref="M2010" si="6238">IF(OR(ISBLANK($O$8),ISBLANK($O$7),ISBLANK($H$8),ISBLANK($O$6),ISBLANK($O$5),ISBLANK($H$5)),"",IFERROR(IF(VLOOKUP(L2010,L2016:M2025,2,FALSE)&lt;1,ROUND(VLOOKUP(L2010,L2016:M2025,2,FALSE),4),ROUND(VLOOKUP(L2010,L2016:M2025,2,FALSE),2)),""))</f>
        <v>67.849999999999994</v>
      </c>
      <c r="N2010" s="69"/>
      <c r="O2010" s="27" t="s">
        <v>17</v>
      </c>
      <c r="P2010" s="113">
        <v>63.9</v>
      </c>
      <c r="Q2010" s="113">
        <v>78.900000000000006</v>
      </c>
      <c r="R2010" s="113">
        <v>60.75</v>
      </c>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f t="shared" ref="B2011:D2011" si="6239">B2010</f>
        <v>96</v>
      </c>
      <c r="C2011" s="128">
        <f t="shared" si="6239"/>
        <v>1</v>
      </c>
      <c r="D2011" s="127">
        <f t="shared" si="6239"/>
        <v>96</v>
      </c>
      <c r="E2011" s="188">
        <f t="shared" ref="E2011" si="6240">D2010</f>
        <v>96</v>
      </c>
      <c r="F2011" s="92"/>
      <c r="G2011" s="190" t="s">
        <v>1</v>
      </c>
      <c r="H2011" s="193" t="s">
        <v>814</v>
      </c>
      <c r="I2011" s="194"/>
      <c r="J2011" s="195"/>
      <c r="K2011" s="66"/>
      <c r="L2011" s="185"/>
      <c r="M2011" s="187"/>
      <c r="N2011" s="70"/>
      <c r="O2011" s="27" t="s">
        <v>13</v>
      </c>
      <c r="P2011" s="122">
        <v>46196</v>
      </c>
      <c r="Q2011" s="122">
        <v>46196</v>
      </c>
      <c r="R2011" s="122">
        <v>46196</v>
      </c>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f t="shared" ref="B2012:D2012" si="6241">B2011</f>
        <v>96</v>
      </c>
      <c r="C2012" s="128">
        <f t="shared" si="6241"/>
        <v>1</v>
      </c>
      <c r="D2012" s="127">
        <f t="shared" si="6241"/>
        <v>96</v>
      </c>
      <c r="E2012" s="189"/>
      <c r="F2012" s="93"/>
      <c r="G2012" s="191"/>
      <c r="H2012" s="196"/>
      <c r="I2012" s="196"/>
      <c r="J2012" s="197"/>
      <c r="K2012" s="64"/>
      <c r="L2012" s="130" t="s">
        <v>44</v>
      </c>
      <c r="M2012" s="131">
        <v>1</v>
      </c>
      <c r="N2012" s="71"/>
      <c r="O2012" s="27" t="s">
        <v>380</v>
      </c>
      <c r="P2012" s="114" t="s">
        <v>302</v>
      </c>
      <c r="Q2012" s="114" t="s">
        <v>302</v>
      </c>
      <c r="R2012" s="114" t="s">
        <v>302</v>
      </c>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f t="shared" ref="B2013:C2013" si="6242">B2012</f>
        <v>96</v>
      </c>
      <c r="C2013" s="128">
        <f t="shared" si="6242"/>
        <v>1</v>
      </c>
      <c r="D2013" s="127">
        <f t="shared" si="6188"/>
        <v>96</v>
      </c>
      <c r="E2013" s="38" t="s">
        <v>313</v>
      </c>
      <c r="F2013" s="93"/>
      <c r="G2013" s="192"/>
      <c r="H2013" s="198"/>
      <c r="I2013" s="198"/>
      <c r="J2013" s="199"/>
      <c r="K2013" s="64"/>
      <c r="L2013" s="1" t="s">
        <v>2</v>
      </c>
      <c r="M2013" s="6" t="s">
        <v>288</v>
      </c>
      <c r="N2013" s="71"/>
      <c r="O2013" s="27" t="s">
        <v>381</v>
      </c>
      <c r="P2013" s="182" t="s">
        <v>815</v>
      </c>
      <c r="Q2013" s="182" t="s">
        <v>816</v>
      </c>
      <c r="R2013" s="182" t="s">
        <v>817</v>
      </c>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f t="shared" ref="B2014:C2014" si="6243">B2012</f>
        <v>96</v>
      </c>
      <c r="C2014" s="128">
        <f t="shared" si="6243"/>
        <v>1</v>
      </c>
      <c r="D2014" s="127">
        <f t="shared" si="6188"/>
        <v>96</v>
      </c>
      <c r="E2014" s="200">
        <f t="shared" ref="E2014" si="6244">C2010</f>
        <v>1</v>
      </c>
      <c r="F2014" s="93"/>
      <c r="G2014" s="202" t="s">
        <v>304</v>
      </c>
      <c r="H2014" s="204"/>
      <c r="I2014" s="205"/>
      <c r="J2014" s="205"/>
      <c r="K2014" s="67"/>
      <c r="L2014" s="28" t="s">
        <v>303</v>
      </c>
      <c r="M2014" s="133">
        <f t="shared" ref="M2014" si="6245">IFERROR(INDEX(I2016:I2028,MATCH(MAX(J2016:J2028),J2016:J2028,0)),"")</f>
        <v>0.11670816322255383</v>
      </c>
      <c r="N2014" s="71"/>
      <c r="O2014" s="27" t="s">
        <v>18</v>
      </c>
      <c r="P2014" s="106">
        <f>IF(P2010="","",
IF(OR(P2012="Orçamento",P2011="",MAX('Tabela de Apoio'!$A:$A)&lt;=P2011),
P2010,
(INDEX('Tabela de Apoio'!$B:$B,MATCH('MAPA DE PREÇOS'!$O$8,'Tabela de Apoio'!$A:$A,1))/INDEX('Tabela de Apoio'!$B:$B,MATCH('MAPA DE PREÇOS'!P2011,'Tabela de Apoio'!$A:$A,1)-1))*P2010))</f>
        <v>63.9</v>
      </c>
      <c r="Q2014" s="106">
        <f>IF(Q2010="","",
IF(OR(Q2012="Orçamento",Q2011="",MAX('Tabela de Apoio'!$A:$A)&lt;=Q2011),
Q2010,
(INDEX('Tabela de Apoio'!$B:$B,MATCH('MAPA DE PREÇOS'!$O$8,'Tabela de Apoio'!$A:$A,1))/INDEX('Tabela de Apoio'!$B:$B,MATCH('MAPA DE PREÇOS'!Q2011,'Tabela de Apoio'!$A:$A,1)-1))*Q2010))</f>
        <v>78.900000000000006</v>
      </c>
      <c r="R2014" s="106">
        <f>IF(R2010="","",
IF(OR(R2012="Orçamento",R2011="",MAX('Tabela de Apoio'!$A:$A)&lt;=R2011),
R2010,
(INDEX('Tabela de Apoio'!$B:$B,MATCH('MAPA DE PREÇOS'!$O$8,'Tabela de Apoio'!$A:$A,1))/INDEX('Tabela de Apoio'!$B:$B,MATCH('MAPA DE PREÇOS'!R2011,'Tabela de Apoio'!$A:$A,1)-1))*R2010))</f>
        <v>60.75</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f t="shared" ref="B2015" si="6246">B2014</f>
        <v>96</v>
      </c>
      <c r="C2015" s="128">
        <f t="shared" ref="C2015" si="6247">C2014</f>
        <v>1</v>
      </c>
      <c r="D2015" s="127">
        <f t="shared" si="6188"/>
        <v>96</v>
      </c>
      <c r="E2015" s="201"/>
      <c r="F2015" s="93"/>
      <c r="G2015" s="203"/>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f t="shared" ref="B2016:C2016" si="6248">B2015</f>
        <v>96</v>
      </c>
      <c r="C2016" s="128">
        <f t="shared" si="6248"/>
        <v>1</v>
      </c>
      <c r="D2016" s="127">
        <f t="shared" si="6188"/>
        <v>96</v>
      </c>
      <c r="E2016" s="201"/>
      <c r="F2016" s="93"/>
      <c r="G2016" s="203"/>
      <c r="H2016" s="134">
        <f t="shared" ref="H2016" si="6249">COUNT($P2016:$XX2016)</f>
        <v>3</v>
      </c>
      <c r="I2016" s="132">
        <f t="shared" ref="I2016" si="6250">_xlfn.STDEV.P($P2015:$XX2016)/AVERAGE($P2015:$XX2016)</f>
        <v>0.11670816322255383</v>
      </c>
      <c r="J2016" s="7">
        <f>ROW()</f>
        <v>2016</v>
      </c>
      <c r="K2016" s="67"/>
      <c r="L2016" s="29" t="s">
        <v>10</v>
      </c>
      <c r="M2016" s="30">
        <f t="shared" ref="M2016" si="6251">IFERROR(
IF(COUNTA(P2010:AI2010)=COUNTIF(P2012:XX2012,"Orçamento"),MIN(M2021,M2018),
IF(M2019&lt;&gt;"",M2019,
IF(M2020&lt;&gt;"",M2020,
M2018
))),"")</f>
        <v>67.850000000000009</v>
      </c>
      <c r="N2016" s="71"/>
      <c r="O2016" s="27" t="s">
        <v>376</v>
      </c>
      <c r="P2016" s="106">
        <f t="shared" ref="P2016:AI2016" si="6252">IFERROR(IF(P2014="",
            "",
            IF(COUNT($P2014:$XX2014)&lt;=4,
               P2014,
               IF(OR(P2014&gt;(QUARTILE($P2014:$XX2014,3)+(QUARTILE($P2014:$XX2014,3)-QUARTILE($P2014:$XX2014,1))),
                     P2014&lt;(QUARTILE($P2014:$XX2014,1)-(QUARTILE($P2014:$XX2014,3)-QUARTILE($P2014:$XX2014,1)))
                  ),
               "DESCARTADO",P2014)
             )
  ),P2014)</f>
        <v>63.9</v>
      </c>
      <c r="Q2016" s="106">
        <f t="shared" si="6252"/>
        <v>78.900000000000006</v>
      </c>
      <c r="R2016" s="106">
        <f t="shared" si="6252"/>
        <v>60.75</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f t="shared" ref="B2017" si="6253">B2016</f>
        <v>96</v>
      </c>
      <c r="C2017" s="128">
        <f t="shared" ref="C2017" si="6254">C2016</f>
        <v>1</v>
      </c>
      <c r="D2017" s="127">
        <f t="shared" si="6188"/>
        <v>96</v>
      </c>
      <c r="E2017" s="201"/>
      <c r="F2017" s="93"/>
      <c r="G2017" s="203"/>
      <c r="H2017"/>
      <c r="I2017"/>
      <c r="J2017"/>
      <c r="K2017" s="66"/>
      <c r="L2017" s="29" t="s">
        <v>360</v>
      </c>
      <c r="M2017" s="30">
        <f t="shared" ref="M2017" si="6255">AVERAGE($P2016:$XX2016)</f>
        <v>67.850000000000009</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f t="shared" si="6187"/>
        <v>96</v>
      </c>
      <c r="C2018" s="128">
        <f t="shared" si="6188"/>
        <v>1</v>
      </c>
      <c r="D2018" s="127">
        <f t="shared" si="6188"/>
        <v>96</v>
      </c>
      <c r="E2018" s="201"/>
      <c r="F2018" s="93"/>
      <c r="G2018" s="203"/>
      <c r="H2018" s="134">
        <f t="shared" ref="H2018" si="6257">COUNT($P2018:$XX2018)</f>
        <v>3</v>
      </c>
      <c r="I2018" s="132">
        <f t="shared" ref="I2018" si="6258">_xlfn.STDEV.P($P2017:$XX2018)/AVERAGE($P2017:$XX2018)</f>
        <v>0.11670816322255383</v>
      </c>
      <c r="J2018" s="7">
        <f t="shared" ref="J2018" si="6259">IF(AND(H2018&gt;2,
OR(L2010="MÉDIA SANEADA",L2010="MEDIANA SANEADA",
AND(L2010="PREÇO ESTIMADO",NOT(AND(P2012="Orçamento",COUNTA(P2010:XX2010)=COUNTIF(P2012:XX2012,"Orçamento")))))),
ROW(),0)</f>
        <v>2018</v>
      </c>
      <c r="K2018" s="66"/>
      <c r="L2018" s="29" t="s">
        <v>361</v>
      </c>
      <c r="M2018" s="30">
        <f t="shared" ref="M2018" si="6260">MEDIAN($P2016:$XX2016)</f>
        <v>63.9</v>
      </c>
      <c r="N2018" s="71"/>
      <c r="O2018" s="27" t="str">
        <f t="shared" ref="O2018" si="6261">"1 RODADA"</f>
        <v>1 RODADA</v>
      </c>
      <c r="P2018" s="107">
        <f t="shared" ref="P2018:AI2018" si="6262">IF(P2016="","",IF((_xlfn.STDEV.P($P2015:$XX2016)/AVERAGE($P2015:$XX2016))&lt;=25%,P2016,IF(OR(P2016&gt;(AVERAGE($P2015:$XX2016)+_xlfn.STDEV.P($P2015:$XX2016)),P2016&lt;(AVERAGE($P2015:$XX2016)-_xlfn.STDEV.P($P2015:$XX2016))),"DESCARTADO",P2016)))</f>
        <v>63.9</v>
      </c>
      <c r="Q2018" s="107">
        <f t="shared" si="6262"/>
        <v>78.900000000000006</v>
      </c>
      <c r="R2018" s="107">
        <f t="shared" si="6262"/>
        <v>60.75</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f t="shared" si="6187"/>
        <v>96</v>
      </c>
      <c r="C2019" s="128">
        <f t="shared" si="6188"/>
        <v>1</v>
      </c>
      <c r="D2019" s="127">
        <f t="shared" si="6188"/>
        <v>96</v>
      </c>
      <c r="E2019" s="201"/>
      <c r="F2019" s="93"/>
      <c r="G2019" s="203"/>
      <c r="H2019"/>
      <c r="I2019"/>
      <c r="J2019"/>
      <c r="L2019" s="29" t="s">
        <v>38</v>
      </c>
      <c r="M2019" s="30">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67.850000000000009</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f t="shared" si="6187"/>
        <v>96</v>
      </c>
      <c r="C2020" s="128">
        <f t="shared" si="6188"/>
        <v>1</v>
      </c>
      <c r="D2020" s="127">
        <f t="shared" si="6188"/>
        <v>96</v>
      </c>
      <c r="E2020" s="201"/>
      <c r="F2020" s="93"/>
      <c r="G2020" s="203"/>
      <c r="H2020" s="134">
        <f t="shared" ref="H2020" si="6265">COUNT($P2020:$XX2020)</f>
        <v>3</v>
      </c>
      <c r="I2020" s="132">
        <f t="shared" ref="I2020" si="6266">_xlfn.STDEV.P($P2019:$XX2020)/AVERAGE($P2019:$XX2020)</f>
        <v>0.11670816322255383</v>
      </c>
      <c r="J2020" s="7">
        <f t="shared" ref="J2020" si="6267">IF(AND(H2020&gt;2,
OR(L2010="MÉDIA SANEADA",L2010="MEDIANA SANEADA",
AND(L2010="PREÇO ESTIMADO",NOT(AND(P2012="Orçamento",COUNTA(P2010:XX2010)=COUNTIF(P2012:XX2012,"Orçamento")))))),
ROW(),0)</f>
        <v>2020</v>
      </c>
      <c r="K2020" s="66"/>
      <c r="L2020" s="29" t="s">
        <v>362</v>
      </c>
      <c r="M2020" s="30">
        <f t="shared" ref="M2020" si="6268" xml:space="preserve">
IF(H2018&gt;2,MEDIAN(P2017:XX2018),
IF(H2020&gt;2,MEDIAN(P2019:XX2020),
IF(H2022&gt;2,MEDIAN(P2021:XX2022),
IF(H2024&gt;2,MEDIAN(P2023:XX2024),
IF(H2026&gt;2,MEDIAN(P2025:XX2026),
IF(H2028&gt;2,MEDIAN(P2027:XX2028),
MEDIAN(P2015:XX2016)))))))</f>
        <v>63.9</v>
      </c>
      <c r="N2020" s="71"/>
      <c r="O2020" s="27" t="str">
        <f t="shared" ref="O2020" si="6269">"2 RODADA"</f>
        <v>2 RODADA</v>
      </c>
      <c r="P2020" s="107">
        <f t="shared" ref="P2020:AI2020" si="6270">IF(P2018="","",IF((_xlfn.STDEV.P($P2017:$XX2018)/AVERAGE($P2017:$XX2018))&lt;=25%,P2018,IF(OR(P2018&gt;(AVERAGE($P2017:$XX2018)+_xlfn.STDEV.P($P2017:$XX2018)),P2018&lt;(AVERAGE($P2017:$XX2018)-_xlfn.STDEV.P($P2017:$XX2018))),"DESCARTADO",P2018)))</f>
        <v>63.9</v>
      </c>
      <c r="Q2020" s="107">
        <f t="shared" si="6270"/>
        <v>78.900000000000006</v>
      </c>
      <c r="R2020" s="107">
        <f t="shared" si="6270"/>
        <v>60.75</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f t="shared" si="6187"/>
        <v>96</v>
      </c>
      <c r="C2021" s="128">
        <f t="shared" si="6188"/>
        <v>1</v>
      </c>
      <c r="D2021" s="127">
        <f t="shared" si="6188"/>
        <v>96</v>
      </c>
      <c r="E2021" s="201"/>
      <c r="F2021" s="93"/>
      <c r="G2021" s="203"/>
      <c r="H2021"/>
      <c r="I2021"/>
      <c r="J2021"/>
      <c r="K2021" s="66"/>
      <c r="L2021" s="29" t="s">
        <v>359</v>
      </c>
      <c r="M2021" s="30">
        <f t="shared" ref="M2021" si="6271">HARMEAN($P2015:$XX2016)</f>
        <v>66.987269452591377</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f t="shared" si="6187"/>
        <v>96</v>
      </c>
      <c r="C2022" s="128">
        <f t="shared" si="6188"/>
        <v>1</v>
      </c>
      <c r="D2022" s="127">
        <f t="shared" si="6188"/>
        <v>96</v>
      </c>
      <c r="E2022" s="201"/>
      <c r="F2022" s="93"/>
      <c r="G2022" s="203"/>
      <c r="H2022" s="134">
        <f t="shared" ref="H2022" si="6273">COUNT($P2022:$XX2022)</f>
        <v>3</v>
      </c>
      <c r="I2022" s="132">
        <f t="shared" ref="I2022" si="6274">_xlfn.STDEV.P($P2021:$XX2022)/AVERAGE($P2021:$XX2022)</f>
        <v>0.11670816322255383</v>
      </c>
      <c r="J2022" s="7">
        <f t="shared" ref="J2022" si="6275">IF(AND(H2022&gt;2,
OR(L2010="MÉDIA SANEADA",L2010="MEDIANA SANEADA",
AND(L2010="PREÇO ESTIMADO",NOT(AND(P2012="Orçamento",COUNTA(P2010:XX2010)=COUNTIF(P2012:XX2012,"Orçamento")))))),
ROW(),0)</f>
        <v>2022</v>
      </c>
      <c r="K2022" s="66"/>
      <c r="L2022" s="29" t="s">
        <v>41</v>
      </c>
      <c r="M2022" s="30">
        <f t="shared" ref="M2022" si="6276">IFERROR(_xlfn.QUARTILE.EXC($P2016:$XX2016,1),"")</f>
        <v>60.75</v>
      </c>
      <c r="N2022" s="71"/>
      <c r="O2022" s="27" t="str">
        <f t="shared" ref="O2022" si="6277">"3 RODADA"</f>
        <v>3 RODADA</v>
      </c>
      <c r="P2022" s="107">
        <f t="shared" ref="P2022:AI2022" si="6278">IF(P2020="","",IF((_xlfn.STDEV.P($P2019:$XX2020)/AVERAGE($P2019:$XX2020))&lt;=25%,P2020,IF(OR(P2020&gt;(AVERAGE($P2019:$XX2020)+_xlfn.STDEV.P($P2019:$XX2020)),P2020&lt;(AVERAGE($P2019:$XX2020)-_xlfn.STDEV.P($P2019:$XX2020))),"DESCARTADO",P2020)))</f>
        <v>63.9</v>
      </c>
      <c r="Q2022" s="107">
        <f t="shared" si="6278"/>
        <v>78.900000000000006</v>
      </c>
      <c r="R2022" s="107">
        <f t="shared" si="6278"/>
        <v>60.75</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f t="shared" si="6187"/>
        <v>96</v>
      </c>
      <c r="C2023" s="128">
        <f t="shared" si="6188"/>
        <v>1</v>
      </c>
      <c r="D2023" s="127">
        <f t="shared" si="6188"/>
        <v>96</v>
      </c>
      <c r="E2023" s="201"/>
      <c r="F2023" s="93"/>
      <c r="G2023" s="203"/>
      <c r="H2023"/>
      <c r="I2023"/>
      <c r="J2023"/>
      <c r="K2023" s="66"/>
      <c r="L2023" s="29" t="s">
        <v>39</v>
      </c>
      <c r="M2023" s="30">
        <f t="shared" ref="M2023" si="6279">IFERROR(_xlfn.QUARTILE.EXC($P2016:$XX2016,3),"")</f>
        <v>78.900000000000006</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f t="shared" si="6187"/>
        <v>96</v>
      </c>
      <c r="C2024" s="128">
        <f t="shared" si="6188"/>
        <v>1</v>
      </c>
      <c r="D2024" s="127">
        <f t="shared" si="6188"/>
        <v>96</v>
      </c>
      <c r="E2024" s="201"/>
      <c r="F2024" s="93"/>
      <c r="G2024" s="203"/>
      <c r="H2024" s="134">
        <f t="shared" ref="H2024" si="6281">COUNT($P2024:$XX2024)</f>
        <v>3</v>
      </c>
      <c r="I2024" s="132">
        <f t="shared" ref="I2024" si="6282">_xlfn.STDEV.P($P2023:$XX2024)/AVERAGE($P2023:$XX2024)</f>
        <v>0.11670816322255383</v>
      </c>
      <c r="J2024" s="7">
        <f t="shared" ref="J2024" si="6283">IF(AND(H2024&gt;2,
OR(L2010="MÉDIA SANEADA",L2010="MEDIANA SANEADA",
AND(L2010="PREÇO ESTIMADO",NOT(AND(P2012="Orçamento",COUNTA(P2010:XX2010)=COUNTIF(P2012:XX2012,"Orçamento")))))),
ROW(),0)</f>
        <v>2024</v>
      </c>
      <c r="K2024" s="66"/>
      <c r="L2024" s="29" t="s">
        <v>42</v>
      </c>
      <c r="M2024" s="30">
        <f t="shared" ref="M2024" si="6284">MIN($P2016:$XX2016)</f>
        <v>60.75</v>
      </c>
      <c r="N2024" s="71"/>
      <c r="O2024" s="27" t="str">
        <f t="shared" ref="O2024" si="6285">"4 RODADA"</f>
        <v>4 RODADA</v>
      </c>
      <c r="P2024" s="107">
        <f t="shared" ref="P2024:AI2024" si="6286">IF(P2022="","",IF((_xlfn.STDEV.P($P2021:$XX2022)/AVERAGE($P2021:$XX2022))&lt;=25%,P2022,IF(OR(P2022&gt;(AVERAGE($P2021:$XX2022)+_xlfn.STDEV.P($P2021:$XX2022)),P2022&lt;(AVERAGE($P2021:$XX2022)-_xlfn.STDEV.P($P2021:$XX2022))),"DESCARTADO",P2022)))</f>
        <v>63.9</v>
      </c>
      <c r="Q2024" s="107">
        <f t="shared" si="6286"/>
        <v>78.900000000000006</v>
      </c>
      <c r="R2024" s="107">
        <f t="shared" si="6286"/>
        <v>60.75</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f t="shared" si="6187"/>
        <v>96</v>
      </c>
      <c r="C2025" s="128">
        <f t="shared" si="6188"/>
        <v>1</v>
      </c>
      <c r="D2025" s="127">
        <f t="shared" si="6188"/>
        <v>96</v>
      </c>
      <c r="E2025" s="201"/>
      <c r="F2025" s="93"/>
      <c r="G2025" s="203"/>
      <c r="H2025"/>
      <c r="I2025"/>
      <c r="J2025"/>
      <c r="K2025" s="66"/>
      <c r="L2025" s="29" t="s">
        <v>40</v>
      </c>
      <c r="M2025" s="30">
        <f t="shared" ref="M2025" si="6287">MAX($P2016:$XX2016)</f>
        <v>78.900000000000006</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f t="shared" si="6187"/>
        <v>96</v>
      </c>
      <c r="C2026" s="128">
        <f t="shared" si="6188"/>
        <v>1</v>
      </c>
      <c r="D2026" s="127">
        <f t="shared" si="6188"/>
        <v>96</v>
      </c>
      <c r="E2026" s="201"/>
      <c r="F2026" s="93"/>
      <c r="G2026" s="203"/>
      <c r="H2026" s="134">
        <f t="shared" ref="H2026" si="6289">COUNT($P2026:$XX2026)</f>
        <v>3</v>
      </c>
      <c r="I2026" s="132">
        <f t="shared" ref="I2026" si="6290">_xlfn.STDEV.P($P2025:$XX2026)/AVERAGE($P2025:$XX2026)</f>
        <v>0.11670816322255383</v>
      </c>
      <c r="J2026" s="7">
        <f t="shared" ref="J2026" si="6291">IF(AND(H2026&gt;2,
OR(L2010="MÉDIA SANEADA",L2010="MEDIANA SANEADA",
AND(L2010="PREÇO ESTIMADO",NOT(AND(P2012="Orçamento",COUNTA(P2010:XX2010)=COUNTIF(P2012:XX2012,"Orçamento")))))),
ROW(),0)</f>
        <v>2026</v>
      </c>
      <c r="K2026" s="66"/>
      <c r="N2026" s="71"/>
      <c r="O2026" s="27" t="str">
        <f t="shared" ref="O2026" si="6292">"5 RODADA"</f>
        <v>5 RODADA</v>
      </c>
      <c r="P2026" s="107">
        <f t="shared" ref="P2026:AI2026" si="6293">IF(P2024="","",IF((_xlfn.STDEV.P($P2023:$XX2024)/AVERAGE($P2023:$XX2024))&lt;=25%,P2024,IF(OR(P2024&gt;(AVERAGE($P2023:$XX2024)+_xlfn.STDEV.P($P2023:$XX2024)),P2024&lt;(AVERAGE($P2023:$XX2024)-_xlfn.STDEV.P($P2023:$XX2024))),"DESCARTADO",P2024)))</f>
        <v>63.9</v>
      </c>
      <c r="Q2026" s="107">
        <f t="shared" si="6293"/>
        <v>78.900000000000006</v>
      </c>
      <c r="R2026" s="107">
        <f t="shared" si="6293"/>
        <v>60.75</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f t="shared" si="6187"/>
        <v>96</v>
      </c>
      <c r="C2027" s="128">
        <f t="shared" si="6188"/>
        <v>1</v>
      </c>
      <c r="D2027" s="127">
        <f t="shared" si="6188"/>
        <v>96</v>
      </c>
      <c r="E2027" s="201"/>
      <c r="F2027" s="93"/>
      <c r="G2027" s="203"/>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f t="shared" si="6187"/>
        <v>96</v>
      </c>
      <c r="C2028" s="128">
        <f t="shared" si="6187"/>
        <v>1</v>
      </c>
      <c r="D2028" s="127">
        <f t="shared" si="6187"/>
        <v>96</v>
      </c>
      <c r="E2028" s="201"/>
      <c r="F2028" s="93"/>
      <c r="G2028" s="203"/>
      <c r="H2028" s="134">
        <f t="shared" ref="H2028" si="6295">COUNT($P2028:$XX2028)</f>
        <v>3</v>
      </c>
      <c r="I2028" s="132">
        <f t="shared" ref="I2028" si="6296">_xlfn.STDEV.P($P2027:$XX2028)/AVERAGE($P2027:$XX2028)</f>
        <v>0.11670816322255383</v>
      </c>
      <c r="J2028" s="7">
        <f t="shared" ref="J2028" si="6297">IF(AND(H2028&gt;2,
OR(L2010="MÉDIA SANEADA",L2010="MEDIANA SANEADA",
AND(L2010="PREÇO ESTIMADO",NOT(AND(P2012="Orçamento",COUNTA(P2010:XX2010)=COUNTIF(P2012:XX2012,"Orçamento")))))),
ROW(),0)</f>
        <v>2028</v>
      </c>
      <c r="N2028" s="71"/>
      <c r="O2028" s="27" t="str">
        <f t="shared" ref="O2028" si="6298">"6 RODADA"</f>
        <v>6 RODADA</v>
      </c>
      <c r="P2028" s="107">
        <f t="shared" ref="P2028:AI2028" si="6299">IFERROR(IF(P2026="","",IF((_xlfn.STDEV.P($P2025:$XX2026)/AVERAGE($P2025:$XX2026))&lt;=25%,P2026,IF(OR(P2026&gt;(AVERAGE($P2025:$XX2026)+_xlfn.STDEV.P($P2025:$XX2026)),P2026&lt;(AVERAGE($P2025:$XX2026)-_xlfn.STDEV.P($P2025:$XX2026))),"DESCARTADO",P2026))),)</f>
        <v>63.9</v>
      </c>
      <c r="Q2028" s="107">
        <f t="shared" si="6299"/>
        <v>78.900000000000006</v>
      </c>
      <c r="R2028" s="107">
        <f t="shared" si="6299"/>
        <v>60.75</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f t="shared" ref="B2029:D2044" si="6300">B2028</f>
        <v>96</v>
      </c>
      <c r="C2029" s="128">
        <f t="shared" si="6300"/>
        <v>1</v>
      </c>
      <c r="D2029" s="127">
        <f t="shared" si="6300"/>
        <v>96</v>
      </c>
      <c r="E2029" s="201"/>
      <c r="F2029" s="136"/>
      <c r="G2029" s="203"/>
      <c r="H2029" s="206"/>
      <c r="I2029" s="206"/>
      <c r="J2029" s="207"/>
      <c r="K2029" s="67"/>
      <c r="L2029" s="1" t="s">
        <v>43</v>
      </c>
      <c r="M2029" s="143">
        <f t="shared" ref="M2029" si="6301">IFERROR(ROUND(M2010*M2012,2),"")</f>
        <v>67.849999999999994</v>
      </c>
      <c r="O2029" s="27" t="s">
        <v>363</v>
      </c>
      <c r="P2029" s="107">
        <f t="shared" ref="P2029:AI2050" si="6302">INDEX(P2016:P2028,MATCH(MAX($J2016:$J2028),$J2016:$J2028,0))</f>
        <v>63.9</v>
      </c>
      <c r="Q2029" s="107">
        <f t="shared" si="6302"/>
        <v>78.900000000000006</v>
      </c>
      <c r="R2029" s="107">
        <f t="shared" si="6302"/>
        <v>60.75</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f t="shared" ref="B2031" si="6303">LARGE(IFERROR(IF(B2029+1&gt;$H$8,"",B2029+1),""),1)</f>
        <v>97</v>
      </c>
      <c r="C2031" s="127">
        <f>IF(_xlfn.ISFORMULA(E2035),MAX(INDEX('BASE FORMAÇÃO'!A:A,B2031+1),1),E2035)</f>
        <v>1</v>
      </c>
      <c r="D2031" s="127">
        <f t="shared" ref="D2031" si="6304">IFERROR(IF(C2031=C2021,D2021+1,1),1)</f>
        <v>97</v>
      </c>
      <c r="E2031" s="38" t="s">
        <v>9</v>
      </c>
      <c r="F2031" s="73"/>
      <c r="G2031" s="38" t="s">
        <v>15</v>
      </c>
      <c r="H2031" s="135">
        <f>INDEX('BASE FORMAÇÃO'!B:B,B2031+1)</f>
        <v>0</v>
      </c>
      <c r="I2031" s="181" t="s">
        <v>16</v>
      </c>
      <c r="J2031" s="6">
        <f>INDEX('BASE FORMAÇÃO'!K:K,B2031+1)</f>
        <v>0</v>
      </c>
      <c r="K2031" s="65"/>
      <c r="L2031" s="184" t="s">
        <v>10</v>
      </c>
      <c r="M2031" s="186">
        <f t="shared" ref="M2031" si="6305">IF(OR(ISBLANK($O$8),ISBLANK($O$7),ISBLANK($H$8),ISBLANK($O$6),ISBLANK($O$5),ISBLANK($H$5)),"",IFERROR(IF(VLOOKUP(L2031,L2037:M2046,2,FALSE)&lt;1,ROUND(VLOOKUP(L2031,L2037:M2046,2,FALSE),4),ROUND(VLOOKUP(L2031,L2037:M2046,2,FALSE),2)),""))</f>
        <v>62.26</v>
      </c>
      <c r="N2031" s="69"/>
      <c r="O2031" s="27" t="s">
        <v>17</v>
      </c>
      <c r="P2031" s="113">
        <v>69.900000000000006</v>
      </c>
      <c r="Q2031" s="113">
        <v>73.900000000000006</v>
      </c>
      <c r="R2031" s="113">
        <v>42.99</v>
      </c>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f t="shared" ref="B2032:D2032" si="6306">B2031</f>
        <v>97</v>
      </c>
      <c r="C2032" s="128">
        <f t="shared" si="6306"/>
        <v>1</v>
      </c>
      <c r="D2032" s="127">
        <f t="shared" si="6306"/>
        <v>97</v>
      </c>
      <c r="E2032" s="188">
        <f t="shared" ref="E2032" si="6307">D2031</f>
        <v>97</v>
      </c>
      <c r="F2032" s="92"/>
      <c r="G2032" s="190" t="s">
        <v>1</v>
      </c>
      <c r="H2032" s="193" t="s">
        <v>813</v>
      </c>
      <c r="I2032" s="194"/>
      <c r="J2032" s="195"/>
      <c r="K2032" s="66"/>
      <c r="L2032" s="185"/>
      <c r="M2032" s="187"/>
      <c r="N2032" s="70"/>
      <c r="O2032" s="27" t="s">
        <v>13</v>
      </c>
      <c r="P2032" s="122">
        <v>46196</v>
      </c>
      <c r="Q2032" s="122">
        <v>46196</v>
      </c>
      <c r="R2032" s="122">
        <v>46196</v>
      </c>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f t="shared" ref="B2033:D2033" si="6308">B2032</f>
        <v>97</v>
      </c>
      <c r="C2033" s="128">
        <f t="shared" si="6308"/>
        <v>1</v>
      </c>
      <c r="D2033" s="127">
        <f t="shared" si="6308"/>
        <v>97</v>
      </c>
      <c r="E2033" s="189"/>
      <c r="F2033" s="93"/>
      <c r="G2033" s="191"/>
      <c r="H2033" s="196"/>
      <c r="I2033" s="196"/>
      <c r="J2033" s="197"/>
      <c r="K2033" s="64"/>
      <c r="L2033" s="130" t="s">
        <v>44</v>
      </c>
      <c r="M2033" s="131">
        <v>1</v>
      </c>
      <c r="N2033" s="71"/>
      <c r="O2033" s="27" t="s">
        <v>380</v>
      </c>
      <c r="P2033" s="114" t="s">
        <v>302</v>
      </c>
      <c r="Q2033" s="114" t="s">
        <v>302</v>
      </c>
      <c r="R2033" s="114" t="s">
        <v>302</v>
      </c>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f t="shared" ref="B2034:C2034" si="6309">B2033</f>
        <v>97</v>
      </c>
      <c r="C2034" s="128">
        <f t="shared" si="6309"/>
        <v>1</v>
      </c>
      <c r="D2034" s="127">
        <f t="shared" si="6300"/>
        <v>97</v>
      </c>
      <c r="E2034" s="38" t="s">
        <v>313</v>
      </c>
      <c r="F2034" s="93"/>
      <c r="G2034" s="192"/>
      <c r="H2034" s="198"/>
      <c r="I2034" s="198"/>
      <c r="J2034" s="199"/>
      <c r="K2034" s="64"/>
      <c r="L2034" s="1" t="s">
        <v>2</v>
      </c>
      <c r="M2034" s="6" t="s">
        <v>288</v>
      </c>
      <c r="N2034" s="71"/>
      <c r="O2034" s="27" t="s">
        <v>381</v>
      </c>
      <c r="P2034" s="182" t="s">
        <v>818</v>
      </c>
      <c r="Q2034" s="182" t="s">
        <v>819</v>
      </c>
      <c r="R2034" s="182" t="s">
        <v>820</v>
      </c>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f t="shared" ref="B2035:C2035" si="6310">B2033</f>
        <v>97</v>
      </c>
      <c r="C2035" s="128">
        <f t="shared" si="6310"/>
        <v>1</v>
      </c>
      <c r="D2035" s="127">
        <f t="shared" si="6300"/>
        <v>97</v>
      </c>
      <c r="E2035" s="200">
        <f t="shared" ref="E2035" si="6311">C2031</f>
        <v>1</v>
      </c>
      <c r="F2035" s="93"/>
      <c r="G2035" s="202" t="s">
        <v>304</v>
      </c>
      <c r="H2035" s="204"/>
      <c r="I2035" s="205"/>
      <c r="J2035" s="205"/>
      <c r="K2035" s="67"/>
      <c r="L2035" s="28" t="s">
        <v>303</v>
      </c>
      <c r="M2035" s="133">
        <f t="shared" ref="M2035" si="6312">IFERROR(INDEX(I2037:I2049,MATCH(MAX(J2037:J2049),J2037:J2049,0)),"")</f>
        <v>0.22044742681951365</v>
      </c>
      <c r="N2035" s="71"/>
      <c r="O2035" s="27" t="s">
        <v>18</v>
      </c>
      <c r="P2035" s="106">
        <f>IF(P2031="","",
IF(OR(P2033="Orçamento",P2032="",MAX('Tabela de Apoio'!$A:$A)&lt;=P2032),
P2031,
(INDEX('Tabela de Apoio'!$B:$B,MATCH('MAPA DE PREÇOS'!$O$8,'Tabela de Apoio'!$A:$A,1))/INDEX('Tabela de Apoio'!$B:$B,MATCH('MAPA DE PREÇOS'!P2032,'Tabela de Apoio'!$A:$A,1)-1))*P2031))</f>
        <v>69.900000000000006</v>
      </c>
      <c r="Q2035" s="106">
        <f>IF(Q2031="","",
IF(OR(Q2033="Orçamento",Q2032="",MAX('Tabela de Apoio'!$A:$A)&lt;=Q2032),
Q2031,
(INDEX('Tabela de Apoio'!$B:$B,MATCH('MAPA DE PREÇOS'!$O$8,'Tabela de Apoio'!$A:$A,1))/INDEX('Tabela de Apoio'!$B:$B,MATCH('MAPA DE PREÇOS'!Q2032,'Tabela de Apoio'!$A:$A,1)-1))*Q2031))</f>
        <v>73.900000000000006</v>
      </c>
      <c r="R2035" s="106">
        <f>IF(R2031="","",
IF(OR(R2033="Orçamento",R2032="",MAX('Tabela de Apoio'!$A:$A)&lt;=R2032),
R2031,
(INDEX('Tabela de Apoio'!$B:$B,MATCH('MAPA DE PREÇOS'!$O$8,'Tabela de Apoio'!$A:$A,1))/INDEX('Tabela de Apoio'!$B:$B,MATCH('MAPA DE PREÇOS'!R2032,'Tabela de Apoio'!$A:$A,1)-1))*R2031))</f>
        <v>42.99</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f t="shared" ref="B2036" si="6313">B2035</f>
        <v>97</v>
      </c>
      <c r="C2036" s="128">
        <f t="shared" ref="C2036" si="6314">C2035</f>
        <v>1</v>
      </c>
      <c r="D2036" s="127">
        <f t="shared" ref="D2036" si="6315">D2035</f>
        <v>97</v>
      </c>
      <c r="E2036" s="201"/>
      <c r="F2036" s="93"/>
      <c r="G2036" s="203"/>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f t="shared" ref="B2037:C2037" si="6316">B2036</f>
        <v>97</v>
      </c>
      <c r="C2037" s="128">
        <f t="shared" si="6316"/>
        <v>1</v>
      </c>
      <c r="D2037" s="127">
        <f t="shared" si="6300"/>
        <v>97</v>
      </c>
      <c r="E2037" s="201"/>
      <c r="F2037" s="93"/>
      <c r="G2037" s="203"/>
      <c r="H2037" s="134">
        <f t="shared" ref="H2037" si="6317">COUNT($P2037:$XX2037)</f>
        <v>3</v>
      </c>
      <c r="I2037" s="132">
        <f t="shared" ref="I2037" si="6318">_xlfn.STDEV.P($P2036:$XX2037)/AVERAGE($P2036:$XX2037)</f>
        <v>0.22044742681951365</v>
      </c>
      <c r="J2037" s="7">
        <f>ROW()</f>
        <v>2037</v>
      </c>
      <c r="K2037" s="67"/>
      <c r="L2037" s="29" t="s">
        <v>10</v>
      </c>
      <c r="M2037" s="30">
        <f t="shared" ref="M2037" si="6319">IFERROR(
IF(COUNTA(P2031:AI2031)=COUNTIF(P2033:XX2033,"Orçamento"),MIN(M2042,M2039),
IF(M2040&lt;&gt;"",M2040,
IF(M2041&lt;&gt;"",M2041,
M2039
))),"")</f>
        <v>62.263333333333343</v>
      </c>
      <c r="N2037" s="71"/>
      <c r="O2037" s="27" t="s">
        <v>376</v>
      </c>
      <c r="P2037" s="106">
        <f t="shared" ref="P2037:AI2037" si="6320">IFERROR(IF(P2035="",
            "",
            IF(COUNT($P2035:$XX2035)&lt;=4,
               P2035,
               IF(OR(P2035&gt;(QUARTILE($P2035:$XX2035,3)+(QUARTILE($P2035:$XX2035,3)-QUARTILE($P2035:$XX2035,1))),
                     P2035&lt;(QUARTILE($P2035:$XX2035,1)-(QUARTILE($P2035:$XX2035,3)-QUARTILE($P2035:$XX2035,1)))
                  ),
               "DESCARTADO",P2035)
             )
  ),P2035)</f>
        <v>69.900000000000006</v>
      </c>
      <c r="Q2037" s="106">
        <f t="shared" si="6320"/>
        <v>73.900000000000006</v>
      </c>
      <c r="R2037" s="106">
        <f t="shared" si="6320"/>
        <v>42.99</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f t="shared" ref="B2038" si="6321">B2037</f>
        <v>97</v>
      </c>
      <c r="C2038" s="128">
        <f t="shared" ref="C2038" si="6322">C2037</f>
        <v>1</v>
      </c>
      <c r="D2038" s="127">
        <f t="shared" ref="D2038" si="6323">D2037</f>
        <v>97</v>
      </c>
      <c r="E2038" s="201"/>
      <c r="F2038" s="93"/>
      <c r="G2038" s="203"/>
      <c r="H2038"/>
      <c r="I2038"/>
      <c r="J2038"/>
      <c r="K2038" s="66"/>
      <c r="L2038" s="29" t="s">
        <v>360</v>
      </c>
      <c r="M2038" s="30">
        <f t="shared" ref="M2038" si="6324">AVERAGE($P2037:$XX2037)</f>
        <v>62.263333333333343</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f t="shared" si="6300"/>
        <v>97</v>
      </c>
      <c r="C2039" s="128">
        <f t="shared" si="6300"/>
        <v>1</v>
      </c>
      <c r="D2039" s="127">
        <f t="shared" si="6300"/>
        <v>97</v>
      </c>
      <c r="E2039" s="201"/>
      <c r="F2039" s="93"/>
      <c r="G2039" s="203"/>
      <c r="H2039" s="134">
        <f t="shared" ref="H2039" si="6326">COUNT($P2039:$XX2039)</f>
        <v>3</v>
      </c>
      <c r="I2039" s="132">
        <f t="shared" ref="I2039" si="6327">_xlfn.STDEV.P($P2038:$XX2039)/AVERAGE($P2038:$XX2039)</f>
        <v>0.22044742681951365</v>
      </c>
      <c r="J2039" s="7">
        <f t="shared" ref="J2039" si="6328">IF(AND(H2039&gt;2,
OR(L2031="MÉDIA SANEADA",L2031="MEDIANA SANEADA",
AND(L2031="PREÇO ESTIMADO",NOT(AND(P2033="Orçamento",COUNTA(P2031:XX2031)=COUNTIF(P2033:XX2033,"Orçamento")))))),
ROW(),0)</f>
        <v>2039</v>
      </c>
      <c r="K2039" s="66"/>
      <c r="L2039" s="29" t="s">
        <v>361</v>
      </c>
      <c r="M2039" s="30">
        <f t="shared" ref="M2039" si="6329">MEDIAN($P2037:$XX2037)</f>
        <v>69.900000000000006</v>
      </c>
      <c r="N2039" s="71"/>
      <c r="O2039" s="27" t="str">
        <f t="shared" ref="O2039" si="6330">"1 RODADA"</f>
        <v>1 RODADA</v>
      </c>
      <c r="P2039" s="107">
        <f t="shared" ref="P2039:AI2039" si="6331">IF(P2037="","",IF((_xlfn.STDEV.P($P2036:$XX2037)/AVERAGE($P2036:$XX2037))&lt;=25%,P2037,IF(OR(P2037&gt;(AVERAGE($P2036:$XX2037)+_xlfn.STDEV.P($P2036:$XX2037)),P2037&lt;(AVERAGE($P2036:$XX2037)-_xlfn.STDEV.P($P2036:$XX2037))),"DESCARTADO",P2037)))</f>
        <v>69.900000000000006</v>
      </c>
      <c r="Q2039" s="107">
        <f t="shared" si="6331"/>
        <v>73.900000000000006</v>
      </c>
      <c r="R2039" s="107">
        <f t="shared" si="6331"/>
        <v>42.99</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f t="shared" si="6300"/>
        <v>97</v>
      </c>
      <c r="C2040" s="128">
        <f t="shared" si="6300"/>
        <v>1</v>
      </c>
      <c r="D2040" s="127">
        <f t="shared" si="6300"/>
        <v>97</v>
      </c>
      <c r="E2040" s="201"/>
      <c r="F2040" s="93"/>
      <c r="G2040" s="203"/>
      <c r="H2040"/>
      <c r="I2040"/>
      <c r="J2040"/>
      <c r="L2040" s="29" t="s">
        <v>38</v>
      </c>
      <c r="M2040" s="30">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62.263333333333343</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f t="shared" si="6300"/>
        <v>97</v>
      </c>
      <c r="C2041" s="128">
        <f t="shared" si="6300"/>
        <v>1</v>
      </c>
      <c r="D2041" s="127">
        <f t="shared" si="6300"/>
        <v>97</v>
      </c>
      <c r="E2041" s="201"/>
      <c r="F2041" s="93"/>
      <c r="G2041" s="203"/>
      <c r="H2041" s="134">
        <f t="shared" ref="H2041" si="6334">COUNT($P2041:$XX2041)</f>
        <v>3</v>
      </c>
      <c r="I2041" s="132">
        <f t="shared" ref="I2041" si="6335">_xlfn.STDEV.P($P2040:$XX2041)/AVERAGE($P2040:$XX2041)</f>
        <v>0.22044742681951365</v>
      </c>
      <c r="J2041" s="7">
        <f t="shared" ref="J2041" si="6336">IF(AND(H2041&gt;2,
OR(L2031="MÉDIA SANEADA",L2031="MEDIANA SANEADA",
AND(L2031="PREÇO ESTIMADO",NOT(AND(P2033="Orçamento",COUNTA(P2031:XX2031)=COUNTIF(P2033:XX2033,"Orçamento")))))),
ROW(),0)</f>
        <v>2041</v>
      </c>
      <c r="K2041" s="66"/>
      <c r="L2041" s="29" t="s">
        <v>362</v>
      </c>
      <c r="M2041" s="30">
        <f t="shared" ref="M2041" si="6337" xml:space="preserve">
IF(H2039&gt;2,MEDIAN(P2038:XX2039),
IF(H2041&gt;2,MEDIAN(P2040:XX2041),
IF(H2043&gt;2,MEDIAN(P2042:XX2043),
IF(H2045&gt;2,MEDIAN(P2044:XX2045),
IF(H2047&gt;2,MEDIAN(P2046:XX2047),
IF(H2049&gt;2,MEDIAN(P2048:XX2049),
MEDIAN(P2036:XX2037)))))))</f>
        <v>69.900000000000006</v>
      </c>
      <c r="N2041" s="71"/>
      <c r="O2041" s="27" t="str">
        <f t="shared" ref="O2041" si="6338">"2 RODADA"</f>
        <v>2 RODADA</v>
      </c>
      <c r="P2041" s="107">
        <f t="shared" ref="P2041:AI2041" si="6339">IF(P2039="","",IF((_xlfn.STDEV.P($P2038:$XX2039)/AVERAGE($P2038:$XX2039))&lt;=25%,P2039,IF(OR(P2039&gt;(AVERAGE($P2038:$XX2039)+_xlfn.STDEV.P($P2038:$XX2039)),P2039&lt;(AVERAGE($P2038:$XX2039)-_xlfn.STDEV.P($P2038:$XX2039))),"DESCARTADO",P2039)))</f>
        <v>69.900000000000006</v>
      </c>
      <c r="Q2041" s="107">
        <f t="shared" si="6339"/>
        <v>73.900000000000006</v>
      </c>
      <c r="R2041" s="107">
        <f t="shared" si="6339"/>
        <v>42.99</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f t="shared" si="6300"/>
        <v>97</v>
      </c>
      <c r="C2042" s="128">
        <f t="shared" si="6300"/>
        <v>1</v>
      </c>
      <c r="D2042" s="127">
        <f t="shared" si="6300"/>
        <v>97</v>
      </c>
      <c r="E2042" s="201"/>
      <c r="F2042" s="93"/>
      <c r="G2042" s="203"/>
      <c r="H2042"/>
      <c r="I2042"/>
      <c r="J2042"/>
      <c r="K2042" s="66"/>
      <c r="L2042" s="29" t="s">
        <v>359</v>
      </c>
      <c r="M2042" s="30">
        <f t="shared" ref="M2042" si="6340">HARMEAN($P2036:$XX2037)</f>
        <v>58.70936282228481</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f t="shared" si="6300"/>
        <v>97</v>
      </c>
      <c r="C2043" s="128">
        <f t="shared" si="6300"/>
        <v>1</v>
      </c>
      <c r="D2043" s="127">
        <f t="shared" si="6300"/>
        <v>97</v>
      </c>
      <c r="E2043" s="201"/>
      <c r="F2043" s="93"/>
      <c r="G2043" s="203"/>
      <c r="H2043" s="134">
        <f t="shared" ref="H2043" si="6342">COUNT($P2043:$XX2043)</f>
        <v>3</v>
      </c>
      <c r="I2043" s="132">
        <f t="shared" ref="I2043" si="6343">_xlfn.STDEV.P($P2042:$XX2043)/AVERAGE($P2042:$XX2043)</f>
        <v>0.22044742681951365</v>
      </c>
      <c r="J2043" s="7">
        <f t="shared" ref="J2043" si="6344">IF(AND(H2043&gt;2,
OR(L2031="MÉDIA SANEADA",L2031="MEDIANA SANEADA",
AND(L2031="PREÇO ESTIMADO",NOT(AND(P2033="Orçamento",COUNTA(P2031:XX2031)=COUNTIF(P2033:XX2033,"Orçamento")))))),
ROW(),0)</f>
        <v>2043</v>
      </c>
      <c r="K2043" s="66"/>
      <c r="L2043" s="29" t="s">
        <v>41</v>
      </c>
      <c r="M2043" s="30">
        <f t="shared" ref="M2043" si="6345">IFERROR(_xlfn.QUARTILE.EXC($P2037:$XX2037,1),"")</f>
        <v>42.99</v>
      </c>
      <c r="N2043" s="71"/>
      <c r="O2043" s="27" t="str">
        <f t="shared" ref="O2043" si="6346">"3 RODADA"</f>
        <v>3 RODADA</v>
      </c>
      <c r="P2043" s="107">
        <f t="shared" ref="P2043:AI2043" si="6347">IF(P2041="","",IF((_xlfn.STDEV.P($P2040:$XX2041)/AVERAGE($P2040:$XX2041))&lt;=25%,P2041,IF(OR(P2041&gt;(AVERAGE($P2040:$XX2041)+_xlfn.STDEV.P($P2040:$XX2041)),P2041&lt;(AVERAGE($P2040:$XX2041)-_xlfn.STDEV.P($P2040:$XX2041))),"DESCARTADO",P2041)))</f>
        <v>69.900000000000006</v>
      </c>
      <c r="Q2043" s="107">
        <f t="shared" si="6347"/>
        <v>73.900000000000006</v>
      </c>
      <c r="R2043" s="107">
        <f t="shared" si="6347"/>
        <v>42.99</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f t="shared" si="6300"/>
        <v>97</v>
      </c>
      <c r="C2044" s="128">
        <f t="shared" si="6300"/>
        <v>1</v>
      </c>
      <c r="D2044" s="127">
        <f t="shared" si="6300"/>
        <v>97</v>
      </c>
      <c r="E2044" s="201"/>
      <c r="F2044" s="93"/>
      <c r="G2044" s="203"/>
      <c r="H2044"/>
      <c r="I2044"/>
      <c r="J2044"/>
      <c r="K2044" s="66"/>
      <c r="L2044" s="29" t="s">
        <v>39</v>
      </c>
      <c r="M2044" s="30">
        <f t="shared" ref="M2044" si="6348">IFERROR(_xlfn.QUARTILE.EXC($P2037:$XX2037,3),"")</f>
        <v>73.900000000000006</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f t="shared" ref="B2045:D2060" si="6350">B2044</f>
        <v>97</v>
      </c>
      <c r="C2045" s="128">
        <f t="shared" si="6350"/>
        <v>1</v>
      </c>
      <c r="D2045" s="127">
        <f t="shared" si="6350"/>
        <v>97</v>
      </c>
      <c r="E2045" s="201"/>
      <c r="F2045" s="93"/>
      <c r="G2045" s="203"/>
      <c r="H2045" s="134">
        <f t="shared" ref="H2045" si="6351">COUNT($P2045:$XX2045)</f>
        <v>3</v>
      </c>
      <c r="I2045" s="132">
        <f t="shared" ref="I2045" si="6352">_xlfn.STDEV.P($P2044:$XX2045)/AVERAGE($P2044:$XX2045)</f>
        <v>0.22044742681951365</v>
      </c>
      <c r="J2045" s="7">
        <f t="shared" ref="J2045" si="6353">IF(AND(H2045&gt;2,
OR(L2031="MÉDIA SANEADA",L2031="MEDIANA SANEADA",
AND(L2031="PREÇO ESTIMADO",NOT(AND(P2033="Orçamento",COUNTA(P2031:XX2031)=COUNTIF(P2033:XX2033,"Orçamento")))))),
ROW(),0)</f>
        <v>2045</v>
      </c>
      <c r="K2045" s="66"/>
      <c r="L2045" s="29" t="s">
        <v>42</v>
      </c>
      <c r="M2045" s="30">
        <f t="shared" ref="M2045" si="6354">MIN($P2037:$XX2037)</f>
        <v>42.99</v>
      </c>
      <c r="N2045" s="71"/>
      <c r="O2045" s="27" t="str">
        <f t="shared" ref="O2045" si="6355">"4 RODADA"</f>
        <v>4 RODADA</v>
      </c>
      <c r="P2045" s="107">
        <f t="shared" ref="P2045:AI2045" si="6356">IF(P2043="","",IF((_xlfn.STDEV.P($P2042:$XX2043)/AVERAGE($P2042:$XX2043))&lt;=25%,P2043,IF(OR(P2043&gt;(AVERAGE($P2042:$XX2043)+_xlfn.STDEV.P($P2042:$XX2043)),P2043&lt;(AVERAGE($P2042:$XX2043)-_xlfn.STDEV.P($P2042:$XX2043))),"DESCARTADO",P2043)))</f>
        <v>69.900000000000006</v>
      </c>
      <c r="Q2045" s="107">
        <f t="shared" si="6356"/>
        <v>73.900000000000006</v>
      </c>
      <c r="R2045" s="107">
        <f t="shared" si="6356"/>
        <v>42.99</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f t="shared" si="6350"/>
        <v>97</v>
      </c>
      <c r="C2046" s="128">
        <f t="shared" si="6350"/>
        <v>1</v>
      </c>
      <c r="D2046" s="127">
        <f t="shared" si="6350"/>
        <v>97</v>
      </c>
      <c r="E2046" s="201"/>
      <c r="F2046" s="93"/>
      <c r="G2046" s="203"/>
      <c r="H2046"/>
      <c r="I2046"/>
      <c r="J2046"/>
      <c r="K2046" s="66"/>
      <c r="L2046" s="29" t="s">
        <v>40</v>
      </c>
      <c r="M2046" s="30">
        <f t="shared" ref="M2046" si="6357">MAX($P2037:$XX2037)</f>
        <v>73.900000000000006</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f t="shared" si="6350"/>
        <v>97</v>
      </c>
      <c r="C2047" s="128">
        <f t="shared" si="6350"/>
        <v>1</v>
      </c>
      <c r="D2047" s="127">
        <f t="shared" si="6350"/>
        <v>97</v>
      </c>
      <c r="E2047" s="201"/>
      <c r="F2047" s="93"/>
      <c r="G2047" s="203"/>
      <c r="H2047" s="134">
        <f t="shared" ref="H2047" si="6359">COUNT($P2047:$XX2047)</f>
        <v>3</v>
      </c>
      <c r="I2047" s="132">
        <f t="shared" ref="I2047" si="6360">_xlfn.STDEV.P($P2046:$XX2047)/AVERAGE($P2046:$XX2047)</f>
        <v>0.22044742681951365</v>
      </c>
      <c r="J2047" s="7">
        <f t="shared" ref="J2047" si="6361">IF(AND(H2047&gt;2,
OR(L2031="MÉDIA SANEADA",L2031="MEDIANA SANEADA",
AND(L2031="PREÇO ESTIMADO",NOT(AND(P2033="Orçamento",COUNTA(P2031:XX2031)=COUNTIF(P2033:XX2033,"Orçamento")))))),
ROW(),0)</f>
        <v>2047</v>
      </c>
      <c r="K2047" s="66"/>
      <c r="N2047" s="71"/>
      <c r="O2047" s="27" t="str">
        <f t="shared" ref="O2047" si="6362">"5 RODADA"</f>
        <v>5 RODADA</v>
      </c>
      <c r="P2047" s="107">
        <f t="shared" ref="P2047:AI2047" si="6363">IF(P2045="","",IF((_xlfn.STDEV.P($P2044:$XX2045)/AVERAGE($P2044:$XX2045))&lt;=25%,P2045,IF(OR(P2045&gt;(AVERAGE($P2044:$XX2045)+_xlfn.STDEV.P($P2044:$XX2045)),P2045&lt;(AVERAGE($P2044:$XX2045)-_xlfn.STDEV.P($P2044:$XX2045))),"DESCARTADO",P2045)))</f>
        <v>69.900000000000006</v>
      </c>
      <c r="Q2047" s="107">
        <f t="shared" si="6363"/>
        <v>73.900000000000006</v>
      </c>
      <c r="R2047" s="107">
        <f t="shared" si="6363"/>
        <v>42.99</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f t="shared" si="6350"/>
        <v>97</v>
      </c>
      <c r="C2048" s="128">
        <f t="shared" si="6350"/>
        <v>1</v>
      </c>
      <c r="D2048" s="127">
        <f t="shared" si="6350"/>
        <v>97</v>
      </c>
      <c r="E2048" s="201"/>
      <c r="F2048" s="93"/>
      <c r="G2048" s="203"/>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f t="shared" si="6350"/>
        <v>97</v>
      </c>
      <c r="C2049" s="128">
        <f t="shared" si="6350"/>
        <v>1</v>
      </c>
      <c r="D2049" s="127">
        <f t="shared" si="6350"/>
        <v>97</v>
      </c>
      <c r="E2049" s="201"/>
      <c r="F2049" s="93"/>
      <c r="G2049" s="203"/>
      <c r="H2049" s="134">
        <f t="shared" ref="H2049" si="6365">COUNT($P2049:$XX2049)</f>
        <v>3</v>
      </c>
      <c r="I2049" s="132">
        <f t="shared" ref="I2049" si="6366">_xlfn.STDEV.P($P2048:$XX2049)/AVERAGE($P2048:$XX2049)</f>
        <v>0.22044742681951365</v>
      </c>
      <c r="J2049" s="7">
        <f t="shared" ref="J2049" si="6367">IF(AND(H2049&gt;2,
OR(L2031="MÉDIA SANEADA",L2031="MEDIANA SANEADA",
AND(L2031="PREÇO ESTIMADO",NOT(AND(P2033="Orçamento",COUNTA(P2031:XX2031)=COUNTIF(P2033:XX2033,"Orçamento")))))),
ROW(),0)</f>
        <v>2049</v>
      </c>
      <c r="N2049" s="71"/>
      <c r="O2049" s="27" t="str">
        <f t="shared" ref="O2049" si="6368">"6 RODADA"</f>
        <v>6 RODADA</v>
      </c>
      <c r="P2049" s="107">
        <f t="shared" ref="P2049:AI2049" si="6369">IFERROR(IF(P2047="","",IF((_xlfn.STDEV.P($P2046:$XX2047)/AVERAGE($P2046:$XX2047))&lt;=25%,P2047,IF(OR(P2047&gt;(AVERAGE($P2046:$XX2047)+_xlfn.STDEV.P($P2046:$XX2047)),P2047&lt;(AVERAGE($P2046:$XX2047)-_xlfn.STDEV.P($P2046:$XX2047))),"DESCARTADO",P2047))),)</f>
        <v>69.900000000000006</v>
      </c>
      <c r="Q2049" s="107">
        <f t="shared" si="6369"/>
        <v>73.900000000000006</v>
      </c>
      <c r="R2049" s="107">
        <f t="shared" si="6369"/>
        <v>42.99</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f t="shared" si="6350"/>
        <v>97</v>
      </c>
      <c r="C2050" s="128">
        <f t="shared" si="6350"/>
        <v>1</v>
      </c>
      <c r="D2050" s="127">
        <f t="shared" si="6350"/>
        <v>97</v>
      </c>
      <c r="E2050" s="201"/>
      <c r="F2050" s="136"/>
      <c r="G2050" s="203"/>
      <c r="H2050" s="206"/>
      <c r="I2050" s="206"/>
      <c r="J2050" s="207"/>
      <c r="K2050" s="67"/>
      <c r="L2050" s="1" t="s">
        <v>43</v>
      </c>
      <c r="M2050" s="143">
        <f t="shared" ref="M2050" si="6370">IFERROR(ROUND(M2031*M2033,2),"")</f>
        <v>62.26</v>
      </c>
      <c r="O2050" s="27" t="s">
        <v>363</v>
      </c>
      <c r="P2050" s="107">
        <f t="shared" ref="P2050:R2050" si="6371">INDEX(P2037:P2049,MATCH(MAX($J2037:$J2049),$J2037:$J2049,0))</f>
        <v>69.900000000000006</v>
      </c>
      <c r="Q2050" s="107">
        <f t="shared" si="6371"/>
        <v>73.900000000000006</v>
      </c>
      <c r="R2050" s="107">
        <f t="shared" si="6371"/>
        <v>42.99</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f t="shared" ref="B2052" si="6372">LARGE(IFERROR(IF(B2050+1&gt;$H$8,"",B2050+1),""),1)</f>
        <v>98</v>
      </c>
      <c r="C2052" s="127">
        <f>IF(_xlfn.ISFORMULA(E2056),MAX(INDEX('BASE FORMAÇÃO'!A:A,B2052+1),1),E2056)</f>
        <v>1</v>
      </c>
      <c r="D2052" s="127">
        <f t="shared" ref="D2052" si="6373">IFERROR(IF(C2052=C2042,D2042+1,1),1)</f>
        <v>98</v>
      </c>
      <c r="E2052" s="38" t="s">
        <v>9</v>
      </c>
      <c r="F2052" s="73"/>
      <c r="G2052" s="38" t="s">
        <v>15</v>
      </c>
      <c r="H2052" s="135">
        <f>INDEX('BASE FORMAÇÃO'!B:B,B2052+1)</f>
        <v>0</v>
      </c>
      <c r="I2052" s="181" t="s">
        <v>16</v>
      </c>
      <c r="J2052" s="6">
        <f>INDEX('BASE FORMAÇÃO'!K:K,B2052+1)</f>
        <v>0</v>
      </c>
      <c r="K2052" s="65"/>
      <c r="L2052" s="184" t="s">
        <v>10</v>
      </c>
      <c r="M2052" s="186">
        <f t="shared" ref="M2052" si="6374">IF(OR(ISBLANK($O$8),ISBLANK($O$7),ISBLANK($H$8),ISBLANK($O$6),ISBLANK($O$5),ISBLANK($H$5)),"",IFERROR(IF(VLOOKUP(L2052,L2058:M2067,2,FALSE)&lt;1,ROUND(VLOOKUP(L2052,L2058:M2067,2,FALSE),4),ROUND(VLOOKUP(L2052,L2058:M2067,2,FALSE),2)),""))</f>
        <v>57.32</v>
      </c>
      <c r="N2052" s="69"/>
      <c r="O2052" s="27" t="s">
        <v>17</v>
      </c>
      <c r="P2052" s="113">
        <v>59.99</v>
      </c>
      <c r="Q2052" s="113">
        <v>59.99</v>
      </c>
      <c r="R2052" s="113">
        <v>51.99</v>
      </c>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f t="shared" ref="B2053:D2053" si="6375">B2052</f>
        <v>98</v>
      </c>
      <c r="C2053" s="128">
        <f t="shared" si="6375"/>
        <v>1</v>
      </c>
      <c r="D2053" s="127">
        <f t="shared" si="6375"/>
        <v>98</v>
      </c>
      <c r="E2053" s="188">
        <f t="shared" ref="E2053" si="6376">D2052</f>
        <v>98</v>
      </c>
      <c r="F2053" s="92"/>
      <c r="G2053" s="190" t="s">
        <v>1</v>
      </c>
      <c r="H2053" s="193" t="s">
        <v>821</v>
      </c>
      <c r="I2053" s="194"/>
      <c r="J2053" s="195"/>
      <c r="K2053" s="66"/>
      <c r="L2053" s="185"/>
      <c r="M2053" s="187"/>
      <c r="N2053" s="70"/>
      <c r="O2053" s="27" t="s">
        <v>13</v>
      </c>
      <c r="P2053" s="122">
        <v>46196</v>
      </c>
      <c r="Q2053" s="122">
        <v>46196</v>
      </c>
      <c r="R2053" s="122">
        <v>46196</v>
      </c>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f t="shared" ref="B2054:D2054" si="6377">B2053</f>
        <v>98</v>
      </c>
      <c r="C2054" s="128">
        <f t="shared" si="6377"/>
        <v>1</v>
      </c>
      <c r="D2054" s="127">
        <f t="shared" si="6377"/>
        <v>98</v>
      </c>
      <c r="E2054" s="189"/>
      <c r="F2054" s="93"/>
      <c r="G2054" s="191"/>
      <c r="H2054" s="196"/>
      <c r="I2054" s="196"/>
      <c r="J2054" s="197"/>
      <c r="K2054" s="64"/>
      <c r="L2054" s="130" t="s">
        <v>44</v>
      </c>
      <c r="M2054" s="131">
        <v>1</v>
      </c>
      <c r="N2054" s="71"/>
      <c r="O2054" s="27" t="s">
        <v>380</v>
      </c>
      <c r="P2054" s="114" t="s">
        <v>302</v>
      </c>
      <c r="Q2054" s="114" t="s">
        <v>302</v>
      </c>
      <c r="R2054" s="114" t="s">
        <v>302</v>
      </c>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f t="shared" ref="B2055:C2055" si="6378">B2054</f>
        <v>98</v>
      </c>
      <c r="C2055" s="128">
        <f t="shared" si="6378"/>
        <v>1</v>
      </c>
      <c r="D2055" s="127">
        <f t="shared" si="6350"/>
        <v>98</v>
      </c>
      <c r="E2055" s="38" t="s">
        <v>313</v>
      </c>
      <c r="F2055" s="93"/>
      <c r="G2055" s="192"/>
      <c r="H2055" s="198"/>
      <c r="I2055" s="198"/>
      <c r="J2055" s="199"/>
      <c r="K2055" s="64"/>
      <c r="L2055" s="1" t="s">
        <v>2</v>
      </c>
      <c r="M2055" s="6" t="s">
        <v>288</v>
      </c>
      <c r="N2055" s="71"/>
      <c r="O2055" s="27" t="s">
        <v>381</v>
      </c>
      <c r="P2055" s="182" t="s">
        <v>822</v>
      </c>
      <c r="Q2055" s="182" t="s">
        <v>823</v>
      </c>
      <c r="R2055" s="182" t="s">
        <v>824</v>
      </c>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f t="shared" ref="B2056:C2056" si="6379">B2054</f>
        <v>98</v>
      </c>
      <c r="C2056" s="128">
        <f t="shared" si="6379"/>
        <v>1</v>
      </c>
      <c r="D2056" s="127">
        <f t="shared" si="6350"/>
        <v>98</v>
      </c>
      <c r="E2056" s="200">
        <f t="shared" ref="E2056" si="6380">C2052</f>
        <v>1</v>
      </c>
      <c r="F2056" s="93"/>
      <c r="G2056" s="202" t="s">
        <v>304</v>
      </c>
      <c r="H2056" s="204"/>
      <c r="I2056" s="205"/>
      <c r="J2056" s="205"/>
      <c r="K2056" s="67"/>
      <c r="L2056" s="28" t="s">
        <v>303</v>
      </c>
      <c r="M2056" s="133">
        <f t="shared" ref="M2056" si="6381">IFERROR(INDEX(I2058:I2070,MATCH(MAX(J2058:J2070),J2058:J2070,0)),"")</f>
        <v>6.5788849793480028E-2</v>
      </c>
      <c r="N2056" s="71"/>
      <c r="O2056" s="27" t="s">
        <v>18</v>
      </c>
      <c r="P2056" s="106">
        <f>IF(P2052="","",
IF(OR(P2054="Orçamento",P2053="",MAX('Tabela de Apoio'!$A:$A)&lt;=P2053),
P2052,
(INDEX('Tabela de Apoio'!$B:$B,MATCH('MAPA DE PREÇOS'!$O$8,'Tabela de Apoio'!$A:$A,1))/INDEX('Tabela de Apoio'!$B:$B,MATCH('MAPA DE PREÇOS'!P2053,'Tabela de Apoio'!$A:$A,1)-1))*P2052))</f>
        <v>59.99</v>
      </c>
      <c r="Q2056" s="106">
        <f>IF(Q2052="","",
IF(OR(Q2054="Orçamento",Q2053="",MAX('Tabela de Apoio'!$A:$A)&lt;=Q2053),
Q2052,
(INDEX('Tabela de Apoio'!$B:$B,MATCH('MAPA DE PREÇOS'!$O$8,'Tabela de Apoio'!$A:$A,1))/INDEX('Tabela de Apoio'!$B:$B,MATCH('MAPA DE PREÇOS'!Q2053,'Tabela de Apoio'!$A:$A,1)-1))*Q2052))</f>
        <v>59.99</v>
      </c>
      <c r="R2056" s="106">
        <f>IF(R2052="","",
IF(OR(R2054="Orçamento",R2053="",MAX('Tabela de Apoio'!$A:$A)&lt;=R2053),
R2052,
(INDEX('Tabela de Apoio'!$B:$B,MATCH('MAPA DE PREÇOS'!$O$8,'Tabela de Apoio'!$A:$A,1))/INDEX('Tabela de Apoio'!$B:$B,MATCH('MAPA DE PREÇOS'!R2053,'Tabela de Apoio'!$A:$A,1)-1))*R2052))</f>
        <v>51.99</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f t="shared" ref="B2057" si="6382">B2056</f>
        <v>98</v>
      </c>
      <c r="C2057" s="128">
        <f t="shared" ref="C2057" si="6383">C2056</f>
        <v>1</v>
      </c>
      <c r="D2057" s="127">
        <f t="shared" ref="D2057" si="6384">D2056</f>
        <v>98</v>
      </c>
      <c r="E2057" s="201"/>
      <c r="F2057" s="93"/>
      <c r="G2057" s="203"/>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f t="shared" ref="B2058:C2058" si="6385">B2057</f>
        <v>98</v>
      </c>
      <c r="C2058" s="128">
        <f t="shared" si="6385"/>
        <v>1</v>
      </c>
      <c r="D2058" s="127">
        <f t="shared" si="6350"/>
        <v>98</v>
      </c>
      <c r="E2058" s="201"/>
      <c r="F2058" s="93"/>
      <c r="G2058" s="203"/>
      <c r="H2058" s="134">
        <f t="shared" ref="H2058" si="6386">COUNT($P2058:$XX2058)</f>
        <v>3</v>
      </c>
      <c r="I2058" s="132">
        <f t="shared" ref="I2058" si="6387">_xlfn.STDEV.P($P2057:$XX2058)/AVERAGE($P2057:$XX2058)</f>
        <v>6.5788849793480028E-2</v>
      </c>
      <c r="J2058" s="7">
        <f>ROW()</f>
        <v>2058</v>
      </c>
      <c r="K2058" s="67"/>
      <c r="L2058" s="29" t="s">
        <v>10</v>
      </c>
      <c r="M2058" s="30">
        <f t="shared" ref="M2058" si="6388">IFERROR(
IF(COUNTA(P2052:AI2052)=COUNTIF(P2054:XX2054,"Orçamento"),MIN(M2063,M2060),
IF(M2061&lt;&gt;"",M2061,
IF(M2062&lt;&gt;"",M2062,
M2060
))),"")</f>
        <v>57.323333333333331</v>
      </c>
      <c r="N2058" s="71"/>
      <c r="O2058" s="27" t="s">
        <v>376</v>
      </c>
      <c r="P2058" s="106">
        <f t="shared" ref="P2058:AI2058" si="6389">IFERROR(IF(P2056="",
            "",
            IF(COUNT($P2056:$XX2056)&lt;=4,
               P2056,
               IF(OR(P2056&gt;(QUARTILE($P2056:$XX2056,3)+(QUARTILE($P2056:$XX2056,3)-QUARTILE($P2056:$XX2056,1))),
                     P2056&lt;(QUARTILE($P2056:$XX2056,1)-(QUARTILE($P2056:$XX2056,3)-QUARTILE($P2056:$XX2056,1)))
                  ),
               "DESCARTADO",P2056)
             )
  ),P2056)</f>
        <v>59.99</v>
      </c>
      <c r="Q2058" s="106">
        <f t="shared" si="6389"/>
        <v>59.99</v>
      </c>
      <c r="R2058" s="106">
        <f t="shared" si="6389"/>
        <v>51.99</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f t="shared" ref="B2059" si="6390">B2058</f>
        <v>98</v>
      </c>
      <c r="C2059" s="128">
        <f t="shared" ref="C2059" si="6391">C2058</f>
        <v>1</v>
      </c>
      <c r="D2059" s="127">
        <f t="shared" ref="D2059" si="6392">D2058</f>
        <v>98</v>
      </c>
      <c r="E2059" s="201"/>
      <c r="F2059" s="93"/>
      <c r="G2059" s="203"/>
      <c r="H2059"/>
      <c r="I2059"/>
      <c r="J2059"/>
      <c r="K2059" s="66"/>
      <c r="L2059" s="29" t="s">
        <v>360</v>
      </c>
      <c r="M2059" s="30">
        <f t="shared" ref="M2059" si="6393">AVERAGE($P2058:$XX2058)</f>
        <v>57.323333333333331</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f t="shared" si="6350"/>
        <v>98</v>
      </c>
      <c r="C2060" s="128">
        <f t="shared" si="6350"/>
        <v>1</v>
      </c>
      <c r="D2060" s="127">
        <f t="shared" si="6350"/>
        <v>98</v>
      </c>
      <c r="E2060" s="201"/>
      <c r="F2060" s="93"/>
      <c r="G2060" s="203"/>
      <c r="H2060" s="134">
        <f t="shared" ref="H2060" si="6395">COUNT($P2060:$XX2060)</f>
        <v>3</v>
      </c>
      <c r="I2060" s="132">
        <f t="shared" ref="I2060" si="6396">_xlfn.STDEV.P($P2059:$XX2060)/AVERAGE($P2059:$XX2060)</f>
        <v>6.5788849793480028E-2</v>
      </c>
      <c r="J2060" s="7">
        <f t="shared" ref="J2060" si="6397">IF(AND(H2060&gt;2,
OR(L2052="MÉDIA SANEADA",L2052="MEDIANA SANEADA",
AND(L2052="PREÇO ESTIMADO",NOT(AND(P2054="Orçamento",COUNTA(P2052:XX2052)=COUNTIF(P2054:XX2054,"Orçamento")))))),
ROW(),0)</f>
        <v>2060</v>
      </c>
      <c r="K2060" s="66"/>
      <c r="L2060" s="29" t="s">
        <v>361</v>
      </c>
      <c r="M2060" s="30">
        <f t="shared" ref="M2060" si="6398">MEDIAN($P2058:$XX2058)</f>
        <v>59.99</v>
      </c>
      <c r="N2060" s="71"/>
      <c r="O2060" s="27" t="str">
        <f t="shared" ref="O2060" si="6399">"1 RODADA"</f>
        <v>1 RODADA</v>
      </c>
      <c r="P2060" s="107">
        <f t="shared" ref="P2060:AI2060" si="6400">IF(P2058="","",IF((_xlfn.STDEV.P($P2057:$XX2058)/AVERAGE($P2057:$XX2058))&lt;=25%,P2058,IF(OR(P2058&gt;(AVERAGE($P2057:$XX2058)+_xlfn.STDEV.P($P2057:$XX2058)),P2058&lt;(AVERAGE($P2057:$XX2058)-_xlfn.STDEV.P($P2057:$XX2058))),"DESCARTADO",P2058)))</f>
        <v>59.99</v>
      </c>
      <c r="Q2060" s="107">
        <f t="shared" si="6400"/>
        <v>59.99</v>
      </c>
      <c r="R2060" s="107">
        <f t="shared" si="6400"/>
        <v>51.99</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f t="shared" ref="B2061:D2076" si="6401">B2060</f>
        <v>98</v>
      </c>
      <c r="C2061" s="128">
        <f t="shared" si="6401"/>
        <v>1</v>
      </c>
      <c r="D2061" s="127">
        <f t="shared" si="6401"/>
        <v>98</v>
      </c>
      <c r="E2061" s="201"/>
      <c r="F2061" s="93"/>
      <c r="G2061" s="203"/>
      <c r="H2061"/>
      <c r="I2061"/>
      <c r="J2061"/>
      <c r="L2061" s="29" t="s">
        <v>38</v>
      </c>
      <c r="M2061" s="30">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57.323333333333331</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f t="shared" si="6401"/>
        <v>98</v>
      </c>
      <c r="C2062" s="128">
        <f t="shared" si="6401"/>
        <v>1</v>
      </c>
      <c r="D2062" s="127">
        <f t="shared" si="6401"/>
        <v>98</v>
      </c>
      <c r="E2062" s="201"/>
      <c r="F2062" s="93"/>
      <c r="G2062" s="203"/>
      <c r="H2062" s="134">
        <f t="shared" ref="H2062" si="6404">COUNT($P2062:$XX2062)</f>
        <v>3</v>
      </c>
      <c r="I2062" s="132">
        <f t="shared" ref="I2062" si="6405">_xlfn.STDEV.P($P2061:$XX2062)/AVERAGE($P2061:$XX2062)</f>
        <v>6.5788849793480028E-2</v>
      </c>
      <c r="J2062" s="7">
        <f t="shared" ref="J2062" si="6406">IF(AND(H2062&gt;2,
OR(L2052="MÉDIA SANEADA",L2052="MEDIANA SANEADA",
AND(L2052="PREÇO ESTIMADO",NOT(AND(P2054="Orçamento",COUNTA(P2052:XX2052)=COUNTIF(P2054:XX2054,"Orçamento")))))),
ROW(),0)</f>
        <v>2062</v>
      </c>
      <c r="K2062" s="66"/>
      <c r="L2062" s="29" t="s">
        <v>362</v>
      </c>
      <c r="M2062" s="30">
        <f t="shared" ref="M2062" si="6407" xml:space="preserve">
IF(H2060&gt;2,MEDIAN(P2059:XX2060),
IF(H2062&gt;2,MEDIAN(P2061:XX2062),
IF(H2064&gt;2,MEDIAN(P2063:XX2064),
IF(H2066&gt;2,MEDIAN(P2065:XX2066),
IF(H2068&gt;2,MEDIAN(P2067:XX2068),
IF(H2070&gt;2,MEDIAN(P2069:XX2070),
MEDIAN(P2057:XX2058)))))))</f>
        <v>59.99</v>
      </c>
      <c r="N2062" s="71"/>
      <c r="O2062" s="27" t="str">
        <f t="shared" ref="O2062" si="6408">"2 RODADA"</f>
        <v>2 RODADA</v>
      </c>
      <c r="P2062" s="107">
        <f t="shared" ref="P2062:AI2062" si="6409">IF(P2060="","",IF((_xlfn.STDEV.P($P2059:$XX2060)/AVERAGE($P2059:$XX2060))&lt;=25%,P2060,IF(OR(P2060&gt;(AVERAGE($P2059:$XX2060)+_xlfn.STDEV.P($P2059:$XX2060)),P2060&lt;(AVERAGE($P2059:$XX2060)-_xlfn.STDEV.P($P2059:$XX2060))),"DESCARTADO",P2060)))</f>
        <v>59.99</v>
      </c>
      <c r="Q2062" s="107">
        <f t="shared" si="6409"/>
        <v>59.99</v>
      </c>
      <c r="R2062" s="107">
        <f t="shared" si="6409"/>
        <v>51.99</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f t="shared" si="6401"/>
        <v>98</v>
      </c>
      <c r="C2063" s="128">
        <f t="shared" si="6401"/>
        <v>1</v>
      </c>
      <c r="D2063" s="127">
        <f t="shared" si="6401"/>
        <v>98</v>
      </c>
      <c r="E2063" s="201"/>
      <c r="F2063" s="93"/>
      <c r="G2063" s="203"/>
      <c r="H2063"/>
      <c r="I2063"/>
      <c r="J2063"/>
      <c r="K2063" s="66"/>
      <c r="L2063" s="29" t="s">
        <v>359</v>
      </c>
      <c r="M2063" s="30">
        <f t="shared" ref="M2063" si="6410">HARMEAN($P2057:$XX2058)</f>
        <v>57.063123132280296</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f t="shared" si="6401"/>
        <v>98</v>
      </c>
      <c r="C2064" s="128">
        <f t="shared" si="6401"/>
        <v>1</v>
      </c>
      <c r="D2064" s="127">
        <f t="shared" si="6401"/>
        <v>98</v>
      </c>
      <c r="E2064" s="201"/>
      <c r="F2064" s="93"/>
      <c r="G2064" s="203"/>
      <c r="H2064" s="134">
        <f t="shared" ref="H2064" si="6412">COUNT($P2064:$XX2064)</f>
        <v>3</v>
      </c>
      <c r="I2064" s="132">
        <f t="shared" ref="I2064" si="6413">_xlfn.STDEV.P($P2063:$XX2064)/AVERAGE($P2063:$XX2064)</f>
        <v>6.5788849793480028E-2</v>
      </c>
      <c r="J2064" s="7">
        <f t="shared" ref="J2064" si="6414">IF(AND(H2064&gt;2,
OR(L2052="MÉDIA SANEADA",L2052="MEDIANA SANEADA",
AND(L2052="PREÇO ESTIMADO",NOT(AND(P2054="Orçamento",COUNTA(P2052:XX2052)=COUNTIF(P2054:XX2054,"Orçamento")))))),
ROW(),0)</f>
        <v>2064</v>
      </c>
      <c r="K2064" s="66"/>
      <c r="L2064" s="29" t="s">
        <v>41</v>
      </c>
      <c r="M2064" s="30">
        <f t="shared" ref="M2064" si="6415">IFERROR(_xlfn.QUARTILE.EXC($P2058:$XX2058,1),"")</f>
        <v>51.99</v>
      </c>
      <c r="N2064" s="71"/>
      <c r="O2064" s="27" t="str">
        <f t="shared" ref="O2064" si="6416">"3 RODADA"</f>
        <v>3 RODADA</v>
      </c>
      <c r="P2064" s="107">
        <f t="shared" ref="P2064:AI2064" si="6417">IF(P2062="","",IF((_xlfn.STDEV.P($P2061:$XX2062)/AVERAGE($P2061:$XX2062))&lt;=25%,P2062,IF(OR(P2062&gt;(AVERAGE($P2061:$XX2062)+_xlfn.STDEV.P($P2061:$XX2062)),P2062&lt;(AVERAGE($P2061:$XX2062)-_xlfn.STDEV.P($P2061:$XX2062))),"DESCARTADO",P2062)))</f>
        <v>59.99</v>
      </c>
      <c r="Q2064" s="107">
        <f t="shared" si="6417"/>
        <v>59.99</v>
      </c>
      <c r="R2064" s="107">
        <f t="shared" si="6417"/>
        <v>51.99</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f t="shared" si="6401"/>
        <v>98</v>
      </c>
      <c r="C2065" s="128">
        <f t="shared" si="6401"/>
        <v>1</v>
      </c>
      <c r="D2065" s="127">
        <f t="shared" si="6401"/>
        <v>98</v>
      </c>
      <c r="E2065" s="201"/>
      <c r="F2065" s="93"/>
      <c r="G2065" s="203"/>
      <c r="H2065"/>
      <c r="I2065"/>
      <c r="J2065"/>
      <c r="K2065" s="66"/>
      <c r="L2065" s="29" t="s">
        <v>39</v>
      </c>
      <c r="M2065" s="30">
        <f t="shared" ref="M2065" si="6418">IFERROR(_xlfn.QUARTILE.EXC($P2058:$XX2058,3),"")</f>
        <v>59.99</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f t="shared" si="6401"/>
        <v>98</v>
      </c>
      <c r="C2066" s="128">
        <f t="shared" si="6401"/>
        <v>1</v>
      </c>
      <c r="D2066" s="127">
        <f t="shared" si="6401"/>
        <v>98</v>
      </c>
      <c r="E2066" s="201"/>
      <c r="F2066" s="93"/>
      <c r="G2066" s="203"/>
      <c r="H2066" s="134">
        <f t="shared" ref="H2066" si="6420">COUNT($P2066:$XX2066)</f>
        <v>3</v>
      </c>
      <c r="I2066" s="132">
        <f t="shared" ref="I2066" si="6421">_xlfn.STDEV.P($P2065:$XX2066)/AVERAGE($P2065:$XX2066)</f>
        <v>6.5788849793480028E-2</v>
      </c>
      <c r="J2066" s="7">
        <f t="shared" ref="J2066" si="6422">IF(AND(H2066&gt;2,
OR(L2052="MÉDIA SANEADA",L2052="MEDIANA SANEADA",
AND(L2052="PREÇO ESTIMADO",NOT(AND(P2054="Orçamento",COUNTA(P2052:XX2052)=COUNTIF(P2054:XX2054,"Orçamento")))))),
ROW(),0)</f>
        <v>2066</v>
      </c>
      <c r="K2066" s="66"/>
      <c r="L2066" s="29" t="s">
        <v>42</v>
      </c>
      <c r="M2066" s="30">
        <f t="shared" ref="M2066" si="6423">MIN($P2058:$XX2058)</f>
        <v>51.99</v>
      </c>
      <c r="N2066" s="71"/>
      <c r="O2066" s="27" t="str">
        <f t="shared" ref="O2066" si="6424">"4 RODADA"</f>
        <v>4 RODADA</v>
      </c>
      <c r="P2066" s="107">
        <f t="shared" ref="P2066:AI2066" si="6425">IF(P2064="","",IF((_xlfn.STDEV.P($P2063:$XX2064)/AVERAGE($P2063:$XX2064))&lt;=25%,P2064,IF(OR(P2064&gt;(AVERAGE($P2063:$XX2064)+_xlfn.STDEV.P($P2063:$XX2064)),P2064&lt;(AVERAGE($P2063:$XX2064)-_xlfn.STDEV.P($P2063:$XX2064))),"DESCARTADO",P2064)))</f>
        <v>59.99</v>
      </c>
      <c r="Q2066" s="107">
        <f t="shared" si="6425"/>
        <v>59.99</v>
      </c>
      <c r="R2066" s="107">
        <f t="shared" si="6425"/>
        <v>51.99</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f t="shared" si="6401"/>
        <v>98</v>
      </c>
      <c r="C2067" s="128">
        <f t="shared" si="6401"/>
        <v>1</v>
      </c>
      <c r="D2067" s="127">
        <f t="shared" si="6401"/>
        <v>98</v>
      </c>
      <c r="E2067" s="201"/>
      <c r="F2067" s="93"/>
      <c r="G2067" s="203"/>
      <c r="H2067"/>
      <c r="I2067"/>
      <c r="J2067"/>
      <c r="K2067" s="66"/>
      <c r="L2067" s="29" t="s">
        <v>40</v>
      </c>
      <c r="M2067" s="30">
        <f t="shared" ref="M2067" si="6426">MAX($P2058:$XX2058)</f>
        <v>59.99</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f t="shared" si="6401"/>
        <v>98</v>
      </c>
      <c r="C2068" s="128">
        <f t="shared" si="6401"/>
        <v>1</v>
      </c>
      <c r="D2068" s="127">
        <f t="shared" si="6401"/>
        <v>98</v>
      </c>
      <c r="E2068" s="201"/>
      <c r="F2068" s="93"/>
      <c r="G2068" s="203"/>
      <c r="H2068" s="134">
        <f t="shared" ref="H2068" si="6428">COUNT($P2068:$XX2068)</f>
        <v>3</v>
      </c>
      <c r="I2068" s="132">
        <f t="shared" ref="I2068" si="6429">_xlfn.STDEV.P($P2067:$XX2068)/AVERAGE($P2067:$XX2068)</f>
        <v>6.5788849793480028E-2</v>
      </c>
      <c r="J2068" s="7">
        <f t="shared" ref="J2068" si="6430">IF(AND(H2068&gt;2,
OR(L2052="MÉDIA SANEADA",L2052="MEDIANA SANEADA",
AND(L2052="PREÇO ESTIMADO",NOT(AND(P2054="Orçamento",COUNTA(P2052:XX2052)=COUNTIF(P2054:XX2054,"Orçamento")))))),
ROW(),0)</f>
        <v>2068</v>
      </c>
      <c r="K2068" s="66"/>
      <c r="N2068" s="71"/>
      <c r="O2068" s="27" t="str">
        <f t="shared" ref="O2068" si="6431">"5 RODADA"</f>
        <v>5 RODADA</v>
      </c>
      <c r="P2068" s="107">
        <f t="shared" ref="P2068:AI2068" si="6432">IF(P2066="","",IF((_xlfn.STDEV.P($P2065:$XX2066)/AVERAGE($P2065:$XX2066))&lt;=25%,P2066,IF(OR(P2066&gt;(AVERAGE($P2065:$XX2066)+_xlfn.STDEV.P($P2065:$XX2066)),P2066&lt;(AVERAGE($P2065:$XX2066)-_xlfn.STDEV.P($P2065:$XX2066))),"DESCARTADO",P2066)))</f>
        <v>59.99</v>
      </c>
      <c r="Q2068" s="107">
        <f t="shared" si="6432"/>
        <v>59.99</v>
      </c>
      <c r="R2068" s="107">
        <f t="shared" si="6432"/>
        <v>51.99</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f t="shared" si="6401"/>
        <v>98</v>
      </c>
      <c r="C2069" s="128">
        <f t="shared" si="6401"/>
        <v>1</v>
      </c>
      <c r="D2069" s="127">
        <f t="shared" si="6401"/>
        <v>98</v>
      </c>
      <c r="E2069" s="201"/>
      <c r="F2069" s="93"/>
      <c r="G2069" s="203"/>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f t="shared" si="6401"/>
        <v>98</v>
      </c>
      <c r="C2070" s="128">
        <f t="shared" si="6401"/>
        <v>1</v>
      </c>
      <c r="D2070" s="127">
        <f t="shared" si="6401"/>
        <v>98</v>
      </c>
      <c r="E2070" s="201"/>
      <c r="F2070" s="93"/>
      <c r="G2070" s="203"/>
      <c r="H2070" s="134">
        <f t="shared" ref="H2070" si="6434">COUNT($P2070:$XX2070)</f>
        <v>3</v>
      </c>
      <c r="I2070" s="132">
        <f t="shared" ref="I2070" si="6435">_xlfn.STDEV.P($P2069:$XX2070)/AVERAGE($P2069:$XX2070)</f>
        <v>6.5788849793480028E-2</v>
      </c>
      <c r="J2070" s="7">
        <f t="shared" ref="J2070" si="6436">IF(AND(H2070&gt;2,
OR(L2052="MÉDIA SANEADA",L2052="MEDIANA SANEADA",
AND(L2052="PREÇO ESTIMADO",NOT(AND(P2054="Orçamento",COUNTA(P2052:XX2052)=COUNTIF(P2054:XX2054,"Orçamento")))))),
ROW(),0)</f>
        <v>2070</v>
      </c>
      <c r="N2070" s="71"/>
      <c r="O2070" s="27" t="str">
        <f t="shared" ref="O2070" si="6437">"6 RODADA"</f>
        <v>6 RODADA</v>
      </c>
      <c r="P2070" s="107">
        <f t="shared" ref="P2070:AI2070" si="6438">IFERROR(IF(P2068="","",IF((_xlfn.STDEV.P($P2067:$XX2068)/AVERAGE($P2067:$XX2068))&lt;=25%,P2068,IF(OR(P2068&gt;(AVERAGE($P2067:$XX2068)+_xlfn.STDEV.P($P2067:$XX2068)),P2068&lt;(AVERAGE($P2067:$XX2068)-_xlfn.STDEV.P($P2067:$XX2068))),"DESCARTADO",P2068))),)</f>
        <v>59.99</v>
      </c>
      <c r="Q2070" s="107">
        <f t="shared" si="6438"/>
        <v>59.99</v>
      </c>
      <c r="R2070" s="107">
        <f t="shared" si="6438"/>
        <v>51.99</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f t="shared" si="6401"/>
        <v>98</v>
      </c>
      <c r="C2071" s="128">
        <f t="shared" si="6401"/>
        <v>1</v>
      </c>
      <c r="D2071" s="127">
        <f t="shared" si="6401"/>
        <v>98</v>
      </c>
      <c r="E2071" s="201"/>
      <c r="F2071" s="136"/>
      <c r="G2071" s="203"/>
      <c r="H2071" s="206"/>
      <c r="I2071" s="206"/>
      <c r="J2071" s="207"/>
      <c r="K2071" s="67"/>
      <c r="L2071" s="1" t="s">
        <v>43</v>
      </c>
      <c r="M2071" s="143">
        <f t="shared" ref="M2071" si="6439">IFERROR(ROUND(M2052*M2054,2),"")</f>
        <v>57.32</v>
      </c>
      <c r="O2071" s="27" t="s">
        <v>363</v>
      </c>
      <c r="P2071" s="107">
        <f t="shared" ref="P2071:AI2092" si="6440">INDEX(P2058:P2070,MATCH(MAX($J2058:$J2070),$J2058:$J2070,0))</f>
        <v>59.99</v>
      </c>
      <c r="Q2071" s="107">
        <f t="shared" si="6440"/>
        <v>59.99</v>
      </c>
      <c r="R2071" s="107">
        <f t="shared" si="6440"/>
        <v>51.99</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f t="shared" ref="B2073" si="6441">LARGE(IFERROR(IF(B2071+1&gt;$H$8,"",B2071+1),""),1)</f>
        <v>99</v>
      </c>
      <c r="C2073" s="127">
        <f>IF(_xlfn.ISFORMULA(E2077),MAX(INDEX('BASE FORMAÇÃO'!A:A,B2073+1),1),E2077)</f>
        <v>1</v>
      </c>
      <c r="D2073" s="127">
        <f t="shared" ref="D2073" si="6442">IFERROR(IF(C2073=C2063,D2063+1,1),1)</f>
        <v>99</v>
      </c>
      <c r="E2073" s="38" t="s">
        <v>9</v>
      </c>
      <c r="F2073" s="73"/>
      <c r="G2073" s="38" t="s">
        <v>15</v>
      </c>
      <c r="H2073" s="135">
        <f>INDEX('BASE FORMAÇÃO'!B:B,B2073+1)</f>
        <v>0</v>
      </c>
      <c r="I2073" s="181" t="s">
        <v>16</v>
      </c>
      <c r="J2073" s="6">
        <f>INDEX('BASE FORMAÇÃO'!K:K,B2073+1)</f>
        <v>0</v>
      </c>
      <c r="K2073" s="65"/>
      <c r="L2073" s="184" t="s">
        <v>10</v>
      </c>
      <c r="M2073" s="186">
        <f t="shared" ref="M2073" si="6443">IF(OR(ISBLANK($O$8),ISBLANK($O$7),ISBLANK($H$8),ISBLANK($O$6),ISBLANK($O$5),ISBLANK($H$5)),"",IFERROR(IF(VLOOKUP(L2073,L2079:M2088,2,FALSE)&lt;1,ROUND(VLOOKUP(L2073,L2079:M2088,2,FALSE),4),ROUND(VLOOKUP(L2073,L2079:M2088,2,FALSE),2)),""))</f>
        <v>57.36</v>
      </c>
      <c r="N2073" s="69"/>
      <c r="O2073" s="27" t="s">
        <v>17</v>
      </c>
      <c r="P2073" s="113">
        <v>53.15</v>
      </c>
      <c r="Q2073" s="113">
        <v>55.01</v>
      </c>
      <c r="R2073" s="113">
        <v>63.92</v>
      </c>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f t="shared" ref="B2074:D2074" si="6444">B2073</f>
        <v>99</v>
      </c>
      <c r="C2074" s="128">
        <f t="shared" si="6444"/>
        <v>1</v>
      </c>
      <c r="D2074" s="127">
        <f t="shared" si="6444"/>
        <v>99</v>
      </c>
      <c r="E2074" s="188">
        <f t="shared" ref="E2074" si="6445">D2073</f>
        <v>99</v>
      </c>
      <c r="F2074" s="92"/>
      <c r="G2074" s="190" t="s">
        <v>1</v>
      </c>
      <c r="H2074" s="193" t="s">
        <v>825</v>
      </c>
      <c r="I2074" s="194"/>
      <c r="J2074" s="195"/>
      <c r="K2074" s="66"/>
      <c r="L2074" s="185"/>
      <c r="M2074" s="187"/>
      <c r="N2074" s="70"/>
      <c r="O2074" s="27" t="s">
        <v>13</v>
      </c>
      <c r="P2074" s="122">
        <v>46196</v>
      </c>
      <c r="Q2074" s="122">
        <v>46196</v>
      </c>
      <c r="R2074" s="122">
        <v>46196</v>
      </c>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f t="shared" ref="B2075:D2075" si="6446">B2074</f>
        <v>99</v>
      </c>
      <c r="C2075" s="128">
        <f t="shared" si="6446"/>
        <v>1</v>
      </c>
      <c r="D2075" s="127">
        <f t="shared" si="6446"/>
        <v>99</v>
      </c>
      <c r="E2075" s="189"/>
      <c r="F2075" s="93"/>
      <c r="G2075" s="191"/>
      <c r="H2075" s="196"/>
      <c r="I2075" s="196"/>
      <c r="J2075" s="197"/>
      <c r="K2075" s="64"/>
      <c r="L2075" s="130" t="s">
        <v>44</v>
      </c>
      <c r="M2075" s="131">
        <v>8</v>
      </c>
      <c r="N2075" s="71"/>
      <c r="O2075" s="27" t="s">
        <v>380</v>
      </c>
      <c r="P2075" s="114" t="s">
        <v>302</v>
      </c>
      <c r="Q2075" s="114" t="s">
        <v>302</v>
      </c>
      <c r="R2075" s="114" t="s">
        <v>302</v>
      </c>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f t="shared" ref="B2076:C2076" si="6447">B2075</f>
        <v>99</v>
      </c>
      <c r="C2076" s="128">
        <f t="shared" si="6447"/>
        <v>1</v>
      </c>
      <c r="D2076" s="127">
        <f t="shared" si="6401"/>
        <v>99</v>
      </c>
      <c r="E2076" s="38" t="s">
        <v>313</v>
      </c>
      <c r="F2076" s="93"/>
      <c r="G2076" s="192"/>
      <c r="H2076" s="198"/>
      <c r="I2076" s="198"/>
      <c r="J2076" s="199"/>
      <c r="K2076" s="64"/>
      <c r="L2076" s="1" t="s">
        <v>2</v>
      </c>
      <c r="M2076" s="6" t="s">
        <v>288</v>
      </c>
      <c r="N2076" s="71"/>
      <c r="O2076" s="27" t="s">
        <v>381</v>
      </c>
      <c r="P2076" s="182" t="s">
        <v>826</v>
      </c>
      <c r="Q2076" s="182" t="s">
        <v>827</v>
      </c>
      <c r="R2076" s="182" t="s">
        <v>828</v>
      </c>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f t="shared" ref="B2077:C2077" si="6448">B2075</f>
        <v>99</v>
      </c>
      <c r="C2077" s="128">
        <f t="shared" si="6448"/>
        <v>1</v>
      </c>
      <c r="D2077" s="127">
        <f t="shared" ref="D2077:D2140" si="6449">D2076</f>
        <v>99</v>
      </c>
      <c r="E2077" s="200">
        <f t="shared" ref="E2077" si="6450">C2073</f>
        <v>1</v>
      </c>
      <c r="F2077" s="93"/>
      <c r="G2077" s="202" t="s">
        <v>304</v>
      </c>
      <c r="H2077" s="204"/>
      <c r="I2077" s="205"/>
      <c r="J2077" s="205"/>
      <c r="K2077" s="67"/>
      <c r="L2077" s="28" t="s">
        <v>303</v>
      </c>
      <c r="M2077" s="133">
        <f t="shared" ref="M2077" si="6451">IFERROR(INDEX(I2079:I2091,MATCH(MAX(J2079:J2091),J2079:J2091,0)),"")</f>
        <v>8.1944938776339168E-2</v>
      </c>
      <c r="N2077" s="71"/>
      <c r="O2077" s="27" t="s">
        <v>18</v>
      </c>
      <c r="P2077" s="106">
        <f>IF(P2073="","",
IF(OR(P2075="Orçamento",P2074="",MAX('Tabela de Apoio'!$A:$A)&lt;=P2074),
P2073,
(INDEX('Tabela de Apoio'!$B:$B,MATCH('MAPA DE PREÇOS'!$O$8,'Tabela de Apoio'!$A:$A,1))/INDEX('Tabela de Apoio'!$B:$B,MATCH('MAPA DE PREÇOS'!P2074,'Tabela de Apoio'!$A:$A,1)-1))*P2073))</f>
        <v>53.15</v>
      </c>
      <c r="Q2077" s="106">
        <f>IF(Q2073="","",
IF(OR(Q2075="Orçamento",Q2074="",MAX('Tabela de Apoio'!$A:$A)&lt;=Q2074),
Q2073,
(INDEX('Tabela de Apoio'!$B:$B,MATCH('MAPA DE PREÇOS'!$O$8,'Tabela de Apoio'!$A:$A,1))/INDEX('Tabela de Apoio'!$B:$B,MATCH('MAPA DE PREÇOS'!Q2074,'Tabela de Apoio'!$A:$A,1)-1))*Q2073))</f>
        <v>55.01</v>
      </c>
      <c r="R2077" s="106">
        <f>IF(R2073="","",
IF(OR(R2075="Orçamento",R2074="",MAX('Tabela de Apoio'!$A:$A)&lt;=R2074),
R2073,
(INDEX('Tabela de Apoio'!$B:$B,MATCH('MAPA DE PREÇOS'!$O$8,'Tabela de Apoio'!$A:$A,1))/INDEX('Tabela de Apoio'!$B:$B,MATCH('MAPA DE PREÇOS'!R2074,'Tabela de Apoio'!$A:$A,1)-1))*R2073))</f>
        <v>63.92</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f t="shared" ref="B2078" si="6452">B2077</f>
        <v>99</v>
      </c>
      <c r="C2078" s="128">
        <f t="shared" ref="C2078" si="6453">C2077</f>
        <v>1</v>
      </c>
      <c r="D2078" s="127">
        <f t="shared" si="6449"/>
        <v>99</v>
      </c>
      <c r="E2078" s="201"/>
      <c r="F2078" s="93"/>
      <c r="G2078" s="203"/>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f t="shared" ref="B2079:C2079" si="6454">B2078</f>
        <v>99</v>
      </c>
      <c r="C2079" s="128">
        <f t="shared" si="6454"/>
        <v>1</v>
      </c>
      <c r="D2079" s="127">
        <f t="shared" si="6449"/>
        <v>99</v>
      </c>
      <c r="E2079" s="201"/>
      <c r="F2079" s="93"/>
      <c r="G2079" s="203"/>
      <c r="H2079" s="134">
        <f t="shared" ref="H2079" si="6455">COUNT($P2079:$XX2079)</f>
        <v>3</v>
      </c>
      <c r="I2079" s="132">
        <f t="shared" ref="I2079" si="6456">_xlfn.STDEV.P($P2078:$XX2079)/AVERAGE($P2078:$XX2079)</f>
        <v>8.1944938776339168E-2</v>
      </c>
      <c r="J2079" s="7">
        <f>ROW()</f>
        <v>2079</v>
      </c>
      <c r="K2079" s="67"/>
      <c r="L2079" s="29" t="s">
        <v>10</v>
      </c>
      <c r="M2079" s="30">
        <f t="shared" ref="M2079" si="6457">IFERROR(
IF(COUNTA(P2073:AI2073)=COUNTIF(P2075:XX2075,"Orçamento"),MIN(M2084,M2081),
IF(M2082&lt;&gt;"",M2082,
IF(M2083&lt;&gt;"",M2083,
M2081
))),"")</f>
        <v>57.359999999999992</v>
      </c>
      <c r="N2079" s="71"/>
      <c r="O2079" s="27" t="s">
        <v>376</v>
      </c>
      <c r="P2079" s="106">
        <f t="shared" ref="P2079:AI2079" si="6458">IFERROR(IF(P2077="",
            "",
            IF(COUNT($P2077:$XX2077)&lt;=4,
               P2077,
               IF(OR(P2077&gt;(QUARTILE($P2077:$XX2077,3)+(QUARTILE($P2077:$XX2077,3)-QUARTILE($P2077:$XX2077,1))),
                     P2077&lt;(QUARTILE($P2077:$XX2077,1)-(QUARTILE($P2077:$XX2077,3)-QUARTILE($P2077:$XX2077,1)))
                  ),
               "DESCARTADO",P2077)
             )
  ),P2077)</f>
        <v>53.15</v>
      </c>
      <c r="Q2079" s="106">
        <f t="shared" si="6458"/>
        <v>55.01</v>
      </c>
      <c r="R2079" s="106">
        <f t="shared" si="6458"/>
        <v>63.92</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f t="shared" ref="B2080:B2134" si="6459">B2079</f>
        <v>99</v>
      </c>
      <c r="C2080" s="128">
        <f t="shared" ref="C2080:C2134" si="6460">C2079</f>
        <v>1</v>
      </c>
      <c r="D2080" s="127">
        <f t="shared" si="6449"/>
        <v>99</v>
      </c>
      <c r="E2080" s="201"/>
      <c r="F2080" s="93"/>
      <c r="G2080" s="203"/>
      <c r="H2080"/>
      <c r="I2080"/>
      <c r="J2080"/>
      <c r="K2080" s="66"/>
      <c r="L2080" s="29" t="s">
        <v>360</v>
      </c>
      <c r="M2080" s="30">
        <f t="shared" ref="M2080" si="6461">AVERAGE($P2079:$XX2079)</f>
        <v>57.359999999999992</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f t="shared" si="6459"/>
        <v>99</v>
      </c>
      <c r="C2081" s="128">
        <f t="shared" si="6460"/>
        <v>1</v>
      </c>
      <c r="D2081" s="127">
        <f t="shared" si="6449"/>
        <v>99</v>
      </c>
      <c r="E2081" s="201"/>
      <c r="F2081" s="93"/>
      <c r="G2081" s="203"/>
      <c r="H2081" s="134">
        <f t="shared" ref="H2081" si="6463">COUNT($P2081:$XX2081)</f>
        <v>3</v>
      </c>
      <c r="I2081" s="132">
        <f t="shared" ref="I2081" si="6464">_xlfn.STDEV.P($P2080:$XX2081)/AVERAGE($P2080:$XX2081)</f>
        <v>8.1944938776339168E-2</v>
      </c>
      <c r="J2081" s="7">
        <f t="shared" ref="J2081" si="6465">IF(AND(H2081&gt;2,
OR(L2073="MÉDIA SANEADA",L2073="MEDIANA SANEADA",
AND(L2073="PREÇO ESTIMADO",NOT(AND(P2075="Orçamento",COUNTA(P2073:XX2073)=COUNTIF(P2075:XX2075,"Orçamento")))))),
ROW(),0)</f>
        <v>2081</v>
      </c>
      <c r="K2081" s="66"/>
      <c r="L2081" s="29" t="s">
        <v>361</v>
      </c>
      <c r="M2081" s="30">
        <f t="shared" ref="M2081" si="6466">MEDIAN($P2079:$XX2079)</f>
        <v>55.01</v>
      </c>
      <c r="N2081" s="71"/>
      <c r="O2081" s="27" t="str">
        <f t="shared" ref="O2081" si="6467">"1 RODADA"</f>
        <v>1 RODADA</v>
      </c>
      <c r="P2081" s="107">
        <f t="shared" ref="P2081:AI2081" si="6468">IF(P2079="","",IF((_xlfn.STDEV.P($P2078:$XX2079)/AVERAGE($P2078:$XX2079))&lt;=25%,P2079,IF(OR(P2079&gt;(AVERAGE($P2078:$XX2079)+_xlfn.STDEV.P($P2078:$XX2079)),P2079&lt;(AVERAGE($P2078:$XX2079)-_xlfn.STDEV.P($P2078:$XX2079))),"DESCARTADO",P2079)))</f>
        <v>53.15</v>
      </c>
      <c r="Q2081" s="107">
        <f t="shared" si="6468"/>
        <v>55.01</v>
      </c>
      <c r="R2081" s="107">
        <f t="shared" si="6468"/>
        <v>63.92</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f t="shared" si="6459"/>
        <v>99</v>
      </c>
      <c r="C2082" s="128">
        <f t="shared" si="6460"/>
        <v>1</v>
      </c>
      <c r="D2082" s="127">
        <f t="shared" si="6449"/>
        <v>99</v>
      </c>
      <c r="E2082" s="201"/>
      <c r="F2082" s="93"/>
      <c r="G2082" s="203"/>
      <c r="H2082"/>
      <c r="I2082"/>
      <c r="J2082"/>
      <c r="L2082" s="29" t="s">
        <v>38</v>
      </c>
      <c r="M2082" s="30">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57.359999999999992</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f t="shared" si="6459"/>
        <v>99</v>
      </c>
      <c r="C2083" s="128">
        <f t="shared" si="6460"/>
        <v>1</v>
      </c>
      <c r="D2083" s="127">
        <f t="shared" si="6449"/>
        <v>99</v>
      </c>
      <c r="E2083" s="201"/>
      <c r="F2083" s="93"/>
      <c r="G2083" s="203"/>
      <c r="H2083" s="134">
        <f t="shared" ref="H2083" si="6471">COUNT($P2083:$XX2083)</f>
        <v>3</v>
      </c>
      <c r="I2083" s="132">
        <f t="shared" ref="I2083" si="6472">_xlfn.STDEV.P($P2082:$XX2083)/AVERAGE($P2082:$XX2083)</f>
        <v>8.1944938776339168E-2</v>
      </c>
      <c r="J2083" s="7">
        <f t="shared" ref="J2083" si="6473">IF(AND(H2083&gt;2,
OR(L2073="MÉDIA SANEADA",L2073="MEDIANA SANEADA",
AND(L2073="PREÇO ESTIMADO",NOT(AND(P2075="Orçamento",COUNTA(P2073:XX2073)=COUNTIF(P2075:XX2075,"Orçamento")))))),
ROW(),0)</f>
        <v>2083</v>
      </c>
      <c r="K2083" s="66"/>
      <c r="L2083" s="29" t="s">
        <v>362</v>
      </c>
      <c r="M2083" s="30">
        <f t="shared" ref="M2083" si="6474" xml:space="preserve">
IF(H2081&gt;2,MEDIAN(P2080:XX2081),
IF(H2083&gt;2,MEDIAN(P2082:XX2083),
IF(H2085&gt;2,MEDIAN(P2084:XX2085),
IF(H2087&gt;2,MEDIAN(P2086:XX2087),
IF(H2089&gt;2,MEDIAN(P2088:XX2089),
IF(H2091&gt;2,MEDIAN(P2090:XX2091),
MEDIAN(P2078:XX2079)))))))</f>
        <v>55.01</v>
      </c>
      <c r="N2083" s="71"/>
      <c r="O2083" s="27" t="str">
        <f t="shared" ref="O2083" si="6475">"2 RODADA"</f>
        <v>2 RODADA</v>
      </c>
      <c r="P2083" s="107">
        <f t="shared" ref="P2083:AI2083" si="6476">IF(P2081="","",IF((_xlfn.STDEV.P($P2080:$XX2081)/AVERAGE($P2080:$XX2081))&lt;=25%,P2081,IF(OR(P2081&gt;(AVERAGE($P2080:$XX2081)+_xlfn.STDEV.P($P2080:$XX2081)),P2081&lt;(AVERAGE($P2080:$XX2081)-_xlfn.STDEV.P($P2080:$XX2081))),"DESCARTADO",P2081)))</f>
        <v>53.15</v>
      </c>
      <c r="Q2083" s="107">
        <f t="shared" si="6476"/>
        <v>55.01</v>
      </c>
      <c r="R2083" s="107">
        <f t="shared" si="6476"/>
        <v>63.92</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f t="shared" si="6459"/>
        <v>99</v>
      </c>
      <c r="C2084" s="128">
        <f t="shared" si="6460"/>
        <v>1</v>
      </c>
      <c r="D2084" s="127">
        <f t="shared" si="6449"/>
        <v>99</v>
      </c>
      <c r="E2084" s="201"/>
      <c r="F2084" s="93"/>
      <c r="G2084" s="203"/>
      <c r="H2084"/>
      <c r="I2084"/>
      <c r="J2084"/>
      <c r="K2084" s="66"/>
      <c r="L2084" s="29" t="s">
        <v>359</v>
      </c>
      <c r="M2084" s="30">
        <f t="shared" ref="M2084" si="6477">HARMEAN($P2078:$XX2079)</f>
        <v>56.993323879382508</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f t="shared" si="6459"/>
        <v>99</v>
      </c>
      <c r="C2085" s="128">
        <f t="shared" si="6460"/>
        <v>1</v>
      </c>
      <c r="D2085" s="127">
        <f t="shared" si="6449"/>
        <v>99</v>
      </c>
      <c r="E2085" s="201"/>
      <c r="F2085" s="93"/>
      <c r="G2085" s="203"/>
      <c r="H2085" s="134">
        <f t="shared" ref="H2085" si="6479">COUNT($P2085:$XX2085)</f>
        <v>3</v>
      </c>
      <c r="I2085" s="132">
        <f t="shared" ref="I2085" si="6480">_xlfn.STDEV.P($P2084:$XX2085)/AVERAGE($P2084:$XX2085)</f>
        <v>8.1944938776339168E-2</v>
      </c>
      <c r="J2085" s="7">
        <f t="shared" ref="J2085" si="6481">IF(AND(H2085&gt;2,
OR(L2073="MÉDIA SANEADA",L2073="MEDIANA SANEADA",
AND(L2073="PREÇO ESTIMADO",NOT(AND(P2075="Orçamento",COUNTA(P2073:XX2073)=COUNTIF(P2075:XX2075,"Orçamento")))))),
ROW(),0)</f>
        <v>2085</v>
      </c>
      <c r="K2085" s="66"/>
      <c r="L2085" s="29" t="s">
        <v>41</v>
      </c>
      <c r="M2085" s="30">
        <f t="shared" ref="M2085" si="6482">IFERROR(_xlfn.QUARTILE.EXC($P2079:$XX2079,1),"")</f>
        <v>53.15</v>
      </c>
      <c r="N2085" s="71"/>
      <c r="O2085" s="27" t="str">
        <f t="shared" ref="O2085" si="6483">"3 RODADA"</f>
        <v>3 RODADA</v>
      </c>
      <c r="P2085" s="107">
        <f t="shared" ref="P2085:AI2085" si="6484">IF(P2083="","",IF((_xlfn.STDEV.P($P2082:$XX2083)/AVERAGE($P2082:$XX2083))&lt;=25%,P2083,IF(OR(P2083&gt;(AVERAGE($P2082:$XX2083)+_xlfn.STDEV.P($P2082:$XX2083)),P2083&lt;(AVERAGE($P2082:$XX2083)-_xlfn.STDEV.P($P2082:$XX2083))),"DESCARTADO",P2083)))</f>
        <v>53.15</v>
      </c>
      <c r="Q2085" s="107">
        <f t="shared" si="6484"/>
        <v>55.01</v>
      </c>
      <c r="R2085" s="107">
        <f t="shared" si="6484"/>
        <v>63.92</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f t="shared" si="6459"/>
        <v>99</v>
      </c>
      <c r="C2086" s="128">
        <f t="shared" si="6460"/>
        <v>1</v>
      </c>
      <c r="D2086" s="127">
        <f t="shared" si="6449"/>
        <v>99</v>
      </c>
      <c r="E2086" s="201"/>
      <c r="F2086" s="93"/>
      <c r="G2086" s="203"/>
      <c r="H2086"/>
      <c r="I2086"/>
      <c r="J2086"/>
      <c r="K2086" s="66"/>
      <c r="L2086" s="29" t="s">
        <v>39</v>
      </c>
      <c r="M2086" s="30">
        <f t="shared" ref="M2086" si="6485">IFERROR(_xlfn.QUARTILE.EXC($P2079:$XX2079,3),"")</f>
        <v>63.92</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f t="shared" si="6459"/>
        <v>99</v>
      </c>
      <c r="C2087" s="128">
        <f t="shared" si="6460"/>
        <v>1</v>
      </c>
      <c r="D2087" s="127">
        <f t="shared" si="6449"/>
        <v>99</v>
      </c>
      <c r="E2087" s="201"/>
      <c r="F2087" s="93"/>
      <c r="G2087" s="203"/>
      <c r="H2087" s="134">
        <f t="shared" ref="H2087" si="6487">COUNT($P2087:$XX2087)</f>
        <v>3</v>
      </c>
      <c r="I2087" s="132">
        <f t="shared" ref="I2087" si="6488">_xlfn.STDEV.P($P2086:$XX2087)/AVERAGE($P2086:$XX2087)</f>
        <v>8.1944938776339168E-2</v>
      </c>
      <c r="J2087" s="7">
        <f t="shared" ref="J2087" si="6489">IF(AND(H2087&gt;2,
OR(L2073="MÉDIA SANEADA",L2073="MEDIANA SANEADA",
AND(L2073="PREÇO ESTIMADO",NOT(AND(P2075="Orçamento",COUNTA(P2073:XX2073)=COUNTIF(P2075:XX2075,"Orçamento")))))),
ROW(),0)</f>
        <v>2087</v>
      </c>
      <c r="K2087" s="66"/>
      <c r="L2087" s="29" t="s">
        <v>42</v>
      </c>
      <c r="M2087" s="30">
        <f t="shared" ref="M2087" si="6490">MIN($P2079:$XX2079)</f>
        <v>53.15</v>
      </c>
      <c r="N2087" s="71"/>
      <c r="O2087" s="27" t="str">
        <f t="shared" ref="O2087" si="6491">"4 RODADA"</f>
        <v>4 RODADA</v>
      </c>
      <c r="P2087" s="107">
        <f t="shared" ref="P2087:AI2087" si="6492">IF(P2085="","",IF((_xlfn.STDEV.P($P2084:$XX2085)/AVERAGE($P2084:$XX2085))&lt;=25%,P2085,IF(OR(P2085&gt;(AVERAGE($P2084:$XX2085)+_xlfn.STDEV.P($P2084:$XX2085)),P2085&lt;(AVERAGE($P2084:$XX2085)-_xlfn.STDEV.P($P2084:$XX2085))),"DESCARTADO",P2085)))</f>
        <v>53.15</v>
      </c>
      <c r="Q2087" s="107">
        <f t="shared" si="6492"/>
        <v>55.01</v>
      </c>
      <c r="R2087" s="107">
        <f t="shared" si="6492"/>
        <v>63.92</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f t="shared" si="6459"/>
        <v>99</v>
      </c>
      <c r="C2088" s="128">
        <f t="shared" si="6460"/>
        <v>1</v>
      </c>
      <c r="D2088" s="127">
        <f t="shared" si="6449"/>
        <v>99</v>
      </c>
      <c r="E2088" s="201"/>
      <c r="F2088" s="93"/>
      <c r="G2088" s="203"/>
      <c r="H2088"/>
      <c r="I2088"/>
      <c r="J2088"/>
      <c r="K2088" s="66"/>
      <c r="L2088" s="29" t="s">
        <v>40</v>
      </c>
      <c r="M2088" s="30">
        <f t="shared" ref="M2088" si="6493">MAX($P2079:$XX2079)</f>
        <v>63.92</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f t="shared" si="6459"/>
        <v>99</v>
      </c>
      <c r="C2089" s="128">
        <f t="shared" si="6460"/>
        <v>1</v>
      </c>
      <c r="D2089" s="127">
        <f t="shared" si="6449"/>
        <v>99</v>
      </c>
      <c r="E2089" s="201"/>
      <c r="F2089" s="93"/>
      <c r="G2089" s="203"/>
      <c r="H2089" s="134">
        <f t="shared" ref="H2089" si="6495">COUNT($P2089:$XX2089)</f>
        <v>3</v>
      </c>
      <c r="I2089" s="132">
        <f t="shared" ref="I2089" si="6496">_xlfn.STDEV.P($P2088:$XX2089)/AVERAGE($P2088:$XX2089)</f>
        <v>8.1944938776339168E-2</v>
      </c>
      <c r="J2089" s="7">
        <f t="shared" ref="J2089" si="6497">IF(AND(H2089&gt;2,
OR(L2073="MÉDIA SANEADA",L2073="MEDIANA SANEADA",
AND(L2073="PREÇO ESTIMADO",NOT(AND(P2075="Orçamento",COUNTA(P2073:XX2073)=COUNTIF(P2075:XX2075,"Orçamento")))))),
ROW(),0)</f>
        <v>2089</v>
      </c>
      <c r="K2089" s="66"/>
      <c r="N2089" s="71"/>
      <c r="O2089" s="27" t="str">
        <f t="shared" ref="O2089" si="6498">"5 RODADA"</f>
        <v>5 RODADA</v>
      </c>
      <c r="P2089" s="107">
        <f t="shared" ref="P2089:AI2089" si="6499">IF(P2087="","",IF((_xlfn.STDEV.P($P2086:$XX2087)/AVERAGE($P2086:$XX2087))&lt;=25%,P2087,IF(OR(P2087&gt;(AVERAGE($P2086:$XX2087)+_xlfn.STDEV.P($P2086:$XX2087)),P2087&lt;(AVERAGE($P2086:$XX2087)-_xlfn.STDEV.P($P2086:$XX2087))),"DESCARTADO",P2087)))</f>
        <v>53.15</v>
      </c>
      <c r="Q2089" s="107">
        <f t="shared" si="6499"/>
        <v>55.01</v>
      </c>
      <c r="R2089" s="107">
        <f t="shared" si="6499"/>
        <v>63.92</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f t="shared" si="6459"/>
        <v>99</v>
      </c>
      <c r="C2090" s="128">
        <f t="shared" si="6460"/>
        <v>1</v>
      </c>
      <c r="D2090" s="127">
        <f t="shared" si="6449"/>
        <v>99</v>
      </c>
      <c r="E2090" s="201"/>
      <c r="F2090" s="93"/>
      <c r="G2090" s="203"/>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f t="shared" si="6459"/>
        <v>99</v>
      </c>
      <c r="C2091" s="128">
        <f t="shared" si="6460"/>
        <v>1</v>
      </c>
      <c r="D2091" s="127">
        <f t="shared" si="6449"/>
        <v>99</v>
      </c>
      <c r="E2091" s="201"/>
      <c r="F2091" s="93"/>
      <c r="G2091" s="203"/>
      <c r="H2091" s="134">
        <f t="shared" ref="H2091" si="6501">COUNT($P2091:$XX2091)</f>
        <v>3</v>
      </c>
      <c r="I2091" s="132">
        <f t="shared" ref="I2091" si="6502">_xlfn.STDEV.P($P2090:$XX2091)/AVERAGE($P2090:$XX2091)</f>
        <v>8.1944938776339168E-2</v>
      </c>
      <c r="J2091" s="7">
        <f t="shared" ref="J2091" si="6503">IF(AND(H2091&gt;2,
OR(L2073="MÉDIA SANEADA",L2073="MEDIANA SANEADA",
AND(L2073="PREÇO ESTIMADO",NOT(AND(P2075="Orçamento",COUNTA(P2073:XX2073)=COUNTIF(P2075:XX2075,"Orçamento")))))),
ROW(),0)</f>
        <v>2091</v>
      </c>
      <c r="N2091" s="71"/>
      <c r="O2091" s="27" t="str">
        <f t="shared" ref="O2091" si="6504">"6 RODADA"</f>
        <v>6 RODADA</v>
      </c>
      <c r="P2091" s="107">
        <f t="shared" ref="P2091:AI2091" si="6505">IFERROR(IF(P2089="","",IF((_xlfn.STDEV.P($P2088:$XX2089)/AVERAGE($P2088:$XX2089))&lt;=25%,P2089,IF(OR(P2089&gt;(AVERAGE($P2088:$XX2089)+_xlfn.STDEV.P($P2088:$XX2089)),P2089&lt;(AVERAGE($P2088:$XX2089)-_xlfn.STDEV.P($P2088:$XX2089))),"DESCARTADO",P2089))),)</f>
        <v>53.15</v>
      </c>
      <c r="Q2091" s="107">
        <f t="shared" si="6505"/>
        <v>55.01</v>
      </c>
      <c r="R2091" s="107">
        <f t="shared" si="6505"/>
        <v>63.92</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f t="shared" si="6459"/>
        <v>99</v>
      </c>
      <c r="C2092" s="128">
        <f t="shared" si="6460"/>
        <v>1</v>
      </c>
      <c r="D2092" s="127">
        <f t="shared" si="6449"/>
        <v>99</v>
      </c>
      <c r="E2092" s="201"/>
      <c r="F2092" s="136"/>
      <c r="G2092" s="203"/>
      <c r="H2092" s="206"/>
      <c r="I2092" s="206"/>
      <c r="J2092" s="207"/>
      <c r="K2092" s="67"/>
      <c r="L2092" s="1" t="s">
        <v>43</v>
      </c>
      <c r="M2092" s="143">
        <f t="shared" ref="M2092" si="6506">IFERROR(ROUND(M2073*M2075,2),"")</f>
        <v>458.88</v>
      </c>
      <c r="O2092" s="27" t="s">
        <v>363</v>
      </c>
      <c r="P2092" s="107">
        <f t="shared" ref="P2092:R2092" si="6507">INDEX(P2079:P2091,MATCH(MAX($J2079:$J2091),$J2079:$J2091,0))</f>
        <v>53.15</v>
      </c>
      <c r="Q2092" s="107">
        <f t="shared" si="6507"/>
        <v>55.01</v>
      </c>
      <c r="R2092" s="107">
        <f t="shared" si="6507"/>
        <v>63.92</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f t="shared" ref="B2094" si="6508">LARGE(IFERROR(IF(B2092+1&gt;$H$8,"",B2092+1),""),1)</f>
        <v>100</v>
      </c>
      <c r="C2094" s="127">
        <f>IF(_xlfn.ISFORMULA(E2098),MAX(INDEX('BASE FORMAÇÃO'!A:A,B2094+1),1),E2098)</f>
        <v>1</v>
      </c>
      <c r="D2094" s="127">
        <f t="shared" ref="D2094" si="6509">IFERROR(IF(C2094=C2084,D2084+1,1),1)</f>
        <v>100</v>
      </c>
      <c r="E2094" s="38" t="s">
        <v>9</v>
      </c>
      <c r="F2094" s="73"/>
      <c r="G2094" s="38" t="s">
        <v>15</v>
      </c>
      <c r="H2094" s="135">
        <f>INDEX('BASE FORMAÇÃO'!B:B,B2094+1)</f>
        <v>0</v>
      </c>
      <c r="I2094" s="181" t="s">
        <v>16</v>
      </c>
      <c r="J2094" s="6">
        <f>INDEX('BASE FORMAÇÃO'!K:K,B2094+1)</f>
        <v>0</v>
      </c>
      <c r="K2094" s="65"/>
      <c r="L2094" s="184" t="s">
        <v>10</v>
      </c>
      <c r="M2094" s="186">
        <f t="shared" ref="M2094" si="6510">IF(OR(ISBLANK($O$8),ISBLANK($O$7),ISBLANK($H$8),ISBLANK($O$6),ISBLANK($O$5),ISBLANK($H$5)),"",IFERROR(IF(VLOOKUP(L2094,L2100:M2109,2,FALSE)&lt;1,ROUND(VLOOKUP(L2094,L2100:M2109,2,FALSE),4),ROUND(VLOOKUP(L2094,L2100:M2109,2,FALSE),2)),""))</f>
        <v>33.14</v>
      </c>
      <c r="N2094" s="69"/>
      <c r="O2094" s="27" t="s">
        <v>17</v>
      </c>
      <c r="P2094" s="113">
        <v>40.53</v>
      </c>
      <c r="Q2094" s="113">
        <v>31.9</v>
      </c>
      <c r="R2094" s="113">
        <v>26.99</v>
      </c>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f t="shared" ref="B2095:D2095" si="6511">B2094</f>
        <v>100</v>
      </c>
      <c r="C2095" s="128">
        <f t="shared" si="6511"/>
        <v>1</v>
      </c>
      <c r="D2095" s="127">
        <f t="shared" si="6511"/>
        <v>100</v>
      </c>
      <c r="E2095" s="188">
        <f t="shared" ref="E2095" si="6512">D2094</f>
        <v>100</v>
      </c>
      <c r="F2095" s="92"/>
      <c r="G2095" s="190" t="s">
        <v>1</v>
      </c>
      <c r="H2095" s="193" t="s">
        <v>829</v>
      </c>
      <c r="I2095" s="194"/>
      <c r="J2095" s="195"/>
      <c r="K2095" s="66"/>
      <c r="L2095" s="185"/>
      <c r="M2095" s="187"/>
      <c r="N2095" s="70"/>
      <c r="O2095" s="27" t="s">
        <v>13</v>
      </c>
      <c r="P2095" s="122">
        <v>46196</v>
      </c>
      <c r="Q2095" s="122">
        <v>46196</v>
      </c>
      <c r="R2095" s="122">
        <v>46196</v>
      </c>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f t="shared" ref="B2096:D2096" si="6513">B2095</f>
        <v>100</v>
      </c>
      <c r="C2096" s="128">
        <f t="shared" si="6513"/>
        <v>1</v>
      </c>
      <c r="D2096" s="127">
        <f t="shared" si="6513"/>
        <v>100</v>
      </c>
      <c r="E2096" s="189"/>
      <c r="F2096" s="93"/>
      <c r="G2096" s="191"/>
      <c r="H2096" s="196"/>
      <c r="I2096" s="196"/>
      <c r="J2096" s="197"/>
      <c r="K2096" s="64"/>
      <c r="L2096" s="130" t="s">
        <v>44</v>
      </c>
      <c r="M2096" s="131">
        <v>8</v>
      </c>
      <c r="N2096" s="71"/>
      <c r="O2096" s="27" t="s">
        <v>380</v>
      </c>
      <c r="P2096" s="114" t="s">
        <v>302</v>
      </c>
      <c r="Q2096" s="114" t="s">
        <v>302</v>
      </c>
      <c r="R2096" s="114" t="s">
        <v>302</v>
      </c>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f t="shared" ref="B2097:C2097" si="6514">B2096</f>
        <v>100</v>
      </c>
      <c r="C2097" s="128">
        <f t="shared" si="6514"/>
        <v>1</v>
      </c>
      <c r="D2097" s="127">
        <f t="shared" si="6449"/>
        <v>100</v>
      </c>
      <c r="E2097" s="38" t="s">
        <v>313</v>
      </c>
      <c r="F2097" s="93"/>
      <c r="G2097" s="192"/>
      <c r="H2097" s="198"/>
      <c r="I2097" s="198"/>
      <c r="J2097" s="199"/>
      <c r="K2097" s="64"/>
      <c r="L2097" s="1" t="s">
        <v>2</v>
      </c>
      <c r="M2097" s="6" t="s">
        <v>288</v>
      </c>
      <c r="N2097" s="71"/>
      <c r="O2097" s="27" t="s">
        <v>381</v>
      </c>
      <c r="P2097" s="182" t="s">
        <v>830</v>
      </c>
      <c r="Q2097" s="182" t="s">
        <v>831</v>
      </c>
      <c r="R2097" s="182" t="s">
        <v>832</v>
      </c>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f t="shared" ref="B2098:C2098" si="6515">B2096</f>
        <v>100</v>
      </c>
      <c r="C2098" s="128">
        <f t="shared" si="6515"/>
        <v>1</v>
      </c>
      <c r="D2098" s="127">
        <f t="shared" si="6449"/>
        <v>100</v>
      </c>
      <c r="E2098" s="200">
        <f t="shared" ref="E2098" si="6516">C2094</f>
        <v>1</v>
      </c>
      <c r="F2098" s="93"/>
      <c r="G2098" s="202" t="s">
        <v>304</v>
      </c>
      <c r="H2098" s="204"/>
      <c r="I2098" s="205"/>
      <c r="J2098" s="205"/>
      <c r="K2098" s="67"/>
      <c r="L2098" s="28" t="s">
        <v>303</v>
      </c>
      <c r="M2098" s="133">
        <f t="shared" ref="M2098" si="6517">IFERROR(INDEX(I2100:I2112,MATCH(MAX(J2100:J2112),J2100:J2112,0)),"")</f>
        <v>0.16888324523494011</v>
      </c>
      <c r="N2098" s="71"/>
      <c r="O2098" s="27" t="s">
        <v>18</v>
      </c>
      <c r="P2098" s="106">
        <f>IF(P2094="","",
IF(OR(P2096="Orçamento",P2095="",MAX('Tabela de Apoio'!$A:$A)&lt;=P2095),
P2094,
(INDEX('Tabela de Apoio'!$B:$B,MATCH('MAPA DE PREÇOS'!$O$8,'Tabela de Apoio'!$A:$A,1))/INDEX('Tabela de Apoio'!$B:$B,MATCH('MAPA DE PREÇOS'!P2095,'Tabela de Apoio'!$A:$A,1)-1))*P2094))</f>
        <v>40.53</v>
      </c>
      <c r="Q2098" s="106">
        <f>IF(Q2094="","",
IF(OR(Q2096="Orçamento",Q2095="",MAX('Tabela de Apoio'!$A:$A)&lt;=Q2095),
Q2094,
(INDEX('Tabela de Apoio'!$B:$B,MATCH('MAPA DE PREÇOS'!$O$8,'Tabela de Apoio'!$A:$A,1))/INDEX('Tabela de Apoio'!$B:$B,MATCH('MAPA DE PREÇOS'!Q2095,'Tabela de Apoio'!$A:$A,1)-1))*Q2094))</f>
        <v>31.9</v>
      </c>
      <c r="R2098" s="106">
        <f>IF(R2094="","",
IF(OR(R2096="Orçamento",R2095="",MAX('Tabela de Apoio'!$A:$A)&lt;=R2095),
R2094,
(INDEX('Tabela de Apoio'!$B:$B,MATCH('MAPA DE PREÇOS'!$O$8,'Tabela de Apoio'!$A:$A,1))/INDEX('Tabela de Apoio'!$B:$B,MATCH('MAPA DE PREÇOS'!R2095,'Tabela de Apoio'!$A:$A,1)-1))*R2094))</f>
        <v>26.99</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f t="shared" ref="B2099" si="6518">B2098</f>
        <v>100</v>
      </c>
      <c r="C2099" s="128">
        <f t="shared" ref="C2099" si="6519">C2098</f>
        <v>1</v>
      </c>
      <c r="D2099" s="127">
        <f t="shared" si="6449"/>
        <v>100</v>
      </c>
      <c r="E2099" s="201"/>
      <c r="F2099" s="93"/>
      <c r="G2099" s="203"/>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f t="shared" ref="B2100:C2100" si="6520">B2099</f>
        <v>100</v>
      </c>
      <c r="C2100" s="128">
        <f t="shared" si="6520"/>
        <v>1</v>
      </c>
      <c r="D2100" s="127">
        <f t="shared" si="6449"/>
        <v>100</v>
      </c>
      <c r="E2100" s="201"/>
      <c r="F2100" s="93"/>
      <c r="G2100" s="203"/>
      <c r="H2100" s="134">
        <f t="shared" ref="H2100" si="6521">COUNT($P2100:$XX2100)</f>
        <v>3</v>
      </c>
      <c r="I2100" s="132">
        <f t="shared" ref="I2100" si="6522">_xlfn.STDEV.P($P2099:$XX2100)/AVERAGE($P2099:$XX2100)</f>
        <v>0.16888324523494011</v>
      </c>
      <c r="J2100" s="7">
        <f>ROW()</f>
        <v>2100</v>
      </c>
      <c r="K2100" s="67"/>
      <c r="L2100" s="29" t="s">
        <v>10</v>
      </c>
      <c r="M2100" s="30">
        <f t="shared" ref="M2100" si="6523">IFERROR(
IF(COUNTA(P2094:AI2094)=COUNTIF(P2096:XX2096,"Orçamento"),MIN(M2105,M2102),
IF(M2103&lt;&gt;"",M2103,
IF(M2104&lt;&gt;"",M2104,
M2102
))),"")</f>
        <v>33.14</v>
      </c>
      <c r="N2100" s="71"/>
      <c r="O2100" s="27" t="s">
        <v>376</v>
      </c>
      <c r="P2100" s="106">
        <f t="shared" ref="P2100:AI2100" si="6524">IFERROR(IF(P2098="",
            "",
            IF(COUNT($P2098:$XX2098)&lt;=4,
               P2098,
               IF(OR(P2098&gt;(QUARTILE($P2098:$XX2098,3)+(QUARTILE($P2098:$XX2098,3)-QUARTILE($P2098:$XX2098,1))),
                     P2098&lt;(QUARTILE($P2098:$XX2098,1)-(QUARTILE($P2098:$XX2098,3)-QUARTILE($P2098:$XX2098,1)))
                  ),
               "DESCARTADO",P2098)
             )
  ),P2098)</f>
        <v>40.53</v>
      </c>
      <c r="Q2100" s="106">
        <f t="shared" si="6524"/>
        <v>31.9</v>
      </c>
      <c r="R2100" s="106">
        <f t="shared" si="6524"/>
        <v>26.99</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f t="shared" ref="B2101" si="6525">B2100</f>
        <v>100</v>
      </c>
      <c r="C2101" s="128">
        <f t="shared" ref="C2101" si="6526">C2100</f>
        <v>1</v>
      </c>
      <c r="D2101" s="127">
        <f t="shared" si="6449"/>
        <v>100</v>
      </c>
      <c r="E2101" s="201"/>
      <c r="F2101" s="93"/>
      <c r="G2101" s="203"/>
      <c r="H2101"/>
      <c r="I2101"/>
      <c r="J2101"/>
      <c r="K2101" s="66"/>
      <c r="L2101" s="29" t="s">
        <v>360</v>
      </c>
      <c r="M2101" s="30">
        <f t="shared" ref="M2101" si="6527">AVERAGE($P2100:$XX2100)</f>
        <v>33.14</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f t="shared" si="6459"/>
        <v>100</v>
      </c>
      <c r="C2102" s="128">
        <f t="shared" si="6460"/>
        <v>1</v>
      </c>
      <c r="D2102" s="127">
        <f t="shared" si="6449"/>
        <v>100</v>
      </c>
      <c r="E2102" s="201"/>
      <c r="F2102" s="93"/>
      <c r="G2102" s="203"/>
      <c r="H2102" s="134">
        <f t="shared" ref="H2102" si="6529">COUNT($P2102:$XX2102)</f>
        <v>3</v>
      </c>
      <c r="I2102" s="132">
        <f t="shared" ref="I2102" si="6530">_xlfn.STDEV.P($P2101:$XX2102)/AVERAGE($P2101:$XX2102)</f>
        <v>0.16888324523494011</v>
      </c>
      <c r="J2102" s="7">
        <f t="shared" ref="J2102" si="6531">IF(AND(H2102&gt;2,
OR(L2094="MÉDIA SANEADA",L2094="MEDIANA SANEADA",
AND(L2094="PREÇO ESTIMADO",NOT(AND(P2096="Orçamento",COUNTA(P2094:XX2094)=COUNTIF(P2096:XX2096,"Orçamento")))))),
ROW(),0)</f>
        <v>2102</v>
      </c>
      <c r="K2102" s="66"/>
      <c r="L2102" s="29" t="s">
        <v>361</v>
      </c>
      <c r="M2102" s="30">
        <f t="shared" ref="M2102" si="6532">MEDIAN($P2100:$XX2100)</f>
        <v>31.9</v>
      </c>
      <c r="N2102" s="71"/>
      <c r="O2102" s="27" t="str">
        <f t="shared" ref="O2102" si="6533">"1 RODADA"</f>
        <v>1 RODADA</v>
      </c>
      <c r="P2102" s="107">
        <f t="shared" ref="P2102:AI2102" si="6534">IF(P2100="","",IF((_xlfn.STDEV.P($P2099:$XX2100)/AVERAGE($P2099:$XX2100))&lt;=25%,P2100,IF(OR(P2100&gt;(AVERAGE($P2099:$XX2100)+_xlfn.STDEV.P($P2099:$XX2100)),P2100&lt;(AVERAGE($P2099:$XX2100)-_xlfn.STDEV.P($P2099:$XX2100))),"DESCARTADO",P2100)))</f>
        <v>40.53</v>
      </c>
      <c r="Q2102" s="107">
        <f t="shared" si="6534"/>
        <v>31.9</v>
      </c>
      <c r="R2102" s="107">
        <f t="shared" si="6534"/>
        <v>26.99</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f t="shared" si="6459"/>
        <v>100</v>
      </c>
      <c r="C2103" s="128">
        <f t="shared" si="6460"/>
        <v>1</v>
      </c>
      <c r="D2103" s="127">
        <f t="shared" si="6449"/>
        <v>100</v>
      </c>
      <c r="E2103" s="201"/>
      <c r="F2103" s="93"/>
      <c r="G2103" s="203"/>
      <c r="H2103"/>
      <c r="I2103"/>
      <c r="J2103"/>
      <c r="L2103" s="29" t="s">
        <v>38</v>
      </c>
      <c r="M2103" s="30">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33.14</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f t="shared" si="6459"/>
        <v>100</v>
      </c>
      <c r="C2104" s="128">
        <f t="shared" si="6460"/>
        <v>1</v>
      </c>
      <c r="D2104" s="127">
        <f t="shared" si="6449"/>
        <v>100</v>
      </c>
      <c r="E2104" s="201"/>
      <c r="F2104" s="93"/>
      <c r="G2104" s="203"/>
      <c r="H2104" s="134">
        <f t="shared" ref="H2104" si="6537">COUNT($P2104:$XX2104)</f>
        <v>3</v>
      </c>
      <c r="I2104" s="132">
        <f t="shared" ref="I2104" si="6538">_xlfn.STDEV.P($P2103:$XX2104)/AVERAGE($P2103:$XX2104)</f>
        <v>0.16888324523494011</v>
      </c>
      <c r="J2104" s="7">
        <f t="shared" ref="J2104" si="6539">IF(AND(H2104&gt;2,
OR(L2094="MÉDIA SANEADA",L2094="MEDIANA SANEADA",
AND(L2094="PREÇO ESTIMADO",NOT(AND(P2096="Orçamento",COUNTA(P2094:XX2094)=COUNTIF(P2096:XX2096,"Orçamento")))))),
ROW(),0)</f>
        <v>2104</v>
      </c>
      <c r="K2104" s="66"/>
      <c r="L2104" s="29" t="s">
        <v>362</v>
      </c>
      <c r="M2104" s="30">
        <f t="shared" ref="M2104" si="6540" xml:space="preserve">
IF(H2102&gt;2,MEDIAN(P2101:XX2102),
IF(H2104&gt;2,MEDIAN(P2103:XX2104),
IF(H2106&gt;2,MEDIAN(P2105:XX2106),
IF(H2108&gt;2,MEDIAN(P2107:XX2108),
IF(H2110&gt;2,MEDIAN(P2109:XX2110),
IF(H2112&gt;2,MEDIAN(P2111:XX2112),
MEDIAN(P2099:XX2100)))))))</f>
        <v>31.9</v>
      </c>
      <c r="N2104" s="71"/>
      <c r="O2104" s="27" t="str">
        <f t="shared" ref="O2104" si="6541">"2 RODADA"</f>
        <v>2 RODADA</v>
      </c>
      <c r="P2104" s="107">
        <f t="shared" ref="P2104:AI2104" si="6542">IF(P2102="","",IF((_xlfn.STDEV.P($P2101:$XX2102)/AVERAGE($P2101:$XX2102))&lt;=25%,P2102,IF(OR(P2102&gt;(AVERAGE($P2101:$XX2102)+_xlfn.STDEV.P($P2101:$XX2102)),P2102&lt;(AVERAGE($P2101:$XX2102)-_xlfn.STDEV.P($P2101:$XX2102))),"DESCARTADO",P2102)))</f>
        <v>40.53</v>
      </c>
      <c r="Q2104" s="107">
        <f t="shared" si="6542"/>
        <v>31.9</v>
      </c>
      <c r="R2104" s="107">
        <f t="shared" si="6542"/>
        <v>26.99</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f t="shared" si="6459"/>
        <v>100</v>
      </c>
      <c r="C2105" s="128">
        <f t="shared" si="6460"/>
        <v>1</v>
      </c>
      <c r="D2105" s="127">
        <f t="shared" si="6449"/>
        <v>100</v>
      </c>
      <c r="E2105" s="201"/>
      <c r="F2105" s="93"/>
      <c r="G2105" s="203"/>
      <c r="H2105"/>
      <c r="I2105"/>
      <c r="J2105"/>
      <c r="K2105" s="66"/>
      <c r="L2105" s="29" t="s">
        <v>359</v>
      </c>
      <c r="M2105" s="30">
        <f t="shared" ref="M2105" si="6543">HARMEAN($P2099:$XX2100)</f>
        <v>32.23317787185124</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f t="shared" si="6459"/>
        <v>100</v>
      </c>
      <c r="C2106" s="128">
        <f t="shared" si="6460"/>
        <v>1</v>
      </c>
      <c r="D2106" s="127">
        <f t="shared" si="6449"/>
        <v>100</v>
      </c>
      <c r="E2106" s="201"/>
      <c r="F2106" s="93"/>
      <c r="G2106" s="203"/>
      <c r="H2106" s="134">
        <f t="shared" ref="H2106" si="6545">COUNT($P2106:$XX2106)</f>
        <v>3</v>
      </c>
      <c r="I2106" s="132">
        <f t="shared" ref="I2106" si="6546">_xlfn.STDEV.P($P2105:$XX2106)/AVERAGE($P2105:$XX2106)</f>
        <v>0.16888324523494011</v>
      </c>
      <c r="J2106" s="7">
        <f t="shared" ref="J2106" si="6547">IF(AND(H2106&gt;2,
OR(L2094="MÉDIA SANEADA",L2094="MEDIANA SANEADA",
AND(L2094="PREÇO ESTIMADO",NOT(AND(P2096="Orçamento",COUNTA(P2094:XX2094)=COUNTIF(P2096:XX2096,"Orçamento")))))),
ROW(),0)</f>
        <v>2106</v>
      </c>
      <c r="K2106" s="66"/>
      <c r="L2106" s="29" t="s">
        <v>41</v>
      </c>
      <c r="M2106" s="30">
        <f t="shared" ref="M2106" si="6548">IFERROR(_xlfn.QUARTILE.EXC($P2100:$XX2100,1),"")</f>
        <v>26.99</v>
      </c>
      <c r="N2106" s="71"/>
      <c r="O2106" s="27" t="str">
        <f t="shared" ref="O2106" si="6549">"3 RODADA"</f>
        <v>3 RODADA</v>
      </c>
      <c r="P2106" s="107">
        <f t="shared" ref="P2106:AI2106" si="6550">IF(P2104="","",IF((_xlfn.STDEV.P($P2103:$XX2104)/AVERAGE($P2103:$XX2104))&lt;=25%,P2104,IF(OR(P2104&gt;(AVERAGE($P2103:$XX2104)+_xlfn.STDEV.P($P2103:$XX2104)),P2104&lt;(AVERAGE($P2103:$XX2104)-_xlfn.STDEV.P($P2103:$XX2104))),"DESCARTADO",P2104)))</f>
        <v>40.53</v>
      </c>
      <c r="Q2106" s="107">
        <f t="shared" si="6550"/>
        <v>31.9</v>
      </c>
      <c r="R2106" s="107">
        <f t="shared" si="6550"/>
        <v>26.99</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f t="shared" si="6459"/>
        <v>100</v>
      </c>
      <c r="C2107" s="128">
        <f t="shared" si="6460"/>
        <v>1</v>
      </c>
      <c r="D2107" s="127">
        <f t="shared" si="6449"/>
        <v>100</v>
      </c>
      <c r="E2107" s="201"/>
      <c r="F2107" s="93"/>
      <c r="G2107" s="203"/>
      <c r="H2107"/>
      <c r="I2107"/>
      <c r="J2107"/>
      <c r="K2107" s="66"/>
      <c r="L2107" s="29" t="s">
        <v>39</v>
      </c>
      <c r="M2107" s="30">
        <f t="shared" ref="M2107" si="6551">IFERROR(_xlfn.QUARTILE.EXC($P2100:$XX2100,3),"")</f>
        <v>40.53</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f t="shared" si="6459"/>
        <v>100</v>
      </c>
      <c r="C2108" s="128">
        <f t="shared" si="6460"/>
        <v>1</v>
      </c>
      <c r="D2108" s="127">
        <f t="shared" si="6449"/>
        <v>100</v>
      </c>
      <c r="E2108" s="201"/>
      <c r="F2108" s="93"/>
      <c r="G2108" s="203"/>
      <c r="H2108" s="134">
        <f t="shared" ref="H2108" si="6553">COUNT($P2108:$XX2108)</f>
        <v>3</v>
      </c>
      <c r="I2108" s="132">
        <f t="shared" ref="I2108" si="6554">_xlfn.STDEV.P($P2107:$XX2108)/AVERAGE($P2107:$XX2108)</f>
        <v>0.16888324523494011</v>
      </c>
      <c r="J2108" s="7">
        <f t="shared" ref="J2108" si="6555">IF(AND(H2108&gt;2,
OR(L2094="MÉDIA SANEADA",L2094="MEDIANA SANEADA",
AND(L2094="PREÇO ESTIMADO",NOT(AND(P2096="Orçamento",COUNTA(P2094:XX2094)=COUNTIF(P2096:XX2096,"Orçamento")))))),
ROW(),0)</f>
        <v>2108</v>
      </c>
      <c r="K2108" s="66"/>
      <c r="L2108" s="29" t="s">
        <v>42</v>
      </c>
      <c r="M2108" s="30">
        <f t="shared" ref="M2108" si="6556">MIN($P2100:$XX2100)</f>
        <v>26.99</v>
      </c>
      <c r="N2108" s="71"/>
      <c r="O2108" s="27" t="str">
        <f t="shared" ref="O2108" si="6557">"4 RODADA"</f>
        <v>4 RODADA</v>
      </c>
      <c r="P2108" s="107">
        <f t="shared" ref="P2108:AI2108" si="6558">IF(P2106="","",IF((_xlfn.STDEV.P($P2105:$XX2106)/AVERAGE($P2105:$XX2106))&lt;=25%,P2106,IF(OR(P2106&gt;(AVERAGE($P2105:$XX2106)+_xlfn.STDEV.P($P2105:$XX2106)),P2106&lt;(AVERAGE($P2105:$XX2106)-_xlfn.STDEV.P($P2105:$XX2106))),"DESCARTADO",P2106)))</f>
        <v>40.53</v>
      </c>
      <c r="Q2108" s="107">
        <f t="shared" si="6558"/>
        <v>31.9</v>
      </c>
      <c r="R2108" s="107">
        <f t="shared" si="6558"/>
        <v>26.99</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f t="shared" si="6459"/>
        <v>100</v>
      </c>
      <c r="C2109" s="128">
        <f t="shared" si="6460"/>
        <v>1</v>
      </c>
      <c r="D2109" s="127">
        <f t="shared" si="6449"/>
        <v>100</v>
      </c>
      <c r="E2109" s="201"/>
      <c r="F2109" s="93"/>
      <c r="G2109" s="203"/>
      <c r="H2109"/>
      <c r="I2109"/>
      <c r="J2109"/>
      <c r="K2109" s="66"/>
      <c r="L2109" s="29" t="s">
        <v>40</v>
      </c>
      <c r="M2109" s="30">
        <f t="shared" ref="M2109" si="6559">MAX($P2100:$XX2100)</f>
        <v>40.53</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f t="shared" si="6459"/>
        <v>100</v>
      </c>
      <c r="C2110" s="128">
        <f t="shared" si="6460"/>
        <v>1</v>
      </c>
      <c r="D2110" s="127">
        <f t="shared" si="6449"/>
        <v>100</v>
      </c>
      <c r="E2110" s="201"/>
      <c r="F2110" s="93"/>
      <c r="G2110" s="203"/>
      <c r="H2110" s="134">
        <f t="shared" ref="H2110" si="6561">COUNT($P2110:$XX2110)</f>
        <v>3</v>
      </c>
      <c r="I2110" s="132">
        <f t="shared" ref="I2110" si="6562">_xlfn.STDEV.P($P2109:$XX2110)/AVERAGE($P2109:$XX2110)</f>
        <v>0.16888324523494011</v>
      </c>
      <c r="J2110" s="7">
        <f t="shared" ref="J2110" si="6563">IF(AND(H2110&gt;2,
OR(L2094="MÉDIA SANEADA",L2094="MEDIANA SANEADA",
AND(L2094="PREÇO ESTIMADO",NOT(AND(P2096="Orçamento",COUNTA(P2094:XX2094)=COUNTIF(P2096:XX2096,"Orçamento")))))),
ROW(),0)</f>
        <v>2110</v>
      </c>
      <c r="K2110" s="66"/>
      <c r="N2110" s="71"/>
      <c r="O2110" s="27" t="str">
        <f t="shared" ref="O2110" si="6564">"5 RODADA"</f>
        <v>5 RODADA</v>
      </c>
      <c r="P2110" s="107">
        <f t="shared" ref="P2110:AI2110" si="6565">IF(P2108="","",IF((_xlfn.STDEV.P($P2107:$XX2108)/AVERAGE($P2107:$XX2108))&lt;=25%,P2108,IF(OR(P2108&gt;(AVERAGE($P2107:$XX2108)+_xlfn.STDEV.P($P2107:$XX2108)),P2108&lt;(AVERAGE($P2107:$XX2108)-_xlfn.STDEV.P($P2107:$XX2108))),"DESCARTADO",P2108)))</f>
        <v>40.53</v>
      </c>
      <c r="Q2110" s="107">
        <f t="shared" si="6565"/>
        <v>31.9</v>
      </c>
      <c r="R2110" s="107">
        <f t="shared" si="6565"/>
        <v>26.99</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f t="shared" si="6459"/>
        <v>100</v>
      </c>
      <c r="C2111" s="128">
        <f t="shared" si="6460"/>
        <v>1</v>
      </c>
      <c r="D2111" s="127">
        <f t="shared" si="6449"/>
        <v>100</v>
      </c>
      <c r="E2111" s="201"/>
      <c r="F2111" s="93"/>
      <c r="G2111" s="203"/>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f t="shared" si="6459"/>
        <v>100</v>
      </c>
      <c r="C2112" s="128">
        <f t="shared" si="6460"/>
        <v>1</v>
      </c>
      <c r="D2112" s="127">
        <f t="shared" si="6449"/>
        <v>100</v>
      </c>
      <c r="E2112" s="201"/>
      <c r="F2112" s="93"/>
      <c r="G2112" s="203"/>
      <c r="H2112" s="134">
        <f t="shared" ref="H2112" si="6567">COUNT($P2112:$XX2112)</f>
        <v>3</v>
      </c>
      <c r="I2112" s="132">
        <f t="shared" ref="I2112" si="6568">_xlfn.STDEV.P($P2111:$XX2112)/AVERAGE($P2111:$XX2112)</f>
        <v>0.16888324523494011</v>
      </c>
      <c r="J2112" s="7">
        <f t="shared" ref="J2112" si="6569">IF(AND(H2112&gt;2,
OR(L2094="MÉDIA SANEADA",L2094="MEDIANA SANEADA",
AND(L2094="PREÇO ESTIMADO",NOT(AND(P2096="Orçamento",COUNTA(P2094:XX2094)=COUNTIF(P2096:XX2096,"Orçamento")))))),
ROW(),0)</f>
        <v>2112</v>
      </c>
      <c r="N2112" s="71"/>
      <c r="O2112" s="27" t="str">
        <f t="shared" ref="O2112" si="6570">"6 RODADA"</f>
        <v>6 RODADA</v>
      </c>
      <c r="P2112" s="107">
        <f t="shared" ref="P2112:AI2112" si="6571">IFERROR(IF(P2110="","",IF((_xlfn.STDEV.P($P2109:$XX2110)/AVERAGE($P2109:$XX2110))&lt;=25%,P2110,IF(OR(P2110&gt;(AVERAGE($P2109:$XX2110)+_xlfn.STDEV.P($P2109:$XX2110)),P2110&lt;(AVERAGE($P2109:$XX2110)-_xlfn.STDEV.P($P2109:$XX2110))),"DESCARTADO",P2110))),)</f>
        <v>40.53</v>
      </c>
      <c r="Q2112" s="107">
        <f t="shared" si="6571"/>
        <v>31.9</v>
      </c>
      <c r="R2112" s="107">
        <f t="shared" si="6571"/>
        <v>26.99</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f t="shared" si="6459"/>
        <v>100</v>
      </c>
      <c r="C2113" s="128">
        <f t="shared" si="6460"/>
        <v>1</v>
      </c>
      <c r="D2113" s="127">
        <f t="shared" si="6449"/>
        <v>100</v>
      </c>
      <c r="E2113" s="201"/>
      <c r="F2113" s="136"/>
      <c r="G2113" s="203"/>
      <c r="H2113" s="206"/>
      <c r="I2113" s="206"/>
      <c r="J2113" s="207"/>
      <c r="K2113" s="67"/>
      <c r="L2113" s="1" t="s">
        <v>43</v>
      </c>
      <c r="M2113" s="143">
        <f t="shared" ref="M2113" si="6572">IFERROR(ROUND(M2094*M2096,2),"")</f>
        <v>265.12</v>
      </c>
      <c r="O2113" s="27" t="s">
        <v>363</v>
      </c>
      <c r="P2113" s="107">
        <f t="shared" ref="P2113:AI2134" si="6573">INDEX(P2100:P2112,MATCH(MAX($J2100:$J2112),$J2100:$J2112,0))</f>
        <v>40.53</v>
      </c>
      <c r="Q2113" s="107">
        <f t="shared" si="6573"/>
        <v>31.9</v>
      </c>
      <c r="R2113" s="107">
        <f t="shared" si="6573"/>
        <v>26.99</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f t="shared" ref="B2115" si="6574">LARGE(IFERROR(IF(B2113+1&gt;$H$8,"",B2113+1),""),1)</f>
        <v>101</v>
      </c>
      <c r="C2115" s="127">
        <f>IF(_xlfn.ISFORMULA(E2119),MAX(INDEX('BASE FORMAÇÃO'!A:A,B2115+1),1),E2119)</f>
        <v>1</v>
      </c>
      <c r="D2115" s="127">
        <f t="shared" ref="D2115" si="6575">IFERROR(IF(C2115=C2105,D2105+1,1),1)</f>
        <v>101</v>
      </c>
      <c r="E2115" s="38" t="s">
        <v>9</v>
      </c>
      <c r="F2115" s="73"/>
      <c r="G2115" s="38" t="s">
        <v>15</v>
      </c>
      <c r="H2115" s="135">
        <f>INDEX('BASE FORMAÇÃO'!B:B,B2115+1)</f>
        <v>0</v>
      </c>
      <c r="I2115" s="181" t="s">
        <v>16</v>
      </c>
      <c r="J2115" s="6">
        <f>INDEX('BASE FORMAÇÃO'!K:K,B2115+1)</f>
        <v>0</v>
      </c>
      <c r="K2115" s="65"/>
      <c r="L2115" s="184" t="s">
        <v>10</v>
      </c>
      <c r="M2115" s="186">
        <f t="shared" ref="M2115" si="6576">IF(OR(ISBLANK($O$8),ISBLANK($O$7),ISBLANK($H$8),ISBLANK($O$6),ISBLANK($O$5),ISBLANK($H$5)),"",IFERROR(IF(VLOOKUP(L2115,L2121:M2130,2,FALSE)&lt;1,ROUND(VLOOKUP(L2115,L2121:M2130,2,FALSE),4),ROUND(VLOOKUP(L2115,L2121:M2130,2,FALSE),2)),""))</f>
        <v>52.73</v>
      </c>
      <c r="N2115" s="69"/>
      <c r="O2115" s="27" t="s">
        <v>17</v>
      </c>
      <c r="P2115" s="113">
        <v>66.69</v>
      </c>
      <c r="Q2115" s="113">
        <v>47.52</v>
      </c>
      <c r="R2115" s="113">
        <v>43.99</v>
      </c>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f t="shared" ref="B2116:D2116" si="6577">B2115</f>
        <v>101</v>
      </c>
      <c r="C2116" s="128">
        <f t="shared" si="6577"/>
        <v>1</v>
      </c>
      <c r="D2116" s="127">
        <f t="shared" si="6577"/>
        <v>101</v>
      </c>
      <c r="E2116" s="188">
        <f t="shared" ref="E2116" si="6578">D2115</f>
        <v>101</v>
      </c>
      <c r="F2116" s="92"/>
      <c r="G2116" s="190" t="s">
        <v>1</v>
      </c>
      <c r="H2116" s="193" t="s">
        <v>833</v>
      </c>
      <c r="I2116" s="194"/>
      <c r="J2116" s="195"/>
      <c r="K2116" s="66"/>
      <c r="L2116" s="185"/>
      <c r="M2116" s="187"/>
      <c r="N2116" s="70"/>
      <c r="O2116" s="27" t="s">
        <v>13</v>
      </c>
      <c r="P2116" s="122">
        <v>46196</v>
      </c>
      <c r="Q2116" s="122">
        <v>46196</v>
      </c>
      <c r="R2116" s="122">
        <v>46196</v>
      </c>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f t="shared" ref="B2117:D2117" si="6579">B2116</f>
        <v>101</v>
      </c>
      <c r="C2117" s="128">
        <f t="shared" si="6579"/>
        <v>1</v>
      </c>
      <c r="D2117" s="127">
        <f t="shared" si="6579"/>
        <v>101</v>
      </c>
      <c r="E2117" s="189"/>
      <c r="F2117" s="93"/>
      <c r="G2117" s="191"/>
      <c r="H2117" s="196"/>
      <c r="I2117" s="196"/>
      <c r="J2117" s="197"/>
      <c r="K2117" s="64"/>
      <c r="L2117" s="130" t="s">
        <v>44</v>
      </c>
      <c r="M2117" s="131">
        <v>8</v>
      </c>
      <c r="N2117" s="71"/>
      <c r="O2117" s="27" t="s">
        <v>380</v>
      </c>
      <c r="P2117" s="114" t="s">
        <v>302</v>
      </c>
      <c r="Q2117" s="114" t="s">
        <v>302</v>
      </c>
      <c r="R2117" s="114" t="s">
        <v>302</v>
      </c>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f t="shared" ref="B2118:C2118" si="6580">B2117</f>
        <v>101</v>
      </c>
      <c r="C2118" s="128">
        <f t="shared" si="6580"/>
        <v>1</v>
      </c>
      <c r="D2118" s="127">
        <f t="shared" si="6449"/>
        <v>101</v>
      </c>
      <c r="E2118" s="38" t="s">
        <v>313</v>
      </c>
      <c r="F2118" s="93"/>
      <c r="G2118" s="192"/>
      <c r="H2118" s="198"/>
      <c r="I2118" s="198"/>
      <c r="J2118" s="199"/>
      <c r="K2118" s="64"/>
      <c r="L2118" s="1" t="s">
        <v>2</v>
      </c>
      <c r="M2118" s="6" t="s">
        <v>288</v>
      </c>
      <c r="N2118" s="71"/>
      <c r="O2118" s="27" t="s">
        <v>381</v>
      </c>
      <c r="P2118" s="182" t="s">
        <v>834</v>
      </c>
      <c r="Q2118" s="182" t="s">
        <v>835</v>
      </c>
      <c r="R2118" s="182" t="s">
        <v>836</v>
      </c>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f t="shared" ref="B2119:C2119" si="6581">B2117</f>
        <v>101</v>
      </c>
      <c r="C2119" s="128">
        <f t="shared" si="6581"/>
        <v>1</v>
      </c>
      <c r="D2119" s="127">
        <f t="shared" si="6449"/>
        <v>101</v>
      </c>
      <c r="E2119" s="200">
        <f t="shared" ref="E2119" si="6582">C2115</f>
        <v>1</v>
      </c>
      <c r="F2119" s="93"/>
      <c r="G2119" s="202" t="s">
        <v>304</v>
      </c>
      <c r="H2119" s="204"/>
      <c r="I2119" s="205"/>
      <c r="J2119" s="205"/>
      <c r="K2119" s="67"/>
      <c r="L2119" s="28" t="s">
        <v>303</v>
      </c>
      <c r="M2119" s="133">
        <f t="shared" ref="M2119" si="6583">IFERROR(INDEX(I2121:I2133,MATCH(MAX(J2121:J2133),J2121:J2133,0)),"")</f>
        <v>0.18913121460097387</v>
      </c>
      <c r="N2119" s="71"/>
      <c r="O2119" s="27" t="s">
        <v>18</v>
      </c>
      <c r="P2119" s="106">
        <f>IF(P2115="","",
IF(OR(P2117="Orçamento",P2116="",MAX('Tabela de Apoio'!$A:$A)&lt;=P2116),
P2115,
(INDEX('Tabela de Apoio'!$B:$B,MATCH('MAPA DE PREÇOS'!$O$8,'Tabela de Apoio'!$A:$A,1))/INDEX('Tabela de Apoio'!$B:$B,MATCH('MAPA DE PREÇOS'!P2116,'Tabela de Apoio'!$A:$A,1)-1))*P2115))</f>
        <v>66.69</v>
      </c>
      <c r="Q2119" s="106">
        <f>IF(Q2115="","",
IF(OR(Q2117="Orçamento",Q2116="",MAX('Tabela de Apoio'!$A:$A)&lt;=Q2116),
Q2115,
(INDEX('Tabela de Apoio'!$B:$B,MATCH('MAPA DE PREÇOS'!$O$8,'Tabela de Apoio'!$A:$A,1))/INDEX('Tabela de Apoio'!$B:$B,MATCH('MAPA DE PREÇOS'!Q2116,'Tabela de Apoio'!$A:$A,1)-1))*Q2115))</f>
        <v>47.52</v>
      </c>
      <c r="R2119" s="106">
        <f>IF(R2115="","",
IF(OR(R2117="Orçamento",R2116="",MAX('Tabela de Apoio'!$A:$A)&lt;=R2116),
R2115,
(INDEX('Tabela de Apoio'!$B:$B,MATCH('MAPA DE PREÇOS'!$O$8,'Tabela de Apoio'!$A:$A,1))/INDEX('Tabela de Apoio'!$B:$B,MATCH('MAPA DE PREÇOS'!R2116,'Tabela de Apoio'!$A:$A,1)-1))*R2115))</f>
        <v>43.99</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f t="shared" ref="B2120" si="6584">B2119</f>
        <v>101</v>
      </c>
      <c r="C2120" s="128">
        <f t="shared" ref="C2120" si="6585">C2119</f>
        <v>1</v>
      </c>
      <c r="D2120" s="127">
        <f t="shared" si="6449"/>
        <v>101</v>
      </c>
      <c r="E2120" s="201"/>
      <c r="F2120" s="93"/>
      <c r="G2120" s="203"/>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f t="shared" ref="B2121:C2121" si="6586">B2120</f>
        <v>101</v>
      </c>
      <c r="C2121" s="128">
        <f t="shared" si="6586"/>
        <v>1</v>
      </c>
      <c r="D2121" s="127">
        <f t="shared" si="6449"/>
        <v>101</v>
      </c>
      <c r="E2121" s="201"/>
      <c r="F2121" s="93"/>
      <c r="G2121" s="203"/>
      <c r="H2121" s="134">
        <f t="shared" ref="H2121" si="6587">COUNT($P2121:$XX2121)</f>
        <v>3</v>
      </c>
      <c r="I2121" s="132">
        <f t="shared" ref="I2121" si="6588">_xlfn.STDEV.P($P2120:$XX2121)/AVERAGE($P2120:$XX2121)</f>
        <v>0.18913121460097387</v>
      </c>
      <c r="J2121" s="7">
        <f>ROW()</f>
        <v>2121</v>
      </c>
      <c r="K2121" s="67"/>
      <c r="L2121" s="29" t="s">
        <v>10</v>
      </c>
      <c r="M2121" s="30">
        <f t="shared" ref="M2121" si="6589">IFERROR(
IF(COUNTA(P2115:AI2115)=COUNTIF(P2117:XX2117,"Orçamento"),MIN(M2126,M2123),
IF(M2124&lt;&gt;"",M2124,
IF(M2125&lt;&gt;"",M2125,
M2123
))),"")</f>
        <v>52.733333333333341</v>
      </c>
      <c r="N2121" s="71"/>
      <c r="O2121" s="27" t="s">
        <v>376</v>
      </c>
      <c r="P2121" s="106">
        <f t="shared" ref="P2121:AI2121" si="6590">IFERROR(IF(P2119="",
            "",
            IF(COUNT($P2119:$XX2119)&lt;=4,
               P2119,
               IF(OR(P2119&gt;(QUARTILE($P2119:$XX2119,3)+(QUARTILE($P2119:$XX2119,3)-QUARTILE($P2119:$XX2119,1))),
                     P2119&lt;(QUARTILE($P2119:$XX2119,1)-(QUARTILE($P2119:$XX2119,3)-QUARTILE($P2119:$XX2119,1)))
                  ),
               "DESCARTADO",P2119)
             )
  ),P2119)</f>
        <v>66.69</v>
      </c>
      <c r="Q2121" s="106">
        <f t="shared" si="6590"/>
        <v>47.52</v>
      </c>
      <c r="R2121" s="106">
        <f t="shared" si="6590"/>
        <v>43.99</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f t="shared" ref="B2122" si="6591">B2121</f>
        <v>101</v>
      </c>
      <c r="C2122" s="128">
        <f t="shared" ref="C2122" si="6592">C2121</f>
        <v>1</v>
      </c>
      <c r="D2122" s="127">
        <f t="shared" si="6449"/>
        <v>101</v>
      </c>
      <c r="E2122" s="201"/>
      <c r="F2122" s="93"/>
      <c r="G2122" s="203"/>
      <c r="H2122"/>
      <c r="I2122"/>
      <c r="J2122"/>
      <c r="K2122" s="66"/>
      <c r="L2122" s="29" t="s">
        <v>360</v>
      </c>
      <c r="M2122" s="30">
        <f t="shared" ref="M2122" si="6593">AVERAGE($P2121:$XX2121)</f>
        <v>52.733333333333341</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f t="shared" si="6459"/>
        <v>101</v>
      </c>
      <c r="C2123" s="128">
        <f t="shared" si="6460"/>
        <v>1</v>
      </c>
      <c r="D2123" s="127">
        <f t="shared" si="6449"/>
        <v>101</v>
      </c>
      <c r="E2123" s="201"/>
      <c r="F2123" s="93"/>
      <c r="G2123" s="203"/>
      <c r="H2123" s="134">
        <f t="shared" ref="H2123" si="6595">COUNT($P2123:$XX2123)</f>
        <v>3</v>
      </c>
      <c r="I2123" s="132">
        <f t="shared" ref="I2123" si="6596">_xlfn.STDEV.P($P2122:$XX2123)/AVERAGE($P2122:$XX2123)</f>
        <v>0.18913121460097387</v>
      </c>
      <c r="J2123" s="7">
        <f t="shared" ref="J2123" si="6597">IF(AND(H2123&gt;2,
OR(L2115="MÉDIA SANEADA",L2115="MEDIANA SANEADA",
AND(L2115="PREÇO ESTIMADO",NOT(AND(P2117="Orçamento",COUNTA(P2115:XX2115)=COUNTIF(P2117:XX2117,"Orçamento")))))),
ROW(),0)</f>
        <v>2123</v>
      </c>
      <c r="K2123" s="66"/>
      <c r="L2123" s="29" t="s">
        <v>361</v>
      </c>
      <c r="M2123" s="30">
        <f t="shared" ref="M2123" si="6598">MEDIAN($P2121:$XX2121)</f>
        <v>47.52</v>
      </c>
      <c r="N2123" s="71"/>
      <c r="O2123" s="27" t="str">
        <f t="shared" ref="O2123" si="6599">"1 RODADA"</f>
        <v>1 RODADA</v>
      </c>
      <c r="P2123" s="107">
        <f t="shared" ref="P2123:AI2123" si="6600">IF(P2121="","",IF((_xlfn.STDEV.P($P2120:$XX2121)/AVERAGE($P2120:$XX2121))&lt;=25%,P2121,IF(OR(P2121&gt;(AVERAGE($P2120:$XX2121)+_xlfn.STDEV.P($P2120:$XX2121)),P2121&lt;(AVERAGE($P2120:$XX2121)-_xlfn.STDEV.P($P2120:$XX2121))),"DESCARTADO",P2121)))</f>
        <v>66.69</v>
      </c>
      <c r="Q2123" s="107">
        <f t="shared" si="6600"/>
        <v>47.52</v>
      </c>
      <c r="R2123" s="107">
        <f t="shared" si="6600"/>
        <v>43.99</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f t="shared" si="6459"/>
        <v>101</v>
      </c>
      <c r="C2124" s="128">
        <f t="shared" si="6460"/>
        <v>1</v>
      </c>
      <c r="D2124" s="127">
        <f t="shared" si="6449"/>
        <v>101</v>
      </c>
      <c r="E2124" s="201"/>
      <c r="F2124" s="93"/>
      <c r="G2124" s="203"/>
      <c r="H2124"/>
      <c r="I2124"/>
      <c r="J2124"/>
      <c r="L2124" s="29" t="s">
        <v>38</v>
      </c>
      <c r="M2124" s="30">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52.733333333333341</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f t="shared" si="6459"/>
        <v>101</v>
      </c>
      <c r="C2125" s="128">
        <f t="shared" si="6460"/>
        <v>1</v>
      </c>
      <c r="D2125" s="127">
        <f t="shared" si="6449"/>
        <v>101</v>
      </c>
      <c r="E2125" s="201"/>
      <c r="F2125" s="93"/>
      <c r="G2125" s="203"/>
      <c r="H2125" s="134">
        <f t="shared" ref="H2125" si="6603">COUNT($P2125:$XX2125)</f>
        <v>3</v>
      </c>
      <c r="I2125" s="132">
        <f t="shared" ref="I2125" si="6604">_xlfn.STDEV.P($P2124:$XX2125)/AVERAGE($P2124:$XX2125)</f>
        <v>0.18913121460097387</v>
      </c>
      <c r="J2125" s="7">
        <f t="shared" ref="J2125" si="6605">IF(AND(H2125&gt;2,
OR(L2115="MÉDIA SANEADA",L2115="MEDIANA SANEADA",
AND(L2115="PREÇO ESTIMADO",NOT(AND(P2117="Orçamento",COUNTA(P2115:XX2115)=COUNTIF(P2117:XX2117,"Orçamento")))))),
ROW(),0)</f>
        <v>2125</v>
      </c>
      <c r="K2125" s="66"/>
      <c r="L2125" s="29" t="s">
        <v>362</v>
      </c>
      <c r="M2125" s="30">
        <f t="shared" ref="M2125" si="6606" xml:space="preserve">
IF(H2123&gt;2,MEDIAN(P2122:XX2123),
IF(H2125&gt;2,MEDIAN(P2124:XX2125),
IF(H2127&gt;2,MEDIAN(P2126:XX2127),
IF(H2129&gt;2,MEDIAN(P2128:XX2129),
IF(H2131&gt;2,MEDIAN(P2130:XX2131),
IF(H2133&gt;2,MEDIAN(P2132:XX2133),
MEDIAN(P2120:XX2121)))))))</f>
        <v>47.52</v>
      </c>
      <c r="N2125" s="71"/>
      <c r="O2125" s="27" t="str">
        <f t="shared" ref="O2125" si="6607">"2 RODADA"</f>
        <v>2 RODADA</v>
      </c>
      <c r="P2125" s="107">
        <f t="shared" ref="P2125:AI2125" si="6608">IF(P2123="","",IF((_xlfn.STDEV.P($P2122:$XX2123)/AVERAGE($P2122:$XX2123))&lt;=25%,P2123,IF(OR(P2123&gt;(AVERAGE($P2122:$XX2123)+_xlfn.STDEV.P($P2122:$XX2123)),P2123&lt;(AVERAGE($P2122:$XX2123)-_xlfn.STDEV.P($P2122:$XX2123))),"DESCARTADO",P2123)))</f>
        <v>66.69</v>
      </c>
      <c r="Q2125" s="107">
        <f t="shared" si="6608"/>
        <v>47.52</v>
      </c>
      <c r="R2125" s="107">
        <f t="shared" si="6608"/>
        <v>43.99</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f t="shared" si="6459"/>
        <v>101</v>
      </c>
      <c r="C2126" s="128">
        <f t="shared" si="6460"/>
        <v>1</v>
      </c>
      <c r="D2126" s="127">
        <f t="shared" si="6449"/>
        <v>101</v>
      </c>
      <c r="E2126" s="201"/>
      <c r="F2126" s="93"/>
      <c r="G2126" s="203"/>
      <c r="H2126"/>
      <c r="I2126"/>
      <c r="J2126"/>
      <c r="K2126" s="66"/>
      <c r="L2126" s="29" t="s">
        <v>359</v>
      </c>
      <c r="M2126" s="30">
        <f t="shared" ref="M2126" si="6609">HARMEAN($P2120:$XX2121)</f>
        <v>51.04561664921745</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f t="shared" si="6459"/>
        <v>101</v>
      </c>
      <c r="C2127" s="128">
        <f t="shared" si="6460"/>
        <v>1</v>
      </c>
      <c r="D2127" s="127">
        <f t="shared" si="6449"/>
        <v>101</v>
      </c>
      <c r="E2127" s="201"/>
      <c r="F2127" s="93"/>
      <c r="G2127" s="203"/>
      <c r="H2127" s="134">
        <f t="shared" ref="H2127" si="6611">COUNT($P2127:$XX2127)</f>
        <v>3</v>
      </c>
      <c r="I2127" s="132">
        <f t="shared" ref="I2127" si="6612">_xlfn.STDEV.P($P2126:$XX2127)/AVERAGE($P2126:$XX2127)</f>
        <v>0.18913121460097387</v>
      </c>
      <c r="J2127" s="7">
        <f t="shared" ref="J2127" si="6613">IF(AND(H2127&gt;2,
OR(L2115="MÉDIA SANEADA",L2115="MEDIANA SANEADA",
AND(L2115="PREÇO ESTIMADO",NOT(AND(P2117="Orçamento",COUNTA(P2115:XX2115)=COUNTIF(P2117:XX2117,"Orçamento")))))),
ROW(),0)</f>
        <v>2127</v>
      </c>
      <c r="K2127" s="66"/>
      <c r="L2127" s="29" t="s">
        <v>41</v>
      </c>
      <c r="M2127" s="30">
        <f t="shared" ref="M2127" si="6614">IFERROR(_xlfn.QUARTILE.EXC($P2121:$XX2121,1),"")</f>
        <v>43.99</v>
      </c>
      <c r="N2127" s="71"/>
      <c r="O2127" s="27" t="str">
        <f t="shared" ref="O2127" si="6615">"3 RODADA"</f>
        <v>3 RODADA</v>
      </c>
      <c r="P2127" s="107">
        <f t="shared" ref="P2127:AI2127" si="6616">IF(P2125="","",IF((_xlfn.STDEV.P($P2124:$XX2125)/AVERAGE($P2124:$XX2125))&lt;=25%,P2125,IF(OR(P2125&gt;(AVERAGE($P2124:$XX2125)+_xlfn.STDEV.P($P2124:$XX2125)),P2125&lt;(AVERAGE($P2124:$XX2125)-_xlfn.STDEV.P($P2124:$XX2125))),"DESCARTADO",P2125)))</f>
        <v>66.69</v>
      </c>
      <c r="Q2127" s="107">
        <f t="shared" si="6616"/>
        <v>47.52</v>
      </c>
      <c r="R2127" s="107">
        <f t="shared" si="6616"/>
        <v>43.99</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f t="shared" si="6459"/>
        <v>101</v>
      </c>
      <c r="C2128" s="128">
        <f t="shared" si="6460"/>
        <v>1</v>
      </c>
      <c r="D2128" s="127">
        <f t="shared" si="6449"/>
        <v>101</v>
      </c>
      <c r="E2128" s="201"/>
      <c r="F2128" s="93"/>
      <c r="G2128" s="203"/>
      <c r="H2128"/>
      <c r="I2128"/>
      <c r="J2128"/>
      <c r="K2128" s="66"/>
      <c r="L2128" s="29" t="s">
        <v>39</v>
      </c>
      <c r="M2128" s="30">
        <f t="shared" ref="M2128" si="6617">IFERROR(_xlfn.QUARTILE.EXC($P2121:$XX2121,3),"")</f>
        <v>66.69</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f t="shared" si="6459"/>
        <v>101</v>
      </c>
      <c r="C2129" s="128">
        <f t="shared" si="6460"/>
        <v>1</v>
      </c>
      <c r="D2129" s="127">
        <f t="shared" si="6449"/>
        <v>101</v>
      </c>
      <c r="E2129" s="201"/>
      <c r="F2129" s="93"/>
      <c r="G2129" s="203"/>
      <c r="H2129" s="134">
        <f t="shared" ref="H2129" si="6619">COUNT($P2129:$XX2129)</f>
        <v>3</v>
      </c>
      <c r="I2129" s="132">
        <f t="shared" ref="I2129" si="6620">_xlfn.STDEV.P($P2128:$XX2129)/AVERAGE($P2128:$XX2129)</f>
        <v>0.18913121460097387</v>
      </c>
      <c r="J2129" s="7">
        <f t="shared" ref="J2129" si="6621">IF(AND(H2129&gt;2,
OR(L2115="MÉDIA SANEADA",L2115="MEDIANA SANEADA",
AND(L2115="PREÇO ESTIMADO",NOT(AND(P2117="Orçamento",COUNTA(P2115:XX2115)=COUNTIF(P2117:XX2117,"Orçamento")))))),
ROW(),0)</f>
        <v>2129</v>
      </c>
      <c r="K2129" s="66"/>
      <c r="L2129" s="29" t="s">
        <v>42</v>
      </c>
      <c r="M2129" s="30">
        <f t="shared" ref="M2129" si="6622">MIN($P2121:$XX2121)</f>
        <v>43.99</v>
      </c>
      <c r="N2129" s="71"/>
      <c r="O2129" s="27" t="str">
        <f t="shared" ref="O2129" si="6623">"4 RODADA"</f>
        <v>4 RODADA</v>
      </c>
      <c r="P2129" s="107">
        <f t="shared" ref="P2129:AI2129" si="6624">IF(P2127="","",IF((_xlfn.STDEV.P($P2126:$XX2127)/AVERAGE($P2126:$XX2127))&lt;=25%,P2127,IF(OR(P2127&gt;(AVERAGE($P2126:$XX2127)+_xlfn.STDEV.P($P2126:$XX2127)),P2127&lt;(AVERAGE($P2126:$XX2127)-_xlfn.STDEV.P($P2126:$XX2127))),"DESCARTADO",P2127)))</f>
        <v>66.69</v>
      </c>
      <c r="Q2129" s="107">
        <f t="shared" si="6624"/>
        <v>47.52</v>
      </c>
      <c r="R2129" s="107">
        <f t="shared" si="6624"/>
        <v>43.99</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f t="shared" si="6459"/>
        <v>101</v>
      </c>
      <c r="C2130" s="128">
        <f t="shared" si="6460"/>
        <v>1</v>
      </c>
      <c r="D2130" s="127">
        <f t="shared" si="6449"/>
        <v>101</v>
      </c>
      <c r="E2130" s="201"/>
      <c r="F2130" s="93"/>
      <c r="G2130" s="203"/>
      <c r="H2130"/>
      <c r="I2130"/>
      <c r="J2130"/>
      <c r="K2130" s="66"/>
      <c r="L2130" s="29" t="s">
        <v>40</v>
      </c>
      <c r="M2130" s="30">
        <f t="shared" ref="M2130" si="6625">MAX($P2121:$XX2121)</f>
        <v>66.69</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f t="shared" si="6459"/>
        <v>101</v>
      </c>
      <c r="C2131" s="128">
        <f t="shared" si="6460"/>
        <v>1</v>
      </c>
      <c r="D2131" s="127">
        <f t="shared" si="6449"/>
        <v>101</v>
      </c>
      <c r="E2131" s="201"/>
      <c r="F2131" s="93"/>
      <c r="G2131" s="203"/>
      <c r="H2131" s="134">
        <f t="shared" ref="H2131" si="6627">COUNT($P2131:$XX2131)</f>
        <v>3</v>
      </c>
      <c r="I2131" s="132">
        <f t="shared" ref="I2131" si="6628">_xlfn.STDEV.P($P2130:$XX2131)/AVERAGE($P2130:$XX2131)</f>
        <v>0.18913121460097387</v>
      </c>
      <c r="J2131" s="7">
        <f t="shared" ref="J2131" si="6629">IF(AND(H2131&gt;2,
OR(L2115="MÉDIA SANEADA",L2115="MEDIANA SANEADA",
AND(L2115="PREÇO ESTIMADO",NOT(AND(P2117="Orçamento",COUNTA(P2115:XX2115)=COUNTIF(P2117:XX2117,"Orçamento")))))),
ROW(),0)</f>
        <v>2131</v>
      </c>
      <c r="K2131" s="66"/>
      <c r="N2131" s="71"/>
      <c r="O2131" s="27" t="str">
        <f t="shared" ref="O2131" si="6630">"5 RODADA"</f>
        <v>5 RODADA</v>
      </c>
      <c r="P2131" s="107">
        <f t="shared" ref="P2131:AI2131" si="6631">IF(P2129="","",IF((_xlfn.STDEV.P($P2128:$XX2129)/AVERAGE($P2128:$XX2129))&lt;=25%,P2129,IF(OR(P2129&gt;(AVERAGE($P2128:$XX2129)+_xlfn.STDEV.P($P2128:$XX2129)),P2129&lt;(AVERAGE($P2128:$XX2129)-_xlfn.STDEV.P($P2128:$XX2129))),"DESCARTADO",P2129)))</f>
        <v>66.69</v>
      </c>
      <c r="Q2131" s="107">
        <f t="shared" si="6631"/>
        <v>47.52</v>
      </c>
      <c r="R2131" s="107">
        <f t="shared" si="6631"/>
        <v>43.99</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f t="shared" si="6459"/>
        <v>101</v>
      </c>
      <c r="C2132" s="128">
        <f t="shared" si="6460"/>
        <v>1</v>
      </c>
      <c r="D2132" s="127">
        <f t="shared" si="6449"/>
        <v>101</v>
      </c>
      <c r="E2132" s="201"/>
      <c r="F2132" s="93"/>
      <c r="G2132" s="203"/>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f t="shared" si="6459"/>
        <v>101</v>
      </c>
      <c r="C2133" s="128">
        <f t="shared" si="6460"/>
        <v>1</v>
      </c>
      <c r="D2133" s="127">
        <f t="shared" si="6449"/>
        <v>101</v>
      </c>
      <c r="E2133" s="201"/>
      <c r="F2133" s="93"/>
      <c r="G2133" s="203"/>
      <c r="H2133" s="134">
        <f t="shared" ref="H2133" si="6633">COUNT($P2133:$XX2133)</f>
        <v>3</v>
      </c>
      <c r="I2133" s="132">
        <f t="shared" ref="I2133" si="6634">_xlfn.STDEV.P($P2132:$XX2133)/AVERAGE($P2132:$XX2133)</f>
        <v>0.18913121460097387</v>
      </c>
      <c r="J2133" s="7">
        <f t="shared" ref="J2133" si="6635">IF(AND(H2133&gt;2,
OR(L2115="MÉDIA SANEADA",L2115="MEDIANA SANEADA",
AND(L2115="PREÇO ESTIMADO",NOT(AND(P2117="Orçamento",COUNTA(P2115:XX2115)=COUNTIF(P2117:XX2117,"Orçamento")))))),
ROW(),0)</f>
        <v>2133</v>
      </c>
      <c r="N2133" s="71"/>
      <c r="O2133" s="27" t="str">
        <f t="shared" ref="O2133" si="6636">"6 RODADA"</f>
        <v>6 RODADA</v>
      </c>
      <c r="P2133" s="107">
        <f t="shared" ref="P2133:AI2133" si="6637">IFERROR(IF(P2131="","",IF((_xlfn.STDEV.P($P2130:$XX2131)/AVERAGE($P2130:$XX2131))&lt;=25%,P2131,IF(OR(P2131&gt;(AVERAGE($P2130:$XX2131)+_xlfn.STDEV.P($P2130:$XX2131)),P2131&lt;(AVERAGE($P2130:$XX2131)-_xlfn.STDEV.P($P2130:$XX2131))),"DESCARTADO",P2131))),)</f>
        <v>66.69</v>
      </c>
      <c r="Q2133" s="107">
        <f t="shared" si="6637"/>
        <v>47.52</v>
      </c>
      <c r="R2133" s="107">
        <f t="shared" si="6637"/>
        <v>43.99</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f t="shared" si="6459"/>
        <v>101</v>
      </c>
      <c r="C2134" s="128">
        <f t="shared" si="6460"/>
        <v>1</v>
      </c>
      <c r="D2134" s="127">
        <f t="shared" si="6449"/>
        <v>101</v>
      </c>
      <c r="E2134" s="201"/>
      <c r="F2134" s="136"/>
      <c r="G2134" s="203"/>
      <c r="H2134" s="206"/>
      <c r="I2134" s="206"/>
      <c r="J2134" s="207"/>
      <c r="K2134" s="67"/>
      <c r="L2134" s="1" t="s">
        <v>43</v>
      </c>
      <c r="M2134" s="143">
        <f t="shared" ref="M2134" si="6638">IFERROR(ROUND(M2115*M2117,2),"")</f>
        <v>421.84</v>
      </c>
      <c r="O2134" s="27" t="s">
        <v>363</v>
      </c>
      <c r="P2134" s="107">
        <f t="shared" ref="P2134:R2134" si="6639">INDEX(P2121:P2133,MATCH(MAX($J2121:$J2133),$J2121:$J2133,0))</f>
        <v>66.69</v>
      </c>
      <c r="Q2134" s="107">
        <f t="shared" si="6639"/>
        <v>47.52</v>
      </c>
      <c r="R2134" s="107">
        <f t="shared" si="6639"/>
        <v>43.99</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f t="shared" ref="B2136" si="6640">LARGE(IFERROR(IF(B2134+1&gt;$H$8,"",B2134+1),""),1)</f>
        <v>102</v>
      </c>
      <c r="C2136" s="127">
        <f>IF(_xlfn.ISFORMULA(E2140),MAX(INDEX('BASE FORMAÇÃO'!A:A,B2136+1),1),E2140)</f>
        <v>1</v>
      </c>
      <c r="D2136" s="127">
        <f t="shared" ref="D2136" si="6641">IFERROR(IF(C2136=C2126,D2126+1,1),1)</f>
        <v>102</v>
      </c>
      <c r="E2136" s="38" t="s">
        <v>9</v>
      </c>
      <c r="F2136" s="73"/>
      <c r="G2136" s="38" t="s">
        <v>15</v>
      </c>
      <c r="H2136" s="135">
        <f>INDEX('BASE FORMAÇÃO'!B:B,B2136+1)</f>
        <v>0</v>
      </c>
      <c r="I2136" s="181" t="s">
        <v>16</v>
      </c>
      <c r="J2136" s="6">
        <f>INDEX('BASE FORMAÇÃO'!K:K,B2136+1)</f>
        <v>0</v>
      </c>
      <c r="K2136" s="65"/>
      <c r="L2136" s="184" t="s">
        <v>10</v>
      </c>
      <c r="M2136" s="186">
        <f t="shared" ref="M2136" si="6642">IF(OR(ISBLANK($O$8),ISBLANK($O$7),ISBLANK($H$8),ISBLANK($O$6),ISBLANK($O$5),ISBLANK($H$5)),"",IFERROR(IF(VLOOKUP(L2136,L2142:M2151,2,FALSE)&lt;1,ROUND(VLOOKUP(L2136,L2142:M2151,2,FALSE),4),ROUND(VLOOKUP(L2136,L2142:M2151,2,FALSE),2)),""))</f>
        <v>52.84</v>
      </c>
      <c r="N2136" s="69"/>
      <c r="O2136" s="27" t="s">
        <v>17</v>
      </c>
      <c r="P2136" s="113">
        <v>63.09</v>
      </c>
      <c r="Q2136" s="113">
        <v>47.52</v>
      </c>
      <c r="R2136" s="113">
        <v>47.9</v>
      </c>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f t="shared" ref="B2137:D2137" si="6643">B2136</f>
        <v>102</v>
      </c>
      <c r="C2137" s="128">
        <f t="shared" si="6643"/>
        <v>1</v>
      </c>
      <c r="D2137" s="127">
        <f t="shared" si="6643"/>
        <v>102</v>
      </c>
      <c r="E2137" s="188">
        <f t="shared" ref="E2137" si="6644">D2136</f>
        <v>102</v>
      </c>
      <c r="F2137" s="92"/>
      <c r="G2137" s="190" t="s">
        <v>1</v>
      </c>
      <c r="H2137" s="193" t="s">
        <v>837</v>
      </c>
      <c r="I2137" s="194"/>
      <c r="J2137" s="195"/>
      <c r="K2137" s="66"/>
      <c r="L2137" s="185"/>
      <c r="M2137" s="187"/>
      <c r="N2137" s="70"/>
      <c r="O2137" s="27" t="s">
        <v>13</v>
      </c>
      <c r="P2137" s="122">
        <v>46196</v>
      </c>
      <c r="Q2137" s="122">
        <v>46196</v>
      </c>
      <c r="R2137" s="122">
        <v>46196</v>
      </c>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f t="shared" ref="B2138:D2138" si="6645">B2137</f>
        <v>102</v>
      </c>
      <c r="C2138" s="128">
        <f t="shared" si="6645"/>
        <v>1</v>
      </c>
      <c r="D2138" s="127">
        <f t="shared" si="6645"/>
        <v>102</v>
      </c>
      <c r="E2138" s="189"/>
      <c r="F2138" s="93"/>
      <c r="G2138" s="191"/>
      <c r="H2138" s="196"/>
      <c r="I2138" s="196"/>
      <c r="J2138" s="197"/>
      <c r="K2138" s="64"/>
      <c r="L2138" s="130" t="s">
        <v>44</v>
      </c>
      <c r="M2138" s="131">
        <v>8</v>
      </c>
      <c r="N2138" s="71"/>
      <c r="O2138" s="27" t="s">
        <v>380</v>
      </c>
      <c r="P2138" s="114" t="s">
        <v>302</v>
      </c>
      <c r="Q2138" s="114" t="s">
        <v>302</v>
      </c>
      <c r="R2138" s="114" t="s">
        <v>302</v>
      </c>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f t="shared" ref="B2139:C2139" si="6646">B2138</f>
        <v>102</v>
      </c>
      <c r="C2139" s="128">
        <f t="shared" si="6646"/>
        <v>1</v>
      </c>
      <c r="D2139" s="127">
        <f t="shared" si="6449"/>
        <v>102</v>
      </c>
      <c r="E2139" s="38" t="s">
        <v>313</v>
      </c>
      <c r="F2139" s="93"/>
      <c r="G2139" s="192"/>
      <c r="H2139" s="198"/>
      <c r="I2139" s="198"/>
      <c r="J2139" s="199"/>
      <c r="K2139" s="64"/>
      <c r="L2139" s="1" t="s">
        <v>2</v>
      </c>
      <c r="M2139" s="6" t="s">
        <v>288</v>
      </c>
      <c r="N2139" s="71"/>
      <c r="O2139" s="27" t="s">
        <v>381</v>
      </c>
      <c r="P2139" s="182" t="s">
        <v>838</v>
      </c>
      <c r="Q2139" s="182" t="s">
        <v>839</v>
      </c>
      <c r="R2139" s="182" t="s">
        <v>840</v>
      </c>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f t="shared" ref="B2140:C2140" si="6647">B2138</f>
        <v>102</v>
      </c>
      <c r="C2140" s="128">
        <f t="shared" si="6647"/>
        <v>1</v>
      </c>
      <c r="D2140" s="127">
        <f t="shared" si="6449"/>
        <v>102</v>
      </c>
      <c r="E2140" s="200">
        <f t="shared" ref="E2140" si="6648">C2136</f>
        <v>1</v>
      </c>
      <c r="F2140" s="93"/>
      <c r="G2140" s="202" t="s">
        <v>304</v>
      </c>
      <c r="H2140" s="204"/>
      <c r="I2140" s="205"/>
      <c r="J2140" s="205"/>
      <c r="K2140" s="67"/>
      <c r="L2140" s="28" t="s">
        <v>303</v>
      </c>
      <c r="M2140" s="133">
        <f t="shared" ref="M2140" si="6649">IFERROR(INDEX(I2142:I2154,MATCH(MAX(J2142:J2154),J2142:J2154,0)),"")</f>
        <v>0.13725054060594033</v>
      </c>
      <c r="N2140" s="71"/>
      <c r="O2140" s="27" t="s">
        <v>18</v>
      </c>
      <c r="P2140" s="106">
        <f>IF(P2136="","",
IF(OR(P2138="Orçamento",P2137="",MAX('Tabela de Apoio'!$A:$A)&lt;=P2137),
P2136,
(INDEX('Tabela de Apoio'!$B:$B,MATCH('MAPA DE PREÇOS'!$O$8,'Tabela de Apoio'!$A:$A,1))/INDEX('Tabela de Apoio'!$B:$B,MATCH('MAPA DE PREÇOS'!P2137,'Tabela de Apoio'!$A:$A,1)-1))*P2136))</f>
        <v>63.09</v>
      </c>
      <c r="Q2140" s="106">
        <f>IF(Q2136="","",
IF(OR(Q2138="Orçamento",Q2137="",MAX('Tabela de Apoio'!$A:$A)&lt;=Q2137),
Q2136,
(INDEX('Tabela de Apoio'!$B:$B,MATCH('MAPA DE PREÇOS'!$O$8,'Tabela de Apoio'!$A:$A,1))/INDEX('Tabela de Apoio'!$B:$B,MATCH('MAPA DE PREÇOS'!Q2137,'Tabela de Apoio'!$A:$A,1)-1))*Q2136))</f>
        <v>47.52</v>
      </c>
      <c r="R2140" s="106">
        <f>IF(R2136="","",
IF(OR(R2138="Orçamento",R2137="",MAX('Tabela de Apoio'!$A:$A)&lt;=R2137),
R2136,
(INDEX('Tabela de Apoio'!$B:$B,MATCH('MAPA DE PREÇOS'!$O$8,'Tabela de Apoio'!$A:$A,1))/INDEX('Tabela de Apoio'!$B:$B,MATCH('MAPA DE PREÇOS'!R2137,'Tabela de Apoio'!$A:$A,1)-1))*R2136))</f>
        <v>47.9</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f t="shared" ref="B2141" si="6650">B2140</f>
        <v>102</v>
      </c>
      <c r="C2141" s="128">
        <f t="shared" ref="C2141" si="6651">C2140</f>
        <v>1</v>
      </c>
      <c r="D2141" s="127">
        <f t="shared" ref="D2141:D2176" si="6652">D2140</f>
        <v>102</v>
      </c>
      <c r="E2141" s="201"/>
      <c r="F2141" s="93"/>
      <c r="G2141" s="203"/>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f t="shared" ref="B2142:C2142" si="6653">B2141</f>
        <v>102</v>
      </c>
      <c r="C2142" s="128">
        <f t="shared" si="6653"/>
        <v>1</v>
      </c>
      <c r="D2142" s="127">
        <f t="shared" si="6652"/>
        <v>102</v>
      </c>
      <c r="E2142" s="201"/>
      <c r="F2142" s="93"/>
      <c r="G2142" s="203"/>
      <c r="H2142" s="134">
        <f t="shared" ref="H2142" si="6654">COUNT($P2142:$XX2142)</f>
        <v>3</v>
      </c>
      <c r="I2142" s="132">
        <f t="shared" ref="I2142" si="6655">_xlfn.STDEV.P($P2141:$XX2142)/AVERAGE($P2141:$XX2142)</f>
        <v>0.13725054060594033</v>
      </c>
      <c r="J2142" s="7">
        <f>ROW()</f>
        <v>2142</v>
      </c>
      <c r="K2142" s="67"/>
      <c r="L2142" s="29" t="s">
        <v>10</v>
      </c>
      <c r="M2142" s="30">
        <f t="shared" ref="M2142" si="6656">IFERROR(
IF(COUNTA(P2136:AI2136)=COUNTIF(P2138:XX2138,"Orçamento"),MIN(M2147,M2144),
IF(M2145&lt;&gt;"",M2145,
IF(M2146&lt;&gt;"",M2146,
M2144
))),"")</f>
        <v>52.836666666666673</v>
      </c>
      <c r="N2142" s="71"/>
      <c r="O2142" s="27" t="s">
        <v>376</v>
      </c>
      <c r="P2142" s="106">
        <f t="shared" ref="P2142:AI2142" si="6657">IFERROR(IF(P2140="",
            "",
            IF(COUNT($P2140:$XX2140)&lt;=4,
               P2140,
               IF(OR(P2140&gt;(QUARTILE($P2140:$XX2140,3)+(QUARTILE($P2140:$XX2140,3)-QUARTILE($P2140:$XX2140,1))),
                     P2140&lt;(QUARTILE($P2140:$XX2140,1)-(QUARTILE($P2140:$XX2140,3)-QUARTILE($P2140:$XX2140,1)))
                  ),
               "DESCARTADO",P2140)
             )
  ),P2140)</f>
        <v>63.09</v>
      </c>
      <c r="Q2142" s="106">
        <f t="shared" si="6657"/>
        <v>47.52</v>
      </c>
      <c r="R2142" s="106">
        <f t="shared" si="6657"/>
        <v>47.9</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f t="shared" ref="B2143:B2176" si="6658">B2142</f>
        <v>102</v>
      </c>
      <c r="C2143" s="128">
        <f t="shared" ref="C2143:C2176" si="6659">C2142</f>
        <v>1</v>
      </c>
      <c r="D2143" s="127">
        <f t="shared" si="6652"/>
        <v>102</v>
      </c>
      <c r="E2143" s="201"/>
      <c r="F2143" s="93"/>
      <c r="G2143" s="203"/>
      <c r="H2143"/>
      <c r="I2143"/>
      <c r="J2143"/>
      <c r="K2143" s="66"/>
      <c r="L2143" s="29" t="s">
        <v>360</v>
      </c>
      <c r="M2143" s="30">
        <f t="shared" ref="M2143" si="6660">AVERAGE($P2142:$XX2142)</f>
        <v>52.836666666666673</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f t="shared" si="6658"/>
        <v>102</v>
      </c>
      <c r="C2144" s="128">
        <f t="shared" si="6659"/>
        <v>1</v>
      </c>
      <c r="D2144" s="127">
        <f t="shared" si="6652"/>
        <v>102</v>
      </c>
      <c r="E2144" s="201"/>
      <c r="F2144" s="93"/>
      <c r="G2144" s="203"/>
      <c r="H2144" s="134">
        <f t="shared" ref="H2144" si="6662">COUNT($P2144:$XX2144)</f>
        <v>3</v>
      </c>
      <c r="I2144" s="132">
        <f t="shared" ref="I2144" si="6663">_xlfn.STDEV.P($P2143:$XX2144)/AVERAGE($P2143:$XX2144)</f>
        <v>0.13725054060594033</v>
      </c>
      <c r="J2144" s="7">
        <f t="shared" ref="J2144" si="6664">IF(AND(H2144&gt;2,
OR(L2136="MÉDIA SANEADA",L2136="MEDIANA SANEADA",
AND(L2136="PREÇO ESTIMADO",NOT(AND(P2138="Orçamento",COUNTA(P2136:XX2136)=COUNTIF(P2138:XX2138,"Orçamento")))))),
ROW(),0)</f>
        <v>2144</v>
      </c>
      <c r="K2144" s="66"/>
      <c r="L2144" s="29" t="s">
        <v>361</v>
      </c>
      <c r="M2144" s="30">
        <f t="shared" ref="M2144" si="6665">MEDIAN($P2142:$XX2142)</f>
        <v>47.9</v>
      </c>
      <c r="N2144" s="71"/>
      <c r="O2144" s="27" t="str">
        <f t="shared" ref="O2144" si="6666">"1 RODADA"</f>
        <v>1 RODADA</v>
      </c>
      <c r="P2144" s="107">
        <f t="shared" ref="P2144:AI2144" si="6667">IF(P2142="","",IF((_xlfn.STDEV.P($P2141:$XX2142)/AVERAGE($P2141:$XX2142))&lt;=25%,P2142,IF(OR(P2142&gt;(AVERAGE($P2141:$XX2142)+_xlfn.STDEV.P($P2141:$XX2142)),P2142&lt;(AVERAGE($P2141:$XX2142)-_xlfn.STDEV.P($P2141:$XX2142))),"DESCARTADO",P2142)))</f>
        <v>63.09</v>
      </c>
      <c r="Q2144" s="107">
        <f t="shared" si="6667"/>
        <v>47.52</v>
      </c>
      <c r="R2144" s="107">
        <f t="shared" si="6667"/>
        <v>47.9</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f t="shared" si="6658"/>
        <v>102</v>
      </c>
      <c r="C2145" s="128">
        <f t="shared" si="6659"/>
        <v>1</v>
      </c>
      <c r="D2145" s="127">
        <f t="shared" si="6652"/>
        <v>102</v>
      </c>
      <c r="E2145" s="201"/>
      <c r="F2145" s="93"/>
      <c r="G2145" s="203"/>
      <c r="H2145"/>
      <c r="I2145"/>
      <c r="J2145"/>
      <c r="L2145" s="29" t="s">
        <v>38</v>
      </c>
      <c r="M2145" s="30">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52.836666666666673</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f t="shared" si="6658"/>
        <v>102</v>
      </c>
      <c r="C2146" s="128">
        <f t="shared" si="6659"/>
        <v>1</v>
      </c>
      <c r="D2146" s="127">
        <f t="shared" si="6652"/>
        <v>102</v>
      </c>
      <c r="E2146" s="201"/>
      <c r="F2146" s="93"/>
      <c r="G2146" s="203"/>
      <c r="H2146" s="134">
        <f t="shared" ref="H2146" si="6670">COUNT($P2146:$XX2146)</f>
        <v>3</v>
      </c>
      <c r="I2146" s="132">
        <f t="shared" ref="I2146" si="6671">_xlfn.STDEV.P($P2145:$XX2146)/AVERAGE($P2145:$XX2146)</f>
        <v>0.13725054060594033</v>
      </c>
      <c r="J2146" s="7">
        <f t="shared" ref="J2146" si="6672">IF(AND(H2146&gt;2,
OR(L2136="MÉDIA SANEADA",L2136="MEDIANA SANEADA",
AND(L2136="PREÇO ESTIMADO",NOT(AND(P2138="Orçamento",COUNTA(P2136:XX2136)=COUNTIF(P2138:XX2138,"Orçamento")))))),
ROW(),0)</f>
        <v>2146</v>
      </c>
      <c r="K2146" s="66"/>
      <c r="L2146" s="29" t="s">
        <v>362</v>
      </c>
      <c r="M2146" s="30">
        <f t="shared" ref="M2146" si="6673" xml:space="preserve">
IF(H2144&gt;2,MEDIAN(P2143:XX2144),
IF(H2146&gt;2,MEDIAN(P2145:XX2146),
IF(H2148&gt;2,MEDIAN(P2147:XX2148),
IF(H2150&gt;2,MEDIAN(P2149:XX2150),
IF(H2152&gt;2,MEDIAN(P2151:XX2152),
IF(H2154&gt;2,MEDIAN(P2153:XX2154),
MEDIAN(P2141:XX2142)))))))</f>
        <v>47.9</v>
      </c>
      <c r="N2146" s="71"/>
      <c r="O2146" s="27" t="str">
        <f t="shared" ref="O2146" si="6674">"2 RODADA"</f>
        <v>2 RODADA</v>
      </c>
      <c r="P2146" s="107">
        <f t="shared" ref="P2146:AI2146" si="6675">IF(P2144="","",IF((_xlfn.STDEV.P($P2143:$XX2144)/AVERAGE($P2143:$XX2144))&lt;=25%,P2144,IF(OR(P2144&gt;(AVERAGE($P2143:$XX2144)+_xlfn.STDEV.P($P2143:$XX2144)),P2144&lt;(AVERAGE($P2143:$XX2144)-_xlfn.STDEV.P($P2143:$XX2144))),"DESCARTADO",P2144)))</f>
        <v>63.09</v>
      </c>
      <c r="Q2146" s="107">
        <f t="shared" si="6675"/>
        <v>47.52</v>
      </c>
      <c r="R2146" s="107">
        <f t="shared" si="6675"/>
        <v>47.9</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f t="shared" si="6658"/>
        <v>102</v>
      </c>
      <c r="C2147" s="128">
        <f t="shared" si="6659"/>
        <v>1</v>
      </c>
      <c r="D2147" s="127">
        <f t="shared" si="6652"/>
        <v>102</v>
      </c>
      <c r="E2147" s="201"/>
      <c r="F2147" s="93"/>
      <c r="G2147" s="203"/>
      <c r="H2147"/>
      <c r="I2147"/>
      <c r="J2147"/>
      <c r="K2147" s="66"/>
      <c r="L2147" s="29" t="s">
        <v>359</v>
      </c>
      <c r="M2147" s="30">
        <f t="shared" ref="M2147" si="6676">HARMEAN($P2141:$XX2142)</f>
        <v>51.929195355813405</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f t="shared" si="6658"/>
        <v>102</v>
      </c>
      <c r="C2148" s="128">
        <f t="shared" si="6659"/>
        <v>1</v>
      </c>
      <c r="D2148" s="127">
        <f t="shared" si="6652"/>
        <v>102</v>
      </c>
      <c r="E2148" s="201"/>
      <c r="F2148" s="93"/>
      <c r="G2148" s="203"/>
      <c r="H2148" s="134">
        <f t="shared" ref="H2148" si="6678">COUNT($P2148:$XX2148)</f>
        <v>3</v>
      </c>
      <c r="I2148" s="132">
        <f t="shared" ref="I2148" si="6679">_xlfn.STDEV.P($P2147:$XX2148)/AVERAGE($P2147:$XX2148)</f>
        <v>0.13725054060594033</v>
      </c>
      <c r="J2148" s="7">
        <f t="shared" ref="J2148" si="6680">IF(AND(H2148&gt;2,
OR(L2136="MÉDIA SANEADA",L2136="MEDIANA SANEADA",
AND(L2136="PREÇO ESTIMADO",NOT(AND(P2138="Orçamento",COUNTA(P2136:XX2136)=COUNTIF(P2138:XX2138,"Orçamento")))))),
ROW(),0)</f>
        <v>2148</v>
      </c>
      <c r="K2148" s="66"/>
      <c r="L2148" s="29" t="s">
        <v>41</v>
      </c>
      <c r="M2148" s="30">
        <f t="shared" ref="M2148" si="6681">IFERROR(_xlfn.QUARTILE.EXC($P2142:$XX2142,1),"")</f>
        <v>47.52</v>
      </c>
      <c r="N2148" s="71"/>
      <c r="O2148" s="27" t="str">
        <f t="shared" ref="O2148" si="6682">"3 RODADA"</f>
        <v>3 RODADA</v>
      </c>
      <c r="P2148" s="107">
        <f t="shared" ref="P2148:AI2148" si="6683">IF(P2146="","",IF((_xlfn.STDEV.P($P2145:$XX2146)/AVERAGE($P2145:$XX2146))&lt;=25%,P2146,IF(OR(P2146&gt;(AVERAGE($P2145:$XX2146)+_xlfn.STDEV.P($P2145:$XX2146)),P2146&lt;(AVERAGE($P2145:$XX2146)-_xlfn.STDEV.P($P2145:$XX2146))),"DESCARTADO",P2146)))</f>
        <v>63.09</v>
      </c>
      <c r="Q2148" s="107">
        <f t="shared" si="6683"/>
        <v>47.52</v>
      </c>
      <c r="R2148" s="107">
        <f t="shared" si="6683"/>
        <v>47.9</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f t="shared" si="6658"/>
        <v>102</v>
      </c>
      <c r="C2149" s="128">
        <f t="shared" si="6659"/>
        <v>1</v>
      </c>
      <c r="D2149" s="127">
        <f t="shared" si="6652"/>
        <v>102</v>
      </c>
      <c r="E2149" s="201"/>
      <c r="F2149" s="93"/>
      <c r="G2149" s="203"/>
      <c r="H2149"/>
      <c r="I2149"/>
      <c r="J2149"/>
      <c r="K2149" s="66"/>
      <c r="L2149" s="29" t="s">
        <v>39</v>
      </c>
      <c r="M2149" s="30">
        <f t="shared" ref="M2149" si="6684">IFERROR(_xlfn.QUARTILE.EXC($P2142:$XX2142,3),"")</f>
        <v>63.09</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f t="shared" si="6658"/>
        <v>102</v>
      </c>
      <c r="C2150" s="128">
        <f t="shared" si="6659"/>
        <v>1</v>
      </c>
      <c r="D2150" s="127">
        <f t="shared" si="6652"/>
        <v>102</v>
      </c>
      <c r="E2150" s="201"/>
      <c r="F2150" s="93"/>
      <c r="G2150" s="203"/>
      <c r="H2150" s="134">
        <f t="shared" ref="H2150" si="6686">COUNT($P2150:$XX2150)</f>
        <v>3</v>
      </c>
      <c r="I2150" s="132">
        <f t="shared" ref="I2150" si="6687">_xlfn.STDEV.P($P2149:$XX2150)/AVERAGE($P2149:$XX2150)</f>
        <v>0.13725054060594033</v>
      </c>
      <c r="J2150" s="7">
        <f t="shared" ref="J2150" si="6688">IF(AND(H2150&gt;2,
OR(L2136="MÉDIA SANEADA",L2136="MEDIANA SANEADA",
AND(L2136="PREÇO ESTIMADO",NOT(AND(P2138="Orçamento",COUNTA(P2136:XX2136)=COUNTIF(P2138:XX2138,"Orçamento")))))),
ROW(),0)</f>
        <v>2150</v>
      </c>
      <c r="K2150" s="66"/>
      <c r="L2150" s="29" t="s">
        <v>42</v>
      </c>
      <c r="M2150" s="30">
        <f t="shared" ref="M2150" si="6689">MIN($P2142:$XX2142)</f>
        <v>47.52</v>
      </c>
      <c r="N2150" s="71"/>
      <c r="O2150" s="27" t="str">
        <f t="shared" ref="O2150" si="6690">"4 RODADA"</f>
        <v>4 RODADA</v>
      </c>
      <c r="P2150" s="107">
        <f t="shared" ref="P2150:AI2150" si="6691">IF(P2148="","",IF((_xlfn.STDEV.P($P2147:$XX2148)/AVERAGE($P2147:$XX2148))&lt;=25%,P2148,IF(OR(P2148&gt;(AVERAGE($P2147:$XX2148)+_xlfn.STDEV.P($P2147:$XX2148)),P2148&lt;(AVERAGE($P2147:$XX2148)-_xlfn.STDEV.P($P2147:$XX2148))),"DESCARTADO",P2148)))</f>
        <v>63.09</v>
      </c>
      <c r="Q2150" s="107">
        <f t="shared" si="6691"/>
        <v>47.52</v>
      </c>
      <c r="R2150" s="107">
        <f t="shared" si="6691"/>
        <v>47.9</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f t="shared" si="6658"/>
        <v>102</v>
      </c>
      <c r="C2151" s="128">
        <f t="shared" si="6659"/>
        <v>1</v>
      </c>
      <c r="D2151" s="127">
        <f t="shared" si="6652"/>
        <v>102</v>
      </c>
      <c r="E2151" s="201"/>
      <c r="F2151" s="93"/>
      <c r="G2151" s="203"/>
      <c r="H2151"/>
      <c r="I2151"/>
      <c r="J2151"/>
      <c r="K2151" s="66"/>
      <c r="L2151" s="29" t="s">
        <v>40</v>
      </c>
      <c r="M2151" s="30">
        <f t="shared" ref="M2151" si="6692">MAX($P2142:$XX2142)</f>
        <v>63.09</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f t="shared" si="6658"/>
        <v>102</v>
      </c>
      <c r="C2152" s="128">
        <f t="shared" si="6659"/>
        <v>1</v>
      </c>
      <c r="D2152" s="127">
        <f t="shared" si="6652"/>
        <v>102</v>
      </c>
      <c r="E2152" s="201"/>
      <c r="F2152" s="93"/>
      <c r="G2152" s="203"/>
      <c r="H2152" s="134">
        <f t="shared" ref="H2152" si="6694">COUNT($P2152:$XX2152)</f>
        <v>3</v>
      </c>
      <c r="I2152" s="132">
        <f t="shared" ref="I2152" si="6695">_xlfn.STDEV.P($P2151:$XX2152)/AVERAGE($P2151:$XX2152)</f>
        <v>0.13725054060594033</v>
      </c>
      <c r="J2152" s="7">
        <f t="shared" ref="J2152" si="6696">IF(AND(H2152&gt;2,
OR(L2136="MÉDIA SANEADA",L2136="MEDIANA SANEADA",
AND(L2136="PREÇO ESTIMADO",NOT(AND(P2138="Orçamento",COUNTA(P2136:XX2136)=COUNTIF(P2138:XX2138,"Orçamento")))))),
ROW(),0)</f>
        <v>2152</v>
      </c>
      <c r="K2152" s="66"/>
      <c r="N2152" s="71"/>
      <c r="O2152" s="27" t="str">
        <f t="shared" ref="O2152" si="6697">"5 RODADA"</f>
        <v>5 RODADA</v>
      </c>
      <c r="P2152" s="107">
        <f t="shared" ref="P2152:AI2152" si="6698">IF(P2150="","",IF((_xlfn.STDEV.P($P2149:$XX2150)/AVERAGE($P2149:$XX2150))&lt;=25%,P2150,IF(OR(P2150&gt;(AVERAGE($P2149:$XX2150)+_xlfn.STDEV.P($P2149:$XX2150)),P2150&lt;(AVERAGE($P2149:$XX2150)-_xlfn.STDEV.P($P2149:$XX2150))),"DESCARTADO",P2150)))</f>
        <v>63.09</v>
      </c>
      <c r="Q2152" s="107">
        <f t="shared" si="6698"/>
        <v>47.52</v>
      </c>
      <c r="R2152" s="107">
        <f t="shared" si="6698"/>
        <v>47.9</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f t="shared" si="6658"/>
        <v>102</v>
      </c>
      <c r="C2153" s="128">
        <f t="shared" si="6659"/>
        <v>1</v>
      </c>
      <c r="D2153" s="127">
        <f t="shared" si="6652"/>
        <v>102</v>
      </c>
      <c r="E2153" s="201"/>
      <c r="F2153" s="93"/>
      <c r="G2153" s="203"/>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f t="shared" si="6658"/>
        <v>102</v>
      </c>
      <c r="C2154" s="128">
        <f t="shared" si="6659"/>
        <v>1</v>
      </c>
      <c r="D2154" s="127">
        <f t="shared" si="6652"/>
        <v>102</v>
      </c>
      <c r="E2154" s="201"/>
      <c r="F2154" s="93"/>
      <c r="G2154" s="203"/>
      <c r="H2154" s="134">
        <f t="shared" ref="H2154" si="6700">COUNT($P2154:$XX2154)</f>
        <v>3</v>
      </c>
      <c r="I2154" s="132">
        <f t="shared" ref="I2154" si="6701">_xlfn.STDEV.P($P2153:$XX2154)/AVERAGE($P2153:$XX2154)</f>
        <v>0.13725054060594033</v>
      </c>
      <c r="J2154" s="7">
        <f t="shared" ref="J2154" si="6702">IF(AND(H2154&gt;2,
OR(L2136="MÉDIA SANEADA",L2136="MEDIANA SANEADA",
AND(L2136="PREÇO ESTIMADO",NOT(AND(P2138="Orçamento",COUNTA(P2136:XX2136)=COUNTIF(P2138:XX2138,"Orçamento")))))),
ROW(),0)</f>
        <v>2154</v>
      </c>
      <c r="N2154" s="71"/>
      <c r="O2154" s="27" t="str">
        <f t="shared" ref="O2154" si="6703">"6 RODADA"</f>
        <v>6 RODADA</v>
      </c>
      <c r="P2154" s="107">
        <f t="shared" ref="P2154:AI2154" si="6704">IFERROR(IF(P2152="","",IF((_xlfn.STDEV.P($P2151:$XX2152)/AVERAGE($P2151:$XX2152))&lt;=25%,P2152,IF(OR(P2152&gt;(AVERAGE($P2151:$XX2152)+_xlfn.STDEV.P($P2151:$XX2152)),P2152&lt;(AVERAGE($P2151:$XX2152)-_xlfn.STDEV.P($P2151:$XX2152))),"DESCARTADO",P2152))),)</f>
        <v>63.09</v>
      </c>
      <c r="Q2154" s="107">
        <f t="shared" si="6704"/>
        <v>47.52</v>
      </c>
      <c r="R2154" s="107">
        <f t="shared" si="6704"/>
        <v>47.9</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f t="shared" si="6658"/>
        <v>102</v>
      </c>
      <c r="C2155" s="128">
        <f t="shared" si="6659"/>
        <v>1</v>
      </c>
      <c r="D2155" s="127">
        <f t="shared" si="6652"/>
        <v>102</v>
      </c>
      <c r="E2155" s="201"/>
      <c r="F2155" s="136"/>
      <c r="G2155" s="203"/>
      <c r="H2155" s="206"/>
      <c r="I2155" s="206"/>
      <c r="J2155" s="207"/>
      <c r="K2155" s="67"/>
      <c r="L2155" s="1" t="s">
        <v>43</v>
      </c>
      <c r="M2155" s="143">
        <f t="shared" ref="M2155" si="6705">IFERROR(ROUND(M2136*M2138,2),"")</f>
        <v>422.72</v>
      </c>
      <c r="O2155" s="27" t="s">
        <v>363</v>
      </c>
      <c r="P2155" s="107">
        <f t="shared" ref="P2155:AI2176" si="6706">INDEX(P2142:P2154,MATCH(MAX($J2142:$J2154),$J2142:$J2154,0))</f>
        <v>63.09</v>
      </c>
      <c r="Q2155" s="107">
        <f t="shared" si="6706"/>
        <v>47.52</v>
      </c>
      <c r="R2155" s="107">
        <f t="shared" si="6706"/>
        <v>47.9</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f t="shared" ref="B2157" si="6707">LARGE(IFERROR(IF(B2155+1&gt;$H$8,"",B2155+1),""),1)</f>
        <v>103</v>
      </c>
      <c r="C2157" s="127">
        <f>IF(_xlfn.ISFORMULA(E2161),MAX(INDEX('BASE FORMAÇÃO'!A:A,B2157+1),1),E2161)</f>
        <v>1</v>
      </c>
      <c r="D2157" s="127">
        <f t="shared" ref="D2157" si="6708">IFERROR(IF(C2157=C2147,D2147+1,1),1)</f>
        <v>103</v>
      </c>
      <c r="E2157" s="38" t="s">
        <v>9</v>
      </c>
      <c r="F2157" s="73"/>
      <c r="G2157" s="38" t="s">
        <v>15</v>
      </c>
      <c r="H2157" s="135">
        <f>INDEX('BASE FORMAÇÃO'!B:B,B2157+1)</f>
        <v>0</v>
      </c>
      <c r="I2157" s="181" t="s">
        <v>16</v>
      </c>
      <c r="J2157" s="6">
        <f>INDEX('BASE FORMAÇÃO'!K:K,B2157+1)</f>
        <v>0</v>
      </c>
      <c r="K2157" s="65"/>
      <c r="L2157" s="184" t="s">
        <v>10</v>
      </c>
      <c r="M2157" s="186">
        <f t="shared" ref="M2157" si="6709">IF(OR(ISBLANK($O$8),ISBLANK($O$7),ISBLANK($H$8),ISBLANK($O$6),ISBLANK($O$5),ISBLANK($H$5)),"",IFERROR(IF(VLOOKUP(L2157,L2163:M2172,2,FALSE)&lt;1,ROUND(VLOOKUP(L2157,L2163:M2172,2,FALSE),4),ROUND(VLOOKUP(L2157,L2163:M2172,2,FALSE),2)),""))</f>
        <v>58.78</v>
      </c>
      <c r="N2157" s="69"/>
      <c r="O2157" s="27" t="s">
        <v>17</v>
      </c>
      <c r="P2157" s="113">
        <v>63.55</v>
      </c>
      <c r="Q2157" s="113">
        <v>57.9</v>
      </c>
      <c r="R2157" s="113">
        <v>54.9</v>
      </c>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f t="shared" ref="B2158:D2158" si="6710">B2157</f>
        <v>103</v>
      </c>
      <c r="C2158" s="128">
        <f t="shared" si="6710"/>
        <v>1</v>
      </c>
      <c r="D2158" s="127">
        <f t="shared" si="6710"/>
        <v>103</v>
      </c>
      <c r="E2158" s="188">
        <f t="shared" ref="E2158" si="6711">D2157</f>
        <v>103</v>
      </c>
      <c r="F2158" s="92"/>
      <c r="G2158" s="190" t="s">
        <v>1</v>
      </c>
      <c r="H2158" s="193" t="s">
        <v>841</v>
      </c>
      <c r="I2158" s="194"/>
      <c r="J2158" s="195"/>
      <c r="K2158" s="66"/>
      <c r="L2158" s="185"/>
      <c r="M2158" s="187"/>
      <c r="N2158" s="70"/>
      <c r="O2158" s="27" t="s">
        <v>13</v>
      </c>
      <c r="P2158" s="122">
        <v>46196</v>
      </c>
      <c r="Q2158" s="122">
        <v>46196</v>
      </c>
      <c r="R2158" s="122">
        <v>46196</v>
      </c>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f t="shared" ref="B2159:D2159" si="6712">B2158</f>
        <v>103</v>
      </c>
      <c r="C2159" s="128">
        <f t="shared" si="6712"/>
        <v>1</v>
      </c>
      <c r="D2159" s="127">
        <f t="shared" si="6712"/>
        <v>103</v>
      </c>
      <c r="E2159" s="189"/>
      <c r="F2159" s="93"/>
      <c r="G2159" s="191"/>
      <c r="H2159" s="196"/>
      <c r="I2159" s="196"/>
      <c r="J2159" s="197"/>
      <c r="K2159" s="64"/>
      <c r="L2159" s="130" t="s">
        <v>44</v>
      </c>
      <c r="M2159" s="131">
        <v>8</v>
      </c>
      <c r="N2159" s="71"/>
      <c r="O2159" s="27" t="s">
        <v>380</v>
      </c>
      <c r="P2159" s="114" t="s">
        <v>302</v>
      </c>
      <c r="Q2159" s="114" t="s">
        <v>302</v>
      </c>
      <c r="R2159" s="114" t="s">
        <v>302</v>
      </c>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f t="shared" ref="B2160:C2160" si="6713">B2159</f>
        <v>103</v>
      </c>
      <c r="C2160" s="128">
        <f t="shared" si="6713"/>
        <v>1</v>
      </c>
      <c r="D2160" s="127">
        <f t="shared" si="6652"/>
        <v>103</v>
      </c>
      <c r="E2160" s="38" t="s">
        <v>313</v>
      </c>
      <c r="F2160" s="93"/>
      <c r="G2160" s="192"/>
      <c r="H2160" s="198"/>
      <c r="I2160" s="198"/>
      <c r="J2160" s="199"/>
      <c r="K2160" s="64"/>
      <c r="L2160" s="1" t="s">
        <v>2</v>
      </c>
      <c r="M2160" s="6" t="s">
        <v>288</v>
      </c>
      <c r="N2160" s="71"/>
      <c r="O2160" s="27" t="s">
        <v>381</v>
      </c>
      <c r="P2160" s="182" t="s">
        <v>842</v>
      </c>
      <c r="Q2160" s="182" t="s">
        <v>843</v>
      </c>
      <c r="R2160" s="182" t="s">
        <v>844</v>
      </c>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f t="shared" ref="B2161:C2161" si="6714">B2159</f>
        <v>103</v>
      </c>
      <c r="C2161" s="128">
        <f t="shared" si="6714"/>
        <v>1</v>
      </c>
      <c r="D2161" s="127">
        <f t="shared" si="6652"/>
        <v>103</v>
      </c>
      <c r="E2161" s="200">
        <f t="shared" ref="E2161" si="6715">C2157</f>
        <v>1</v>
      </c>
      <c r="F2161" s="93"/>
      <c r="G2161" s="202" t="s">
        <v>304</v>
      </c>
      <c r="H2161" s="204"/>
      <c r="I2161" s="205"/>
      <c r="J2161" s="205"/>
      <c r="K2161" s="67"/>
      <c r="L2161" s="28" t="s">
        <v>303</v>
      </c>
      <c r="M2161" s="133">
        <f t="shared" ref="M2161" si="6716">IFERROR(INDEX(I2163:I2175,MATCH(MAX(J2163:J2175),J2163:J2175,0)),"")</f>
        <v>6.1006436197671612E-2</v>
      </c>
      <c r="N2161" s="71"/>
      <c r="O2161" s="27" t="s">
        <v>18</v>
      </c>
      <c r="P2161" s="106">
        <f>IF(P2157="","",
IF(OR(P2159="Orçamento",P2158="",MAX('Tabela de Apoio'!$A:$A)&lt;=P2158),
P2157,
(INDEX('Tabela de Apoio'!$B:$B,MATCH('MAPA DE PREÇOS'!$O$8,'Tabela de Apoio'!$A:$A,1))/INDEX('Tabela de Apoio'!$B:$B,MATCH('MAPA DE PREÇOS'!P2158,'Tabela de Apoio'!$A:$A,1)-1))*P2157))</f>
        <v>63.55</v>
      </c>
      <c r="Q2161" s="106">
        <f>IF(Q2157="","",
IF(OR(Q2159="Orçamento",Q2158="",MAX('Tabela de Apoio'!$A:$A)&lt;=Q2158),
Q2157,
(INDEX('Tabela de Apoio'!$B:$B,MATCH('MAPA DE PREÇOS'!$O$8,'Tabela de Apoio'!$A:$A,1))/INDEX('Tabela de Apoio'!$B:$B,MATCH('MAPA DE PREÇOS'!Q2158,'Tabela de Apoio'!$A:$A,1)-1))*Q2157))</f>
        <v>57.9</v>
      </c>
      <c r="R2161" s="106">
        <f>IF(R2157="","",
IF(OR(R2159="Orçamento",R2158="",MAX('Tabela de Apoio'!$A:$A)&lt;=R2158),
R2157,
(INDEX('Tabela de Apoio'!$B:$B,MATCH('MAPA DE PREÇOS'!$O$8,'Tabela de Apoio'!$A:$A,1))/INDEX('Tabela de Apoio'!$B:$B,MATCH('MAPA DE PREÇOS'!R2158,'Tabela de Apoio'!$A:$A,1)-1))*R2157))</f>
        <v>54.9</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f t="shared" ref="B2162" si="6717">B2161</f>
        <v>103</v>
      </c>
      <c r="C2162" s="128">
        <f t="shared" ref="C2162" si="6718">C2161</f>
        <v>1</v>
      </c>
      <c r="D2162" s="127">
        <f t="shared" si="6652"/>
        <v>103</v>
      </c>
      <c r="E2162" s="201"/>
      <c r="F2162" s="93"/>
      <c r="G2162" s="203"/>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f t="shared" ref="B2163:C2163" si="6719">B2162</f>
        <v>103</v>
      </c>
      <c r="C2163" s="128">
        <f t="shared" si="6719"/>
        <v>1</v>
      </c>
      <c r="D2163" s="127">
        <f t="shared" si="6652"/>
        <v>103</v>
      </c>
      <c r="E2163" s="201"/>
      <c r="F2163" s="93"/>
      <c r="G2163" s="203"/>
      <c r="H2163" s="134">
        <f t="shared" ref="H2163" si="6720">COUNT($P2163:$XX2163)</f>
        <v>3</v>
      </c>
      <c r="I2163" s="132">
        <f t="shared" ref="I2163" si="6721">_xlfn.STDEV.P($P2162:$XX2163)/AVERAGE($P2162:$XX2163)</f>
        <v>6.1006436197671612E-2</v>
      </c>
      <c r="J2163" s="7">
        <f>ROW()</f>
        <v>2163</v>
      </c>
      <c r="K2163" s="67"/>
      <c r="L2163" s="29" t="s">
        <v>10</v>
      </c>
      <c r="M2163" s="30">
        <f t="shared" ref="M2163" si="6722">IFERROR(
IF(COUNTA(P2157:AI2157)=COUNTIF(P2159:XX2159,"Orçamento"),MIN(M2168,M2165),
IF(M2166&lt;&gt;"",M2166,
IF(M2167&lt;&gt;"",M2167,
M2165
))),"")</f>
        <v>58.783333333333331</v>
      </c>
      <c r="N2163" s="71"/>
      <c r="O2163" s="27" t="s">
        <v>376</v>
      </c>
      <c r="P2163" s="106">
        <f t="shared" ref="P2163:AI2163" si="6723">IFERROR(IF(P2161="",
            "",
            IF(COUNT($P2161:$XX2161)&lt;=4,
               P2161,
               IF(OR(P2161&gt;(QUARTILE($P2161:$XX2161,3)+(QUARTILE($P2161:$XX2161,3)-QUARTILE($P2161:$XX2161,1))),
                     P2161&lt;(QUARTILE($P2161:$XX2161,1)-(QUARTILE($P2161:$XX2161,3)-QUARTILE($P2161:$XX2161,1)))
                  ),
               "DESCARTADO",P2161)
             )
  ),P2161)</f>
        <v>63.55</v>
      </c>
      <c r="Q2163" s="106">
        <f t="shared" si="6723"/>
        <v>57.9</v>
      </c>
      <c r="R2163" s="106">
        <f t="shared" si="6723"/>
        <v>54.9</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f t="shared" ref="B2164" si="6724">B2163</f>
        <v>103</v>
      </c>
      <c r="C2164" s="128">
        <f t="shared" ref="C2164" si="6725">C2163</f>
        <v>1</v>
      </c>
      <c r="D2164" s="127">
        <f t="shared" si="6652"/>
        <v>103</v>
      </c>
      <c r="E2164" s="201"/>
      <c r="F2164" s="93"/>
      <c r="G2164" s="203"/>
      <c r="H2164"/>
      <c r="I2164"/>
      <c r="J2164"/>
      <c r="K2164" s="66"/>
      <c r="L2164" s="29" t="s">
        <v>360</v>
      </c>
      <c r="M2164" s="30">
        <f t="shared" ref="M2164" si="6726">AVERAGE($P2163:$XX2163)</f>
        <v>58.783333333333331</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f t="shared" si="6658"/>
        <v>103</v>
      </c>
      <c r="C2165" s="128">
        <f t="shared" si="6659"/>
        <v>1</v>
      </c>
      <c r="D2165" s="127">
        <f t="shared" si="6652"/>
        <v>103</v>
      </c>
      <c r="E2165" s="201"/>
      <c r="F2165" s="93"/>
      <c r="G2165" s="203"/>
      <c r="H2165" s="134">
        <f t="shared" ref="H2165" si="6728">COUNT($P2165:$XX2165)</f>
        <v>3</v>
      </c>
      <c r="I2165" s="132">
        <f t="shared" ref="I2165" si="6729">_xlfn.STDEV.P($P2164:$XX2165)/AVERAGE($P2164:$XX2165)</f>
        <v>6.1006436197671612E-2</v>
      </c>
      <c r="J2165" s="7">
        <f t="shared" ref="J2165" si="6730">IF(AND(H2165&gt;2,
OR(L2157="MÉDIA SANEADA",L2157="MEDIANA SANEADA",
AND(L2157="PREÇO ESTIMADO",NOT(AND(P2159="Orçamento",COUNTA(P2157:XX2157)=COUNTIF(P2159:XX2159,"Orçamento")))))),
ROW(),0)</f>
        <v>2165</v>
      </c>
      <c r="K2165" s="66"/>
      <c r="L2165" s="29" t="s">
        <v>361</v>
      </c>
      <c r="M2165" s="30">
        <f t="shared" ref="M2165" si="6731">MEDIAN($P2163:$XX2163)</f>
        <v>57.9</v>
      </c>
      <c r="N2165" s="71"/>
      <c r="O2165" s="27" t="str">
        <f t="shared" ref="O2165" si="6732">"1 RODADA"</f>
        <v>1 RODADA</v>
      </c>
      <c r="P2165" s="107">
        <f t="shared" ref="P2165:AI2165" si="6733">IF(P2163="","",IF((_xlfn.STDEV.P($P2162:$XX2163)/AVERAGE($P2162:$XX2163))&lt;=25%,P2163,IF(OR(P2163&gt;(AVERAGE($P2162:$XX2163)+_xlfn.STDEV.P($P2162:$XX2163)),P2163&lt;(AVERAGE($P2162:$XX2163)-_xlfn.STDEV.P($P2162:$XX2163))),"DESCARTADO",P2163)))</f>
        <v>63.55</v>
      </c>
      <c r="Q2165" s="107">
        <f t="shared" si="6733"/>
        <v>57.9</v>
      </c>
      <c r="R2165" s="107">
        <f t="shared" si="6733"/>
        <v>54.9</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f t="shared" si="6658"/>
        <v>103</v>
      </c>
      <c r="C2166" s="128">
        <f t="shared" si="6659"/>
        <v>1</v>
      </c>
      <c r="D2166" s="127">
        <f t="shared" si="6652"/>
        <v>103</v>
      </c>
      <c r="E2166" s="201"/>
      <c r="F2166" s="93"/>
      <c r="G2166" s="203"/>
      <c r="H2166"/>
      <c r="I2166"/>
      <c r="J2166"/>
      <c r="L2166" s="29" t="s">
        <v>38</v>
      </c>
      <c r="M2166" s="30">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58.783333333333331</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f t="shared" si="6658"/>
        <v>103</v>
      </c>
      <c r="C2167" s="128">
        <f t="shared" si="6659"/>
        <v>1</v>
      </c>
      <c r="D2167" s="127">
        <f t="shared" si="6652"/>
        <v>103</v>
      </c>
      <c r="E2167" s="201"/>
      <c r="F2167" s="93"/>
      <c r="G2167" s="203"/>
      <c r="H2167" s="134">
        <f t="shared" ref="H2167" si="6736">COUNT($P2167:$XX2167)</f>
        <v>3</v>
      </c>
      <c r="I2167" s="132">
        <f t="shared" ref="I2167" si="6737">_xlfn.STDEV.P($P2166:$XX2167)/AVERAGE($P2166:$XX2167)</f>
        <v>6.1006436197671612E-2</v>
      </c>
      <c r="J2167" s="7">
        <f t="shared" ref="J2167" si="6738">IF(AND(H2167&gt;2,
OR(L2157="MÉDIA SANEADA",L2157="MEDIANA SANEADA",
AND(L2157="PREÇO ESTIMADO",NOT(AND(P2159="Orçamento",COUNTA(P2157:XX2157)=COUNTIF(P2159:XX2159,"Orçamento")))))),
ROW(),0)</f>
        <v>2167</v>
      </c>
      <c r="K2167" s="66"/>
      <c r="L2167" s="29" t="s">
        <v>362</v>
      </c>
      <c r="M2167" s="30">
        <f t="shared" ref="M2167" si="6739" xml:space="preserve">
IF(H2165&gt;2,MEDIAN(P2164:XX2165),
IF(H2167&gt;2,MEDIAN(P2166:XX2167),
IF(H2169&gt;2,MEDIAN(P2168:XX2169),
IF(H2171&gt;2,MEDIAN(P2170:XX2171),
IF(H2173&gt;2,MEDIAN(P2172:XX2173),
IF(H2175&gt;2,MEDIAN(P2174:XX2175),
MEDIAN(P2162:XX2163)))))))</f>
        <v>57.9</v>
      </c>
      <c r="N2167" s="71"/>
      <c r="O2167" s="27" t="str">
        <f t="shared" ref="O2167" si="6740">"2 RODADA"</f>
        <v>2 RODADA</v>
      </c>
      <c r="P2167" s="107">
        <f t="shared" ref="P2167:AI2167" si="6741">IF(P2165="","",IF((_xlfn.STDEV.P($P2164:$XX2165)/AVERAGE($P2164:$XX2165))&lt;=25%,P2165,IF(OR(P2165&gt;(AVERAGE($P2164:$XX2165)+_xlfn.STDEV.P($P2164:$XX2165)),P2165&lt;(AVERAGE($P2164:$XX2165)-_xlfn.STDEV.P($P2164:$XX2165))),"DESCARTADO",P2165)))</f>
        <v>63.55</v>
      </c>
      <c r="Q2167" s="107">
        <f t="shared" si="6741"/>
        <v>57.9</v>
      </c>
      <c r="R2167" s="107">
        <f t="shared" si="6741"/>
        <v>54.9</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f t="shared" si="6658"/>
        <v>103</v>
      </c>
      <c r="C2168" s="128">
        <f t="shared" si="6659"/>
        <v>1</v>
      </c>
      <c r="D2168" s="127">
        <f t="shared" si="6652"/>
        <v>103</v>
      </c>
      <c r="E2168" s="201"/>
      <c r="F2168" s="93"/>
      <c r="G2168" s="203"/>
      <c r="H2168"/>
      <c r="I2168"/>
      <c r="J2168"/>
      <c r="K2168" s="66"/>
      <c r="L2168" s="29" t="s">
        <v>359</v>
      </c>
      <c r="M2168" s="30">
        <f t="shared" ref="M2168" si="6742">HARMEAN($P2162:$XX2163)</f>
        <v>58.568887229816902</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f t="shared" si="6658"/>
        <v>103</v>
      </c>
      <c r="C2169" s="128">
        <f t="shared" si="6659"/>
        <v>1</v>
      </c>
      <c r="D2169" s="127">
        <f t="shared" si="6652"/>
        <v>103</v>
      </c>
      <c r="E2169" s="201"/>
      <c r="F2169" s="93"/>
      <c r="G2169" s="203"/>
      <c r="H2169" s="134">
        <f t="shared" ref="H2169" si="6744">COUNT($P2169:$XX2169)</f>
        <v>3</v>
      </c>
      <c r="I2169" s="132">
        <f t="shared" ref="I2169" si="6745">_xlfn.STDEV.P($P2168:$XX2169)/AVERAGE($P2168:$XX2169)</f>
        <v>6.1006436197671612E-2</v>
      </c>
      <c r="J2169" s="7">
        <f t="shared" ref="J2169" si="6746">IF(AND(H2169&gt;2,
OR(L2157="MÉDIA SANEADA",L2157="MEDIANA SANEADA",
AND(L2157="PREÇO ESTIMADO",NOT(AND(P2159="Orçamento",COUNTA(P2157:XX2157)=COUNTIF(P2159:XX2159,"Orçamento")))))),
ROW(),0)</f>
        <v>2169</v>
      </c>
      <c r="K2169" s="66"/>
      <c r="L2169" s="29" t="s">
        <v>41</v>
      </c>
      <c r="M2169" s="30">
        <f t="shared" ref="M2169" si="6747">IFERROR(_xlfn.QUARTILE.EXC($P2163:$XX2163,1),"")</f>
        <v>54.9</v>
      </c>
      <c r="N2169" s="71"/>
      <c r="O2169" s="27" t="str">
        <f t="shared" ref="O2169" si="6748">"3 RODADA"</f>
        <v>3 RODADA</v>
      </c>
      <c r="P2169" s="107">
        <f t="shared" ref="P2169:AI2169" si="6749">IF(P2167="","",IF((_xlfn.STDEV.P($P2166:$XX2167)/AVERAGE($P2166:$XX2167))&lt;=25%,P2167,IF(OR(P2167&gt;(AVERAGE($P2166:$XX2167)+_xlfn.STDEV.P($P2166:$XX2167)),P2167&lt;(AVERAGE($P2166:$XX2167)-_xlfn.STDEV.P($P2166:$XX2167))),"DESCARTADO",P2167)))</f>
        <v>63.55</v>
      </c>
      <c r="Q2169" s="107">
        <f t="shared" si="6749"/>
        <v>57.9</v>
      </c>
      <c r="R2169" s="107">
        <f t="shared" si="6749"/>
        <v>54.9</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f t="shared" si="6658"/>
        <v>103</v>
      </c>
      <c r="C2170" s="128">
        <f t="shared" si="6659"/>
        <v>1</v>
      </c>
      <c r="D2170" s="127">
        <f t="shared" si="6652"/>
        <v>103</v>
      </c>
      <c r="E2170" s="201"/>
      <c r="F2170" s="93"/>
      <c r="G2170" s="203"/>
      <c r="H2170"/>
      <c r="I2170"/>
      <c r="J2170"/>
      <c r="K2170" s="66"/>
      <c r="L2170" s="29" t="s">
        <v>39</v>
      </c>
      <c r="M2170" s="30">
        <f t="shared" ref="M2170" si="6750">IFERROR(_xlfn.QUARTILE.EXC($P2163:$XX2163,3),"")</f>
        <v>63.55</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f t="shared" si="6658"/>
        <v>103</v>
      </c>
      <c r="C2171" s="128">
        <f t="shared" si="6659"/>
        <v>1</v>
      </c>
      <c r="D2171" s="127">
        <f t="shared" si="6652"/>
        <v>103</v>
      </c>
      <c r="E2171" s="201"/>
      <c r="F2171" s="93"/>
      <c r="G2171" s="203"/>
      <c r="H2171" s="134">
        <f t="shared" ref="H2171" si="6752">COUNT($P2171:$XX2171)</f>
        <v>3</v>
      </c>
      <c r="I2171" s="132">
        <f t="shared" ref="I2171" si="6753">_xlfn.STDEV.P($P2170:$XX2171)/AVERAGE($P2170:$XX2171)</f>
        <v>6.1006436197671612E-2</v>
      </c>
      <c r="J2171" s="7">
        <f t="shared" ref="J2171" si="6754">IF(AND(H2171&gt;2,
OR(L2157="MÉDIA SANEADA",L2157="MEDIANA SANEADA",
AND(L2157="PREÇO ESTIMADO",NOT(AND(P2159="Orçamento",COUNTA(P2157:XX2157)=COUNTIF(P2159:XX2159,"Orçamento")))))),
ROW(),0)</f>
        <v>2171</v>
      </c>
      <c r="K2171" s="66"/>
      <c r="L2171" s="29" t="s">
        <v>42</v>
      </c>
      <c r="M2171" s="30">
        <f t="shared" ref="M2171" si="6755">MIN($P2163:$XX2163)</f>
        <v>54.9</v>
      </c>
      <c r="N2171" s="71"/>
      <c r="O2171" s="27" t="str">
        <f t="shared" ref="O2171" si="6756">"4 RODADA"</f>
        <v>4 RODADA</v>
      </c>
      <c r="P2171" s="107">
        <f t="shared" ref="P2171:AI2171" si="6757">IF(P2169="","",IF((_xlfn.STDEV.P($P2168:$XX2169)/AVERAGE($P2168:$XX2169))&lt;=25%,P2169,IF(OR(P2169&gt;(AVERAGE($P2168:$XX2169)+_xlfn.STDEV.P($P2168:$XX2169)),P2169&lt;(AVERAGE($P2168:$XX2169)-_xlfn.STDEV.P($P2168:$XX2169))),"DESCARTADO",P2169)))</f>
        <v>63.55</v>
      </c>
      <c r="Q2171" s="107">
        <f t="shared" si="6757"/>
        <v>57.9</v>
      </c>
      <c r="R2171" s="107">
        <f t="shared" si="6757"/>
        <v>54.9</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f t="shared" si="6658"/>
        <v>103</v>
      </c>
      <c r="C2172" s="128">
        <f t="shared" si="6659"/>
        <v>1</v>
      </c>
      <c r="D2172" s="127">
        <f t="shared" si="6652"/>
        <v>103</v>
      </c>
      <c r="E2172" s="201"/>
      <c r="F2172" s="93"/>
      <c r="G2172" s="203"/>
      <c r="H2172"/>
      <c r="I2172"/>
      <c r="J2172"/>
      <c r="K2172" s="66"/>
      <c r="L2172" s="29" t="s">
        <v>40</v>
      </c>
      <c r="M2172" s="30">
        <f t="shared" ref="M2172" si="6758">MAX($P2163:$XX2163)</f>
        <v>63.55</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f t="shared" si="6658"/>
        <v>103</v>
      </c>
      <c r="C2173" s="128">
        <f t="shared" si="6659"/>
        <v>1</v>
      </c>
      <c r="D2173" s="127">
        <f t="shared" si="6652"/>
        <v>103</v>
      </c>
      <c r="E2173" s="201"/>
      <c r="F2173" s="93"/>
      <c r="G2173" s="203"/>
      <c r="H2173" s="134">
        <f t="shared" ref="H2173" si="6760">COUNT($P2173:$XX2173)</f>
        <v>3</v>
      </c>
      <c r="I2173" s="132">
        <f t="shared" ref="I2173" si="6761">_xlfn.STDEV.P($P2172:$XX2173)/AVERAGE($P2172:$XX2173)</f>
        <v>6.1006436197671612E-2</v>
      </c>
      <c r="J2173" s="7">
        <f t="shared" ref="J2173" si="6762">IF(AND(H2173&gt;2,
OR(L2157="MÉDIA SANEADA",L2157="MEDIANA SANEADA",
AND(L2157="PREÇO ESTIMADO",NOT(AND(P2159="Orçamento",COUNTA(P2157:XX2157)=COUNTIF(P2159:XX2159,"Orçamento")))))),
ROW(),0)</f>
        <v>2173</v>
      </c>
      <c r="K2173" s="66"/>
      <c r="N2173" s="71"/>
      <c r="O2173" s="27" t="str">
        <f t="shared" ref="O2173" si="6763">"5 RODADA"</f>
        <v>5 RODADA</v>
      </c>
      <c r="P2173" s="107">
        <f t="shared" ref="P2173:AI2173" si="6764">IF(P2171="","",IF((_xlfn.STDEV.P($P2170:$XX2171)/AVERAGE($P2170:$XX2171))&lt;=25%,P2171,IF(OR(P2171&gt;(AVERAGE($P2170:$XX2171)+_xlfn.STDEV.P($P2170:$XX2171)),P2171&lt;(AVERAGE($P2170:$XX2171)-_xlfn.STDEV.P($P2170:$XX2171))),"DESCARTADO",P2171)))</f>
        <v>63.55</v>
      </c>
      <c r="Q2173" s="107">
        <f t="shared" si="6764"/>
        <v>57.9</v>
      </c>
      <c r="R2173" s="107">
        <f t="shared" si="6764"/>
        <v>54.9</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f t="shared" si="6658"/>
        <v>103</v>
      </c>
      <c r="C2174" s="128">
        <f t="shared" si="6659"/>
        <v>1</v>
      </c>
      <c r="D2174" s="127">
        <f t="shared" si="6652"/>
        <v>103</v>
      </c>
      <c r="E2174" s="201"/>
      <c r="F2174" s="93"/>
      <c r="G2174" s="203"/>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f t="shared" si="6658"/>
        <v>103</v>
      </c>
      <c r="C2175" s="128">
        <f t="shared" si="6659"/>
        <v>1</v>
      </c>
      <c r="D2175" s="127">
        <f t="shared" si="6652"/>
        <v>103</v>
      </c>
      <c r="E2175" s="201"/>
      <c r="F2175" s="93"/>
      <c r="G2175" s="203"/>
      <c r="H2175" s="134">
        <f t="shared" ref="H2175" si="6766">COUNT($P2175:$XX2175)</f>
        <v>3</v>
      </c>
      <c r="I2175" s="132">
        <f t="shared" ref="I2175" si="6767">_xlfn.STDEV.P($P2174:$XX2175)/AVERAGE($P2174:$XX2175)</f>
        <v>6.1006436197671612E-2</v>
      </c>
      <c r="J2175" s="7">
        <f t="shared" ref="J2175" si="6768">IF(AND(H2175&gt;2,
OR(L2157="MÉDIA SANEADA",L2157="MEDIANA SANEADA",
AND(L2157="PREÇO ESTIMADO",NOT(AND(P2159="Orçamento",COUNTA(P2157:XX2157)=COUNTIF(P2159:XX2159,"Orçamento")))))),
ROW(),0)</f>
        <v>2175</v>
      </c>
      <c r="N2175" s="71"/>
      <c r="O2175" s="27" t="str">
        <f t="shared" ref="O2175" si="6769">"6 RODADA"</f>
        <v>6 RODADA</v>
      </c>
      <c r="P2175" s="107">
        <f t="shared" ref="P2175:AI2175" si="6770">IFERROR(IF(P2173="","",IF((_xlfn.STDEV.P($P2172:$XX2173)/AVERAGE($P2172:$XX2173))&lt;=25%,P2173,IF(OR(P2173&gt;(AVERAGE($P2172:$XX2173)+_xlfn.STDEV.P($P2172:$XX2173)),P2173&lt;(AVERAGE($P2172:$XX2173)-_xlfn.STDEV.P($P2172:$XX2173))),"DESCARTADO",P2173))),)</f>
        <v>63.55</v>
      </c>
      <c r="Q2175" s="107">
        <f t="shared" si="6770"/>
        <v>57.9</v>
      </c>
      <c r="R2175" s="107">
        <f t="shared" si="6770"/>
        <v>54.9</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f t="shared" si="6658"/>
        <v>103</v>
      </c>
      <c r="C2176" s="128">
        <f t="shared" si="6659"/>
        <v>1</v>
      </c>
      <c r="D2176" s="127">
        <f t="shared" si="6652"/>
        <v>103</v>
      </c>
      <c r="E2176" s="201"/>
      <c r="F2176" s="136"/>
      <c r="G2176" s="203"/>
      <c r="H2176" s="206"/>
      <c r="I2176" s="206"/>
      <c r="J2176" s="207"/>
      <c r="K2176" s="67"/>
      <c r="L2176" s="1" t="s">
        <v>43</v>
      </c>
      <c r="M2176" s="143">
        <f t="shared" ref="M2176" si="6771">IFERROR(ROUND(M2157*M2159,2),"")</f>
        <v>470.24</v>
      </c>
      <c r="O2176" s="27" t="s">
        <v>363</v>
      </c>
      <c r="P2176" s="107">
        <f t="shared" ref="P2176:R2176" si="6772">INDEX(P2163:P2175,MATCH(MAX($J2163:$J2175),$J2163:$J2175,0))</f>
        <v>63.55</v>
      </c>
      <c r="Q2176" s="107">
        <f t="shared" si="6772"/>
        <v>57.9</v>
      </c>
      <c r="R2176" s="107">
        <f t="shared" si="6772"/>
        <v>54.9</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F164:XFD181">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F164:XFD181">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hyperlinks>
    <hyperlink ref="P18" r:id="rId1"/>
    <hyperlink ref="Q18" r:id="rId2"/>
    <hyperlink ref="R18" r:id="rId3"/>
    <hyperlink ref="P39" r:id="rId4"/>
    <hyperlink ref="Q39" r:id="rId5"/>
    <hyperlink ref="R39" r:id="rId6"/>
    <hyperlink ref="P60" r:id="rId7"/>
    <hyperlink ref="Q60" r:id="rId8"/>
    <hyperlink ref="R60" r:id="rId9"/>
    <hyperlink ref="P81" r:id="rId10"/>
    <hyperlink ref="Q81" r:id="rId11"/>
    <hyperlink ref="R81" r:id="rId12"/>
    <hyperlink ref="P102" r:id="rId13"/>
    <hyperlink ref="Q102" r:id="rId14"/>
    <hyperlink ref="R102" r:id="rId15"/>
    <hyperlink ref="P123" r:id="rId16"/>
    <hyperlink ref="Q123" r:id="rId17"/>
    <hyperlink ref="R123" r:id="rId18"/>
    <hyperlink ref="P165" r:id="rId19"/>
    <hyperlink ref="Q165" r:id="rId20"/>
    <hyperlink ref="R165" r:id="rId21"/>
    <hyperlink ref="P144" r:id="rId22"/>
    <hyperlink ref="Q144" r:id="rId23"/>
    <hyperlink ref="R144" r:id="rId24"/>
    <hyperlink ref="P186" r:id="rId25"/>
    <hyperlink ref="Q186" r:id="rId26"/>
    <hyperlink ref="R186" r:id="rId27"/>
    <hyperlink ref="P207" r:id="rId28"/>
    <hyperlink ref="Q207" r:id="rId29"/>
    <hyperlink ref="R207" r:id="rId30"/>
    <hyperlink ref="P228" r:id="rId31"/>
    <hyperlink ref="Q228" r:id="rId32"/>
    <hyperlink ref="R228" r:id="rId33"/>
    <hyperlink ref="P249" r:id="rId34"/>
    <hyperlink ref="Q249" r:id="rId35"/>
    <hyperlink ref="R249" r:id="rId36"/>
    <hyperlink ref="P270" r:id="rId37"/>
    <hyperlink ref="Q270" r:id="rId38"/>
    <hyperlink ref="R270" r:id="rId39"/>
    <hyperlink ref="P291" r:id="rId40"/>
    <hyperlink ref="Q291" r:id="rId41"/>
    <hyperlink ref="P312" r:id="rId42"/>
    <hyperlink ref="Q312" r:id="rId43"/>
    <hyperlink ref="R312" r:id="rId44"/>
    <hyperlink ref="P333" r:id="rId45"/>
    <hyperlink ref="Q333" r:id="rId46"/>
    <hyperlink ref="R333" r:id="rId47"/>
    <hyperlink ref="P354" r:id="rId48"/>
    <hyperlink ref="Q354" r:id="rId49"/>
    <hyperlink ref="R354" r:id="rId50"/>
    <hyperlink ref="P375" r:id="rId51"/>
    <hyperlink ref="Q375" r:id="rId52"/>
    <hyperlink ref="R375" r:id="rId53"/>
    <hyperlink ref="P396" r:id="rId54"/>
    <hyperlink ref="Q396" r:id="rId55"/>
    <hyperlink ref="R396" r:id="rId56"/>
    <hyperlink ref="P417" r:id="rId57"/>
    <hyperlink ref="Q417" r:id="rId58"/>
    <hyperlink ref="R417" r:id="rId59"/>
    <hyperlink ref="P438" r:id="rId60"/>
    <hyperlink ref="Q438" r:id="rId61"/>
    <hyperlink ref="R438" r:id="rId62"/>
    <hyperlink ref="P459" r:id="rId63"/>
    <hyperlink ref="Q459" r:id="rId64"/>
    <hyperlink ref="R459" r:id="rId65"/>
    <hyperlink ref="Q480" r:id="rId66"/>
    <hyperlink ref="P480" r:id="rId67"/>
    <hyperlink ref="R480" r:id="rId68"/>
    <hyperlink ref="P501" r:id="rId69"/>
    <hyperlink ref="Q501" r:id="rId70"/>
    <hyperlink ref="R501" r:id="rId71"/>
    <hyperlink ref="P522" r:id="rId72"/>
    <hyperlink ref="Q522" r:id="rId73"/>
    <hyperlink ref="R522" r:id="rId74"/>
    <hyperlink ref="P543" r:id="rId75"/>
    <hyperlink ref="Q543" r:id="rId76"/>
    <hyperlink ref="R543" r:id="rId77"/>
    <hyperlink ref="P564" r:id="rId78"/>
    <hyperlink ref="Q564" r:id="rId79"/>
    <hyperlink ref="R564" r:id="rId80"/>
    <hyperlink ref="P585" r:id="rId81"/>
    <hyperlink ref="Q585" r:id="rId82"/>
    <hyperlink ref="R585" r:id="rId83"/>
    <hyperlink ref="P606" r:id="rId84"/>
    <hyperlink ref="Q606" r:id="rId85"/>
    <hyperlink ref="R606" r:id="rId86"/>
    <hyperlink ref="P627" r:id="rId87"/>
    <hyperlink ref="Q627" r:id="rId88"/>
    <hyperlink ref="R627" r:id="rId89"/>
    <hyperlink ref="P648" r:id="rId90"/>
    <hyperlink ref="Q648" r:id="rId91"/>
    <hyperlink ref="R648" r:id="rId92"/>
    <hyperlink ref="P669" r:id="rId93"/>
    <hyperlink ref="Q669" r:id="rId94"/>
    <hyperlink ref="R669" r:id="rId95"/>
    <hyperlink ref="P690" r:id="rId96"/>
    <hyperlink ref="Q690" r:id="rId97"/>
    <hyperlink ref="R690" r:id="rId98"/>
    <hyperlink ref="P711" r:id="rId99"/>
    <hyperlink ref="Q711" r:id="rId100"/>
    <hyperlink ref="R711" r:id="rId101"/>
    <hyperlink ref="P732" r:id="rId102"/>
    <hyperlink ref="Q732" r:id="rId103"/>
    <hyperlink ref="R732" r:id="rId104"/>
    <hyperlink ref="P753" r:id="rId105"/>
    <hyperlink ref="Q753" r:id="rId106"/>
    <hyperlink ref="R753" r:id="rId107"/>
    <hyperlink ref="P774" r:id="rId108"/>
    <hyperlink ref="Q774" r:id="rId109"/>
    <hyperlink ref="R774" r:id="rId110"/>
    <hyperlink ref="P795" r:id="rId111"/>
    <hyperlink ref="Q795" r:id="rId112"/>
    <hyperlink ref="R795" r:id="rId113"/>
    <hyperlink ref="P816" r:id="rId114"/>
    <hyperlink ref="Q816" r:id="rId115"/>
    <hyperlink ref="R816" r:id="rId116"/>
    <hyperlink ref="P837" r:id="rId117"/>
    <hyperlink ref="Q837" r:id="rId118"/>
    <hyperlink ref="R837" r:id="rId119"/>
    <hyperlink ref="P858" r:id="rId120"/>
    <hyperlink ref="Q858" r:id="rId121"/>
    <hyperlink ref="R858" r:id="rId122"/>
    <hyperlink ref="P879" r:id="rId123"/>
    <hyperlink ref="Q879" r:id="rId124"/>
    <hyperlink ref="R879" r:id="rId125"/>
    <hyperlink ref="P900" r:id="rId126"/>
    <hyperlink ref="Q900" r:id="rId127"/>
    <hyperlink ref="R900" r:id="rId128"/>
    <hyperlink ref="P921" r:id="rId129"/>
    <hyperlink ref="Q921" r:id="rId130"/>
    <hyperlink ref="R921" r:id="rId131"/>
    <hyperlink ref="P942" r:id="rId132"/>
    <hyperlink ref="Q942" r:id="rId133"/>
    <hyperlink ref="R942" r:id="rId134"/>
    <hyperlink ref="P963" r:id="rId135"/>
    <hyperlink ref="Q963" r:id="rId136"/>
    <hyperlink ref="R963" r:id="rId137"/>
    <hyperlink ref="P984" r:id="rId138"/>
    <hyperlink ref="Q984" r:id="rId139"/>
    <hyperlink ref="R984" r:id="rId140"/>
    <hyperlink ref="P1005" r:id="rId141"/>
    <hyperlink ref="Q1005" r:id="rId142"/>
    <hyperlink ref="R1005" r:id="rId143"/>
    <hyperlink ref="P1026" r:id="rId144"/>
    <hyperlink ref="Q1026" r:id="rId145"/>
    <hyperlink ref="R1026" r:id="rId146"/>
    <hyperlink ref="P1047" r:id="rId147"/>
    <hyperlink ref="Q1047" r:id="rId148"/>
    <hyperlink ref="R1047" r:id="rId149"/>
    <hyperlink ref="P1068" r:id="rId150"/>
    <hyperlink ref="Q1068" r:id="rId151"/>
    <hyperlink ref="R1068" r:id="rId152"/>
    <hyperlink ref="P1089" r:id="rId153"/>
    <hyperlink ref="Q1089" r:id="rId154"/>
    <hyperlink ref="R1089" r:id="rId155"/>
    <hyperlink ref="P1110" r:id="rId156"/>
    <hyperlink ref="Q1110" r:id="rId157"/>
    <hyperlink ref="R1110" r:id="rId158"/>
    <hyperlink ref="P1131" r:id="rId159" location="attr="/>
    <hyperlink ref="Q1131" r:id="rId160"/>
    <hyperlink ref="R1131" r:id="rId161"/>
    <hyperlink ref="P1152" r:id="rId162"/>
    <hyperlink ref="Q1152" r:id="rId163"/>
    <hyperlink ref="R1152" r:id="rId164"/>
    <hyperlink ref="P1173" r:id="rId165"/>
    <hyperlink ref="Q1173" r:id="rId166"/>
    <hyperlink ref="R1173" r:id="rId167"/>
    <hyperlink ref="P1194" r:id="rId168"/>
    <hyperlink ref="Q1194" r:id="rId169"/>
    <hyperlink ref="R1194" r:id="rId170"/>
    <hyperlink ref="P1215" r:id="rId171"/>
    <hyperlink ref="Q1215" r:id="rId172"/>
    <hyperlink ref="R1215" r:id="rId173"/>
    <hyperlink ref="P1236" r:id="rId174"/>
    <hyperlink ref="Q1236" r:id="rId175"/>
    <hyperlink ref="R1236" r:id="rId176"/>
    <hyperlink ref="P1257" r:id="rId177"/>
    <hyperlink ref="Q1257" r:id="rId178"/>
    <hyperlink ref="R1257" r:id="rId179"/>
    <hyperlink ref="P1278" r:id="rId180"/>
    <hyperlink ref="Q1278" r:id="rId181"/>
    <hyperlink ref="R1278" r:id="rId182"/>
    <hyperlink ref="P1299" r:id="rId183"/>
    <hyperlink ref="Q1299" r:id="rId184"/>
    <hyperlink ref="R1299" r:id="rId185"/>
    <hyperlink ref="P1320" r:id="rId186"/>
    <hyperlink ref="R1320" r:id="rId187"/>
    <hyperlink ref="Q1320" r:id="rId188"/>
    <hyperlink ref="P1341" r:id="rId189"/>
    <hyperlink ref="Q1341" r:id="rId190"/>
    <hyperlink ref="R1341" r:id="rId191"/>
    <hyperlink ref="P1362" r:id="rId192"/>
    <hyperlink ref="Q1362" r:id="rId193"/>
    <hyperlink ref="R1362" r:id="rId194"/>
    <hyperlink ref="P1383" r:id="rId195"/>
    <hyperlink ref="Q1383" r:id="rId196"/>
    <hyperlink ref="R1383" r:id="rId197"/>
    <hyperlink ref="P1404" r:id="rId198"/>
    <hyperlink ref="Q1404" r:id="rId199"/>
    <hyperlink ref="R1404" r:id="rId200"/>
    <hyperlink ref="P1425" r:id="rId201"/>
    <hyperlink ref="Q1425" r:id="rId202"/>
    <hyperlink ref="R1425" r:id="rId203"/>
    <hyperlink ref="P1446" r:id="rId204"/>
    <hyperlink ref="Q1446" r:id="rId205"/>
    <hyperlink ref="R1446" r:id="rId206"/>
    <hyperlink ref="P1467" r:id="rId207"/>
    <hyperlink ref="Q1467" r:id="rId208"/>
    <hyperlink ref="R1467" r:id="rId209"/>
    <hyperlink ref="P1488" r:id="rId210"/>
    <hyperlink ref="Q1488" r:id="rId211"/>
    <hyperlink ref="R1488" r:id="rId212"/>
    <hyperlink ref="P1509" r:id="rId213"/>
    <hyperlink ref="Q1509" r:id="rId214"/>
    <hyperlink ref="R1509" r:id="rId215"/>
    <hyperlink ref="P1530" r:id="rId216"/>
    <hyperlink ref="Q1530" r:id="rId217"/>
    <hyperlink ref="R1530" r:id="rId218"/>
    <hyperlink ref="P1551" r:id="rId219"/>
    <hyperlink ref="Q1551" r:id="rId220"/>
    <hyperlink ref="R1551" r:id="rId221"/>
    <hyperlink ref="P1572" r:id="rId222"/>
    <hyperlink ref="Q1572" r:id="rId223"/>
    <hyperlink ref="R1572" r:id="rId224"/>
    <hyperlink ref="Q1593" r:id="rId225"/>
    <hyperlink ref="R1593" r:id="rId226"/>
    <hyperlink ref="P1593" r:id="rId227"/>
    <hyperlink ref="P1614" r:id="rId228"/>
    <hyperlink ref="Q1614" r:id="rId229"/>
    <hyperlink ref="R1614" r:id="rId230"/>
    <hyperlink ref="P1635" r:id="rId231"/>
    <hyperlink ref="Q1635" r:id="rId232"/>
    <hyperlink ref="R1635" r:id="rId233"/>
    <hyperlink ref="P1656" r:id="rId234"/>
    <hyperlink ref="Q1656" r:id="rId235"/>
    <hyperlink ref="R1656" r:id="rId236"/>
    <hyperlink ref="P1677" r:id="rId237"/>
    <hyperlink ref="Q1677" r:id="rId238"/>
    <hyperlink ref="R1677" r:id="rId239"/>
    <hyperlink ref="P1698" r:id="rId240"/>
    <hyperlink ref="Q1698" r:id="rId241"/>
    <hyperlink ref="R1698" r:id="rId242"/>
    <hyperlink ref="P1719" r:id="rId243"/>
    <hyperlink ref="Q1719" r:id="rId244"/>
    <hyperlink ref="R1719" r:id="rId245"/>
    <hyperlink ref="P1740" r:id="rId246"/>
    <hyperlink ref="Q1740" r:id="rId247"/>
    <hyperlink ref="R1740" r:id="rId248"/>
    <hyperlink ref="P1761" r:id="rId249"/>
    <hyperlink ref="Q1761" r:id="rId250"/>
    <hyperlink ref="R1761" r:id="rId251"/>
    <hyperlink ref="P1782" r:id="rId252"/>
    <hyperlink ref="Q1782" r:id="rId253"/>
    <hyperlink ref="R1782" r:id="rId254"/>
    <hyperlink ref="P1803" r:id="rId255"/>
    <hyperlink ref="Q1803" r:id="rId256"/>
    <hyperlink ref="R1803" r:id="rId257"/>
    <hyperlink ref="P1824" r:id="rId258"/>
    <hyperlink ref="Q1824" r:id="rId259"/>
    <hyperlink ref="R1824" r:id="rId260"/>
    <hyperlink ref="P1845" r:id="rId261"/>
    <hyperlink ref="Q1845" r:id="rId262"/>
    <hyperlink ref="R1845" r:id="rId263"/>
    <hyperlink ref="P1866" r:id="rId264"/>
    <hyperlink ref="Q1866" r:id="rId265"/>
    <hyperlink ref="R1866" r:id="rId266"/>
    <hyperlink ref="P1887" r:id="rId267"/>
    <hyperlink ref="Q1887" r:id="rId268"/>
    <hyperlink ref="R1887" r:id="rId269"/>
    <hyperlink ref="P1908" r:id="rId270"/>
    <hyperlink ref="Q1908" r:id="rId271"/>
    <hyperlink ref="R1908" r:id="rId272"/>
    <hyperlink ref="P1929" r:id="rId273"/>
    <hyperlink ref="Q1929" r:id="rId274"/>
    <hyperlink ref="R1929" r:id="rId275"/>
    <hyperlink ref="P1950" r:id="rId276"/>
    <hyperlink ref="Q1950" r:id="rId277"/>
    <hyperlink ref="R1950" r:id="rId278"/>
    <hyperlink ref="P1971" r:id="rId279"/>
    <hyperlink ref="Q1971" r:id="rId280"/>
    <hyperlink ref="R1971" r:id="rId281"/>
    <hyperlink ref="P1992" r:id="rId282"/>
    <hyperlink ref="Q1992" r:id="rId283"/>
    <hyperlink ref="R1992" r:id="rId284"/>
    <hyperlink ref="P2013" r:id="rId285"/>
    <hyperlink ref="Q2013" r:id="rId286"/>
    <hyperlink ref="R2013" r:id="rId287"/>
    <hyperlink ref="P2034" r:id="rId288"/>
    <hyperlink ref="Q2034" r:id="rId289"/>
    <hyperlink ref="R2034" r:id="rId290"/>
    <hyperlink ref="P2055" r:id="rId291"/>
    <hyperlink ref="Q2055" r:id="rId292"/>
    <hyperlink ref="R2055" r:id="rId293"/>
    <hyperlink ref="P2076" r:id="rId294"/>
    <hyperlink ref="Q2076" r:id="rId295"/>
    <hyperlink ref="R2076" r:id="rId296"/>
    <hyperlink ref="P2097" r:id="rId297"/>
    <hyperlink ref="Q2097" r:id="rId298"/>
    <hyperlink ref="R2097" r:id="rId299"/>
    <hyperlink ref="P2118" r:id="rId300"/>
    <hyperlink ref="Q2118" r:id="rId301"/>
    <hyperlink ref="R2118" r:id="rId302"/>
    <hyperlink ref="P2139" r:id="rId303"/>
    <hyperlink ref="Q2139" r:id="rId304"/>
    <hyperlink ref="R2139" r:id="rId305"/>
    <hyperlink ref="P2160" r:id="rId306"/>
    <hyperlink ref="Q2160" r:id="rId307"/>
    <hyperlink ref="R2160" r:id="rId308"/>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309"/>
  <headerFooter alignWithMargins="0"/>
  <drawing r:id="rId310"/>
  <legacyDrawing r:id="rId311"/>
  <mc:AlternateContent xmlns:mc="http://schemas.openxmlformats.org/markup-compatibility/2006">
    <mc:Choice Requires="x14">
      <controls>
        <mc:AlternateContent xmlns:mc="http://schemas.openxmlformats.org/markup-compatibility/2006">
          <mc:Choice Requires="x14">
            <control shapeId="3074" r:id="rId312"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topLeftCell="A80" workbookViewId="0">
      <selection activeCell="M102" sqref="M102"/>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3" t="s">
        <v>305</v>
      </c>
      <c r="F2" s="234"/>
      <c r="G2" s="234"/>
      <c r="H2" s="234"/>
      <c r="I2" s="234"/>
      <c r="J2" s="234"/>
      <c r="K2" s="234"/>
      <c r="L2" s="235"/>
    </row>
    <row r="3" spans="2:14" ht="21" x14ac:dyDescent="0.35">
      <c r="E3" s="236" t="str">
        <f>'MAPA DE PREÇOS'!H5</f>
        <v>DEPARTAMENTO MUNICIPAL DE ÁGUA E ESGOTOS (DMAE)</v>
      </c>
      <c r="F3" s="237"/>
      <c r="G3" s="237"/>
      <c r="H3" s="237"/>
      <c r="I3" s="237"/>
      <c r="J3" s="237"/>
      <c r="K3" s="237"/>
      <c r="L3" s="238"/>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9" t="str">
        <f t="shared" ref="E5:E36" si="0">IF($B4="","",IF($C5=$C2,D5,IF($C5=$C3,"Item",IF(AND(MAX(C:C)&gt;1,$C5=$C4),CONCATENATE("LOTE ",C5),""))))</f>
        <v/>
      </c>
      <c r="F5" s="240"/>
      <c r="G5" s="240"/>
      <c r="H5" s="240"/>
      <c r="I5" s="240"/>
      <c r="J5" s="240"/>
      <c r="K5" s="240"/>
      <c r="L5" s="241"/>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Capacete de segurança classe B</v>
      </c>
      <c r="H8" s="84" t="str">
        <f>IF($B7="","",IF($C8=$C5,INDEX('MAPA DE PREÇOS'!$M:$M,MATCH($B8,'MAPA DE PREÇOS'!$B:$B)-16),IF($C8=$C6,"Unidade","")))</f>
        <v>UN</v>
      </c>
      <c r="I8" s="84">
        <f>IF($B7="","",IF($C8=$C5,INDEX('MAPA DE PREÇOS'!$M:$M,MATCH($B8,'MAPA DE PREÇOS'!$B:$B)-17),IF($C8=$C6,"Quant.","")))</f>
        <v>46</v>
      </c>
      <c r="J8" s="60">
        <f>IF(AND(COUNTBLANK($B5:$B7)=2,$B7="",$B6="",MAX(C:C)&gt;1),"Total Estimado",IF($B7="","",IF($C8=$C5,INDEX('MAPA DE PREÇOS'!$M:$M,MATCH($B8,'MAPA DE PREÇOS'!$B:$B)-19),IF($C8=$C6,"Valor Unit. (R$)",IF(AND($C8&lt;&gt;$C7,$J7&lt;&gt;""),IF(MAX(C:C)=1,"Total Estimado","Subtotal"),"")))))</f>
        <v>16.36</v>
      </c>
      <c r="K8" s="75">
        <f>IFERROR(IF(AND(COUNTBLANK($B5:$B7)=2,$B7="",$B6="",MAX($C:$C)&gt;1),SUM($K$3:K7)/2,IF($B7="","",IF($C8=$C5,ROUND(J8*I8,2),IF($C8=$C6,"Total Item (R$)",IF(AND($C8&lt;&gt;$C7,$J7&lt;&gt;""),SUMIFS(K:K,$C:$C,C7,J:J,"&lt;&gt;Subtotal"),""))))),"")</f>
        <v>752.56</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Protetor auricular tipo plug</v>
      </c>
      <c r="H9" s="84" t="str">
        <f>IF($B8="","",IF($C9=$C6,INDEX('MAPA DE PREÇOS'!$M:$M,MATCH($B9,'MAPA DE PREÇOS'!$B:$B)-16),IF($C9=$C7,"Unidade","")))</f>
        <v>UN</v>
      </c>
      <c r="I9" s="84">
        <f>IF($B8="","",IF($C9=$C6,INDEX('MAPA DE PREÇOS'!$M:$M,MATCH($B9,'MAPA DE PREÇOS'!$B:$B)-17),IF($C9=$C7,"Quant.","")))</f>
        <v>184</v>
      </c>
      <c r="J9" s="60">
        <f>IF(AND(COUNTBLANK($B6:$B8)=2,$B8="",$B7="",MAX(C:C)&gt;1),"Total Estimado",IF($B8="","",IF($C9=$C6,INDEX('MAPA DE PREÇOS'!$M:$M,MATCH($B9,'MAPA DE PREÇOS'!$B:$B)-19),IF($C9=$C7,"Valor Unit. (R$)",IF(AND($C9&lt;&gt;$C8,$J8&lt;&gt;""),IF(MAX(C:C)=1,"Total Estimado","Subtotal"),"")))))</f>
        <v>1.51</v>
      </c>
      <c r="K9" s="75">
        <f>IFERROR(IF(AND(COUNTBLANK($B6:$B8)=2,$B8="",$B7="",MAX(C:C)&gt;1),SUM($K$3:K8)/2,IF($B8="","",IF($C9=$C6,ROUND(J9*I9,2),IF($C9=$C7,"Total Item (R$)",IF(AND($C9&lt;&gt;$C8,$J8&lt;&gt;""),SUMIFS(K:K,C:C,C8,J:J,"&lt;&gt;Subtotal"),""))))),"")</f>
        <v>277.83999999999997</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Luva de malha pigmentada</v>
      </c>
      <c r="H10" s="84" t="str">
        <f>IF($B9="","",IF($C10=$C7,INDEX('MAPA DE PREÇOS'!$M:$M,MATCH($B10,'MAPA DE PREÇOS'!$B:$B)-16),IF($C10=$C8,"Unidade","")))</f>
        <v>UN</v>
      </c>
      <c r="I10" s="84">
        <f>IF($B9="","",IF($C10=$C7,INDEX('MAPA DE PREÇOS'!$M:$M,MATCH($B10,'MAPA DE PREÇOS'!$B:$B)-17),IF($C10=$C8,"Quant.","")))</f>
        <v>258</v>
      </c>
      <c r="J10" s="60">
        <f>IF(AND(COUNTBLANK($B7:$B9)=2,$B9="",$B8="",MAX(C:C)&gt;1),"Total Estimado",IF($B9="","",IF($C10=$C7,INDEX('MAPA DE PREÇOS'!$M:$M,MATCH($B10,'MAPA DE PREÇOS'!$B:$B)-19),IF($C10=$C8,"Valor Unit. (R$)",IF(AND($C10&lt;&gt;$C9,$J9&lt;&gt;""),IF(MAX(C:C)=1,"Total Estimado","Subtotal"),"")))))</f>
        <v>2.75</v>
      </c>
      <c r="K10" s="75">
        <f>IFERROR(IF(AND(COUNTBLANK($B7:$B9)=2,$B9="",$B8="",MAX(C:C)&gt;1),SUM($K$3:K9)/2,IF($B9="","",IF($C10=$C7,ROUND(J10*I10,2),IF($C10=$C8,"Total Item (R$)",IF(AND($C10&lt;&gt;$C9,$J9&lt;&gt;""),SUMIFS(K:K,C:C,C9,J:J,"&lt;&gt;Subtotal"),""))))),"")</f>
        <v>709.5</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Chapéu com proteção de nuca</v>
      </c>
      <c r="H11" s="84" t="str">
        <f>IF($B10="","",IF($C11=$C8,INDEX('MAPA DE PREÇOS'!$M:$M,MATCH($B11,'MAPA DE PREÇOS'!$B:$B)-16),IF($C11=$C9,"Unidade","")))</f>
        <v>UN</v>
      </c>
      <c r="I11" s="84">
        <f>IF($B10="","",IF($C11=$C8,INDEX('MAPA DE PREÇOS'!$M:$M,MATCH($B11,'MAPA DE PREÇOS'!$B:$B)-17),IF($C11=$C9,"Quant.","")))</f>
        <v>92</v>
      </c>
      <c r="J11" s="60">
        <f>IF(AND(COUNTBLANK($B8:$B10)=2,$B10="",$B9="",MAX(C:C)&gt;1),"Total Estimado",IF($B10="","",IF($C11=$C8,INDEX('MAPA DE PREÇOS'!$M:$M,MATCH($B11,'MAPA DE PREÇOS'!$B:$B)-19),IF($C11=$C9,"Valor Unit. (R$)",IF(AND($C11&lt;&gt;$C10,$J10&lt;&gt;""),IF(MAX(C:C)=1,"Total Estimado","Subtotal"),"")))))</f>
        <v>20.18</v>
      </c>
      <c r="K11" s="75">
        <f>IFERROR(IF(AND(COUNTBLANK($B8:$B10)=2,$B10="",$B9="",MAX(C:C)&gt;1),SUM($K$3:K10)/2,IF($B10="","",IF($C11=$C8,ROUND(J11*I11,2),IF($C11=$C9,"Total Item (R$)",IF(AND($C11&lt;&gt;$C10,$J10&lt;&gt;""),SUMIFS(K:K,C:C,C10,J:J,"&lt;&gt;Subtotal"),""))))),"")</f>
        <v>1856.56</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 xml:space="preserve">Rolo de lã de pintura 23 cm com cabo </v>
      </c>
      <c r="H12" s="84" t="str">
        <f>IF($B11="","",IF($C12=$C9,INDEX('MAPA DE PREÇOS'!$M:$M,MATCH($B12,'MAPA DE PREÇOS'!$B:$B)-16),IF($C12=$C10,"Unidade","")))</f>
        <v>UN</v>
      </c>
      <c r="I12" s="84">
        <f>IF($B11="","",IF($C12=$C9,INDEX('MAPA DE PREÇOS'!$M:$M,MATCH($B12,'MAPA DE PREÇOS'!$B:$B)-17),IF($C12=$C10,"Quant.","")))</f>
        <v>4</v>
      </c>
      <c r="J12" s="60">
        <f>IF(AND(COUNTBLANK($B9:$B11)=2,$B11="",$B10="",MAX(C:C)&gt;1),"Total Estimado",IF($B11="","",IF($C12=$C9,INDEX('MAPA DE PREÇOS'!$M:$M,MATCH($B12,'MAPA DE PREÇOS'!$B:$B)-19),IF($C12=$C10,"Valor Unit. (R$)",IF(AND($C12&lt;&gt;$C11,$J11&lt;&gt;""),IF(MAX(C:C)=1,"Total Estimado","Subtotal"),"")))))</f>
        <v>22.07</v>
      </c>
      <c r="K12" s="75">
        <f>IFERROR(IF(AND(COUNTBLANK($B9:$B11)=2,$B11="",$B10="",MAX(C:C)&gt;1),SUM($K$3:K11)/2,IF($B11="","",IF($C12=$C9,ROUND(J12*I12,2),IF($C12=$C10,"Total Item (R$)",IF(AND($C12&lt;&gt;$C11,$J11&lt;&gt;""),SUMIFS(K:K,C:C,C11,J:J,"&lt;&gt;Subtotal"),""))))),"")</f>
        <v>88.28</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Rolo de lã de pintura 15 cm com cabo</v>
      </c>
      <c r="H13" s="84" t="str">
        <f>IF($B12="","",IF($C13=$C10,INDEX('MAPA DE PREÇOS'!$M:$M,MATCH($B13,'MAPA DE PREÇOS'!$B:$B)-16),IF($C13=$C11,"Unidade","")))</f>
        <v>UN</v>
      </c>
      <c r="I13" s="84">
        <f>IF($B12="","",IF($C13=$C10,INDEX('MAPA DE PREÇOS'!$M:$M,MATCH($B13,'MAPA DE PREÇOS'!$B:$B)-17),IF($C13=$C11,"Quant.","")))</f>
        <v>4</v>
      </c>
      <c r="J13" s="60">
        <f>IF(AND(COUNTBLANK($B10:$B12)=2,$B12="",$B11="",MAX(C:C)&gt;1),"Total Estimado",IF($B12="","",IF($C13=$C10,INDEX('MAPA DE PREÇOS'!$M:$M,MATCH($B13,'MAPA DE PREÇOS'!$B:$B)-19),IF($C13=$C11,"Valor Unit. (R$)",IF(AND($C13&lt;&gt;$C12,$J12&lt;&gt;""),IF(MAX(C:C)=1,"Total Estimado","Subtotal"),"")))))</f>
        <v>14.64</v>
      </c>
      <c r="K13" s="75">
        <f>IFERROR(IF(AND(COUNTBLANK($B10:$B12)=2,$B12="",$B11="",MAX(C:C)&gt;1),SUM($K$3:K12)/2,IF($B12="","",IF($C13=$C10,ROUND(J13*I13,2),IF($C13=$C11,"Total Item (R$)",IF(AND($C13&lt;&gt;$C12,$J12&lt;&gt;""),SUMIFS(K:K,C:C,C12,J:J,"&lt;&gt;Subtotal"),""))))),"")</f>
        <v>58.56</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 xml:space="preserve">Rolo de lã de pintura 9 cm com cabo </v>
      </c>
      <c r="H14" s="84" t="str">
        <f>IF($B13="","",IF($C14=$C11,INDEX('MAPA DE PREÇOS'!$M:$M,MATCH($B14,'MAPA DE PREÇOS'!$B:$B)-16),IF($C14=$C12,"Unidade","")))</f>
        <v>UN</v>
      </c>
      <c r="I14" s="84">
        <f>IF($B13="","",IF($C14=$C11,INDEX('MAPA DE PREÇOS'!$M:$M,MATCH($B14,'MAPA DE PREÇOS'!$B:$B)-17),IF($C14=$C12,"Quant.","")))</f>
        <v>4</v>
      </c>
      <c r="J14" s="60">
        <f>IF(AND(COUNTBLANK($B11:$B13)=2,$B13="",$B12="",MAX(C:C)&gt;1),"Total Estimado",IF($B13="","",IF($C14=$C11,INDEX('MAPA DE PREÇOS'!$M:$M,MATCH($B14,'MAPA DE PREÇOS'!$B:$B)-19),IF($C14=$C12,"Valor Unit. (R$)",IF(AND($C14&lt;&gt;$C13,$J13&lt;&gt;""),IF(MAX(C:C)=1,"Total Estimado","Subtotal"),"")))))</f>
        <v>12.26</v>
      </c>
      <c r="K14" s="75">
        <f>IFERROR(IF(AND(COUNTBLANK($B11:$B13)=2,$B13="",$B12="",MAX(C:C)&gt;1),SUM($K$3:K13)/2,IF($B13="","",IF($C14=$C11,ROUND(J14*I14,2),IF($C14=$C12,"Total Item (R$)",IF(AND($C14&lt;&gt;$C13,$J13&lt;&gt;""),SUMIFS(K:K,C:C,C13,J:J,"&lt;&gt;Subtotal"),""))))),"")</f>
        <v>49.04</v>
      </c>
      <c r="L14" s="75" t="str">
        <f t="shared" si="1"/>
        <v/>
      </c>
    </row>
    <row r="15" spans="2:14"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 xml:space="preserve">Kit com 5 pinceis de pintura </v>
      </c>
      <c r="H15" s="84" t="str">
        <f>IF($B14="","",IF($C15=$C12,INDEX('MAPA DE PREÇOS'!$M:$M,MATCH($B15,'MAPA DE PREÇOS'!$B:$B)-16),IF($C15=$C13,"Unidade","")))</f>
        <v>UN</v>
      </c>
      <c r="I15" s="84">
        <f>IF($B14="","",IF($C15=$C12,INDEX('MAPA DE PREÇOS'!$M:$M,MATCH($B15,'MAPA DE PREÇOS'!$B:$B)-17),IF($C15=$C13,"Quant.","")))</f>
        <v>4</v>
      </c>
      <c r="J15" s="60">
        <f>IF(AND(COUNTBLANK($B12:$B14)=2,$B14="",$B13="",MAX(C:C)&gt;1),"Total Estimado",IF($B14="","",IF($C15=$C12,INDEX('MAPA DE PREÇOS'!$M:$M,MATCH($B15,'MAPA DE PREÇOS'!$B:$B)-19),IF($C15=$C13,"Valor Unit. (R$)",IF(AND($C15&lt;&gt;$C14,$J14&lt;&gt;""),IF(MAX(C:C)=1,"Total Estimado","Subtotal"),"")))))</f>
        <v>20.100000000000001</v>
      </c>
      <c r="K15" s="75">
        <f>IFERROR(IF(AND(COUNTBLANK($B12:$B14)=2,$B14="",$B13="",MAX(C:C)&gt;1),SUM($K$3:K14)/2,IF($B14="","",IF($C15=$C12,ROUND(J15*I15,2),IF($C15=$C13,"Total Item (R$)",IF(AND($C15&lt;&gt;$C14,$J14&lt;&gt;""),SUMIFS(K:K,C:C,C14,J:J,"&lt;&gt;Subtotal"),""))))),"")</f>
        <v>80.400000000000006</v>
      </c>
      <c r="L15" s="75" t="str">
        <f t="shared" si="1"/>
        <v/>
      </c>
    </row>
    <row r="16" spans="2:14"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5" t="str">
        <f>IF($B15="","",IF($C16=$C13,IF('BASE EDITAL'!$C$2="",INDEX('MAPA DE PREÇOS'!H:H,MATCH(EDITAL!B16,'MAPA DE PREÇOS'!B:B,0)+1),UPPER(INDEX('BASE EDITAL'!$C:$C,EDITAL!B16+1))),IF($C16=$C14,"Especificação do Objeto","")))</f>
        <v>Bandeja para pintura</v>
      </c>
      <c r="H16" s="84" t="str">
        <f>IF($B15="","",IF($C16=$C13,INDEX('MAPA DE PREÇOS'!$M:$M,MATCH($B16,'MAPA DE PREÇOS'!$B:$B)-16),IF($C16=$C14,"Unidade","")))</f>
        <v>UN</v>
      </c>
      <c r="I16" s="84">
        <f>IF($B15="","",IF($C16=$C13,INDEX('MAPA DE PREÇOS'!$M:$M,MATCH($B16,'MAPA DE PREÇOS'!$B:$B)-17),IF($C16=$C14,"Quant.","")))</f>
        <v>4</v>
      </c>
      <c r="J16" s="60">
        <f>IF(AND(COUNTBLANK($B13:$B15)=2,$B15="",$B14="",MAX(C:C)&gt;1),"Total Estimado",IF($B15="","",IF($C16=$C13,INDEX('MAPA DE PREÇOS'!$M:$M,MATCH($B16,'MAPA DE PREÇOS'!$B:$B)-19),IF($C16=$C14,"Valor Unit. (R$)",IF(AND($C16&lt;&gt;$C15,$J15&lt;&gt;""),IF(MAX(C:C)=1,"Total Estimado","Subtotal"),"")))))</f>
        <v>20.57</v>
      </c>
      <c r="K16" s="75">
        <f>IFERROR(IF(AND(COUNTBLANK($B13:$B15)=2,$B15="",$B14="",MAX(C:C)&gt;1),SUM($K$3:K15)/2,IF($B15="","",IF($C16=$C13,ROUND(J16*I16,2),IF($C16=$C14,"Total Item (R$)",IF(AND($C16&lt;&gt;$C15,$J15&lt;&gt;""),SUMIFS(K:K,C:C,C15,J:J,"&lt;&gt;Subtotal"),""))))),"")</f>
        <v>82.28</v>
      </c>
      <c r="L16" s="75" t="str">
        <f t="shared" si="1"/>
        <v/>
      </c>
    </row>
    <row r="17" spans="2:12"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5" t="str">
        <f>IF($B16="","",IF($C17=$C14,IF('BASE EDITAL'!$C$2="",INDEX('MAPA DE PREÇOS'!H:H,MATCH(EDITAL!B17,'MAPA DE PREÇOS'!B:B,0)+1),UPPER(INDEX('BASE EDITAL'!$C:$C,EDITAL!B17+1))),IF($C17=$C15,"Especificação do Objeto","")))</f>
        <v>Espátula rígida</v>
      </c>
      <c r="H17" s="84" t="str">
        <f>IF($B16="","",IF($C17=$C14,INDEX('MAPA DE PREÇOS'!$M:$M,MATCH($B17,'MAPA DE PREÇOS'!$B:$B)-16),IF($C17=$C15,"Unidade","")))</f>
        <v>UN</v>
      </c>
      <c r="I17" s="84">
        <f>IF($B16="","",IF($C17=$C14,INDEX('MAPA DE PREÇOS'!$M:$M,MATCH($B17,'MAPA DE PREÇOS'!$B:$B)-17),IF($C17=$C15,"Quant.","")))</f>
        <v>4</v>
      </c>
      <c r="J17" s="60">
        <f>IF(AND(COUNTBLANK($B14:$B16)=2,$B16="",$B15="",MAX(C:C)&gt;1),"Total Estimado",IF($B16="","",IF($C17=$C14,INDEX('MAPA DE PREÇOS'!$M:$M,MATCH($B17,'MAPA DE PREÇOS'!$B:$B)-19),IF($C17=$C15,"Valor Unit. (R$)",IF(AND($C17&lt;&gt;$C16,$J16&lt;&gt;""),IF(MAX(C:C)=1,"Total Estimado","Subtotal"),"")))))</f>
        <v>11.4</v>
      </c>
      <c r="K17" s="75">
        <f>IFERROR(IF(AND(COUNTBLANK($B14:$B16)=2,$B16="",$B15="",MAX(C:C)&gt;1),SUM($K$3:K16)/2,IF($B16="","",IF($C17=$C14,ROUND(J17*I17,2),IF($C17=$C15,"Total Item (R$)",IF(AND($C17&lt;&gt;$C16,$J16&lt;&gt;""),SUMIFS(K:K,C:C,C16,J:J,"&lt;&gt;Subtotal"),""))))),"")</f>
        <v>45.6</v>
      </c>
      <c r="L17" s="75" t="str">
        <f t="shared" si="1"/>
        <v/>
      </c>
    </row>
    <row r="18" spans="2:12"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5" t="str">
        <f>IF($B17="","",IF($C18=$C15,IF('BASE EDITAL'!$C$2="",INDEX('MAPA DE PREÇOS'!H:H,MATCH(EDITAL!B18,'MAPA DE PREÇOS'!B:B,0)+1),UPPER(INDEX('BASE EDITAL'!$C:$C,EDITAL!B18+1))),IF($C18=$C16,"Especificação do Objeto","")))</f>
        <v>Espátula flexível</v>
      </c>
      <c r="H18" s="84" t="str">
        <f>IF($B17="","",IF($C18=$C15,INDEX('MAPA DE PREÇOS'!$M:$M,MATCH($B18,'MAPA DE PREÇOS'!$B:$B)-16),IF($C18=$C16,"Unidade","")))</f>
        <v>UN</v>
      </c>
      <c r="I18" s="84">
        <f>IF($B17="","",IF($C18=$C15,INDEX('MAPA DE PREÇOS'!$M:$M,MATCH($B18,'MAPA DE PREÇOS'!$B:$B)-17),IF($C18=$C16,"Quant.","")))</f>
        <v>4</v>
      </c>
      <c r="J18" s="60">
        <f>IF(AND(COUNTBLANK($B15:$B17)=2,$B17="",$B16="",MAX(C:C)&gt;1),"Total Estimado",IF($B17="","",IF($C18=$C15,INDEX('MAPA DE PREÇOS'!$M:$M,MATCH($B18,'MAPA DE PREÇOS'!$B:$B)-19),IF($C18=$C16,"Valor Unit. (R$)",IF(AND($C18&lt;&gt;$C17,$J17&lt;&gt;""),IF(MAX(C:C)=1,"Total Estimado","Subtotal"),"")))))</f>
        <v>10.88</v>
      </c>
      <c r="K18" s="75">
        <f>IFERROR(IF(AND(COUNTBLANK($B15:$B17)=2,$B17="",$B16="",MAX(C:C)&gt;1),SUM($K$3:K17)/2,IF($B17="","",IF($C18=$C15,ROUND(J18*I18,2),IF($C18=$C16,"Total Item (R$)",IF(AND($C18&lt;&gt;$C17,$J17&lt;&gt;""),SUMIFS(K:K,C:C,C17,J:J,"&lt;&gt;Subtotal"),""))))),"")</f>
        <v>43.52</v>
      </c>
      <c r="L18" s="75" t="str">
        <f t="shared" si="1"/>
        <v/>
      </c>
    </row>
    <row r="19" spans="2:12"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145" t="str">
        <f>IF($B18="","",IF($C19=$C16,IF('BASE EDITAL'!$C$2="",INDEX('MAPA DE PREÇOS'!H:H,MATCH(EDITAL!B19,'MAPA DE PREÇOS'!B:B,0)+1),UPPER(INDEX('BASE EDITAL'!$C:$C,EDITAL!B19+1))),IF($C19=$C17,"Especificação do Objeto","")))</f>
        <v>Raspador</v>
      </c>
      <c r="H19" s="84" t="str">
        <f>IF($B18="","",IF($C19=$C16,INDEX('MAPA DE PREÇOS'!$M:$M,MATCH($B19,'MAPA DE PREÇOS'!$B:$B)-16),IF($C19=$C17,"Unidade","")))</f>
        <v>UN</v>
      </c>
      <c r="I19" s="84">
        <f>IF($B18="","",IF($C19=$C16,INDEX('MAPA DE PREÇOS'!$M:$M,MATCH($B19,'MAPA DE PREÇOS'!$B:$B)-17),IF($C19=$C17,"Quant.","")))</f>
        <v>4</v>
      </c>
      <c r="J19" s="60">
        <f>IF(AND(COUNTBLANK($B16:$B18)=2,$B18="",$B17="",MAX(C:C)&gt;1),"Total Estimado",IF($B18="","",IF($C19=$C16,INDEX('MAPA DE PREÇOS'!$M:$M,MATCH($B19,'MAPA DE PREÇOS'!$B:$B)-19),IF($C19=$C17,"Valor Unit. (R$)",IF(AND($C19&lt;&gt;$C18,$J18&lt;&gt;""),IF(MAX(C:C)=1,"Total Estimado","Subtotal"),"")))))</f>
        <v>26.01</v>
      </c>
      <c r="K19" s="75">
        <f>IFERROR(IF(AND(COUNTBLANK($B16:$B18)=2,$B18="",$B17="",MAX(C:C)&gt;1),SUM($K$3:K18)/2,IF($B18="","",IF($C19=$C16,ROUND(J19*I19,2),IF($C19=$C17,"Total Item (R$)",IF(AND($C19&lt;&gt;$C18,$J18&lt;&gt;""),SUMIFS(K:K,C:C,C18,J:J,"&lt;&gt;Subtotal"),""))))),"")</f>
        <v>104.04</v>
      </c>
      <c r="L19" s="75" t="str">
        <f t="shared" si="1"/>
        <v/>
      </c>
    </row>
    <row r="20" spans="2:12"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145" t="str">
        <f>IF($B19="","",IF($C20=$C17,IF('BASE EDITAL'!$C$2="",INDEX('MAPA DE PREÇOS'!H:H,MATCH(EDITAL!B20,'MAPA DE PREÇOS'!B:B,0)+1),UPPER(INDEX('BASE EDITAL'!$C:$C,EDITAL!B20+1))),IF($C20=$C18,"Especificação do Objeto","")))</f>
        <v xml:space="preserve">Escova de aço </v>
      </c>
      <c r="H20" s="84" t="str">
        <f>IF($B19="","",IF($C20=$C17,INDEX('MAPA DE PREÇOS'!$M:$M,MATCH($B20,'MAPA DE PREÇOS'!$B:$B)-16),IF($C20=$C18,"Unidade","")))</f>
        <v>UN</v>
      </c>
      <c r="I20" s="84">
        <f>IF($B19="","",IF($C20=$C17,INDEX('MAPA DE PREÇOS'!$M:$M,MATCH($B20,'MAPA DE PREÇOS'!$B:$B)-17),IF($C20=$C18,"Quant.","")))</f>
        <v>4</v>
      </c>
      <c r="J20" s="60">
        <f>IF(AND(COUNTBLANK($B17:$B19)=2,$B19="",$B18="",MAX(C:C)&gt;1),"Total Estimado",IF($B19="","",IF($C20=$C17,INDEX('MAPA DE PREÇOS'!$M:$M,MATCH($B20,'MAPA DE PREÇOS'!$B:$B)-19),IF($C20=$C18,"Valor Unit. (R$)",IF(AND($C20&lt;&gt;$C19,$J19&lt;&gt;""),IF(MAX(C:C)=1,"Total Estimado","Subtotal"),"")))))</f>
        <v>6.62</v>
      </c>
      <c r="K20" s="75">
        <f>IFERROR(IF(AND(COUNTBLANK($B17:$B19)=2,$B19="",$B18="",MAX(C:C)&gt;1),SUM($K$3:K19)/2,IF($B19="","",IF($C20=$C17,ROUND(J20*I20,2),IF($C20=$C18,"Total Item (R$)",IF(AND($C20&lt;&gt;$C19,$J19&lt;&gt;""),SUMIFS(K:K,C:C,C19,J:J,"&lt;&gt;Subtotal"),""))))),"")</f>
        <v>26.48</v>
      </c>
      <c r="L20" s="75" t="str">
        <f t="shared" si="1"/>
        <v/>
      </c>
    </row>
    <row r="21" spans="2:12"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145" t="str">
        <f>IF($B20="","",IF($C21=$C18,IF('BASE EDITAL'!$C$2="",INDEX('MAPA DE PREÇOS'!H:H,MATCH(EDITAL!B21,'MAPA DE PREÇOS'!B:B,0)+1),UPPER(INDEX('BASE EDITAL'!$C:$C,EDITAL!B21+1))),IF($C21=$C19,"Especificação do Objeto","")))</f>
        <v>Desempenadeira metálica</v>
      </c>
      <c r="H21" s="84" t="str">
        <f>IF($B20="","",IF($C21=$C18,INDEX('MAPA DE PREÇOS'!$M:$M,MATCH($B21,'MAPA DE PREÇOS'!$B:$B)-16),IF($C21=$C19,"Unidade","")))</f>
        <v>UN</v>
      </c>
      <c r="I21" s="84">
        <f>IF($B20="","",IF($C21=$C18,INDEX('MAPA DE PREÇOS'!$M:$M,MATCH($B21,'MAPA DE PREÇOS'!$B:$B)-17),IF($C21=$C19,"Quant.","")))</f>
        <v>8</v>
      </c>
      <c r="J21" s="60">
        <f>IF(AND(COUNTBLANK($B18:$B20)=2,$B20="",$B19="",MAX(C:C)&gt;1),"Total Estimado",IF($B20="","",IF($C21=$C18,INDEX('MAPA DE PREÇOS'!$M:$M,MATCH($B21,'MAPA DE PREÇOS'!$B:$B)-19),IF($C21=$C19,"Valor Unit. (R$)",IF(AND($C21&lt;&gt;$C20,$J20&lt;&gt;""),IF(MAX(C:C)=1,"Total Estimado","Subtotal"),"")))))</f>
        <v>62.96</v>
      </c>
      <c r="K21" s="75">
        <f>IFERROR(IF(AND(COUNTBLANK($B18:$B20)=2,$B20="",$B19="",MAX(C:C)&gt;1),SUM($K$3:K20)/2,IF($B20="","",IF($C21=$C18,ROUND(J21*I21,2),IF($C21=$C19,"Total Item (R$)",IF(AND($C21&lt;&gt;$C20,$J20&lt;&gt;""),SUMIFS(K:K,C:C,C20,J:J,"&lt;&gt;Subtotal"),""))))),"")</f>
        <v>503.68</v>
      </c>
      <c r="L21" s="75" t="str">
        <f t="shared" si="1"/>
        <v/>
      </c>
    </row>
    <row r="22" spans="2:12"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145" t="str">
        <f>IF($B21="","",IF($C22=$C19,IF('BASE EDITAL'!$C$2="",INDEX('MAPA DE PREÇOS'!H:H,MATCH(EDITAL!B22,'MAPA DE PREÇOS'!B:B,0)+1),UPPER(INDEX('BASE EDITAL'!$C:$C,EDITAL!B22+1))),IF($C22=$C20,"Especificação do Objeto","")))</f>
        <v>Desempenadeira plástica</v>
      </c>
      <c r="H22" s="84" t="str">
        <f>IF($B21="","",IF($C22=$C19,INDEX('MAPA DE PREÇOS'!$M:$M,MATCH($B22,'MAPA DE PREÇOS'!$B:$B)-16),IF($C22=$C20,"Unidade","")))</f>
        <v>UN</v>
      </c>
      <c r="I22" s="84">
        <f>IF($B21="","",IF($C22=$C19,INDEX('MAPA DE PREÇOS'!$M:$M,MATCH($B22,'MAPA DE PREÇOS'!$B:$B)-17),IF($C22=$C20,"Quant.","")))</f>
        <v>8</v>
      </c>
      <c r="J22" s="60">
        <f>IF(AND(COUNTBLANK($B19:$B21)=2,$B21="",$B20="",MAX(C:C)&gt;1),"Total Estimado",IF($B21="","",IF($C22=$C19,INDEX('MAPA DE PREÇOS'!$M:$M,MATCH($B22,'MAPA DE PREÇOS'!$B:$B)-19),IF($C22=$C20,"Valor Unit. (R$)",IF(AND($C22&lt;&gt;$C21,$J21&lt;&gt;""),IF(MAX(C:C)=1,"Total Estimado","Subtotal"),"")))))</f>
        <v>15.96</v>
      </c>
      <c r="K22" s="75">
        <f>IFERROR(IF(AND(COUNTBLANK($B19:$B21)=2,$B21="",$B20="",MAX(C:C)&gt;1),SUM($K$3:K21)/2,IF($B21="","",IF($C22=$C19,ROUND(J22*I22,2),IF($C22=$C20,"Total Item (R$)",IF(AND($C22&lt;&gt;$C21,$J21&lt;&gt;""),SUMIFS(K:K,C:C,C21,J:J,"&lt;&gt;Subtotal"),""))))),"")</f>
        <v>127.68</v>
      </c>
      <c r="L22" s="75" t="str">
        <f t="shared" si="1"/>
        <v/>
      </c>
    </row>
    <row r="23" spans="2:12"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145" t="str">
        <f>IF($B22="","",IF($C23=$C20,IF('BASE EDITAL'!$C$2="",INDEX('MAPA DE PREÇOS'!H:H,MATCH(EDITAL!B23,'MAPA DE PREÇOS'!B:B,0)+1),UPPER(INDEX('BASE EDITAL'!$C:$C,EDITAL!B23+1))),IF($C23=$C21,"Especificação do Objeto","")))</f>
        <v>Estilete</v>
      </c>
      <c r="H23" s="84" t="str">
        <f>IF($B22="","",IF($C23=$C20,INDEX('MAPA DE PREÇOS'!$M:$M,MATCH($B23,'MAPA DE PREÇOS'!$B:$B)-16),IF($C23=$C21,"Unidade","")))</f>
        <v>UN</v>
      </c>
      <c r="I23" s="84">
        <f>IF($B22="","",IF($C23=$C20,INDEX('MAPA DE PREÇOS'!$M:$M,MATCH($B23,'MAPA DE PREÇOS'!$B:$B)-17),IF($C23=$C21,"Quant.","")))</f>
        <v>9</v>
      </c>
      <c r="J23" s="60">
        <f>IF(AND(COUNTBLANK($B20:$B22)=2,$B22="",$B21="",MAX(C:C)&gt;1),"Total Estimado",IF($B22="","",IF($C23=$C20,INDEX('MAPA DE PREÇOS'!$M:$M,MATCH($B23,'MAPA DE PREÇOS'!$B:$B)-19),IF($C23=$C21,"Valor Unit. (R$)",IF(AND($C23&lt;&gt;$C22,$J22&lt;&gt;""),IF(MAX(C:C)=1,"Total Estimado","Subtotal"),"")))))</f>
        <v>12.64</v>
      </c>
      <c r="K23" s="75">
        <f>IFERROR(IF(AND(COUNTBLANK($B20:$B22)=2,$B22="",$B21="",MAX(C:C)&gt;1),SUM($K$3:K22)/2,IF($B22="","",IF($C23=$C20,ROUND(J23*I23,2),IF($C23=$C21,"Total Item (R$)",IF(AND($C23&lt;&gt;$C22,$J22&lt;&gt;""),SUMIFS(K:K,C:C,C22,J:J,"&lt;&gt;Subtotal"),""))))),"")</f>
        <v>113.76</v>
      </c>
      <c r="L23" s="75" t="str">
        <f t="shared" si="1"/>
        <v/>
      </c>
    </row>
    <row r="24" spans="2:12"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145" t="str">
        <f>IF($B23="","",IF($C24=$C21,IF('BASE EDITAL'!$C$2="",INDEX('MAPA DE PREÇOS'!H:H,MATCH(EDITAL!B24,'MAPA DE PREÇOS'!B:B,0)+1),UPPER(INDEX('BASE EDITAL'!$C:$C,EDITAL!B24+1))),IF($C24=$C22,"Especificação do Objeto","")))</f>
        <v xml:space="preserve">Trena 10 m </v>
      </c>
      <c r="H24" s="84" t="str">
        <f>IF($B23="","",IF($C24=$C21,INDEX('MAPA DE PREÇOS'!$M:$M,MATCH($B24,'MAPA DE PREÇOS'!$B:$B)-16),IF($C24=$C22,"Unidade","")))</f>
        <v>UN</v>
      </c>
      <c r="I24" s="84">
        <f>IF($B23="","",IF($C24=$C21,INDEX('MAPA DE PREÇOS'!$M:$M,MATCH($B24,'MAPA DE PREÇOS'!$B:$B)-17),IF($C24=$C22,"Quant.","")))</f>
        <v>17</v>
      </c>
      <c r="J24" s="60">
        <f>IF(AND(COUNTBLANK($B21:$B23)=2,$B23="",$B22="",MAX(C:C)&gt;1),"Total Estimado",IF($B23="","",IF($C24=$C21,INDEX('MAPA DE PREÇOS'!$M:$M,MATCH($B24,'MAPA DE PREÇOS'!$B:$B)-19),IF($C24=$C22,"Valor Unit. (R$)",IF(AND($C24&lt;&gt;$C23,$J23&lt;&gt;""),IF(MAX(C:C)=1,"Total Estimado","Subtotal"),"")))))</f>
        <v>47.99</v>
      </c>
      <c r="K24" s="75">
        <f>IFERROR(IF(AND(COUNTBLANK($B21:$B23)=2,$B23="",$B22="",MAX(C:C)&gt;1),SUM($K$3:K23)/2,IF($B23="","",IF($C24=$C21,ROUND(J24*I24,2),IF($C24=$C22,"Total Item (R$)",IF(AND($C24&lt;&gt;$C23,$J23&lt;&gt;""),SUMIFS(K:K,C:C,C23,J:J,"&lt;&gt;Subtotal"),""))))),"")</f>
        <v>815.83</v>
      </c>
      <c r="L24" s="75" t="str">
        <f t="shared" si="1"/>
        <v/>
      </c>
    </row>
    <row r="25" spans="2:12"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145" t="str">
        <f>IF($B24="","",IF($C25=$C22,IF('BASE EDITAL'!$C$2="",INDEX('MAPA DE PREÇOS'!H:H,MATCH(EDITAL!B25,'MAPA DE PREÇOS'!B:B,0)+1),UPPER(INDEX('BASE EDITAL'!$C:$C,EDITAL!B25+1))),IF($C25=$C23,"Especificação do Objeto","")))</f>
        <v>Cabo extensor telescópico</v>
      </c>
      <c r="H25" s="84" t="str">
        <f>IF($B24="","",IF($C25=$C22,INDEX('MAPA DE PREÇOS'!$M:$M,MATCH($B25,'MAPA DE PREÇOS'!$B:$B)-16),IF($C25=$C23,"Unidade","")))</f>
        <v>UN</v>
      </c>
      <c r="I25" s="84">
        <f>IF($B24="","",IF($C25=$C22,INDEX('MAPA DE PREÇOS'!$M:$M,MATCH($B25,'MAPA DE PREÇOS'!$B:$B)-17),IF($C25=$C23,"Quant.","")))</f>
        <v>4</v>
      </c>
      <c r="J25" s="60">
        <f>IF(AND(COUNTBLANK($B22:$B24)=2,$B24="",$B23="",MAX(C:C)&gt;1),"Total Estimado",IF($B24="","",IF($C25=$C22,INDEX('MAPA DE PREÇOS'!$M:$M,MATCH($B25,'MAPA DE PREÇOS'!$B:$B)-19),IF($C25=$C23,"Valor Unit. (R$)",IF(AND($C25&lt;&gt;$C24,$J24&lt;&gt;""),IF(MAX(C:C)=1,"Total Estimado","Subtotal"),"")))))</f>
        <v>38.299999999999997</v>
      </c>
      <c r="K25" s="75">
        <f>IFERROR(IF(AND(COUNTBLANK($B22:$B24)=2,$B24="",$B23="",MAX(C:C)&gt;1),SUM($K$3:K24)/2,IF($B24="","",IF($C25=$C22,ROUND(J25*I25,2),IF($C25=$C23,"Total Item (R$)",IF(AND($C25&lt;&gt;$C24,$J24&lt;&gt;""),SUMIFS(K:K,C:C,C24,J:J,"&lt;&gt;Subtotal"),""))))),"")</f>
        <v>153.19999999999999</v>
      </c>
      <c r="L25" s="75" t="str">
        <f t="shared" si="1"/>
        <v/>
      </c>
    </row>
    <row r="26" spans="2:12"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145" t="str">
        <f>IF($B25="","",IF($C26=$C23,IF('BASE EDITAL'!$C$2="",INDEX('MAPA DE PREÇOS'!H:H,MATCH(EDITAL!B26,'MAPA DE PREÇOS'!B:B,0)+1),UPPER(INDEX('BASE EDITAL'!$C:$C,EDITAL!B26+1))),IF($C26=$C24,"Especificação do Objeto","")))</f>
        <v>Alicate universal</v>
      </c>
      <c r="H26" s="84" t="str">
        <f>IF($B25="","",IF($C26=$C23,INDEX('MAPA DE PREÇOS'!$M:$M,MATCH($B26,'MAPA DE PREÇOS'!$B:$B)-16),IF($C26=$C24,"Unidade","")))</f>
        <v>UN</v>
      </c>
      <c r="I26" s="84">
        <f>IF($B25="","",IF($C26=$C23,INDEX('MAPA DE PREÇOS'!$M:$M,MATCH($B26,'MAPA DE PREÇOS'!$B:$B)-17),IF($C26=$C24,"Quant.","")))</f>
        <v>10</v>
      </c>
      <c r="J26" s="60">
        <f>IF(AND(COUNTBLANK($B23:$B25)=2,$B25="",$B24="",MAX(C:C)&gt;1),"Total Estimado",IF($B25="","",IF($C26=$C23,INDEX('MAPA DE PREÇOS'!$M:$M,MATCH($B26,'MAPA DE PREÇOS'!$B:$B)-19),IF($C26=$C24,"Valor Unit. (R$)",IF(AND($C26&lt;&gt;$C25,$J25&lt;&gt;""),IF(MAX(C:C)=1,"Total Estimado","Subtotal"),"")))))</f>
        <v>33.229999999999997</v>
      </c>
      <c r="K26" s="75">
        <f>IFERROR(IF(AND(COUNTBLANK($B23:$B25)=2,$B25="",$B24="",MAX(C:C)&gt;1),SUM($K$3:K25)/2,IF($B25="","",IF($C26=$C23,ROUND(J26*I26,2),IF($C26=$C24,"Total Item (R$)",IF(AND($C26&lt;&gt;$C25,$J25&lt;&gt;""),SUMIFS(K:K,C:C,C25,J:J,"&lt;&gt;Subtotal"),""))))),"")</f>
        <v>332.3</v>
      </c>
      <c r="L26" s="75" t="str">
        <f t="shared" si="1"/>
        <v/>
      </c>
    </row>
    <row r="27" spans="2:12"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145" t="str">
        <f>IF($B26="","",IF($C27=$C24,IF('BASE EDITAL'!$C$2="",INDEX('MAPA DE PREÇOS'!H:H,MATCH(EDITAL!B27,'MAPA DE PREÇOS'!B:B,0)+1),UPPER(INDEX('BASE EDITAL'!$C:$C,EDITAL!B27+1))),IF($C27=$C25,"Especificação do Objeto","")))</f>
        <v>Alicate de corte</v>
      </c>
      <c r="H27" s="84" t="str">
        <f>IF($B26="","",IF($C27=$C24,INDEX('MAPA DE PREÇOS'!$M:$M,MATCH($B27,'MAPA DE PREÇOS'!$B:$B)-16),IF($C27=$C25,"Unidade","")))</f>
        <v>UN</v>
      </c>
      <c r="I27" s="84">
        <f>IF($B26="","",IF($C27=$C24,INDEX('MAPA DE PREÇOS'!$M:$M,MATCH($B27,'MAPA DE PREÇOS'!$B:$B)-17),IF($C27=$C25,"Quant.","")))</f>
        <v>7</v>
      </c>
      <c r="J27" s="60">
        <f>IF(AND(COUNTBLANK($B24:$B26)=2,$B26="",$B25="",MAX(C:C)&gt;1),"Total Estimado",IF($B26="","",IF($C27=$C24,INDEX('MAPA DE PREÇOS'!$M:$M,MATCH($B27,'MAPA DE PREÇOS'!$B:$B)-19),IF($C27=$C25,"Valor Unit. (R$)",IF(AND($C27&lt;&gt;$C26,$J26&lt;&gt;""),IF(MAX(C:C)=1,"Total Estimado","Subtotal"),"")))))</f>
        <v>44.08</v>
      </c>
      <c r="K27" s="75">
        <f>IFERROR(IF(AND(COUNTBLANK($B24:$B26)=2,$B26="",$B25="",MAX(C:C)&gt;1),SUM($K$3:K26)/2,IF($B26="","",IF($C27=$C24,ROUND(J27*I27,2),IF($C27=$C25,"Total Item (R$)",IF(AND($C27&lt;&gt;$C26,$J26&lt;&gt;""),SUMIFS(K:K,C:C,C26,J:J,"&lt;&gt;Subtotal"),""))))),"")</f>
        <v>308.56</v>
      </c>
      <c r="L27" s="75" t="str">
        <f t="shared" si="1"/>
        <v/>
      </c>
    </row>
    <row r="28" spans="2:12"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145" t="str">
        <f>IF($B27="","",IF($C28=$C25,IF('BASE EDITAL'!$C$2="",INDEX('MAPA DE PREÇOS'!H:H,MATCH(EDITAL!B28,'MAPA DE PREÇOS'!B:B,0)+1),UPPER(INDEX('BASE EDITAL'!$C:$C,EDITAL!B28+1))),IF($C28=$C26,"Especificação do Objeto","")))</f>
        <v>Alicate de bico</v>
      </c>
      <c r="H28" s="84" t="str">
        <f>IF($B27="","",IF($C28=$C25,INDEX('MAPA DE PREÇOS'!$M:$M,MATCH($B28,'MAPA DE PREÇOS'!$B:$B)-16),IF($C28=$C26,"Unidade","")))</f>
        <v>UN</v>
      </c>
      <c r="I28" s="84">
        <f>IF($B27="","",IF($C28=$C25,INDEX('MAPA DE PREÇOS'!$M:$M,MATCH($B28,'MAPA DE PREÇOS'!$B:$B)-17),IF($C28=$C26,"Quant.","")))</f>
        <v>3</v>
      </c>
      <c r="J28" s="60">
        <f>IF(AND(COUNTBLANK($B25:$B27)=2,$B27="",$B26="",MAX(C:C)&gt;1),"Total Estimado",IF($B27="","",IF($C28=$C25,INDEX('MAPA DE PREÇOS'!$M:$M,MATCH($B28,'MAPA DE PREÇOS'!$B:$B)-19),IF($C28=$C26,"Valor Unit. (R$)",IF(AND($C28&lt;&gt;$C27,$J27&lt;&gt;""),IF(MAX(C:C)=1,"Total Estimado","Subtotal"),"")))))</f>
        <v>41.26</v>
      </c>
      <c r="K28" s="75">
        <f>IFERROR(IF(AND(COUNTBLANK($B25:$B27)=2,$B27="",$B26="",MAX(C:C)&gt;1),SUM($K$3:K27)/2,IF($B27="","",IF($C28=$C25,ROUND(J28*I28,2),IF($C28=$C26,"Total Item (R$)",IF(AND($C28&lt;&gt;$C27,$J27&lt;&gt;""),SUMIFS(K:K,C:C,C27,J:J,"&lt;&gt;Subtotal"),""))))),"")</f>
        <v>123.78</v>
      </c>
      <c r="L28" s="75" t="str">
        <f t="shared" si="1"/>
        <v/>
      </c>
    </row>
    <row r="29" spans="2:12"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145" t="str">
        <f>IF($B28="","",IF($C29=$C26,IF('BASE EDITAL'!$C$2="",INDEX('MAPA DE PREÇOS'!H:H,MATCH(EDITAL!B29,'MAPA DE PREÇOS'!B:B,0)+1),UPPER(INDEX('BASE EDITAL'!$C:$C,EDITAL!B29+1))),IF($C29=$C27,"Especificação do Objeto","")))</f>
        <v>Alicate prensa terminal</v>
      </c>
      <c r="H29" s="84" t="str">
        <f>IF($B28="","",IF($C29=$C26,INDEX('MAPA DE PREÇOS'!$M:$M,MATCH($B29,'MAPA DE PREÇOS'!$B:$B)-16),IF($C29=$C27,"Unidade","")))</f>
        <v>UN</v>
      </c>
      <c r="I29" s="84">
        <f>IF($B28="","",IF($C29=$C26,INDEX('MAPA DE PREÇOS'!$M:$M,MATCH($B29,'MAPA DE PREÇOS'!$B:$B)-17),IF($C29=$C27,"Quant.","")))</f>
        <v>3</v>
      </c>
      <c r="J29" s="60">
        <f>IF(AND(COUNTBLANK($B26:$B28)=2,$B28="",$B27="",MAX(C:C)&gt;1),"Total Estimado",IF($B28="","",IF($C29=$C26,INDEX('MAPA DE PREÇOS'!$M:$M,MATCH($B29,'MAPA DE PREÇOS'!$B:$B)-19),IF($C29=$C27,"Valor Unit. (R$)",IF(AND($C29&lt;&gt;$C28,$J28&lt;&gt;""),IF(MAX(C:C)=1,"Total Estimado","Subtotal"),"")))))</f>
        <v>234.35</v>
      </c>
      <c r="K29" s="75">
        <f>IFERROR(IF(AND(COUNTBLANK($B26:$B28)=2,$B28="",$B27="",MAX(C:C)&gt;1),SUM($K$3:K28)/2,IF($B28="","",IF($C29=$C26,ROUND(J29*I29,2),IF($C29=$C27,"Total Item (R$)",IF(AND($C29&lt;&gt;$C28,$J28&lt;&gt;""),SUMIFS(K:K,C:C,C28,J:J,"&lt;&gt;Subtotal"),""))))),"")</f>
        <v>703.05</v>
      </c>
      <c r="L29" s="75" t="str">
        <f t="shared" si="1"/>
        <v/>
      </c>
    </row>
    <row r="30" spans="2:12"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145" t="str">
        <f>IF($B29="","",IF($C30=$C27,IF('BASE EDITAL'!$C$2="",INDEX('MAPA DE PREÇOS'!H:H,MATCH(EDITAL!B30,'MAPA DE PREÇOS'!B:B,0)+1),UPPER(INDEX('BASE EDITAL'!$C:$C,EDITAL!B30+1))),IF($C30=$C28,"Especificação do Objeto","")))</f>
        <v xml:space="preserve">Alicate desencapador </v>
      </c>
      <c r="H30" s="84" t="str">
        <f>IF($B29="","",IF($C30=$C27,INDEX('MAPA DE PREÇOS'!$M:$M,MATCH($B30,'MAPA DE PREÇOS'!$B:$B)-16),IF($C30=$C28,"Unidade","")))</f>
        <v>UN</v>
      </c>
      <c r="I30" s="84">
        <f>IF($B29="","",IF($C30=$C27,INDEX('MAPA DE PREÇOS'!$M:$M,MATCH($B30,'MAPA DE PREÇOS'!$B:$B)-17),IF($C30=$C28,"Quant.","")))</f>
        <v>3</v>
      </c>
      <c r="J30" s="60">
        <f>IF(AND(COUNTBLANK($B27:$B29)=2,$B29="",$B28="",MAX(C:C)&gt;1),"Total Estimado",IF($B29="","",IF($C30=$C27,INDEX('MAPA DE PREÇOS'!$M:$M,MATCH($B30,'MAPA DE PREÇOS'!$B:$B)-19),IF($C30=$C28,"Valor Unit. (R$)",IF(AND($C30&lt;&gt;$C29,$J29&lt;&gt;""),IF(MAX(C:C)=1,"Total Estimado","Subtotal"),"")))))</f>
        <v>78.83</v>
      </c>
      <c r="K30" s="75">
        <f>IFERROR(IF(AND(COUNTBLANK($B27:$B29)=2,$B29="",$B28="",MAX(C:C)&gt;1),SUM($K$3:K29)/2,IF($B29="","",IF($C30=$C27,ROUND(J30*I30,2),IF($C30=$C28,"Total Item (R$)",IF(AND($C30&lt;&gt;$C29,$J29&lt;&gt;""),SUMIFS(K:K,C:C,C29,J:J,"&lt;&gt;Subtotal"),""))))),"")</f>
        <v>236.49</v>
      </c>
      <c r="L30" s="75" t="str">
        <f t="shared" si="1"/>
        <v/>
      </c>
    </row>
    <row r="31" spans="2:12"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145" t="str">
        <f>IF($B30="","",IF($C31=$C28,IF('BASE EDITAL'!$C$2="",INDEX('MAPA DE PREÇOS'!H:H,MATCH(EDITAL!B31,'MAPA DE PREÇOS'!B:B,0)+1),UPPER(INDEX('BASE EDITAL'!$C:$C,EDITAL!B31+1))),IF($C31=$C29,"Especificação do Objeto","")))</f>
        <v>Alicate bomba d'água 12 polegadas</v>
      </c>
      <c r="H31" s="84" t="str">
        <f>IF($B30="","",IF($C31=$C28,INDEX('MAPA DE PREÇOS'!$M:$M,MATCH($B31,'MAPA DE PREÇOS'!$B:$B)-16),IF($C31=$C29,"Unidade","")))</f>
        <v>UN</v>
      </c>
      <c r="I31" s="84">
        <f>IF($B30="","",IF($C31=$C28,INDEX('MAPA DE PREÇOS'!$M:$M,MATCH($B31,'MAPA DE PREÇOS'!$B:$B)-17),IF($C31=$C29,"Quant.","")))</f>
        <v>5</v>
      </c>
      <c r="J31" s="60">
        <f>IF(AND(COUNTBLANK($B28:$B30)=2,$B30="",$B29="",MAX(C:C)&gt;1),"Total Estimado",IF($B30="","",IF($C31=$C28,INDEX('MAPA DE PREÇOS'!$M:$M,MATCH($B31,'MAPA DE PREÇOS'!$B:$B)-19),IF($C31=$C29,"Valor Unit. (R$)",IF(AND($C31&lt;&gt;$C30,$J30&lt;&gt;""),IF(MAX(C:C)=1,"Total Estimado","Subtotal"),"")))))</f>
        <v>104.85</v>
      </c>
      <c r="K31" s="75">
        <f>IFERROR(IF(AND(COUNTBLANK($B28:$B30)=2,$B30="",$B29="",MAX(C:C)&gt;1),SUM($K$3:K30)/2,IF($B30="","",IF($C31=$C28,ROUND(J31*I31,2),IF($C31=$C29,"Total Item (R$)",IF(AND($C31&lt;&gt;$C30,$J30&lt;&gt;""),SUMIFS(K:K,C:C,C30,J:J,"&lt;&gt;Subtotal"),""))))),"")</f>
        <v>524.25</v>
      </c>
      <c r="L31" s="75" t="str">
        <f t="shared" si="1"/>
        <v/>
      </c>
    </row>
    <row r="32" spans="2:12" x14ac:dyDescent="0.25">
      <c r="B32" s="41">
        <f>IFERROR(IF(C31=C28,IF(B31+1&lt;='MAPA DE PREÇOS'!$H$8,B31+1,""),B31),"")</f>
        <v>25</v>
      </c>
      <c r="C32" s="41">
        <f>IFERROR(VLOOKUP(B32,'MAPA DE PREÇOS'!B:D,2,FALSE),"")</f>
        <v>1</v>
      </c>
      <c r="D32" s="41">
        <f>IFERROR(VLOOKUP(B32,'MAPA DE PREÇOS'!B:D,3,FALSE),"")</f>
        <v>25</v>
      </c>
      <c r="E32" s="82">
        <f t="shared" si="0"/>
        <v>25</v>
      </c>
      <c r="F32" s="82">
        <f>IF($B31="","",IF($C32=$C29,INDEX('MAPA DE PREÇOS'!$H:$H,MATCH($B32,'MAPA DE PREÇOS'!$B:$B)-19),IF($C32=$C30,"Código","")))</f>
        <v>0</v>
      </c>
      <c r="G32" s="145" t="str">
        <f>IF($B31="","",IF($C32=$C29,IF('BASE EDITAL'!$C$2="",INDEX('MAPA DE PREÇOS'!H:H,MATCH(EDITAL!B32,'MAPA DE PREÇOS'!B:B,0)+1),UPPER(INDEX('BASE EDITAL'!$C:$C,EDITAL!B32+1))),IF($C32=$C30,"Especificação do Objeto","")))</f>
        <v xml:space="preserve">Alicate de pressão </v>
      </c>
      <c r="H32" s="84" t="str">
        <f>IF($B31="","",IF($C32=$C29,INDEX('MAPA DE PREÇOS'!$M:$M,MATCH($B32,'MAPA DE PREÇOS'!$B:$B)-16),IF($C32=$C30,"Unidade","")))</f>
        <v>UN</v>
      </c>
      <c r="I32" s="84">
        <f>IF($B31="","",IF($C32=$C29,INDEX('MAPA DE PREÇOS'!$M:$M,MATCH($B32,'MAPA DE PREÇOS'!$B:$B)-17),IF($C32=$C30,"Quant.","")))</f>
        <v>10</v>
      </c>
      <c r="J32" s="60">
        <f>IF(AND(COUNTBLANK($B29:$B31)=2,$B31="",$B30="",MAX(C:C)&gt;1),"Total Estimado",IF($B31="","",IF($C32=$C29,INDEX('MAPA DE PREÇOS'!$M:$M,MATCH($B32,'MAPA DE PREÇOS'!$B:$B)-19),IF($C32=$C30,"Valor Unit. (R$)",IF(AND($C32&lt;&gt;$C31,$J31&lt;&gt;""),IF(MAX(C:C)=1,"Total Estimado","Subtotal"),"")))))</f>
        <v>57.36</v>
      </c>
      <c r="K32" s="75">
        <f>IFERROR(IF(AND(COUNTBLANK($B29:$B31)=2,$B31="",$B30="",MAX(C:C)&gt;1),SUM($K$3:K31)/2,IF($B31="","",IF($C32=$C29,ROUND(J32*I32,2),IF($C32=$C30,"Total Item (R$)",IF(AND($C32&lt;&gt;$C31,$J31&lt;&gt;""),SUMIFS(K:K,C:C,C31,J:J,"&lt;&gt;Subtotal"),""))))),"")</f>
        <v>573.6</v>
      </c>
      <c r="L32" s="75" t="str">
        <f t="shared" si="1"/>
        <v/>
      </c>
    </row>
    <row r="33" spans="2:12" x14ac:dyDescent="0.25">
      <c r="B33" s="41">
        <f>IFERROR(IF(C32=C29,IF(B32+1&lt;='MAPA DE PREÇOS'!$H$8,B32+1,""),B32),"")</f>
        <v>26</v>
      </c>
      <c r="C33" s="41">
        <f>IFERROR(VLOOKUP(B33,'MAPA DE PREÇOS'!B:D,2,FALSE),"")</f>
        <v>1</v>
      </c>
      <c r="D33" s="41">
        <f>IFERROR(VLOOKUP(B33,'MAPA DE PREÇOS'!B:D,3,FALSE),"")</f>
        <v>26</v>
      </c>
      <c r="E33" s="82">
        <f t="shared" si="0"/>
        <v>26</v>
      </c>
      <c r="F33" s="82">
        <f>IF($B32="","",IF($C33=$C30,INDEX('MAPA DE PREÇOS'!$H:$H,MATCH($B33,'MAPA DE PREÇOS'!$B:$B)-19),IF($C33=$C31,"Código","")))</f>
        <v>0</v>
      </c>
      <c r="G33" s="145" t="str">
        <f>IF($B32="","",IF($C33=$C30,IF('BASE EDITAL'!$C$2="",INDEX('MAPA DE PREÇOS'!H:H,MATCH(EDITAL!B33,'MAPA DE PREÇOS'!B:B,0)+1),UPPER(INDEX('BASE EDITAL'!$C:$C,EDITAL!B33+1))),IF($C33=$C31,"Especificação do Objeto","")))</f>
        <v xml:space="preserve">Kit chave philips isolada 5 peças </v>
      </c>
      <c r="H33" s="84" t="str">
        <f>IF($B32="","",IF($C33=$C30,INDEX('MAPA DE PREÇOS'!$M:$M,MATCH($B33,'MAPA DE PREÇOS'!$B:$B)-16),IF($C33=$C31,"Unidade","")))</f>
        <v>UN</v>
      </c>
      <c r="I33" s="84">
        <f>IF($B32="","",IF($C33=$C30,INDEX('MAPA DE PREÇOS'!$M:$M,MATCH($B33,'MAPA DE PREÇOS'!$B:$B)-17),IF($C33=$C31,"Quant.","")))</f>
        <v>5</v>
      </c>
      <c r="J33" s="60">
        <f>IF(AND(COUNTBLANK($B30:$B32)=2,$B32="",$B31="",MAX(C:C)&gt;1),"Total Estimado",IF($B32="","",IF($C33=$C30,INDEX('MAPA DE PREÇOS'!$M:$M,MATCH($B33,'MAPA DE PREÇOS'!$B:$B)-19),IF($C33=$C31,"Valor Unit. (R$)",IF(AND($C33&lt;&gt;$C32,$J32&lt;&gt;""),IF(MAX(C:C)=1,"Total Estimado","Subtotal"),"")))))</f>
        <v>53.8</v>
      </c>
      <c r="K33" s="75">
        <f>IFERROR(IF(AND(COUNTBLANK($B30:$B32)=2,$B32="",$B31="",MAX(C:C)&gt;1),SUM($K$3:K32)/2,IF($B32="","",IF($C33=$C30,ROUND(J33*I33,2),IF($C33=$C31,"Total Item (R$)",IF(AND($C33&lt;&gt;$C32,$J32&lt;&gt;""),SUMIFS(K:K,C:C,C32,J:J,"&lt;&gt;Subtotal"),""))))),"")</f>
        <v>269</v>
      </c>
      <c r="L33" s="75" t="str">
        <f t="shared" si="1"/>
        <v/>
      </c>
    </row>
    <row r="34" spans="2:12" x14ac:dyDescent="0.25">
      <c r="B34" s="41">
        <f>IFERROR(IF(C33=C30,IF(B33+1&lt;='MAPA DE PREÇOS'!$H$8,B33+1,""),B33),"")</f>
        <v>27</v>
      </c>
      <c r="C34" s="41">
        <f>IFERROR(VLOOKUP(B34,'MAPA DE PREÇOS'!B:D,2,FALSE),"")</f>
        <v>1</v>
      </c>
      <c r="D34" s="41">
        <f>IFERROR(VLOOKUP(B34,'MAPA DE PREÇOS'!B:D,3,FALSE),"")</f>
        <v>27</v>
      </c>
      <c r="E34" s="82">
        <f t="shared" si="0"/>
        <v>27</v>
      </c>
      <c r="F34" s="82">
        <f>IF($B33="","",IF($C34=$C31,INDEX('MAPA DE PREÇOS'!$H:$H,MATCH($B34,'MAPA DE PREÇOS'!$B:$B)-19),IF($C34=$C32,"Código","")))</f>
        <v>0</v>
      </c>
      <c r="G34" s="145" t="str">
        <f>IF($B33="","",IF($C34=$C31,IF('BASE EDITAL'!$C$2="",INDEX('MAPA DE PREÇOS'!H:H,MATCH(EDITAL!B34,'MAPA DE PREÇOS'!B:B,0)+1),UPPER(INDEX('BASE EDITAL'!$C:$C,EDITAL!B34+1))),IF($C34=$C32,"Especificação do Objeto","")))</f>
        <v xml:space="preserve">Kit chave de fenda isolada 5 peças </v>
      </c>
      <c r="H34" s="84" t="str">
        <f>IF($B33="","",IF($C34=$C31,INDEX('MAPA DE PREÇOS'!$M:$M,MATCH($B34,'MAPA DE PREÇOS'!$B:$B)-16),IF($C34=$C32,"Unidade","")))</f>
        <v>UN</v>
      </c>
      <c r="I34" s="84">
        <f>IF($B33="","",IF($C34=$C31,INDEX('MAPA DE PREÇOS'!$M:$M,MATCH($B34,'MAPA DE PREÇOS'!$B:$B)-17),IF($C34=$C32,"Quant.","")))</f>
        <v>4</v>
      </c>
      <c r="J34" s="60">
        <f>IF(AND(COUNTBLANK($B31:$B33)=2,$B33="",$B32="",MAX(C:C)&gt;1),"Total Estimado",IF($B33="","",IF($C34=$C31,INDEX('MAPA DE PREÇOS'!$M:$M,MATCH($B34,'MAPA DE PREÇOS'!$B:$B)-19),IF($C34=$C32,"Valor Unit. (R$)",IF(AND($C34&lt;&gt;$C33,$J33&lt;&gt;""),IF(MAX(C:C)=1,"Total Estimado","Subtotal"),"")))))</f>
        <v>43</v>
      </c>
      <c r="K34" s="75">
        <f>IFERROR(IF(AND(COUNTBLANK($B31:$B33)=2,$B33="",$B32="",MAX(C:C)&gt;1),SUM($K$3:K33)/2,IF($B33="","",IF($C34=$C31,ROUND(J34*I34,2),IF($C34=$C32,"Total Item (R$)",IF(AND($C34&lt;&gt;$C33,$J33&lt;&gt;""),SUMIFS(K:K,C:C,C33,J:J,"&lt;&gt;Subtotal"),""))))),"")</f>
        <v>172</v>
      </c>
      <c r="L34" s="75" t="str">
        <f t="shared" si="1"/>
        <v/>
      </c>
    </row>
    <row r="35" spans="2:12" x14ac:dyDescent="0.25">
      <c r="B35" s="41">
        <f>IFERROR(IF(C34=C31,IF(B34+1&lt;='MAPA DE PREÇOS'!$H$8,B34+1,""),B34),"")</f>
        <v>28</v>
      </c>
      <c r="C35" s="41">
        <f>IFERROR(VLOOKUP(B35,'MAPA DE PREÇOS'!B:D,2,FALSE),"")</f>
        <v>1</v>
      </c>
      <c r="D35" s="41">
        <f>IFERROR(VLOOKUP(B35,'MAPA DE PREÇOS'!B:D,3,FALSE),"")</f>
        <v>28</v>
      </c>
      <c r="E35" s="82">
        <f t="shared" si="0"/>
        <v>28</v>
      </c>
      <c r="F35" s="82">
        <f>IF($B34="","",IF($C35=$C32,INDEX('MAPA DE PREÇOS'!$H:$H,MATCH($B35,'MAPA DE PREÇOS'!$B:$B)-19),IF($C35=$C33,"Código","")))</f>
        <v>0</v>
      </c>
      <c r="G35" s="145" t="str">
        <f>IF($B34="","",IF($C35=$C32,IF('BASE EDITAL'!$C$2="",INDEX('MAPA DE PREÇOS'!H:H,MATCH(EDITAL!B35,'MAPA DE PREÇOS'!B:B,0)+1),UPPER(INDEX('BASE EDITAL'!$C:$C,EDITAL!B35+1))),IF($C35=$C33,"Especificação do Objeto","")))</f>
        <v>Jogo de chaves Allen 9 peças</v>
      </c>
      <c r="H35" s="84" t="str">
        <f>IF($B34="","",IF($C35=$C32,INDEX('MAPA DE PREÇOS'!$M:$M,MATCH($B35,'MAPA DE PREÇOS'!$B:$B)-16),IF($C35=$C33,"Unidade","")))</f>
        <v>UN</v>
      </c>
      <c r="I35" s="84">
        <f>IF($B34="","",IF($C35=$C32,INDEX('MAPA DE PREÇOS'!$M:$M,MATCH($B35,'MAPA DE PREÇOS'!$B:$B)-17),IF($C35=$C33,"Quant.","")))</f>
        <v>7</v>
      </c>
      <c r="J35" s="60">
        <f>IF(AND(COUNTBLANK($B32:$B34)=2,$B34="",$B33="",MAX(C:C)&gt;1),"Total Estimado",IF($B34="","",IF($C35=$C32,INDEX('MAPA DE PREÇOS'!$M:$M,MATCH($B35,'MAPA DE PREÇOS'!$B:$B)-19),IF($C35=$C33,"Valor Unit. (R$)",IF(AND($C35&lt;&gt;$C34,$J34&lt;&gt;""),IF(MAX(C:C)=1,"Total Estimado","Subtotal"),"")))))</f>
        <v>14.16</v>
      </c>
      <c r="K35" s="75">
        <f>IFERROR(IF(AND(COUNTBLANK($B32:$B34)=2,$B34="",$B33="",MAX(C:C)&gt;1),SUM($K$3:K34)/2,IF($B34="","",IF($C35=$C32,ROUND(J35*I35,2),IF($C35=$C33,"Total Item (R$)",IF(AND($C35&lt;&gt;$C34,$J34&lt;&gt;""),SUMIFS(K:K,C:C,C34,J:J,"&lt;&gt;Subtotal"),""))))),"")</f>
        <v>99.12</v>
      </c>
      <c r="L35" s="75" t="str">
        <f t="shared" si="1"/>
        <v/>
      </c>
    </row>
    <row r="36" spans="2:12" x14ac:dyDescent="0.25">
      <c r="B36" s="41">
        <f>IFERROR(IF(C35=C32,IF(B35+1&lt;='MAPA DE PREÇOS'!$H$8,B35+1,""),B35),"")</f>
        <v>29</v>
      </c>
      <c r="C36" s="41">
        <f>IFERROR(VLOOKUP(B36,'MAPA DE PREÇOS'!B:D,2,FALSE),"")</f>
        <v>1</v>
      </c>
      <c r="D36" s="41">
        <f>IFERROR(VLOOKUP(B36,'MAPA DE PREÇOS'!B:D,3,FALSE),"")</f>
        <v>29</v>
      </c>
      <c r="E36" s="82">
        <f t="shared" si="0"/>
        <v>29</v>
      </c>
      <c r="F36" s="82">
        <f>IF($B35="","",IF($C36=$C33,INDEX('MAPA DE PREÇOS'!$H:$H,MATCH($B36,'MAPA DE PREÇOS'!$B:$B)-19),IF($C36=$C34,"Código","")))</f>
        <v>0</v>
      </c>
      <c r="G36" s="145" t="str">
        <f>IF($B35="","",IF($C36=$C33,IF('BASE EDITAL'!$C$2="",INDEX('MAPA DE PREÇOS'!H:H,MATCH(EDITAL!B36,'MAPA DE PREÇOS'!B:B,0)+1),UPPER(INDEX('BASE EDITAL'!$C:$C,EDITAL!B36+1))),IF($C36=$C34,"Especificação do Objeto","")))</f>
        <v>Jogo de chaves Torx 9 peças</v>
      </c>
      <c r="H36" s="84" t="str">
        <f>IF($B35="","",IF($C36=$C33,INDEX('MAPA DE PREÇOS'!$M:$M,MATCH($B36,'MAPA DE PREÇOS'!$B:$B)-16),IF($C36=$C34,"Unidade","")))</f>
        <v>UN</v>
      </c>
      <c r="I36" s="84">
        <f>IF($B35="","",IF($C36=$C33,INDEX('MAPA DE PREÇOS'!$M:$M,MATCH($B36,'MAPA DE PREÇOS'!$B:$B)-17),IF($C36=$C34,"Quant.","")))</f>
        <v>5</v>
      </c>
      <c r="J36" s="60">
        <f>IF(AND(COUNTBLANK($B33:$B35)=2,$B35="",$B34="",MAX(C:C)&gt;1),"Total Estimado",IF($B35="","",IF($C36=$C33,INDEX('MAPA DE PREÇOS'!$M:$M,MATCH($B36,'MAPA DE PREÇOS'!$B:$B)-19),IF($C36=$C34,"Valor Unit. (R$)",IF(AND($C36&lt;&gt;$C35,$J35&lt;&gt;""),IF(MAX(C:C)=1,"Total Estimado","Subtotal"),"")))))</f>
        <v>69.709999999999994</v>
      </c>
      <c r="K36" s="75">
        <f>IFERROR(IF(AND(COUNTBLANK($B33:$B35)=2,$B35="",$B34="",MAX(C:C)&gt;1),SUM($K$3:K35)/2,IF($B35="","",IF($C36=$C33,ROUND(J36*I36,2),IF($C36=$C34,"Total Item (R$)",IF(AND($C36&lt;&gt;$C35,$J35&lt;&gt;""),SUMIFS(K:K,C:C,C35,J:J,"&lt;&gt;Subtotal"),""))))),"")</f>
        <v>348.55</v>
      </c>
      <c r="L36" s="75" t="str">
        <f t="shared" si="1"/>
        <v/>
      </c>
    </row>
    <row r="37" spans="2:12" x14ac:dyDescent="0.25">
      <c r="B37" s="41">
        <f>IFERROR(IF(C36=C33,IF(B36+1&lt;='MAPA DE PREÇOS'!$H$8,B36+1,""),B36),"")</f>
        <v>30</v>
      </c>
      <c r="C37" s="41">
        <f>IFERROR(VLOOKUP(B37,'MAPA DE PREÇOS'!B:D,2,FALSE),"")</f>
        <v>1</v>
      </c>
      <c r="D37" s="41">
        <f>IFERROR(VLOOKUP(B37,'MAPA DE PREÇOS'!B:D,3,FALSE),"")</f>
        <v>30</v>
      </c>
      <c r="E37" s="82">
        <f t="shared" ref="E37:E68" si="2">IF($B36="","",IF($C37=$C34,D37,IF($C37=$C35,"Item",IF(AND(MAX(C:C)&gt;1,$C37=$C36),CONCATENATE("LOTE ",C37),""))))</f>
        <v>30</v>
      </c>
      <c r="F37" s="82">
        <f>IF($B36="","",IF($C37=$C34,INDEX('MAPA DE PREÇOS'!$H:$H,MATCH($B37,'MAPA DE PREÇOS'!$B:$B)-19),IF($C37=$C35,"Código","")))</f>
        <v>0</v>
      </c>
      <c r="G37" s="145" t="str">
        <f>IF($B36="","",IF($C37=$C34,IF('BASE EDITAL'!$C$2="",INDEX('MAPA DE PREÇOS'!H:H,MATCH(EDITAL!B37,'MAPA DE PREÇOS'!B:B,0)+1),UPPER(INDEX('BASE EDITAL'!$C:$C,EDITAL!B37+1))),IF($C37=$C35,"Especificação do Objeto","")))</f>
        <v>Jogos de chaves canhão 12 peças</v>
      </c>
      <c r="H37" s="84" t="str">
        <f>IF($B36="","",IF($C37=$C34,INDEX('MAPA DE PREÇOS'!$M:$M,MATCH($B37,'MAPA DE PREÇOS'!$B:$B)-16),IF($C37=$C35,"Unidade","")))</f>
        <v>UN</v>
      </c>
      <c r="I37" s="84">
        <f>IF($B36="","",IF($C37=$C34,INDEX('MAPA DE PREÇOS'!$M:$M,MATCH($B37,'MAPA DE PREÇOS'!$B:$B)-17),IF($C37=$C35,"Quant.","")))</f>
        <v>3</v>
      </c>
      <c r="J37" s="60">
        <f>IF(AND(COUNTBLANK($B34:$B36)=2,$B36="",$B35="",MAX(C:C)&gt;1),"Total Estimado",IF($B36="","",IF($C37=$C34,INDEX('MAPA DE PREÇOS'!$M:$M,MATCH($B37,'MAPA DE PREÇOS'!$B:$B)-19),IF($C37=$C35,"Valor Unit. (R$)",IF(AND($C37&lt;&gt;$C36,$J36&lt;&gt;""),IF(MAX(C:C)=1,"Total Estimado","Subtotal"),"")))))</f>
        <v>284.12</v>
      </c>
      <c r="K37" s="75">
        <f>IFERROR(IF(AND(COUNTBLANK($B34:$B36)=2,$B36="",$B35="",MAX(C:C)&gt;1),SUM($K$3:K36)/2,IF($B36="","",IF($C37=$C34,ROUND(J37*I37,2),IF($C37=$C35,"Total Item (R$)",IF(AND($C37&lt;&gt;$C36,$J36&lt;&gt;""),SUMIFS(K:K,C:C,C36,J:J,"&lt;&gt;Subtotal"),""))))),"")</f>
        <v>852.36</v>
      </c>
      <c r="L37" s="75" t="str">
        <f t="shared" si="1"/>
        <v/>
      </c>
    </row>
    <row r="38" spans="2:12" x14ac:dyDescent="0.25">
      <c r="B38" s="41">
        <f>IFERROR(IF(C37=C34,IF(B37+1&lt;='MAPA DE PREÇOS'!$H$8,B37+1,""),B37),"")</f>
        <v>31</v>
      </c>
      <c r="C38" s="41">
        <f>IFERROR(VLOOKUP(B38,'MAPA DE PREÇOS'!B:D,2,FALSE),"")</f>
        <v>1</v>
      </c>
      <c r="D38" s="41">
        <f>IFERROR(VLOOKUP(B38,'MAPA DE PREÇOS'!B:D,3,FALSE),"")</f>
        <v>31</v>
      </c>
      <c r="E38" s="82">
        <f t="shared" si="2"/>
        <v>31</v>
      </c>
      <c r="F38" s="82">
        <f>IF($B37="","",IF($C38=$C35,INDEX('MAPA DE PREÇOS'!$H:$H,MATCH($B38,'MAPA DE PREÇOS'!$B:$B)-19),IF($C38=$C36,"Código","")))</f>
        <v>0</v>
      </c>
      <c r="G38" s="145" t="str">
        <f>IF($B37="","",IF($C38=$C35,IF('BASE EDITAL'!$C$2="",INDEX('MAPA DE PREÇOS'!H:H,MATCH(EDITAL!B38,'MAPA DE PREÇOS'!B:B,0)+1),UPPER(INDEX('BASE EDITAL'!$C:$C,EDITAL!B38+1))),IF($C38=$C36,"Especificação do Objeto","")))</f>
        <v>Chave inglesa</v>
      </c>
      <c r="H38" s="84" t="str">
        <f>IF($B37="","",IF($C38=$C35,INDEX('MAPA DE PREÇOS'!$M:$M,MATCH($B38,'MAPA DE PREÇOS'!$B:$B)-16),IF($C38=$C36,"Unidade","")))</f>
        <v>UN</v>
      </c>
      <c r="I38" s="84">
        <f>IF($B37="","",IF($C38=$C35,INDEX('MAPA DE PREÇOS'!$M:$M,MATCH($B38,'MAPA DE PREÇOS'!$B:$B)-17),IF($C38=$C36,"Quant.","")))</f>
        <v>4</v>
      </c>
      <c r="J38" s="60">
        <f>IF(AND(COUNTBLANK($B35:$B37)=2,$B37="",$B36="",MAX(C:C)&gt;1),"Total Estimado",IF($B37="","",IF($C38=$C35,INDEX('MAPA DE PREÇOS'!$M:$M,MATCH($B38,'MAPA DE PREÇOS'!$B:$B)-19),IF($C38=$C36,"Valor Unit. (R$)",IF(AND($C38&lt;&gt;$C37,$J37&lt;&gt;""),IF(MAX(C:C)=1,"Total Estimado","Subtotal"),"")))))</f>
        <v>32.93</v>
      </c>
      <c r="K38" s="75">
        <f>IFERROR(IF(AND(COUNTBLANK($B35:$B37)=2,$B37="",$B36="",MAX(C:C)&gt;1),SUM($K$3:K37)/2,IF($B37="","",IF($C38=$C35,ROUND(J38*I38,2),IF($C38=$C36,"Total Item (R$)",IF(AND($C38&lt;&gt;$C37,$J37&lt;&gt;""),SUMIFS(K:K,C:C,C37,J:J,"&lt;&gt;Subtotal"),""))))),"")</f>
        <v>131.72</v>
      </c>
      <c r="L38" s="75" t="str">
        <f t="shared" si="1"/>
        <v/>
      </c>
    </row>
    <row r="39" spans="2:12" x14ac:dyDescent="0.25">
      <c r="B39" s="41">
        <f>IFERROR(IF(C38=C35,IF(B38+1&lt;='MAPA DE PREÇOS'!$H$8,B38+1,""),B38),"")</f>
        <v>32</v>
      </c>
      <c r="C39" s="41">
        <f>IFERROR(VLOOKUP(B39,'MAPA DE PREÇOS'!B:D,2,FALSE),"")</f>
        <v>1</v>
      </c>
      <c r="D39" s="41">
        <f>IFERROR(VLOOKUP(B39,'MAPA DE PREÇOS'!B:D,3,FALSE),"")</f>
        <v>32</v>
      </c>
      <c r="E39" s="82">
        <f t="shared" si="2"/>
        <v>32</v>
      </c>
      <c r="F39" s="82">
        <f>IF($B38="","",IF($C39=$C36,INDEX('MAPA DE PREÇOS'!$H:$H,MATCH($B39,'MAPA DE PREÇOS'!$B:$B)-19),IF($C39=$C37,"Código","")))</f>
        <v>0</v>
      </c>
      <c r="G39" s="145" t="str">
        <f>IF($B38="","",IF($C39=$C36,IF('BASE EDITAL'!$C$2="",INDEX('MAPA DE PREÇOS'!H:H,MATCH(EDITAL!B39,'MAPA DE PREÇOS'!B:B,0)+1),UPPER(INDEX('BASE EDITAL'!$C:$C,EDITAL!B39+1))),IF($C39=$C37,"Especificação do Objeto","")))</f>
        <v>Chave de grifo</v>
      </c>
      <c r="H39" s="84" t="str">
        <f>IF($B38="","",IF($C39=$C36,INDEX('MAPA DE PREÇOS'!$M:$M,MATCH($B39,'MAPA DE PREÇOS'!$B:$B)-16),IF($C39=$C37,"Unidade","")))</f>
        <v>UN</v>
      </c>
      <c r="I39" s="84">
        <f>IF($B38="","",IF($C39=$C36,INDEX('MAPA DE PREÇOS'!$M:$M,MATCH($B39,'MAPA DE PREÇOS'!$B:$B)-17),IF($C39=$C37,"Quant.","")))</f>
        <v>6</v>
      </c>
      <c r="J39" s="60">
        <f>IF(AND(COUNTBLANK($B36:$B38)=2,$B38="",$B37="",MAX(C:C)&gt;1),"Total Estimado",IF($B38="","",IF($C39=$C36,INDEX('MAPA DE PREÇOS'!$M:$M,MATCH($B39,'MAPA DE PREÇOS'!$B:$B)-19),IF($C39=$C37,"Valor Unit. (R$)",IF(AND($C39&lt;&gt;$C38,$J38&lt;&gt;""),IF(MAX(C:C)=1,"Total Estimado","Subtotal"),"")))))</f>
        <v>93.9</v>
      </c>
      <c r="K39" s="75">
        <f>IFERROR(IF(AND(COUNTBLANK($B36:$B38)=2,$B38="",$B37="",MAX(C:C)&gt;1),SUM($K$3:K38)/2,IF($B38="","",IF($C39=$C36,ROUND(J39*I39,2),IF($C39=$C37,"Total Item (R$)",IF(AND($C39&lt;&gt;$C38,$J38&lt;&gt;""),SUMIFS(K:K,C:C,C38,J:J,"&lt;&gt;Subtotal"),""))))),"")</f>
        <v>563.4</v>
      </c>
      <c r="L39" s="75" t="str">
        <f t="shared" si="1"/>
        <v/>
      </c>
    </row>
    <row r="40" spans="2:12" x14ac:dyDescent="0.25">
      <c r="B40" s="41">
        <f>IFERROR(IF(C39=C36,IF(B39+1&lt;='MAPA DE PREÇOS'!$H$8,B39+1,""),B39),"")</f>
        <v>33</v>
      </c>
      <c r="C40" s="41">
        <f>IFERROR(VLOOKUP(B40,'MAPA DE PREÇOS'!B:D,2,FALSE),"")</f>
        <v>1</v>
      </c>
      <c r="D40" s="41">
        <f>IFERROR(VLOOKUP(B40,'MAPA DE PREÇOS'!B:D,3,FALSE),"")</f>
        <v>33</v>
      </c>
      <c r="E40" s="82">
        <f t="shared" si="2"/>
        <v>33</v>
      </c>
      <c r="F40" s="82">
        <f>IF($B39="","",IF($C40=$C37,INDEX('MAPA DE PREÇOS'!$H:$H,MATCH($B40,'MAPA DE PREÇOS'!$B:$B)-19),IF($C40=$C38,"Código","")))</f>
        <v>0</v>
      </c>
      <c r="G40" s="145" t="str">
        <f>IF($B39="","",IF($C40=$C37,IF('BASE EDITAL'!$C$2="",INDEX('MAPA DE PREÇOS'!H:H,MATCH(EDITAL!B40,'MAPA DE PREÇOS'!B:B,0)+1),UPPER(INDEX('BASE EDITAL'!$C:$C,EDITAL!B40+1))),IF($C40=$C38,"Especificação do Objeto","")))</f>
        <v>Fita guia passa fio 20 m</v>
      </c>
      <c r="H40" s="84" t="str">
        <f>IF($B39="","",IF($C40=$C37,INDEX('MAPA DE PREÇOS'!$M:$M,MATCH($B40,'MAPA DE PREÇOS'!$B:$B)-16),IF($C40=$C38,"Unidade","")))</f>
        <v>UN</v>
      </c>
      <c r="I40" s="84">
        <f>IF($B39="","",IF($C40=$C37,INDEX('MAPA DE PREÇOS'!$M:$M,MATCH($B40,'MAPA DE PREÇOS'!$B:$B)-17),IF($C40=$C38,"Quant.","")))</f>
        <v>3</v>
      </c>
      <c r="J40" s="60">
        <f>IF(AND(COUNTBLANK($B37:$B39)=2,$B39="",$B38="",MAX(C:C)&gt;1),"Total Estimado",IF($B39="","",IF($C40=$C37,INDEX('MAPA DE PREÇOS'!$M:$M,MATCH($B40,'MAPA DE PREÇOS'!$B:$B)-19),IF($C40=$C38,"Valor Unit. (R$)",IF(AND($C40&lt;&gt;$C39,$J39&lt;&gt;""),IF(MAX(C:C)=1,"Total Estimado","Subtotal"),"")))))</f>
        <v>63.68</v>
      </c>
      <c r="K40" s="75">
        <f>IFERROR(IF(AND(COUNTBLANK($B37:$B39)=2,$B39="",$B38="",MAX(C:C)&gt;1),SUM($K$3:K39)/2,IF($B39="","",IF($C40=$C37,ROUND(J40*I40,2),IF($C40=$C38,"Total Item (R$)",IF(AND($C40&lt;&gt;$C39,$J39&lt;&gt;""),SUMIFS(K:K,C:C,C39,J:J,"&lt;&gt;Subtotal"),""))))),"")</f>
        <v>191.04</v>
      </c>
      <c r="L40" s="75" t="str">
        <f t="shared" si="1"/>
        <v/>
      </c>
    </row>
    <row r="41" spans="2:12" x14ac:dyDescent="0.25">
      <c r="B41" s="41">
        <f>IFERROR(IF(C40=C37,IF(B40+1&lt;='MAPA DE PREÇOS'!$H$8,B40+1,""),B40),"")</f>
        <v>34</v>
      </c>
      <c r="C41" s="41">
        <f>IFERROR(VLOOKUP(B41,'MAPA DE PREÇOS'!B:D,2,FALSE),"")</f>
        <v>1</v>
      </c>
      <c r="D41" s="41">
        <f>IFERROR(VLOOKUP(B41,'MAPA DE PREÇOS'!B:D,3,FALSE),"")</f>
        <v>34</v>
      </c>
      <c r="E41" s="82">
        <f t="shared" si="2"/>
        <v>34</v>
      </c>
      <c r="F41" s="82">
        <f>IF($B40="","",IF($C41=$C38,INDEX('MAPA DE PREÇOS'!$H:$H,MATCH($B41,'MAPA DE PREÇOS'!$B:$B)-19),IF($C41=$C39,"Código","")))</f>
        <v>0</v>
      </c>
      <c r="G41" s="145" t="str">
        <f>IF($B40="","",IF($C41=$C38,IF('BASE EDITAL'!$C$2="",INDEX('MAPA DE PREÇOS'!H:H,MATCH(EDITAL!B41,'MAPA DE PREÇOS'!B:B,0)+1),UPPER(INDEX('BASE EDITAL'!$C:$C,EDITAL!B41+1))),IF($C41=$C39,"Especificação do Objeto","")))</f>
        <v>Fita guia passa fio 10 m</v>
      </c>
      <c r="H41" s="84" t="str">
        <f>IF($B40="","",IF($C41=$C38,INDEX('MAPA DE PREÇOS'!$M:$M,MATCH($B41,'MAPA DE PREÇOS'!$B:$B)-16),IF($C41=$C39,"Unidade","")))</f>
        <v>UN</v>
      </c>
      <c r="I41" s="84">
        <f>IF($B40="","",IF($C41=$C38,INDEX('MAPA DE PREÇOS'!$M:$M,MATCH($B41,'MAPA DE PREÇOS'!$B:$B)-17),IF($C41=$C39,"Quant.","")))</f>
        <v>3</v>
      </c>
      <c r="J41" s="60">
        <f>IF(AND(COUNTBLANK($B38:$B40)=2,$B40="",$B39="",MAX(C:C)&gt;1),"Total Estimado",IF($B40="","",IF($C41=$C38,INDEX('MAPA DE PREÇOS'!$M:$M,MATCH($B41,'MAPA DE PREÇOS'!$B:$B)-19),IF($C41=$C39,"Valor Unit. (R$)",IF(AND($C41&lt;&gt;$C40,$J40&lt;&gt;""),IF(MAX(C:C)=1,"Total Estimado","Subtotal"),"")))))</f>
        <v>21.47</v>
      </c>
      <c r="K41" s="75">
        <f>IFERROR(IF(AND(COUNTBLANK($B38:$B40)=2,$B40="",$B39="",MAX(C:C)&gt;1),SUM($K$3:K40)/2,IF($B40="","",IF($C41=$C38,ROUND(J41*I41,2),IF($C41=$C39,"Total Item (R$)",IF(AND($C41&lt;&gt;$C40,$J40&lt;&gt;""),SUMIFS(K:K,C:C,C40,J:J,"&lt;&gt;Subtotal"),""))))),"")</f>
        <v>64.41</v>
      </c>
      <c r="L41" s="75" t="str">
        <f t="shared" si="1"/>
        <v/>
      </c>
    </row>
    <row r="42" spans="2:12" x14ac:dyDescent="0.25">
      <c r="B42" s="41">
        <f>IFERROR(IF(C41=C38,IF(B41+1&lt;='MAPA DE PREÇOS'!$H$8,B41+1,""),B41),"")</f>
        <v>35</v>
      </c>
      <c r="C42" s="41">
        <f>IFERROR(VLOOKUP(B42,'MAPA DE PREÇOS'!B:D,2,FALSE),"")</f>
        <v>1</v>
      </c>
      <c r="D42" s="41">
        <f>IFERROR(VLOOKUP(B42,'MAPA DE PREÇOS'!B:D,3,FALSE),"")</f>
        <v>35</v>
      </c>
      <c r="E42" s="82">
        <f t="shared" si="2"/>
        <v>35</v>
      </c>
      <c r="F42" s="82">
        <f>IF($B41="","",IF($C42=$C39,INDEX('MAPA DE PREÇOS'!$H:$H,MATCH($B42,'MAPA DE PREÇOS'!$B:$B)-19),IF($C42=$C40,"Código","")))</f>
        <v>0</v>
      </c>
      <c r="G42" s="145" t="str">
        <f>IF($B41="","",IF($C42=$C39,IF('BASE EDITAL'!$C$2="",INDEX('MAPA DE PREÇOS'!H:H,MATCH(EDITAL!B42,'MAPA DE PREÇOS'!B:B,0)+1),UPPER(INDEX('BASE EDITAL'!$C:$C,EDITAL!B42+1))),IF($C42=$C40,"Especificação do Objeto","")))</f>
        <v>Lubrificante para passagem de cabos</v>
      </c>
      <c r="H42" s="84" t="str">
        <f>IF($B41="","",IF($C42=$C39,INDEX('MAPA DE PREÇOS'!$M:$M,MATCH($B42,'MAPA DE PREÇOS'!$B:$B)-16),IF($C42=$C40,"Unidade","")))</f>
        <v>UN</v>
      </c>
      <c r="I42" s="84">
        <f>IF($B41="","",IF($C42=$C39,INDEX('MAPA DE PREÇOS'!$M:$M,MATCH($B42,'MAPA DE PREÇOS'!$B:$B)-17),IF($C42=$C40,"Quant.","")))</f>
        <v>3</v>
      </c>
      <c r="J42" s="60">
        <f>IF(AND(COUNTBLANK($B39:$B41)=2,$B41="",$B40="",MAX(C:C)&gt;1),"Total Estimado",IF($B41="","",IF($C42=$C39,INDEX('MAPA DE PREÇOS'!$M:$M,MATCH($B42,'MAPA DE PREÇOS'!$B:$B)-19),IF($C42=$C40,"Valor Unit. (R$)",IF(AND($C42&lt;&gt;$C41,$J41&lt;&gt;""),IF(MAX(C:C)=1,"Total Estimado","Subtotal"),"")))))</f>
        <v>33.450000000000003</v>
      </c>
      <c r="K42" s="75">
        <f>IFERROR(IF(AND(COUNTBLANK($B39:$B41)=2,$B41="",$B40="",MAX(C:C)&gt;1),SUM($K$3:K41)/2,IF($B41="","",IF($C42=$C39,ROUND(J42*I42,2),IF($C42=$C40,"Total Item (R$)",IF(AND($C42&lt;&gt;$C41,$J41&lt;&gt;""),SUMIFS(K:K,C:C,C41,J:J,"&lt;&gt;Subtotal"),""))))),"")</f>
        <v>100.35</v>
      </c>
      <c r="L42" s="75" t="str">
        <f t="shared" si="1"/>
        <v/>
      </c>
    </row>
    <row r="43" spans="2:12" x14ac:dyDescent="0.25">
      <c r="B43" s="41">
        <f>IFERROR(IF(C42=C39,IF(B42+1&lt;='MAPA DE PREÇOS'!$H$8,B42+1,""),B42),"")</f>
        <v>36</v>
      </c>
      <c r="C43" s="41">
        <f>IFERROR(VLOOKUP(B43,'MAPA DE PREÇOS'!B:D,2,FALSE),"")</f>
        <v>1</v>
      </c>
      <c r="D43" s="41">
        <f>IFERROR(VLOOKUP(B43,'MAPA DE PREÇOS'!B:D,3,FALSE),"")</f>
        <v>36</v>
      </c>
      <c r="E43" s="82">
        <f t="shared" si="2"/>
        <v>36</v>
      </c>
      <c r="F43" s="82">
        <f>IF($B42="","",IF($C43=$C40,INDEX('MAPA DE PREÇOS'!$H:$H,MATCH($B43,'MAPA DE PREÇOS'!$B:$B)-19),IF($C43=$C41,"Código","")))</f>
        <v>0</v>
      </c>
      <c r="G43" s="145" t="str">
        <f>IF($B42="","",IF($C43=$C40,IF('BASE EDITAL'!$C$2="",INDEX('MAPA DE PREÇOS'!H:H,MATCH(EDITAL!B43,'MAPA DE PREÇOS'!B:B,0)+1),UPPER(INDEX('BASE EDITAL'!$C:$C,EDITAL!B43+1))),IF($C43=$C41,"Especificação do Objeto","")))</f>
        <v>Multímetro digital</v>
      </c>
      <c r="H43" s="84" t="str">
        <f>IF($B42="","",IF($C43=$C40,INDEX('MAPA DE PREÇOS'!$M:$M,MATCH($B43,'MAPA DE PREÇOS'!$B:$B)-16),IF($C43=$C41,"Unidade","")))</f>
        <v>UN</v>
      </c>
      <c r="I43" s="84">
        <f>IF($B42="","",IF($C43=$C40,INDEX('MAPA DE PREÇOS'!$M:$M,MATCH($B43,'MAPA DE PREÇOS'!$B:$B)-17),IF($C43=$C41,"Quant.","")))</f>
        <v>4</v>
      </c>
      <c r="J43" s="60">
        <f>IF(AND(COUNTBLANK($B40:$B42)=2,$B42="",$B41="",MAX(C:C)&gt;1),"Total Estimado",IF($B42="","",IF($C43=$C40,INDEX('MAPA DE PREÇOS'!$M:$M,MATCH($B43,'MAPA DE PREÇOS'!$B:$B)-19),IF($C43=$C41,"Valor Unit. (R$)",IF(AND($C43&lt;&gt;$C42,$J42&lt;&gt;""),IF(MAX(C:C)=1,"Total Estimado","Subtotal"),"")))))</f>
        <v>142.27000000000001</v>
      </c>
      <c r="K43" s="75">
        <f>IFERROR(IF(AND(COUNTBLANK($B40:$B42)=2,$B42="",$B41="",MAX(C:C)&gt;1),SUM($K$3:K42)/2,IF($B42="","",IF($C43=$C40,ROUND(J43*I43,2),IF($C43=$C41,"Total Item (R$)",IF(AND($C43&lt;&gt;$C42,$J42&lt;&gt;""),SUMIFS(K:K,C:C,C42,J:J,"&lt;&gt;Subtotal"),""))))),"")</f>
        <v>569.08000000000004</v>
      </c>
      <c r="L43" s="75" t="str">
        <f t="shared" si="1"/>
        <v/>
      </c>
    </row>
    <row r="44" spans="2:12" x14ac:dyDescent="0.25">
      <c r="B44" s="41">
        <f>IFERROR(IF(C43=C40,IF(B43+1&lt;='MAPA DE PREÇOS'!$H$8,B43+1,""),B43),"")</f>
        <v>37</v>
      </c>
      <c r="C44" s="41">
        <f>IFERROR(VLOOKUP(B44,'MAPA DE PREÇOS'!B:D,2,FALSE),"")</f>
        <v>1</v>
      </c>
      <c r="D44" s="41">
        <f>IFERROR(VLOOKUP(B44,'MAPA DE PREÇOS'!B:D,3,FALSE),"")</f>
        <v>37</v>
      </c>
      <c r="E44" s="82">
        <f t="shared" si="2"/>
        <v>37</v>
      </c>
      <c r="F44" s="82">
        <f>IF($B43="","",IF($C44=$C41,INDEX('MAPA DE PREÇOS'!$H:$H,MATCH($B44,'MAPA DE PREÇOS'!$B:$B)-19),IF($C44=$C42,"Código","")))</f>
        <v>0</v>
      </c>
      <c r="G44" s="145" t="str">
        <f>IF($B43="","",IF($C44=$C41,IF('BASE EDITAL'!$C$2="",INDEX('MAPA DE PREÇOS'!H:H,MATCH(EDITAL!B44,'MAPA DE PREÇOS'!B:B,0)+1),UPPER(INDEX('BASE EDITAL'!$C:$C,EDITAL!B44+1))),IF($C44=$C42,"Especificação do Objeto","")))</f>
        <v>Alicate amperímetro</v>
      </c>
      <c r="H44" s="84" t="str">
        <f>IF($B43="","",IF($C44=$C41,INDEX('MAPA DE PREÇOS'!$M:$M,MATCH($B44,'MAPA DE PREÇOS'!$B:$B)-16),IF($C44=$C42,"Unidade","")))</f>
        <v>UN</v>
      </c>
      <c r="I44" s="84">
        <f>IF($B43="","",IF($C44=$C41,INDEX('MAPA DE PREÇOS'!$M:$M,MATCH($B44,'MAPA DE PREÇOS'!$B:$B)-17),IF($C44=$C42,"Quant.","")))</f>
        <v>4</v>
      </c>
      <c r="J44" s="60">
        <f>IF(AND(COUNTBLANK($B41:$B43)=2,$B43="",$B42="",MAX(C:C)&gt;1),"Total Estimado",IF($B43="","",IF($C44=$C41,INDEX('MAPA DE PREÇOS'!$M:$M,MATCH($B44,'MAPA DE PREÇOS'!$B:$B)-19),IF($C44=$C42,"Valor Unit. (R$)",IF(AND($C44&lt;&gt;$C43,$J43&lt;&gt;""),IF(MAX(C:C)=1,"Total Estimado","Subtotal"),"")))))</f>
        <v>98.58</v>
      </c>
      <c r="K44" s="75">
        <f>IFERROR(IF(AND(COUNTBLANK($B41:$B43)=2,$B43="",$B42="",MAX(C:C)&gt;1),SUM($K$3:K43)/2,IF($B43="","",IF($C44=$C41,ROUND(J44*I44,2),IF($C44=$C42,"Total Item (R$)",IF(AND($C44&lt;&gt;$C43,$J43&lt;&gt;""),SUMIFS(K:K,C:C,C43,J:J,"&lt;&gt;Subtotal"),""))))),"")</f>
        <v>394.32</v>
      </c>
      <c r="L44" s="75" t="str">
        <f t="shared" si="1"/>
        <v/>
      </c>
    </row>
    <row r="45" spans="2:12" x14ac:dyDescent="0.25">
      <c r="B45" s="41">
        <f>IFERROR(IF(C44=C41,IF(B44+1&lt;='MAPA DE PREÇOS'!$H$8,B44+1,""),B44),"")</f>
        <v>38</v>
      </c>
      <c r="C45" s="41">
        <f>IFERROR(VLOOKUP(B45,'MAPA DE PREÇOS'!B:D,2,FALSE),"")</f>
        <v>1</v>
      </c>
      <c r="D45" s="41">
        <f>IFERROR(VLOOKUP(B45,'MAPA DE PREÇOS'!B:D,3,FALSE),"")</f>
        <v>38</v>
      </c>
      <c r="E45" s="82">
        <f t="shared" si="2"/>
        <v>38</v>
      </c>
      <c r="F45" s="82">
        <f>IF($B44="","",IF($C45=$C42,INDEX('MAPA DE PREÇOS'!$H:$H,MATCH($B45,'MAPA DE PREÇOS'!$B:$B)-19),IF($C45=$C43,"Código","")))</f>
        <v>0</v>
      </c>
      <c r="G45" s="145" t="str">
        <f>IF($B44="","",IF($C45=$C42,IF('BASE EDITAL'!$C$2="",INDEX('MAPA DE PREÇOS'!H:H,MATCH(EDITAL!B45,'MAPA DE PREÇOS'!B:B,0)+1),UPPER(INDEX('BASE EDITAL'!$C:$C,EDITAL!B45+1))),IF($C45=$C43,"Especificação do Objeto","")))</f>
        <v>Detector de tensão</v>
      </c>
      <c r="H45" s="84" t="str">
        <f>IF($B44="","",IF($C45=$C42,INDEX('MAPA DE PREÇOS'!$M:$M,MATCH($B45,'MAPA DE PREÇOS'!$B:$B)-16),IF($C45=$C43,"Unidade","")))</f>
        <v>UN</v>
      </c>
      <c r="I45" s="84">
        <f>IF($B44="","",IF($C45=$C42,INDEX('MAPA DE PREÇOS'!$M:$M,MATCH($B45,'MAPA DE PREÇOS'!$B:$B)-17),IF($C45=$C43,"Quant.","")))</f>
        <v>3</v>
      </c>
      <c r="J45" s="60">
        <f>IF(AND(COUNTBLANK($B42:$B44)=2,$B44="",$B43="",MAX(C:C)&gt;1),"Total Estimado",IF($B44="","",IF($C45=$C42,INDEX('MAPA DE PREÇOS'!$M:$M,MATCH($B45,'MAPA DE PREÇOS'!$B:$B)-19),IF($C45=$C43,"Valor Unit. (R$)",IF(AND($C45&lt;&gt;$C44,$J44&lt;&gt;""),IF(MAX(C:C)=1,"Total Estimado","Subtotal"),"")))))</f>
        <v>48.1</v>
      </c>
      <c r="K45" s="75">
        <f>IFERROR(IF(AND(COUNTBLANK($B42:$B44)=2,$B44="",$B43="",MAX(C:C)&gt;1),SUM($K$3:K44)/2,IF($B44="","",IF($C45=$C42,ROUND(J45*I45,2),IF($C45=$C43,"Total Item (R$)",IF(AND($C45&lt;&gt;$C44,$J44&lt;&gt;""),SUMIFS(K:K,C:C,C44,J:J,"&lt;&gt;Subtotal"),""))))),"")</f>
        <v>144.30000000000001</v>
      </c>
      <c r="L45" s="75" t="str">
        <f t="shared" si="1"/>
        <v/>
      </c>
    </row>
    <row r="46" spans="2:12" x14ac:dyDescent="0.25">
      <c r="B46" s="41">
        <f>IFERROR(IF(C45=C42,IF(B45+1&lt;='MAPA DE PREÇOS'!$H$8,B45+1,""),B45),"")</f>
        <v>39</v>
      </c>
      <c r="C46" s="41">
        <f>IFERROR(VLOOKUP(B46,'MAPA DE PREÇOS'!B:D,2,FALSE),"")</f>
        <v>1</v>
      </c>
      <c r="D46" s="41">
        <f>IFERROR(VLOOKUP(B46,'MAPA DE PREÇOS'!B:D,3,FALSE),"")</f>
        <v>39</v>
      </c>
      <c r="E46" s="82">
        <f t="shared" si="2"/>
        <v>39</v>
      </c>
      <c r="F46" s="82">
        <f>IF($B45="","",IF($C46=$C43,INDEX('MAPA DE PREÇOS'!$H:$H,MATCH($B46,'MAPA DE PREÇOS'!$B:$B)-19),IF($C46=$C44,"Código","")))</f>
        <v>0</v>
      </c>
      <c r="G46" s="145" t="str">
        <f>IF($B45="","",IF($C46=$C43,IF('BASE EDITAL'!$C$2="",INDEX('MAPA DE PREÇOS'!H:H,MATCH(EDITAL!B46,'MAPA DE PREÇOS'!B:B,0)+1),UPPER(INDEX('BASE EDITAL'!$C:$C,EDITAL!B46+1))),IF($C46=$C44,"Especificação do Objeto","")))</f>
        <v>Localizador de cabos</v>
      </c>
      <c r="H46" s="84" t="str">
        <f>IF($B45="","",IF($C46=$C43,INDEX('MAPA DE PREÇOS'!$M:$M,MATCH($B46,'MAPA DE PREÇOS'!$B:$B)-16),IF($C46=$C44,"Unidade","")))</f>
        <v>UN</v>
      </c>
      <c r="I46" s="84">
        <f>IF($B45="","",IF($C46=$C43,INDEX('MAPA DE PREÇOS'!$M:$M,MATCH($B46,'MAPA DE PREÇOS'!$B:$B)-17),IF($C46=$C44,"Quant.","")))</f>
        <v>3</v>
      </c>
      <c r="J46" s="60">
        <f>IF(AND(COUNTBLANK($B43:$B45)=2,$B45="",$B44="",MAX(C:C)&gt;1),"Total Estimado",IF($B45="","",IF($C46=$C43,INDEX('MAPA DE PREÇOS'!$M:$M,MATCH($B46,'MAPA DE PREÇOS'!$B:$B)-19),IF($C46=$C44,"Valor Unit. (R$)",IF(AND($C46&lt;&gt;$C45,$J45&lt;&gt;""),IF(MAX(C:C)=1,"Total Estimado","Subtotal"),"")))))</f>
        <v>330.66</v>
      </c>
      <c r="K46" s="75">
        <f>IFERROR(IF(AND(COUNTBLANK($B43:$B45)=2,$B45="",$B44="",MAX(C:C)&gt;1),SUM($K$3:K45)/2,IF($B45="","",IF($C46=$C43,ROUND(J46*I46,2),IF($C46=$C44,"Total Item (R$)",IF(AND($C46&lt;&gt;$C45,$J45&lt;&gt;""),SUMIFS(K:K,C:C,C45,J:J,"&lt;&gt;Subtotal"),""))))),"")</f>
        <v>991.98</v>
      </c>
      <c r="L46" s="75" t="str">
        <f t="shared" si="1"/>
        <v/>
      </c>
    </row>
    <row r="47" spans="2:12" x14ac:dyDescent="0.25">
      <c r="B47" s="41">
        <f>IFERROR(IF(C46=C43,IF(B46+1&lt;='MAPA DE PREÇOS'!$H$8,B46+1,""),B46),"")</f>
        <v>40</v>
      </c>
      <c r="C47" s="41">
        <f>IFERROR(VLOOKUP(B47,'MAPA DE PREÇOS'!B:D,2,FALSE),"")</f>
        <v>1</v>
      </c>
      <c r="D47" s="41">
        <f>IFERROR(VLOOKUP(B47,'MAPA DE PREÇOS'!B:D,3,FALSE),"")</f>
        <v>40</v>
      </c>
      <c r="E47" s="82">
        <f t="shared" si="2"/>
        <v>40</v>
      </c>
      <c r="F47" s="82">
        <f>IF($B46="","",IF($C47=$C44,INDEX('MAPA DE PREÇOS'!$H:$H,MATCH($B47,'MAPA DE PREÇOS'!$B:$B)-19),IF($C47=$C45,"Código","")))</f>
        <v>0</v>
      </c>
      <c r="G47" s="145" t="str">
        <f>IF($B46="","",IF($C47=$C44,IF('BASE EDITAL'!$C$2="",INDEX('MAPA DE PREÇOS'!H:H,MATCH(EDITAL!B47,'MAPA DE PREÇOS'!B:B,0)+1),UPPER(INDEX('BASE EDITAL'!$C:$C,EDITAL!B47+1))),IF($C47=$C45,"Especificação do Objeto","")))</f>
        <v>Trena a laser</v>
      </c>
      <c r="H47" s="84" t="str">
        <f>IF($B46="","",IF($C47=$C44,INDEX('MAPA DE PREÇOS'!$M:$M,MATCH($B47,'MAPA DE PREÇOS'!$B:$B)-16),IF($C47=$C45,"Unidade","")))</f>
        <v>UN</v>
      </c>
      <c r="I47" s="84">
        <f>IF($B46="","",IF($C47=$C44,INDEX('MAPA DE PREÇOS'!$M:$M,MATCH($B47,'MAPA DE PREÇOS'!$B:$B)-17),IF($C47=$C45,"Quant.","")))</f>
        <v>3</v>
      </c>
      <c r="J47" s="60">
        <f>IF(AND(COUNTBLANK($B44:$B46)=2,$B46="",$B45="",MAX(C:C)&gt;1),"Total Estimado",IF($B46="","",IF($C47=$C44,INDEX('MAPA DE PREÇOS'!$M:$M,MATCH($B47,'MAPA DE PREÇOS'!$B:$B)-19),IF($C47=$C45,"Valor Unit. (R$)",IF(AND($C47&lt;&gt;$C46,$J46&lt;&gt;""),IF(MAX(C:C)=1,"Total Estimado","Subtotal"),"")))))</f>
        <v>406.66</v>
      </c>
      <c r="K47" s="75">
        <f>IFERROR(IF(AND(COUNTBLANK($B44:$B46)=2,$B46="",$B45="",MAX(C:C)&gt;1),SUM($K$3:K46)/2,IF($B46="","",IF($C47=$C44,ROUND(J47*I47,2),IF($C47=$C45,"Total Item (R$)",IF(AND($C47&lt;&gt;$C46,$J46&lt;&gt;""),SUMIFS(K:K,C:C,C46,J:J,"&lt;&gt;Subtotal"),""))))),"")</f>
        <v>1219.98</v>
      </c>
      <c r="L47" s="75" t="str">
        <f t="shared" si="1"/>
        <v/>
      </c>
    </row>
    <row r="48" spans="2:12" x14ac:dyDescent="0.25">
      <c r="B48" s="41">
        <f>IFERROR(IF(C47=C44,IF(B47+1&lt;='MAPA DE PREÇOS'!$H$8,B47+1,""),B47),"")</f>
        <v>41</v>
      </c>
      <c r="C48" s="41">
        <f>IFERROR(VLOOKUP(B48,'MAPA DE PREÇOS'!B:D,2,FALSE),"")</f>
        <v>1</v>
      </c>
      <c r="D48" s="41">
        <f>IFERROR(VLOOKUP(B48,'MAPA DE PREÇOS'!B:D,3,FALSE),"")</f>
        <v>41</v>
      </c>
      <c r="E48" s="82">
        <f t="shared" si="2"/>
        <v>41</v>
      </c>
      <c r="F48" s="82">
        <f>IF($B47="","",IF($C48=$C45,INDEX('MAPA DE PREÇOS'!$H:$H,MATCH($B48,'MAPA DE PREÇOS'!$B:$B)-19),IF($C48=$C46,"Código","")))</f>
        <v>0</v>
      </c>
      <c r="G48" s="145" t="str">
        <f>IF($B47="","",IF($C48=$C45,IF('BASE EDITAL'!$C$2="",INDEX('MAPA DE PREÇOS'!H:H,MATCH(EDITAL!B48,'MAPA DE PREÇOS'!B:B,0)+1),UPPER(INDEX('BASE EDITAL'!$C:$C,EDITAL!B48+1))),IF($C48=$C46,"Especificação do Objeto","")))</f>
        <v>Jogo de chaves fixas 8 peças</v>
      </c>
      <c r="H48" s="84" t="str">
        <f>IF($B47="","",IF($C48=$C45,INDEX('MAPA DE PREÇOS'!$M:$M,MATCH($B48,'MAPA DE PREÇOS'!$B:$B)-16),IF($C48=$C46,"Unidade","")))</f>
        <v>UN</v>
      </c>
      <c r="I48" s="84">
        <f>IF($B47="","",IF($C48=$C45,INDEX('MAPA DE PREÇOS'!$M:$M,MATCH($B48,'MAPA DE PREÇOS'!$B:$B)-17),IF($C48=$C46,"Quant.","")))</f>
        <v>2</v>
      </c>
      <c r="J48" s="60">
        <f>IF(AND(COUNTBLANK($B45:$B47)=2,$B47="",$B46="",MAX(C:C)&gt;1),"Total Estimado",IF($B47="","",IF($C48=$C45,INDEX('MAPA DE PREÇOS'!$M:$M,MATCH($B48,'MAPA DE PREÇOS'!$B:$B)-19),IF($C48=$C46,"Valor Unit. (R$)",IF(AND($C48&lt;&gt;$C47,$J47&lt;&gt;""),IF(MAX(C:C)=1,"Total Estimado","Subtotal"),"")))))</f>
        <v>134.80000000000001</v>
      </c>
      <c r="K48" s="75">
        <f>IFERROR(IF(AND(COUNTBLANK($B45:$B47)=2,$B47="",$B46="",MAX(C:C)&gt;1),SUM($K$3:K47)/2,IF($B47="","",IF($C48=$C45,ROUND(J48*I48,2),IF($C48=$C46,"Total Item (R$)",IF(AND($C48&lt;&gt;$C47,$J47&lt;&gt;""),SUMIFS(K:K,C:C,C47,J:J,"&lt;&gt;Subtotal"),""))))),"")</f>
        <v>269.60000000000002</v>
      </c>
      <c r="L48" s="75" t="str">
        <f t="shared" si="1"/>
        <v/>
      </c>
    </row>
    <row r="49" spans="2:12" x14ac:dyDescent="0.25">
      <c r="B49" s="41">
        <f>IFERROR(IF(C48=C45,IF(B48+1&lt;='MAPA DE PREÇOS'!$H$8,B48+1,""),B48),"")</f>
        <v>42</v>
      </c>
      <c r="C49" s="41">
        <f>IFERROR(VLOOKUP(B49,'MAPA DE PREÇOS'!B:D,2,FALSE),"")</f>
        <v>1</v>
      </c>
      <c r="D49" s="41">
        <f>IFERROR(VLOOKUP(B49,'MAPA DE PREÇOS'!B:D,3,FALSE),"")</f>
        <v>42</v>
      </c>
      <c r="E49" s="82">
        <f t="shared" si="2"/>
        <v>42</v>
      </c>
      <c r="F49" s="82">
        <f>IF($B48="","",IF($C49=$C46,INDEX('MAPA DE PREÇOS'!$H:$H,MATCH($B49,'MAPA DE PREÇOS'!$B:$B)-19),IF($C49=$C47,"Código","")))</f>
        <v>0</v>
      </c>
      <c r="G49" s="145" t="str">
        <f>IF($B48="","",IF($C49=$C46,IF('BASE EDITAL'!$C$2="",INDEX('MAPA DE PREÇOS'!H:H,MATCH(EDITAL!B49,'MAPA DE PREÇOS'!B:B,0)+1),UPPER(INDEX('BASE EDITAL'!$C:$C,EDITAL!B49+1))),IF($C49=$C47,"Especificação do Objeto","")))</f>
        <v xml:space="preserve">Jogo de chaves combinadas 8 peças </v>
      </c>
      <c r="H49" s="84" t="str">
        <f>IF($B48="","",IF($C49=$C46,INDEX('MAPA DE PREÇOS'!$M:$M,MATCH($B49,'MAPA DE PREÇOS'!$B:$B)-16),IF($C49=$C47,"Unidade","")))</f>
        <v>UN</v>
      </c>
      <c r="I49" s="84">
        <f>IF($B48="","",IF($C49=$C46,INDEX('MAPA DE PREÇOS'!$M:$M,MATCH($B49,'MAPA DE PREÇOS'!$B:$B)-17),IF($C49=$C47,"Quant.","")))</f>
        <v>4</v>
      </c>
      <c r="J49" s="60">
        <f>IF(AND(COUNTBLANK($B46:$B48)=2,$B48="",$B47="",MAX(C:C)&gt;1),"Total Estimado",IF($B48="","",IF($C49=$C46,INDEX('MAPA DE PREÇOS'!$M:$M,MATCH($B49,'MAPA DE PREÇOS'!$B:$B)-19),IF($C49=$C47,"Valor Unit. (R$)",IF(AND($C49&lt;&gt;$C48,$J48&lt;&gt;""),IF(MAX(C:C)=1,"Total Estimado","Subtotal"),"")))))</f>
        <v>55.93</v>
      </c>
      <c r="K49" s="75">
        <f>IFERROR(IF(AND(COUNTBLANK($B46:$B48)=2,$B48="",$B47="",MAX(C:C)&gt;1),SUM($K$3:K48)/2,IF($B48="","",IF($C49=$C46,ROUND(J49*I49,2),IF($C49=$C47,"Total Item (R$)",IF(AND($C49&lt;&gt;$C48,$J48&lt;&gt;""),SUMIFS(K:K,C:C,C48,J:J,"&lt;&gt;Subtotal"),""))))),"")</f>
        <v>223.72</v>
      </c>
      <c r="L49" s="75" t="str">
        <f t="shared" si="1"/>
        <v/>
      </c>
    </row>
    <row r="50" spans="2:12" x14ac:dyDescent="0.25">
      <c r="B50" s="41">
        <f>IFERROR(IF(C49=C46,IF(B49+1&lt;='MAPA DE PREÇOS'!$H$8,B49+1,""),B49),"")</f>
        <v>43</v>
      </c>
      <c r="C50" s="41">
        <f>IFERROR(VLOOKUP(B50,'MAPA DE PREÇOS'!B:D,2,FALSE),"")</f>
        <v>1</v>
      </c>
      <c r="D50" s="41">
        <f>IFERROR(VLOOKUP(B50,'MAPA DE PREÇOS'!B:D,3,FALSE),"")</f>
        <v>43</v>
      </c>
      <c r="E50" s="82">
        <f t="shared" si="2"/>
        <v>43</v>
      </c>
      <c r="F50" s="82">
        <f>IF($B49="","",IF($C50=$C47,INDEX('MAPA DE PREÇOS'!$H:$H,MATCH($B50,'MAPA DE PREÇOS'!$B:$B)-19),IF($C50=$C48,"Código","")))</f>
        <v>0</v>
      </c>
      <c r="G50" s="145" t="str">
        <f>IF($B49="","",IF($C50=$C47,IF('BASE EDITAL'!$C$2="",INDEX('MAPA DE PREÇOS'!H:H,MATCH(EDITAL!B50,'MAPA DE PREÇOS'!B:B,0)+1),UPPER(INDEX('BASE EDITAL'!$C:$C,EDITAL!B50+1))),IF($C50=$C48,"Especificação do Objeto","")))</f>
        <v xml:space="preserve">Jogo de chaves para tubos 2 peças </v>
      </c>
      <c r="H50" s="84" t="str">
        <f>IF($B49="","",IF($C50=$C47,INDEX('MAPA DE PREÇOS'!$M:$M,MATCH($B50,'MAPA DE PREÇOS'!$B:$B)-16),IF($C50=$C48,"Unidade","")))</f>
        <v>UN</v>
      </c>
      <c r="I50" s="84">
        <f>IF($B49="","",IF($C50=$C47,INDEX('MAPA DE PREÇOS'!$M:$M,MATCH($B50,'MAPA DE PREÇOS'!$B:$B)-17),IF($C50=$C48,"Quant.","")))</f>
        <v>2</v>
      </c>
      <c r="J50" s="60">
        <f>IF(AND(COUNTBLANK($B47:$B49)=2,$B49="",$B48="",MAX(C:C)&gt;1),"Total Estimado",IF($B49="","",IF($C50=$C47,INDEX('MAPA DE PREÇOS'!$M:$M,MATCH($B50,'MAPA DE PREÇOS'!$B:$B)-19),IF($C50=$C48,"Valor Unit. (R$)",IF(AND($C50&lt;&gt;$C49,$J49&lt;&gt;""),IF(MAX(C:C)=1,"Total Estimado","Subtotal"),"")))))</f>
        <v>44.28</v>
      </c>
      <c r="K50" s="75">
        <f>IFERROR(IF(AND(COUNTBLANK($B47:$B49)=2,$B49="",$B48="",MAX(C:C)&gt;1),SUM($K$3:K49)/2,IF($B49="","",IF($C50=$C47,ROUND(J50*I50,2),IF($C50=$C48,"Total Item (R$)",IF(AND($C50&lt;&gt;$C49,$J49&lt;&gt;""),SUMIFS(K:K,C:C,C49,J:J,"&lt;&gt;Subtotal"),""))))),"")</f>
        <v>88.56</v>
      </c>
      <c r="L50" s="75" t="str">
        <f t="shared" si="1"/>
        <v/>
      </c>
    </row>
    <row r="51" spans="2:12" x14ac:dyDescent="0.25">
      <c r="B51" s="41">
        <f>IFERROR(IF(C50=C47,IF(B50+1&lt;='MAPA DE PREÇOS'!$H$8,B50+1,""),B50),"")</f>
        <v>44</v>
      </c>
      <c r="C51" s="41">
        <f>IFERROR(VLOOKUP(B51,'MAPA DE PREÇOS'!B:D,2,FALSE),"")</f>
        <v>1</v>
      </c>
      <c r="D51" s="41">
        <f>IFERROR(VLOOKUP(B51,'MAPA DE PREÇOS'!B:D,3,FALSE),"")</f>
        <v>44</v>
      </c>
      <c r="E51" s="82">
        <f t="shared" si="2"/>
        <v>44</v>
      </c>
      <c r="F51" s="82">
        <f>IF($B50="","",IF($C51=$C48,INDEX('MAPA DE PREÇOS'!$H:$H,MATCH($B51,'MAPA DE PREÇOS'!$B:$B)-19),IF($C51=$C49,"Código","")))</f>
        <v>0</v>
      </c>
      <c r="G51" s="145" t="str">
        <f>IF($B50="","",IF($C51=$C48,IF('BASE EDITAL'!$C$2="",INDEX('MAPA DE PREÇOS'!H:H,MATCH(EDITAL!B51,'MAPA DE PREÇOS'!B:B,0)+1),UPPER(INDEX('BASE EDITAL'!$C:$C,EDITAL!B51+1))),IF($C51=$C49,"Especificação do Objeto","")))</f>
        <v>Jogo de soquetes 17 peças</v>
      </c>
      <c r="H51" s="84" t="str">
        <f>IF($B50="","",IF($C51=$C48,INDEX('MAPA DE PREÇOS'!$M:$M,MATCH($B51,'MAPA DE PREÇOS'!$B:$B)-16),IF($C51=$C49,"Unidade","")))</f>
        <v>UN</v>
      </c>
      <c r="I51" s="84">
        <f>IF($B50="","",IF($C51=$C48,INDEX('MAPA DE PREÇOS'!$M:$M,MATCH($B51,'MAPA DE PREÇOS'!$B:$B)-17),IF($C51=$C49,"Quant.","")))</f>
        <v>3</v>
      </c>
      <c r="J51" s="60">
        <f>IF(AND(COUNTBLANK($B48:$B50)=2,$B50="",$B49="",MAX(C:C)&gt;1),"Total Estimado",IF($B50="","",IF($C51=$C48,INDEX('MAPA DE PREÇOS'!$M:$M,MATCH($B51,'MAPA DE PREÇOS'!$B:$B)-19),IF($C51=$C49,"Valor Unit. (R$)",IF(AND($C51&lt;&gt;$C50,$J50&lt;&gt;""),IF(MAX(C:C)=1,"Total Estimado","Subtotal"),"")))))</f>
        <v>225.1</v>
      </c>
      <c r="K51" s="75">
        <f>IFERROR(IF(AND(COUNTBLANK($B48:$B50)=2,$B50="",$B49="",MAX(C:C)&gt;1),SUM($K$3:K50)/2,IF($B50="","",IF($C51=$C48,ROUND(J51*I51,2),IF($C51=$C49,"Total Item (R$)",IF(AND($C51&lt;&gt;$C50,$J50&lt;&gt;""),SUMIFS(K:K,C:C,C50,J:J,"&lt;&gt;Subtotal"),""))))),"")</f>
        <v>675.3</v>
      </c>
      <c r="L51" s="75" t="str">
        <f t="shared" si="1"/>
        <v/>
      </c>
    </row>
    <row r="52" spans="2:12" x14ac:dyDescent="0.25">
      <c r="B52" s="41">
        <f>IFERROR(IF(C51=C48,IF(B51+1&lt;='MAPA DE PREÇOS'!$H$8,B51+1,""),B51),"")</f>
        <v>45</v>
      </c>
      <c r="C52" s="41">
        <f>IFERROR(VLOOKUP(B52,'MAPA DE PREÇOS'!B:D,2,FALSE),"")</f>
        <v>1</v>
      </c>
      <c r="D52" s="41">
        <f>IFERROR(VLOOKUP(B52,'MAPA DE PREÇOS'!B:D,3,FALSE),"")</f>
        <v>45</v>
      </c>
      <c r="E52" s="82">
        <f t="shared" si="2"/>
        <v>45</v>
      </c>
      <c r="F52" s="82">
        <f>IF($B51="","",IF($C52=$C49,INDEX('MAPA DE PREÇOS'!$H:$H,MATCH($B52,'MAPA DE PREÇOS'!$B:$B)-19),IF($C52=$C50,"Código","")))</f>
        <v>0</v>
      </c>
      <c r="G52" s="145" t="str">
        <f>IF($B51="","",IF($C52=$C49,IF('BASE EDITAL'!$C$2="",INDEX('MAPA DE PREÇOS'!H:H,MATCH(EDITAL!B52,'MAPA DE PREÇOS'!B:B,0)+1),UPPER(INDEX('BASE EDITAL'!$C:$C,EDITAL!B52+1))),IF($C52=$C50,"Especificação do Objeto","")))</f>
        <v>Alicate crimpador de tubos</v>
      </c>
      <c r="H52" s="84" t="str">
        <f>IF($B51="","",IF($C52=$C49,INDEX('MAPA DE PREÇOS'!$M:$M,MATCH($B52,'MAPA DE PREÇOS'!$B:$B)-16),IF($C52=$C50,"Unidade","")))</f>
        <v>UN</v>
      </c>
      <c r="I52" s="84">
        <f>IF($B51="","",IF($C52=$C49,INDEX('MAPA DE PREÇOS'!$M:$M,MATCH($B52,'MAPA DE PREÇOS'!$B:$B)-17),IF($C52=$C50,"Quant.","")))</f>
        <v>2</v>
      </c>
      <c r="J52" s="60">
        <f>IF(AND(COUNTBLANK($B49:$B51)=2,$B51="",$B50="",MAX(C:C)&gt;1),"Total Estimado",IF($B51="","",IF($C52=$C49,INDEX('MAPA DE PREÇOS'!$M:$M,MATCH($B52,'MAPA DE PREÇOS'!$B:$B)-19),IF($C52=$C50,"Valor Unit. (R$)",IF(AND($C52&lt;&gt;$C51,$J51&lt;&gt;""),IF(MAX(C:C)=1,"Total Estimado","Subtotal"),"")))))</f>
        <v>1254.58</v>
      </c>
      <c r="K52" s="75">
        <f>IFERROR(IF(AND(COUNTBLANK($B49:$B51)=2,$B51="",$B50="",MAX(C:C)&gt;1),SUM($K$3:K51)/2,IF($B51="","",IF($C52=$C49,ROUND(J52*I52,2),IF($C52=$C50,"Total Item (R$)",IF(AND($C52&lt;&gt;$C51,$J51&lt;&gt;""),SUMIFS(K:K,C:C,C51,J:J,"&lt;&gt;Subtotal"),""))))),"")</f>
        <v>2509.16</v>
      </c>
      <c r="L52" s="75" t="str">
        <f t="shared" si="1"/>
        <v/>
      </c>
    </row>
    <row r="53" spans="2:12" x14ac:dyDescent="0.25">
      <c r="B53" s="41">
        <f>IFERROR(IF(C52=C49,IF(B52+1&lt;='MAPA DE PREÇOS'!$H$8,B52+1,""),B52),"")</f>
        <v>46</v>
      </c>
      <c r="C53" s="41">
        <f>IFERROR(VLOOKUP(B53,'MAPA DE PREÇOS'!B:D,2,FALSE),"")</f>
        <v>1</v>
      </c>
      <c r="D53" s="41">
        <f>IFERROR(VLOOKUP(B53,'MAPA DE PREÇOS'!B:D,3,FALSE),"")</f>
        <v>46</v>
      </c>
      <c r="E53" s="82">
        <f t="shared" si="2"/>
        <v>46</v>
      </c>
      <c r="F53" s="82">
        <f>IF($B52="","",IF($C53=$C50,INDEX('MAPA DE PREÇOS'!$H:$H,MATCH($B53,'MAPA DE PREÇOS'!$B:$B)-19),IF($C53=$C51,"Código","")))</f>
        <v>0</v>
      </c>
      <c r="G53" s="145" t="str">
        <f>IF($B52="","",IF($C53=$C50,IF('BASE EDITAL'!$C$2="",INDEX('MAPA DE PREÇOS'!H:H,MATCH(EDITAL!B53,'MAPA DE PREÇOS'!B:B,0)+1),UPPER(INDEX('BASE EDITAL'!$C:$C,EDITAL!B53+1))),IF($C53=$C51,"Especificação do Objeto","")))</f>
        <v>Cortador de tubo</v>
      </c>
      <c r="H53" s="84" t="str">
        <f>IF($B52="","",IF($C53=$C50,INDEX('MAPA DE PREÇOS'!$M:$M,MATCH($B53,'MAPA DE PREÇOS'!$B:$B)-16),IF($C53=$C51,"Unidade","")))</f>
        <v>UN</v>
      </c>
      <c r="I53" s="84">
        <f>IF($B52="","",IF($C53=$C50,INDEX('MAPA DE PREÇOS'!$M:$M,MATCH($B53,'MAPA DE PREÇOS'!$B:$B)-17),IF($C53=$C51,"Quant.","")))</f>
        <v>2</v>
      </c>
      <c r="J53" s="60">
        <f>IF(AND(COUNTBLANK($B50:$B52)=2,$B52="",$B51="",MAX(C:C)&gt;1),"Total Estimado",IF($B52="","",IF($C53=$C50,INDEX('MAPA DE PREÇOS'!$M:$M,MATCH($B53,'MAPA DE PREÇOS'!$B:$B)-19),IF($C53=$C51,"Valor Unit. (R$)",IF(AND($C53&lt;&gt;$C52,$J52&lt;&gt;""),IF(MAX(C:C)=1,"Total Estimado","Subtotal"),"")))))</f>
        <v>44.15</v>
      </c>
      <c r="K53" s="75">
        <f>IFERROR(IF(AND(COUNTBLANK($B50:$B52)=2,$B52="",$B51="",MAX(C:C)&gt;1),SUM($K$3:K52)/2,IF($B52="","",IF($C53=$C50,ROUND(J53*I53,2),IF($C53=$C51,"Total Item (R$)",IF(AND($C53&lt;&gt;$C52,$J52&lt;&gt;""),SUMIFS(K:K,C:C,C52,J:J,"&lt;&gt;Subtotal"),""))))),"")</f>
        <v>88.3</v>
      </c>
      <c r="L53" s="75" t="str">
        <f t="shared" si="1"/>
        <v/>
      </c>
    </row>
    <row r="54" spans="2:12" x14ac:dyDescent="0.25">
      <c r="B54" s="41">
        <f>IFERROR(IF(C53=C50,IF(B53+1&lt;='MAPA DE PREÇOS'!$H$8,B53+1,""),B53),"")</f>
        <v>47</v>
      </c>
      <c r="C54" s="41">
        <f>IFERROR(VLOOKUP(B54,'MAPA DE PREÇOS'!B:D,2,FALSE),"")</f>
        <v>1</v>
      </c>
      <c r="D54" s="41">
        <f>IFERROR(VLOOKUP(B54,'MAPA DE PREÇOS'!B:D,3,FALSE),"")</f>
        <v>47</v>
      </c>
      <c r="E54" s="82">
        <f t="shared" si="2"/>
        <v>47</v>
      </c>
      <c r="F54" s="82">
        <f>IF($B53="","",IF($C54=$C51,INDEX('MAPA DE PREÇOS'!$H:$H,MATCH($B54,'MAPA DE PREÇOS'!$B:$B)-19),IF($C54=$C52,"Código","")))</f>
        <v>0</v>
      </c>
      <c r="G54" s="145" t="str">
        <f>IF($B53="","",IF($C54=$C51,IF('BASE EDITAL'!$C$2="",INDEX('MAPA DE PREÇOS'!H:H,MATCH(EDITAL!B54,'MAPA DE PREÇOS'!B:B,0)+1),UPPER(INDEX('BASE EDITAL'!$C:$C,EDITAL!B54+1))),IF($C54=$C52,"Especificação do Objeto","")))</f>
        <v>Arco de serra</v>
      </c>
      <c r="H54" s="84" t="str">
        <f>IF($B53="","",IF($C54=$C51,INDEX('MAPA DE PREÇOS'!$M:$M,MATCH($B54,'MAPA DE PREÇOS'!$B:$B)-16),IF($C54=$C52,"Unidade","")))</f>
        <v>UN</v>
      </c>
      <c r="I54" s="84">
        <f>IF($B53="","",IF($C54=$C51,INDEX('MAPA DE PREÇOS'!$M:$M,MATCH($B54,'MAPA DE PREÇOS'!$B:$B)-17),IF($C54=$C52,"Quant.","")))</f>
        <v>2</v>
      </c>
      <c r="J54" s="60">
        <f>IF(AND(COUNTBLANK($B51:$B53)=2,$B53="",$B52="",MAX(C:C)&gt;1),"Total Estimado",IF($B53="","",IF($C54=$C51,INDEX('MAPA DE PREÇOS'!$M:$M,MATCH($B54,'MAPA DE PREÇOS'!$B:$B)-19),IF($C54=$C52,"Valor Unit. (R$)",IF(AND($C54&lt;&gt;$C53,$J53&lt;&gt;""),IF(MAX(C:C)=1,"Total Estimado","Subtotal"),"")))))</f>
        <v>57</v>
      </c>
      <c r="K54" s="75">
        <f>IFERROR(IF(AND(COUNTBLANK($B51:$B53)=2,$B53="",$B52="",MAX(C:C)&gt;1),SUM($K$3:K53)/2,IF($B53="","",IF($C54=$C51,ROUND(J54*I54,2),IF($C54=$C52,"Total Item (R$)",IF(AND($C54&lt;&gt;$C53,$J53&lt;&gt;""),SUMIFS(K:K,C:C,C53,J:J,"&lt;&gt;Subtotal"),""))))),"")</f>
        <v>114</v>
      </c>
      <c r="L54" s="75" t="str">
        <f t="shared" si="1"/>
        <v/>
      </c>
    </row>
    <row r="55" spans="2:12" x14ac:dyDescent="0.25">
      <c r="B55" s="41">
        <f>IFERROR(IF(C54=C51,IF(B54+1&lt;='MAPA DE PREÇOS'!$H$8,B54+1,""),B54),"")</f>
        <v>48</v>
      </c>
      <c r="C55" s="41">
        <f>IFERROR(VLOOKUP(B55,'MAPA DE PREÇOS'!B:D,2,FALSE),"")</f>
        <v>1</v>
      </c>
      <c r="D55" s="41">
        <f>IFERROR(VLOOKUP(B55,'MAPA DE PREÇOS'!B:D,3,FALSE),"")</f>
        <v>48</v>
      </c>
      <c r="E55" s="82">
        <f t="shared" si="2"/>
        <v>48</v>
      </c>
      <c r="F55" s="82">
        <f>IF($B54="","",IF($C55=$C52,INDEX('MAPA DE PREÇOS'!$H:$H,MATCH($B55,'MAPA DE PREÇOS'!$B:$B)-19),IF($C55=$C53,"Código","")))</f>
        <v>0</v>
      </c>
      <c r="G55" s="145" t="str">
        <f>IF($B54="","",IF($C55=$C52,IF('BASE EDITAL'!$C$2="",INDEX('MAPA DE PREÇOS'!H:H,MATCH(EDITAL!B55,'MAPA DE PREÇOS'!B:B,0)+1),UPPER(INDEX('BASE EDITAL'!$C:$C,EDITAL!B55+1))),IF($C55=$C53,"Especificação do Objeto","")))</f>
        <v>Paquímetro Universal Analógico em Aço 150mm</v>
      </c>
      <c r="H55" s="84" t="str">
        <f>IF($B54="","",IF($C55=$C52,INDEX('MAPA DE PREÇOS'!$M:$M,MATCH($B55,'MAPA DE PREÇOS'!$B:$B)-16),IF($C55=$C53,"Unidade","")))</f>
        <v>UN</v>
      </c>
      <c r="I55" s="84">
        <f>IF($B54="","",IF($C55=$C52,INDEX('MAPA DE PREÇOS'!$M:$M,MATCH($B55,'MAPA DE PREÇOS'!$B:$B)-17),IF($C55=$C53,"Quant.","")))</f>
        <v>2</v>
      </c>
      <c r="J55" s="60">
        <f>IF(AND(COUNTBLANK($B52:$B54)=2,$B54="",$B53="",MAX(C:C)&gt;1),"Total Estimado",IF($B54="","",IF($C55=$C52,INDEX('MAPA DE PREÇOS'!$M:$M,MATCH($B55,'MAPA DE PREÇOS'!$B:$B)-19),IF($C55=$C53,"Valor Unit. (R$)",IF(AND($C55&lt;&gt;$C54,$J54&lt;&gt;""),IF(MAX(C:C)=1,"Total Estimado","Subtotal"),"")))))</f>
        <v>58.23</v>
      </c>
      <c r="K55" s="75">
        <f>IFERROR(IF(AND(COUNTBLANK($B52:$B54)=2,$B54="",$B53="",MAX(C:C)&gt;1),SUM($K$3:K54)/2,IF($B54="","",IF($C55=$C52,ROUND(J55*I55,2),IF($C55=$C53,"Total Item (R$)",IF(AND($C55&lt;&gt;$C54,$J54&lt;&gt;""),SUMIFS(K:K,C:C,C54,J:J,"&lt;&gt;Subtotal"),""))))),"")</f>
        <v>116.46</v>
      </c>
      <c r="L55" s="75" t="str">
        <f t="shared" si="1"/>
        <v/>
      </c>
    </row>
    <row r="56" spans="2:12" x14ac:dyDescent="0.25">
      <c r="B56" s="41">
        <f>IFERROR(IF(C55=C52,IF(B55+1&lt;='MAPA DE PREÇOS'!$H$8,B55+1,""),B55),"")</f>
        <v>49</v>
      </c>
      <c r="C56" s="41">
        <f>IFERROR(VLOOKUP(B56,'MAPA DE PREÇOS'!B:D,2,FALSE),"")</f>
        <v>1</v>
      </c>
      <c r="D56" s="41">
        <f>IFERROR(VLOOKUP(B56,'MAPA DE PREÇOS'!B:D,3,FALSE),"")</f>
        <v>49</v>
      </c>
      <c r="E56" s="82">
        <f t="shared" si="2"/>
        <v>49</v>
      </c>
      <c r="F56" s="82">
        <f>IF($B55="","",IF($C56=$C53,INDEX('MAPA DE PREÇOS'!$H:$H,MATCH($B56,'MAPA DE PREÇOS'!$B:$B)-19),IF($C56=$C54,"Código","")))</f>
        <v>0</v>
      </c>
      <c r="G56" s="145" t="str">
        <f>IF($B55="","",IF($C56=$C53,IF('BASE EDITAL'!$C$2="",INDEX('MAPA DE PREÇOS'!H:H,MATCH(EDITAL!B56,'MAPA DE PREÇOS'!B:B,0)+1),UPPER(INDEX('BASE EDITAL'!$C:$C,EDITAL!B56+1))),IF($C56=$C54,"Especificação do Objeto","")))</f>
        <v xml:space="preserve">Alicate flangeador </v>
      </c>
      <c r="H56" s="84" t="str">
        <f>IF($B55="","",IF($C56=$C53,INDEX('MAPA DE PREÇOS'!$M:$M,MATCH($B56,'MAPA DE PREÇOS'!$B:$B)-16),IF($C56=$C54,"Unidade","")))</f>
        <v>UN</v>
      </c>
      <c r="I56" s="84">
        <f>IF($B55="","",IF($C56=$C53,INDEX('MAPA DE PREÇOS'!$M:$M,MATCH($B56,'MAPA DE PREÇOS'!$B:$B)-17),IF($C56=$C54,"Quant.","")))</f>
        <v>1</v>
      </c>
      <c r="J56" s="60">
        <f>IF(AND(COUNTBLANK($B53:$B55)=2,$B55="",$B54="",MAX(C:C)&gt;1),"Total Estimado",IF($B55="","",IF($C56=$C53,INDEX('MAPA DE PREÇOS'!$M:$M,MATCH($B56,'MAPA DE PREÇOS'!$B:$B)-19),IF($C56=$C54,"Valor Unit. (R$)",IF(AND($C56&lt;&gt;$C55,$J55&lt;&gt;""),IF(MAX(C:C)=1,"Total Estimado","Subtotal"),"")))))</f>
        <v>70.09</v>
      </c>
      <c r="K56" s="75">
        <f>IFERROR(IF(AND(COUNTBLANK($B53:$B55)=2,$B55="",$B54="",MAX(C:C)&gt;1),SUM($K$3:K55)/2,IF($B55="","",IF($C56=$C53,ROUND(J56*I56,2),IF($C56=$C54,"Total Item (R$)",IF(AND($C56&lt;&gt;$C55,$J55&lt;&gt;""),SUMIFS(K:K,C:C,C55,J:J,"&lt;&gt;Subtotal"),""))))),"")</f>
        <v>70.09</v>
      </c>
      <c r="L56" s="75" t="str">
        <f t="shared" si="1"/>
        <v/>
      </c>
    </row>
    <row r="57" spans="2:12" x14ac:dyDescent="0.25">
      <c r="B57" s="41">
        <f>IFERROR(IF(C56=C53,IF(B56+1&lt;='MAPA DE PREÇOS'!$H$8,B56+1,""),B56),"")</f>
        <v>50</v>
      </c>
      <c r="C57" s="41">
        <f>IFERROR(VLOOKUP(B57,'MAPA DE PREÇOS'!B:D,2,FALSE),"")</f>
        <v>1</v>
      </c>
      <c r="D57" s="41">
        <f>IFERROR(VLOOKUP(B57,'MAPA DE PREÇOS'!B:D,3,FALSE),"")</f>
        <v>50</v>
      </c>
      <c r="E57" s="82">
        <f t="shared" si="2"/>
        <v>50</v>
      </c>
      <c r="F57" s="82">
        <f>IF($B56="","",IF($C57=$C54,INDEX('MAPA DE PREÇOS'!$H:$H,MATCH($B57,'MAPA DE PREÇOS'!$B:$B)-19),IF($C57=$C55,"Código","")))</f>
        <v>0</v>
      </c>
      <c r="G57" s="145" t="str">
        <f>IF($B56="","",IF($C57=$C54,IF('BASE EDITAL'!$C$2="",INDEX('MAPA DE PREÇOS'!H:H,MATCH(EDITAL!B57,'MAPA DE PREÇOS'!B:B,0)+1),UPPER(INDEX('BASE EDITAL'!$C:$C,EDITAL!B57+1))),IF($C57=$C55,"Especificação do Objeto","")))</f>
        <v>Alicate expansor de tubos</v>
      </c>
      <c r="H57" s="84" t="str">
        <f>IF($B56="","",IF($C57=$C54,INDEX('MAPA DE PREÇOS'!$M:$M,MATCH($B57,'MAPA DE PREÇOS'!$B:$B)-16),IF($C57=$C55,"Unidade","")))</f>
        <v>UN</v>
      </c>
      <c r="I57" s="84">
        <f>IF($B56="","",IF($C57=$C54,INDEX('MAPA DE PREÇOS'!$M:$M,MATCH($B57,'MAPA DE PREÇOS'!$B:$B)-17),IF($C57=$C55,"Quant.","")))</f>
        <v>1</v>
      </c>
      <c r="J57" s="60">
        <f>IF(AND(COUNTBLANK($B54:$B56)=2,$B56="",$B55="",MAX(C:C)&gt;1),"Total Estimado",IF($B56="","",IF($C57=$C54,INDEX('MAPA DE PREÇOS'!$M:$M,MATCH($B57,'MAPA DE PREÇOS'!$B:$B)-19),IF($C57=$C55,"Valor Unit. (R$)",IF(AND($C57&lt;&gt;$C56,$J56&lt;&gt;""),IF(MAX(C:C)=1,"Total Estimado","Subtotal"),"")))))</f>
        <v>108.23</v>
      </c>
      <c r="K57" s="75">
        <f>IFERROR(IF(AND(COUNTBLANK($B54:$B56)=2,$B56="",$B55="",MAX(C:C)&gt;1),SUM($K$3:K56)/2,IF($B56="","",IF($C57=$C54,ROUND(J57*I57,2),IF($C57=$C55,"Total Item (R$)",IF(AND($C57&lt;&gt;$C56,$J56&lt;&gt;""),SUMIFS(K:K,C:C,C56,J:J,"&lt;&gt;Subtotal"),""))))),"")</f>
        <v>108.23</v>
      </c>
      <c r="L57" s="75" t="str">
        <f t="shared" si="1"/>
        <v/>
      </c>
    </row>
    <row r="58" spans="2:12" x14ac:dyDescent="0.25">
      <c r="B58" s="41">
        <f>IFERROR(IF(C57=C54,IF(B57+1&lt;='MAPA DE PREÇOS'!$H$8,B57+1,""),B57),"")</f>
        <v>51</v>
      </c>
      <c r="C58" s="41">
        <f>IFERROR(VLOOKUP(B58,'MAPA DE PREÇOS'!B:D,2,FALSE),"")</f>
        <v>1</v>
      </c>
      <c r="D58" s="41">
        <f>IFERROR(VLOOKUP(B58,'MAPA DE PREÇOS'!B:D,3,FALSE),"")</f>
        <v>51</v>
      </c>
      <c r="E58" s="82">
        <f t="shared" si="2"/>
        <v>51</v>
      </c>
      <c r="F58" s="82">
        <f>IF($B57="","",IF($C58=$C55,INDEX('MAPA DE PREÇOS'!$H:$H,MATCH($B58,'MAPA DE PREÇOS'!$B:$B)-19),IF($C58=$C56,"Código","")))</f>
        <v>0</v>
      </c>
      <c r="G58" s="145" t="str">
        <f>IF($B57="","",IF($C58=$C55,IF('BASE EDITAL'!$C$2="",INDEX('MAPA DE PREÇOS'!H:H,MATCH(EDITAL!B58,'MAPA DE PREÇOS'!B:B,0)+1),UPPER(INDEX('BASE EDITAL'!$C:$C,EDITAL!B58+1))),IF($C58=$C56,"Especificação do Objeto","")))</f>
        <v>Alicate dobrador de tubos</v>
      </c>
      <c r="H58" s="84" t="str">
        <f>IF($B57="","",IF($C58=$C55,INDEX('MAPA DE PREÇOS'!$M:$M,MATCH($B58,'MAPA DE PREÇOS'!$B:$B)-16),IF($C58=$C56,"Unidade","")))</f>
        <v>UN</v>
      </c>
      <c r="I58" s="84">
        <f>IF($B57="","",IF($C58=$C55,INDEX('MAPA DE PREÇOS'!$M:$M,MATCH($B58,'MAPA DE PREÇOS'!$B:$B)-17),IF($C58=$C56,"Quant.","")))</f>
        <v>1</v>
      </c>
      <c r="J58" s="60">
        <f>IF(AND(COUNTBLANK($B55:$B57)=2,$B57="",$B56="",MAX(C:C)&gt;1),"Total Estimado",IF($B57="","",IF($C58=$C55,INDEX('MAPA DE PREÇOS'!$M:$M,MATCH($B58,'MAPA DE PREÇOS'!$B:$B)-19),IF($C58=$C56,"Valor Unit. (R$)",IF(AND($C58&lt;&gt;$C57,$J57&lt;&gt;""),IF(MAX(C:C)=1,"Total Estimado","Subtotal"),"")))))</f>
        <v>119.94</v>
      </c>
      <c r="K58" s="75">
        <f>IFERROR(IF(AND(COUNTBLANK($B55:$B57)=2,$B57="",$B56="",MAX(C:C)&gt;1),SUM($K$3:K57)/2,IF($B57="","",IF($C58=$C55,ROUND(J58*I58,2),IF($C58=$C56,"Total Item (R$)",IF(AND($C58&lt;&gt;$C57,$J57&lt;&gt;""),SUMIFS(K:K,C:C,C57,J:J,"&lt;&gt;Subtotal"),""))))),"")</f>
        <v>119.94</v>
      </c>
      <c r="L58" s="75" t="str">
        <f t="shared" si="1"/>
        <v/>
      </c>
    </row>
    <row r="59" spans="2:12" x14ac:dyDescent="0.25">
      <c r="B59" s="41">
        <f>IFERROR(IF(C58=C55,IF(B58+1&lt;='MAPA DE PREÇOS'!$H$8,B58+1,""),B58),"")</f>
        <v>52</v>
      </c>
      <c r="C59" s="41">
        <f>IFERROR(VLOOKUP(B59,'MAPA DE PREÇOS'!B:D,2,FALSE),"")</f>
        <v>1</v>
      </c>
      <c r="D59" s="41">
        <f>IFERROR(VLOOKUP(B59,'MAPA DE PREÇOS'!B:D,3,FALSE),"")</f>
        <v>52</v>
      </c>
      <c r="E59" s="82">
        <f t="shared" si="2"/>
        <v>52</v>
      </c>
      <c r="F59" s="82">
        <f>IF($B58="","",IF($C59=$C56,INDEX('MAPA DE PREÇOS'!$H:$H,MATCH($B59,'MAPA DE PREÇOS'!$B:$B)-19),IF($C59=$C57,"Código","")))</f>
        <v>0</v>
      </c>
      <c r="G59" s="145" t="str">
        <f>IF($B58="","",IF($C59=$C56,IF('BASE EDITAL'!$C$2="",INDEX('MAPA DE PREÇOS'!H:H,MATCH(EDITAL!B59,'MAPA DE PREÇOS'!B:B,0)+1),UPPER(INDEX('BASE EDITAL'!$C:$C,EDITAL!B59+1))),IF($C59=$C57,"Especificação do Objeto","")))</f>
        <v>Cortador de tubo de cobre</v>
      </c>
      <c r="H59" s="84" t="str">
        <f>IF($B58="","",IF($C59=$C56,INDEX('MAPA DE PREÇOS'!$M:$M,MATCH($B59,'MAPA DE PREÇOS'!$B:$B)-16),IF($C59=$C57,"Unidade","")))</f>
        <v>UN</v>
      </c>
      <c r="I59" s="84">
        <f>IF($B58="","",IF($C59=$C56,INDEX('MAPA DE PREÇOS'!$M:$M,MATCH($B59,'MAPA DE PREÇOS'!$B:$B)-17),IF($C59=$C57,"Quant.","")))</f>
        <v>1</v>
      </c>
      <c r="J59" s="60">
        <f>IF(AND(COUNTBLANK($B56:$B58)=2,$B58="",$B57="",MAX(C:C)&gt;1),"Total Estimado",IF($B58="","",IF($C59=$C56,INDEX('MAPA DE PREÇOS'!$M:$M,MATCH($B59,'MAPA DE PREÇOS'!$B:$B)-19),IF($C59=$C57,"Valor Unit. (R$)",IF(AND($C59&lt;&gt;$C58,$J58&lt;&gt;""),IF(MAX(C:C)=1,"Total Estimado","Subtotal"),"")))))</f>
        <v>67.239999999999995</v>
      </c>
      <c r="K59" s="75">
        <f>IFERROR(IF(AND(COUNTBLANK($B56:$B58)=2,$B58="",$B57="",MAX(C:C)&gt;1),SUM($K$3:K58)/2,IF($B58="","",IF($C59=$C56,ROUND(J59*I59,2),IF($C59=$C57,"Total Item (R$)",IF(AND($C59&lt;&gt;$C58,$J58&lt;&gt;""),SUMIFS(K:K,C:C,C58,J:J,"&lt;&gt;Subtotal"),""))))),"")</f>
        <v>67.239999999999995</v>
      </c>
      <c r="L59" s="75" t="str">
        <f t="shared" si="1"/>
        <v/>
      </c>
    </row>
    <row r="60" spans="2:12" x14ac:dyDescent="0.25">
      <c r="B60" s="41">
        <f>IFERROR(IF(C59=C56,IF(B59+1&lt;='MAPA DE PREÇOS'!$H$8,B59+1,""),B59),"")</f>
        <v>53</v>
      </c>
      <c r="C60" s="41">
        <f>IFERROR(VLOOKUP(B60,'MAPA DE PREÇOS'!B:D,2,FALSE),"")</f>
        <v>1</v>
      </c>
      <c r="D60" s="41">
        <f>IFERROR(VLOOKUP(B60,'MAPA DE PREÇOS'!B:D,3,FALSE),"")</f>
        <v>53</v>
      </c>
      <c r="E60" s="82">
        <f t="shared" si="2"/>
        <v>53</v>
      </c>
      <c r="F60" s="82">
        <f>IF($B59="","",IF($C60=$C57,INDEX('MAPA DE PREÇOS'!$H:$H,MATCH($B60,'MAPA DE PREÇOS'!$B:$B)-19),IF($C60=$C58,"Código","")))</f>
        <v>0</v>
      </c>
      <c r="G60" s="145" t="str">
        <f>IF($B59="","",IF($C60=$C57,IF('BASE EDITAL'!$C$2="",INDEX('MAPA DE PREÇOS'!H:H,MATCH(EDITAL!B60,'MAPA DE PREÇOS'!B:B,0)+1),UPPER(INDEX('BASE EDITAL'!$C:$C,EDITAL!B60+1))),IF($C60=$C58,"Especificação do Objeto","")))</f>
        <v>Manifold digital profissional</v>
      </c>
      <c r="H60" s="84" t="str">
        <f>IF($B59="","",IF($C60=$C57,INDEX('MAPA DE PREÇOS'!$M:$M,MATCH($B60,'MAPA DE PREÇOS'!$B:$B)-16),IF($C60=$C58,"Unidade","")))</f>
        <v>UN</v>
      </c>
      <c r="I60" s="84">
        <f>IF($B59="","",IF($C60=$C57,INDEX('MAPA DE PREÇOS'!$M:$M,MATCH($B60,'MAPA DE PREÇOS'!$B:$B)-17),IF($C60=$C58,"Quant.","")))</f>
        <v>1</v>
      </c>
      <c r="J60" s="60">
        <f>IF(AND(COUNTBLANK($B57:$B59)=2,$B59="",$B58="",MAX(C:C)&gt;1),"Total Estimado",IF($B59="","",IF($C60=$C57,INDEX('MAPA DE PREÇOS'!$M:$M,MATCH($B60,'MAPA DE PREÇOS'!$B:$B)-19),IF($C60=$C58,"Valor Unit. (R$)",IF(AND($C60&lt;&gt;$C59,$J59&lt;&gt;""),IF(MAX(C:C)=1,"Total Estimado","Subtotal"),"")))))</f>
        <v>654.89</v>
      </c>
      <c r="K60" s="75">
        <f>IFERROR(IF(AND(COUNTBLANK($B57:$B59)=2,$B59="",$B58="",MAX(C:C)&gt;1),SUM($K$3:K59)/2,IF($B59="","",IF($C60=$C57,ROUND(J60*I60,2),IF($C60=$C58,"Total Item (R$)",IF(AND($C60&lt;&gt;$C59,$J59&lt;&gt;""),SUMIFS(K:K,C:C,C59,J:J,"&lt;&gt;Subtotal"),""))))),"")</f>
        <v>654.89</v>
      </c>
      <c r="L60" s="75" t="str">
        <f t="shared" si="1"/>
        <v/>
      </c>
    </row>
    <row r="61" spans="2:12" x14ac:dyDescent="0.25">
      <c r="B61" s="41">
        <f>IFERROR(IF(C60=C57,IF(B60+1&lt;='MAPA DE PREÇOS'!$H$8,B60+1,""),B60),"")</f>
        <v>54</v>
      </c>
      <c r="C61" s="41">
        <f>IFERROR(VLOOKUP(B61,'MAPA DE PREÇOS'!B:D,2,FALSE),"")</f>
        <v>1</v>
      </c>
      <c r="D61" s="41">
        <f>IFERROR(VLOOKUP(B61,'MAPA DE PREÇOS'!B:D,3,FALSE),"")</f>
        <v>54</v>
      </c>
      <c r="E61" s="82">
        <f t="shared" si="2"/>
        <v>54</v>
      </c>
      <c r="F61" s="82">
        <f>IF($B60="","",IF($C61=$C58,INDEX('MAPA DE PREÇOS'!$H:$H,MATCH($B61,'MAPA DE PREÇOS'!$B:$B)-19),IF($C61=$C59,"Código","")))</f>
        <v>0</v>
      </c>
      <c r="G61" s="145" t="str">
        <f>IF($B60="","",IF($C61=$C58,IF('BASE EDITAL'!$C$2="",INDEX('MAPA DE PREÇOS'!H:H,MATCH(EDITAL!B61,'MAPA DE PREÇOS'!B:B,0)+1),UPPER(INDEX('BASE EDITAL'!$C:$C,EDITAL!B61+1))),IF($C61=$C59,"Especificação do Objeto","")))</f>
        <v>Vacuômetro digital</v>
      </c>
      <c r="H61" s="84" t="str">
        <f>IF($B60="","",IF($C61=$C58,INDEX('MAPA DE PREÇOS'!$M:$M,MATCH($B61,'MAPA DE PREÇOS'!$B:$B)-16),IF($C61=$C59,"Unidade","")))</f>
        <v>UN</v>
      </c>
      <c r="I61" s="84">
        <f>IF($B60="","",IF($C61=$C58,INDEX('MAPA DE PREÇOS'!$M:$M,MATCH($B61,'MAPA DE PREÇOS'!$B:$B)-17),IF($C61=$C59,"Quant.","")))</f>
        <v>1</v>
      </c>
      <c r="J61" s="60">
        <f>IF(AND(COUNTBLANK($B58:$B60)=2,$B60="",$B59="",MAX(C:C)&gt;1),"Total Estimado",IF($B60="","",IF($C61=$C58,INDEX('MAPA DE PREÇOS'!$M:$M,MATCH($B61,'MAPA DE PREÇOS'!$B:$B)-19),IF($C61=$C59,"Valor Unit. (R$)",IF(AND($C61&lt;&gt;$C60,$J60&lt;&gt;""),IF(MAX(C:C)=1,"Total Estimado","Subtotal"),"")))))</f>
        <v>1567.63</v>
      </c>
      <c r="K61" s="75">
        <f>IFERROR(IF(AND(COUNTBLANK($B58:$B60)=2,$B60="",$B59="",MAX(C:C)&gt;1),SUM($K$3:K60)/2,IF($B60="","",IF($C61=$C58,ROUND(J61*I61,2),IF($C61=$C59,"Total Item (R$)",IF(AND($C61&lt;&gt;$C60,$J60&lt;&gt;""),SUMIFS(K:K,C:C,C60,J:J,"&lt;&gt;Subtotal"),""))))),"")</f>
        <v>1567.63</v>
      </c>
      <c r="L61" s="75" t="str">
        <f t="shared" si="1"/>
        <v/>
      </c>
    </row>
    <row r="62" spans="2:12" x14ac:dyDescent="0.25">
      <c r="B62" s="41">
        <f>IFERROR(IF(C61=C58,IF(B61+1&lt;='MAPA DE PREÇOS'!$H$8,B61+1,""),B61),"")</f>
        <v>55</v>
      </c>
      <c r="C62" s="41">
        <f>IFERROR(VLOOKUP(B62,'MAPA DE PREÇOS'!B:D,2,FALSE),"")</f>
        <v>1</v>
      </c>
      <c r="D62" s="41">
        <f>IFERROR(VLOOKUP(B62,'MAPA DE PREÇOS'!B:D,3,FALSE),"")</f>
        <v>55</v>
      </c>
      <c r="E62" s="82">
        <f t="shared" si="2"/>
        <v>55</v>
      </c>
      <c r="F62" s="82">
        <f>IF($B61="","",IF($C62=$C59,INDEX('MAPA DE PREÇOS'!$H:$H,MATCH($B62,'MAPA DE PREÇOS'!$B:$B)-19),IF($C62=$C60,"Código","")))</f>
        <v>0</v>
      </c>
      <c r="G62" s="145" t="str">
        <f>IF($B61="","",IF($C62=$C59,IF('BASE EDITAL'!$C$2="",INDEX('MAPA DE PREÇOS'!H:H,MATCH(EDITAL!B62,'MAPA DE PREÇOS'!B:B,0)+1),UPPER(INDEX('BASE EDITAL'!$C:$C,EDITAL!B62+1))),IF($C62=$C60,"Especificação do Objeto","")))</f>
        <v xml:space="preserve">Detector eletrônico de vazamentos </v>
      </c>
      <c r="H62" s="84" t="str">
        <f>IF($B61="","",IF($C62=$C59,INDEX('MAPA DE PREÇOS'!$M:$M,MATCH($B62,'MAPA DE PREÇOS'!$B:$B)-16),IF($C62=$C60,"Unidade","")))</f>
        <v>UN</v>
      </c>
      <c r="I62" s="84">
        <f>IF($B61="","",IF($C62=$C59,INDEX('MAPA DE PREÇOS'!$M:$M,MATCH($B62,'MAPA DE PREÇOS'!$B:$B)-17),IF($C62=$C60,"Quant.","")))</f>
        <v>1</v>
      </c>
      <c r="J62" s="60">
        <f>IF(AND(COUNTBLANK($B59:$B61)=2,$B61="",$B60="",MAX(C:C)&gt;1),"Total Estimado",IF($B61="","",IF($C62=$C59,INDEX('MAPA DE PREÇOS'!$M:$M,MATCH($B62,'MAPA DE PREÇOS'!$B:$B)-19),IF($C62=$C60,"Valor Unit. (R$)",IF(AND($C62&lt;&gt;$C61,$J61&lt;&gt;""),IF(MAX(C:C)=1,"Total Estimado","Subtotal"),"")))))</f>
        <v>438.47</v>
      </c>
      <c r="K62" s="75">
        <f>IFERROR(IF(AND(COUNTBLANK($B59:$B61)=2,$B61="",$B60="",MAX(C:C)&gt;1),SUM($K$3:K61)/2,IF($B61="","",IF($C62=$C59,ROUND(J62*I62,2),IF($C62=$C60,"Total Item (R$)",IF(AND($C62&lt;&gt;$C61,$J61&lt;&gt;""),SUMIFS(K:K,C:C,C61,J:J,"&lt;&gt;Subtotal"),""))))),"")</f>
        <v>438.47</v>
      </c>
      <c r="L62" s="75" t="str">
        <f t="shared" si="1"/>
        <v/>
      </c>
    </row>
    <row r="63" spans="2:12" x14ac:dyDescent="0.25">
      <c r="B63" s="41">
        <f>IFERROR(IF(C62=C59,IF(B62+1&lt;='MAPA DE PREÇOS'!$H$8,B62+1,""),B62),"")</f>
        <v>56</v>
      </c>
      <c r="C63" s="41">
        <f>IFERROR(VLOOKUP(B63,'MAPA DE PREÇOS'!B:D,2,FALSE),"")</f>
        <v>1</v>
      </c>
      <c r="D63" s="41">
        <f>IFERROR(VLOOKUP(B63,'MAPA DE PREÇOS'!B:D,3,FALSE),"")</f>
        <v>56</v>
      </c>
      <c r="E63" s="82">
        <f t="shared" si="2"/>
        <v>56</v>
      </c>
      <c r="F63" s="82">
        <f>IF($B62="","",IF($C63=$C60,INDEX('MAPA DE PREÇOS'!$H:$H,MATCH($B63,'MAPA DE PREÇOS'!$B:$B)-19),IF($C63=$C61,"Código","")))</f>
        <v>0</v>
      </c>
      <c r="G63" s="145" t="str">
        <f>IF($B62="","",IF($C63=$C60,IF('BASE EDITAL'!$C$2="",INDEX('MAPA DE PREÇOS'!H:H,MATCH(EDITAL!B63,'MAPA DE PREÇOS'!B:B,0)+1),UPPER(INDEX('BASE EDITAL'!$C:$C,EDITAL!B63+1))),IF($C63=$C61,"Especificação do Objeto","")))</f>
        <v>Termômetro infravermelho</v>
      </c>
      <c r="H63" s="84" t="str">
        <f>IF($B62="","",IF($C63=$C60,INDEX('MAPA DE PREÇOS'!$M:$M,MATCH($B63,'MAPA DE PREÇOS'!$B:$B)-16),IF($C63=$C61,"Unidade","")))</f>
        <v>UN</v>
      </c>
      <c r="I63" s="84">
        <f>IF($B62="","",IF($C63=$C60,INDEX('MAPA DE PREÇOS'!$M:$M,MATCH($B63,'MAPA DE PREÇOS'!$B:$B)-17),IF($C63=$C61,"Quant.","")))</f>
        <v>1</v>
      </c>
      <c r="J63" s="60">
        <f>IF(AND(COUNTBLANK($B60:$B62)=2,$B62="",$B61="",MAX(C:C)&gt;1),"Total Estimado",IF($B62="","",IF($C63=$C60,INDEX('MAPA DE PREÇOS'!$M:$M,MATCH($B63,'MAPA DE PREÇOS'!$B:$B)-19),IF($C63=$C61,"Valor Unit. (R$)",IF(AND($C63&lt;&gt;$C62,$J62&lt;&gt;""),IF(MAX(C:C)=1,"Total Estimado","Subtotal"),"")))))</f>
        <v>181.19</v>
      </c>
      <c r="K63" s="75">
        <f>IFERROR(IF(AND(COUNTBLANK($B60:$B62)=2,$B62="",$B61="",MAX(C:C)&gt;1),SUM($K$3:K62)/2,IF($B62="","",IF($C63=$C60,ROUND(J63*I63,2),IF($C63=$C61,"Total Item (R$)",IF(AND($C63&lt;&gt;$C62,$J62&lt;&gt;""),SUMIFS(K:K,C:C,C62,J:J,"&lt;&gt;Subtotal"),""))))),"")</f>
        <v>181.19</v>
      </c>
      <c r="L63" s="75" t="str">
        <f t="shared" si="1"/>
        <v/>
      </c>
    </row>
    <row r="64" spans="2:12" x14ac:dyDescent="0.25">
      <c r="B64" s="41">
        <f>IFERROR(IF(C63=C60,IF(B63+1&lt;='MAPA DE PREÇOS'!$H$8,B63+1,""),B63),"")</f>
        <v>57</v>
      </c>
      <c r="C64" s="41">
        <f>IFERROR(VLOOKUP(B64,'MAPA DE PREÇOS'!B:D,2,FALSE),"")</f>
        <v>1</v>
      </c>
      <c r="D64" s="41">
        <f>IFERROR(VLOOKUP(B64,'MAPA DE PREÇOS'!B:D,3,FALSE),"")</f>
        <v>57</v>
      </c>
      <c r="E64" s="82">
        <f t="shared" si="2"/>
        <v>57</v>
      </c>
      <c r="F64" s="82">
        <f>IF($B63="","",IF($C64=$C61,INDEX('MAPA DE PREÇOS'!$H:$H,MATCH($B64,'MAPA DE PREÇOS'!$B:$B)-19),IF($C64=$C62,"Código","")))</f>
        <v>0</v>
      </c>
      <c r="G64" s="145" t="str">
        <f>IF($B63="","",IF($C64=$C61,IF('BASE EDITAL'!$C$2="",INDEX('MAPA DE PREÇOS'!H:H,MATCH(EDITAL!B64,'MAPA DE PREÇOS'!B:B,0)+1),UPPER(INDEX('BASE EDITAL'!$C:$C,EDITAL!B64+1))),IF($C64=$C62,"Especificação do Objeto","")))</f>
        <v xml:space="preserve">Medidor de temperatura e umidade </v>
      </c>
      <c r="H64" s="84" t="str">
        <f>IF($B63="","",IF($C64=$C61,INDEX('MAPA DE PREÇOS'!$M:$M,MATCH($B64,'MAPA DE PREÇOS'!$B:$B)-16),IF($C64=$C62,"Unidade","")))</f>
        <v>UN</v>
      </c>
      <c r="I64" s="84">
        <f>IF($B63="","",IF($C64=$C61,INDEX('MAPA DE PREÇOS'!$M:$M,MATCH($B64,'MAPA DE PREÇOS'!$B:$B)-17),IF($C64=$C62,"Quant.","")))</f>
        <v>1</v>
      </c>
      <c r="J64" s="60">
        <f>IF(AND(COUNTBLANK($B61:$B63)=2,$B63="",$B62="",MAX(C:C)&gt;1),"Total Estimado",IF($B63="","",IF($C64=$C61,INDEX('MAPA DE PREÇOS'!$M:$M,MATCH($B64,'MAPA DE PREÇOS'!$B:$B)-19),IF($C64=$C62,"Valor Unit. (R$)",IF(AND($C64&lt;&gt;$C63,$J63&lt;&gt;""),IF(MAX(C:C)=1,"Total Estimado","Subtotal"),"")))))</f>
        <v>209.18</v>
      </c>
      <c r="K64" s="75">
        <f>IFERROR(IF(AND(COUNTBLANK($B61:$B63)=2,$B63="",$B62="",MAX(C:C)&gt;1),SUM($K$3:K63)/2,IF($B63="","",IF($C64=$C61,ROUND(J64*I64,2),IF($C64=$C62,"Total Item (R$)",IF(AND($C64&lt;&gt;$C63,$J63&lt;&gt;""),SUMIFS(K:K,C:C,C63,J:J,"&lt;&gt;Subtotal"),""))))),"")</f>
        <v>209.18</v>
      </c>
      <c r="L64" s="75" t="str">
        <f t="shared" si="1"/>
        <v/>
      </c>
    </row>
    <row r="65" spans="2:12" x14ac:dyDescent="0.25">
      <c r="B65" s="41">
        <f>IFERROR(IF(C64=C61,IF(B64+1&lt;='MAPA DE PREÇOS'!$H$8,B64+1,""),B64),"")</f>
        <v>58</v>
      </c>
      <c r="C65" s="41">
        <f>IFERROR(VLOOKUP(B65,'MAPA DE PREÇOS'!B:D,2,FALSE),"")</f>
        <v>1</v>
      </c>
      <c r="D65" s="41">
        <f>IFERROR(VLOOKUP(B65,'MAPA DE PREÇOS'!B:D,3,FALSE),"")</f>
        <v>58</v>
      </c>
      <c r="E65" s="82">
        <f t="shared" si="2"/>
        <v>58</v>
      </c>
      <c r="F65" s="82">
        <f>IF($B64="","",IF($C65=$C62,INDEX('MAPA DE PREÇOS'!$H:$H,MATCH($B65,'MAPA DE PREÇOS'!$B:$B)-19),IF($C65=$C63,"Código","")))</f>
        <v>0</v>
      </c>
      <c r="G65" s="145" t="str">
        <f>IF($B64="","",IF($C65=$C62,IF('BASE EDITAL'!$C$2="",INDEX('MAPA DE PREÇOS'!H:H,MATCH(EDITAL!B65,'MAPA DE PREÇOS'!B:B,0)+1),UPPER(INDEX('BASE EDITAL'!$C:$C,EDITAL!B65+1))),IF($C65=$C63,"Especificação do Objeto","")))</f>
        <v>Cortador profissional de vidro</v>
      </c>
      <c r="H65" s="84" t="str">
        <f>IF($B64="","",IF($C65=$C62,INDEX('MAPA DE PREÇOS'!$M:$M,MATCH($B65,'MAPA DE PREÇOS'!$B:$B)-16),IF($C65=$C63,"Unidade","")))</f>
        <v>UN</v>
      </c>
      <c r="I65" s="84">
        <f>IF($B64="","",IF($C65=$C62,INDEX('MAPA DE PREÇOS'!$M:$M,MATCH($B65,'MAPA DE PREÇOS'!$B:$B)-17),IF($C65=$C63,"Quant.","")))</f>
        <v>1</v>
      </c>
      <c r="J65" s="60">
        <f>IF(AND(COUNTBLANK($B62:$B64)=2,$B64="",$B63="",MAX(C:C)&gt;1),"Total Estimado",IF($B64="","",IF($C65=$C62,INDEX('MAPA DE PREÇOS'!$M:$M,MATCH($B65,'MAPA DE PREÇOS'!$B:$B)-19),IF($C65=$C63,"Valor Unit. (R$)",IF(AND($C65&lt;&gt;$C64,$J64&lt;&gt;""),IF(MAX(C:C)=1,"Total Estimado","Subtotal"),"")))))</f>
        <v>99.11</v>
      </c>
      <c r="K65" s="75">
        <f>IFERROR(IF(AND(COUNTBLANK($B62:$B64)=2,$B64="",$B63="",MAX(C:C)&gt;1),SUM($K$3:K64)/2,IF($B64="","",IF($C65=$C62,ROUND(J65*I65,2),IF($C65=$C63,"Total Item (R$)",IF(AND($C65&lt;&gt;$C64,$J64&lt;&gt;""),SUMIFS(K:K,C:C,C64,J:J,"&lt;&gt;Subtotal"),""))))),"")</f>
        <v>99.11</v>
      </c>
      <c r="L65" s="75" t="str">
        <f t="shared" si="1"/>
        <v/>
      </c>
    </row>
    <row r="66" spans="2:12" x14ac:dyDescent="0.25">
      <c r="B66" s="41">
        <f>IFERROR(IF(C65=C62,IF(B65+1&lt;='MAPA DE PREÇOS'!$H$8,B65+1,""),B65),"")</f>
        <v>59</v>
      </c>
      <c r="C66" s="41">
        <f>IFERROR(VLOOKUP(B66,'MAPA DE PREÇOS'!B:D,2,FALSE),"")</f>
        <v>1</v>
      </c>
      <c r="D66" s="41">
        <f>IFERROR(VLOOKUP(B66,'MAPA DE PREÇOS'!B:D,3,FALSE),"")</f>
        <v>59</v>
      </c>
      <c r="E66" s="82">
        <f t="shared" si="2"/>
        <v>59</v>
      </c>
      <c r="F66" s="82">
        <f>IF($B65="","",IF($C66=$C63,INDEX('MAPA DE PREÇOS'!$H:$H,MATCH($B66,'MAPA DE PREÇOS'!$B:$B)-19),IF($C66=$C64,"Código","")))</f>
        <v>0</v>
      </c>
      <c r="G66" s="145" t="str">
        <f>IF($B65="","",IF($C66=$C63,IF('BASE EDITAL'!$C$2="",INDEX('MAPA DE PREÇOS'!H:H,MATCH(EDITAL!B66,'MAPA DE PREÇOS'!B:B,0)+1),UPPER(INDEX('BASE EDITAL'!$C:$C,EDITAL!B66+1))),IF($C66=$C64,"Especificação do Objeto","")))</f>
        <v>Ventosa para vidro</v>
      </c>
      <c r="H66" s="84" t="str">
        <f>IF($B65="","",IF($C66=$C63,INDEX('MAPA DE PREÇOS'!$M:$M,MATCH($B66,'MAPA DE PREÇOS'!$B:$B)-16),IF($C66=$C64,"Unidade","")))</f>
        <v>UN</v>
      </c>
      <c r="I66" s="84">
        <f>IF($B65="","",IF($C66=$C63,INDEX('MAPA DE PREÇOS'!$M:$M,MATCH($B66,'MAPA DE PREÇOS'!$B:$B)-17),IF($C66=$C64,"Quant.","")))</f>
        <v>2</v>
      </c>
      <c r="J66" s="60">
        <f>IF(AND(COUNTBLANK($B63:$B65)=2,$B65="",$B64="",MAX(C:C)&gt;1),"Total Estimado",IF($B65="","",IF($C66=$C63,INDEX('MAPA DE PREÇOS'!$M:$M,MATCH($B66,'MAPA DE PREÇOS'!$B:$B)-19),IF($C66=$C64,"Valor Unit. (R$)",IF(AND($C66&lt;&gt;$C65,$J65&lt;&gt;""),IF(MAX(C:C)=1,"Total Estimado","Subtotal"),"")))))</f>
        <v>31.63</v>
      </c>
      <c r="K66" s="75">
        <f>IFERROR(IF(AND(COUNTBLANK($B63:$B65)=2,$B65="",$B64="",MAX(C:C)&gt;1),SUM($K$3:K65)/2,IF($B65="","",IF($C66=$C63,ROUND(J66*I66,2),IF($C66=$C64,"Total Item (R$)",IF(AND($C66&lt;&gt;$C65,$J65&lt;&gt;""),SUMIFS(K:K,C:C,C65,J:J,"&lt;&gt;Subtotal"),""))))),"")</f>
        <v>63.26</v>
      </c>
      <c r="L66" s="75" t="str">
        <f t="shared" si="1"/>
        <v/>
      </c>
    </row>
    <row r="67" spans="2:12" x14ac:dyDescent="0.25">
      <c r="B67" s="41">
        <f>IFERROR(IF(C66=C63,IF(B66+1&lt;='MAPA DE PREÇOS'!$H$8,B66+1,""),B66),"")</f>
        <v>60</v>
      </c>
      <c r="C67" s="41">
        <f>IFERROR(VLOOKUP(B67,'MAPA DE PREÇOS'!B:D,2,FALSE),"")</f>
        <v>1</v>
      </c>
      <c r="D67" s="41">
        <f>IFERROR(VLOOKUP(B67,'MAPA DE PREÇOS'!B:D,3,FALSE),"")</f>
        <v>60</v>
      </c>
      <c r="E67" s="82">
        <f t="shared" si="2"/>
        <v>60</v>
      </c>
      <c r="F67" s="82">
        <f>IF($B66="","",IF($C67=$C64,INDEX('MAPA DE PREÇOS'!$H:$H,MATCH($B67,'MAPA DE PREÇOS'!$B:$B)-19),IF($C67=$C65,"Código","")))</f>
        <v>0</v>
      </c>
      <c r="G67" s="145" t="str">
        <f>IF($B66="","",IF($C67=$C64,IF('BASE EDITAL'!$C$2="",INDEX('MAPA DE PREÇOS'!H:H,MATCH(EDITAL!B67,'MAPA DE PREÇOS'!B:B,0)+1),UPPER(INDEX('BASE EDITAL'!$C:$C,EDITAL!B67+1))),IF($C67=$C65,"Especificação do Objeto","")))</f>
        <v>Alicate para vidro</v>
      </c>
      <c r="H67" s="84" t="str">
        <f>IF($B66="","",IF($C67=$C64,INDEX('MAPA DE PREÇOS'!$M:$M,MATCH($B67,'MAPA DE PREÇOS'!$B:$B)-16),IF($C67=$C65,"Unidade","")))</f>
        <v>UN</v>
      </c>
      <c r="I67" s="84">
        <f>IF($B66="","",IF($C67=$C64,INDEX('MAPA DE PREÇOS'!$M:$M,MATCH($B67,'MAPA DE PREÇOS'!$B:$B)-17),IF($C67=$C65,"Quant.","")))</f>
        <v>1</v>
      </c>
      <c r="J67" s="60">
        <f>IF(AND(COUNTBLANK($B64:$B66)=2,$B66="",$B65="",MAX(C:C)&gt;1),"Total Estimado",IF($B66="","",IF($C67=$C64,INDEX('MAPA DE PREÇOS'!$M:$M,MATCH($B67,'MAPA DE PREÇOS'!$B:$B)-19),IF($C67=$C65,"Valor Unit. (R$)",IF(AND($C67&lt;&gt;$C66,$J66&lt;&gt;""),IF(MAX(C:C)=1,"Total Estimado","Subtotal"),"")))))</f>
        <v>68.97</v>
      </c>
      <c r="K67" s="75">
        <f>IFERROR(IF(AND(COUNTBLANK($B64:$B66)=2,$B66="",$B65="",MAX(C:C)&gt;1),SUM($K$3:K66)/2,IF($B66="","",IF($C67=$C64,ROUND(J67*I67,2),IF($C67=$C65,"Total Item (R$)",IF(AND($C67&lt;&gt;$C66,$J66&lt;&gt;""),SUMIFS(K:K,C:C,C66,J:J,"&lt;&gt;Subtotal"),""))))),"")</f>
        <v>68.97</v>
      </c>
      <c r="L67" s="75" t="str">
        <f t="shared" si="1"/>
        <v/>
      </c>
    </row>
    <row r="68" spans="2:12" x14ac:dyDescent="0.25">
      <c r="B68" s="41">
        <f>IFERROR(IF(C67=C64,IF(B67+1&lt;='MAPA DE PREÇOS'!$H$8,B67+1,""),B67),"")</f>
        <v>61</v>
      </c>
      <c r="C68" s="41">
        <f>IFERROR(VLOOKUP(B68,'MAPA DE PREÇOS'!B:D,2,FALSE),"")</f>
        <v>1</v>
      </c>
      <c r="D68" s="41">
        <f>IFERROR(VLOOKUP(B68,'MAPA DE PREÇOS'!B:D,3,FALSE),"")</f>
        <v>61</v>
      </c>
      <c r="E68" s="82">
        <f t="shared" si="2"/>
        <v>61</v>
      </c>
      <c r="F68" s="82">
        <f>IF($B67="","",IF($C68=$C65,INDEX('MAPA DE PREÇOS'!$H:$H,MATCH($B68,'MAPA DE PREÇOS'!$B:$B)-19),IF($C68=$C66,"Código","")))</f>
        <v>0</v>
      </c>
      <c r="G68" s="145" t="str">
        <f>IF($B67="","",IF($C68=$C65,IF('BASE EDITAL'!$C$2="",INDEX('MAPA DE PREÇOS'!H:H,MATCH(EDITAL!B68,'MAPA DE PREÇOS'!B:B,0)+1),UPPER(INDEX('BASE EDITAL'!$C:$C,EDITAL!B68+1))),IF($C68=$C66,"Especificação do Objeto","")))</f>
        <v>Espátula para vidraceiro</v>
      </c>
      <c r="H68" s="84" t="str">
        <f>IF($B67="","",IF($C68=$C65,INDEX('MAPA DE PREÇOS'!$M:$M,MATCH($B68,'MAPA DE PREÇOS'!$B:$B)-16),IF($C68=$C66,"Unidade","")))</f>
        <v>UN</v>
      </c>
      <c r="I68" s="84">
        <f>IF($B67="","",IF($C68=$C65,INDEX('MAPA DE PREÇOS'!$M:$M,MATCH($B68,'MAPA DE PREÇOS'!$B:$B)-17),IF($C68=$C66,"Quant.","")))</f>
        <v>1</v>
      </c>
      <c r="J68" s="60">
        <f>IF(AND(COUNTBLANK($B65:$B67)=2,$B67="",$B66="",MAX(C:C)&gt;1),"Total Estimado",IF($B67="","",IF($C68=$C65,INDEX('MAPA DE PREÇOS'!$M:$M,MATCH($B68,'MAPA DE PREÇOS'!$B:$B)-19),IF($C68=$C66,"Valor Unit. (R$)",IF(AND($C68&lt;&gt;$C67,$J67&lt;&gt;""),IF(MAX(C:C)=1,"Total Estimado","Subtotal"),"")))))</f>
        <v>16.5</v>
      </c>
      <c r="K68" s="75">
        <f>IFERROR(IF(AND(COUNTBLANK($B65:$B67)=2,$B67="",$B66="",MAX(C:C)&gt;1),SUM($K$3:K67)/2,IF($B67="","",IF($C68=$C65,ROUND(J68*I68,2),IF($C68=$C66,"Total Item (R$)",IF(AND($C68&lt;&gt;$C67,$J67&lt;&gt;""),SUMIFS(K:K,C:C,C67,J:J,"&lt;&gt;Subtotal"),""))))),"")</f>
        <v>16.5</v>
      </c>
      <c r="L68" s="75" t="str">
        <f t="shared" si="1"/>
        <v/>
      </c>
    </row>
    <row r="69" spans="2:12" x14ac:dyDescent="0.25">
      <c r="B69" s="41">
        <f>IFERROR(IF(C68=C65,IF(B68+1&lt;='MAPA DE PREÇOS'!$H$8,B68+1,""),B68),"")</f>
        <v>62</v>
      </c>
      <c r="C69" s="41">
        <f>IFERROR(VLOOKUP(B69,'MAPA DE PREÇOS'!B:D,2,FALSE),"")</f>
        <v>1</v>
      </c>
      <c r="D69" s="41">
        <f>IFERROR(VLOOKUP(B69,'MAPA DE PREÇOS'!B:D,3,FALSE),"")</f>
        <v>62</v>
      </c>
      <c r="E69" s="82">
        <f t="shared" ref="E69:E100" si="3">IF($B68="","",IF($C69=$C66,D69,IF($C69=$C67,"Item",IF(AND(MAX(C:C)&gt;1,$C69=$C68),CONCATENATE("LOTE ",C69),""))))</f>
        <v>62</v>
      </c>
      <c r="F69" s="82">
        <f>IF($B68="","",IF($C69=$C66,INDEX('MAPA DE PREÇOS'!$H:$H,MATCH($B69,'MAPA DE PREÇOS'!$B:$B)-19),IF($C69=$C67,"Código","")))</f>
        <v>0</v>
      </c>
      <c r="G69" s="145" t="str">
        <f>IF($B68="","",IF($C69=$C66,IF('BASE EDITAL'!$C$2="",INDEX('MAPA DE PREÇOS'!H:H,MATCH(EDITAL!B69,'MAPA DE PREÇOS'!B:B,0)+1),UPPER(INDEX('BASE EDITAL'!$C:$C,EDITAL!B69+1))),IF($C69=$C67,"Especificação do Objeto","")))</f>
        <v xml:space="preserve">Aplicador de silicone </v>
      </c>
      <c r="H69" s="84" t="str">
        <f>IF($B68="","",IF($C69=$C66,INDEX('MAPA DE PREÇOS'!$M:$M,MATCH($B69,'MAPA DE PREÇOS'!$B:$B)-16),IF($C69=$C67,"Unidade","")))</f>
        <v>UN</v>
      </c>
      <c r="I69" s="84">
        <f>IF($B68="","",IF($C69=$C66,INDEX('MAPA DE PREÇOS'!$M:$M,MATCH($B69,'MAPA DE PREÇOS'!$B:$B)-17),IF($C69=$C67,"Quant.","")))</f>
        <v>1</v>
      </c>
      <c r="J69" s="60">
        <f>IF(AND(COUNTBLANK($B66:$B68)=2,$B68="",$B67="",MAX(C:C)&gt;1),"Total Estimado",IF($B68="","",IF($C69=$C66,INDEX('MAPA DE PREÇOS'!$M:$M,MATCH($B69,'MAPA DE PREÇOS'!$B:$B)-19),IF($C69=$C67,"Valor Unit. (R$)",IF(AND($C69&lt;&gt;$C68,$J68&lt;&gt;""),IF(MAX(C:C)=1,"Total Estimado","Subtotal"),"")))))</f>
        <v>14.4</v>
      </c>
      <c r="K69" s="75">
        <f>IFERROR(IF(AND(COUNTBLANK($B66:$B68)=2,$B68="",$B67="",MAX(C:C)&gt;1),SUM($K$3:K68)/2,IF($B68="","",IF($C69=$C66,ROUND(J69*I69,2),IF($C69=$C67,"Total Item (R$)",IF(AND($C69&lt;&gt;$C68,$J68&lt;&gt;""),SUMIFS(K:K,C:C,C68,J:J,"&lt;&gt;Subtotal"),""))))),"")</f>
        <v>14.4</v>
      </c>
      <c r="L69" s="75" t="str">
        <f t="shared" si="1"/>
        <v/>
      </c>
    </row>
    <row r="70" spans="2:12" x14ac:dyDescent="0.25">
      <c r="B70" s="41">
        <f>IFERROR(IF(C69=C66,IF(B69+1&lt;='MAPA DE PREÇOS'!$H$8,B69+1,""),B69),"")</f>
        <v>63</v>
      </c>
      <c r="C70" s="41">
        <f>IFERROR(VLOOKUP(B70,'MAPA DE PREÇOS'!B:D,2,FALSE),"")</f>
        <v>1</v>
      </c>
      <c r="D70" s="41">
        <f>IFERROR(VLOOKUP(B70,'MAPA DE PREÇOS'!B:D,3,FALSE),"")</f>
        <v>63</v>
      </c>
      <c r="E70" s="82">
        <f t="shared" si="3"/>
        <v>63</v>
      </c>
      <c r="F70" s="82">
        <f>IF($B69="","",IF($C70=$C67,INDEX('MAPA DE PREÇOS'!$H:$H,MATCH($B70,'MAPA DE PREÇOS'!$B:$B)-19),IF($C70=$C68,"Código","")))</f>
        <v>0</v>
      </c>
      <c r="G70" s="145" t="str">
        <f>IF($B69="","",IF($C70=$C67,IF('BASE EDITAL'!$C$2="",INDEX('MAPA DE PREÇOS'!H:H,MATCH(EDITAL!B70,'MAPA DE PREÇOS'!B:B,0)+1),UPPER(INDEX('BASE EDITAL'!$C:$C,EDITAL!B70+1))),IF($C70=$C68,"Especificação do Objeto","")))</f>
        <v>Esquadro metálico</v>
      </c>
      <c r="H70" s="84" t="str">
        <f>IF($B69="","",IF($C70=$C67,INDEX('MAPA DE PREÇOS'!$M:$M,MATCH($B70,'MAPA DE PREÇOS'!$B:$B)-16),IF($C70=$C68,"Unidade","")))</f>
        <v>UN</v>
      </c>
      <c r="I70" s="84">
        <f>IF($B69="","",IF($C70=$C67,INDEX('MAPA DE PREÇOS'!$M:$M,MATCH($B70,'MAPA DE PREÇOS'!$B:$B)-17),IF($C70=$C68,"Quant.","")))</f>
        <v>12</v>
      </c>
      <c r="J70" s="60">
        <f>IF(AND(COUNTBLANK($B67:$B69)=2,$B69="",$B68="",MAX(C:C)&gt;1),"Total Estimado",IF($B69="","",IF($C70=$C67,INDEX('MAPA DE PREÇOS'!$M:$M,MATCH($B70,'MAPA DE PREÇOS'!$B:$B)-19),IF($C70=$C68,"Valor Unit. (R$)",IF(AND($C70&lt;&gt;$C69,$J69&lt;&gt;""),IF(MAX(C:C)=1,"Total Estimado","Subtotal"),"")))))</f>
        <v>80.569999999999993</v>
      </c>
      <c r="K70" s="75">
        <f>IFERROR(IF(AND(COUNTBLANK($B67:$B69)=2,$B69="",$B68="",MAX(C:C)&gt;1),SUM($K$3:K69)/2,IF($B69="","",IF($C70=$C67,ROUND(J70*I70,2),IF($C70=$C68,"Total Item (R$)",IF(AND($C70&lt;&gt;$C69,$J69&lt;&gt;""),SUMIFS(K:K,C:C,C69,J:J,"&lt;&gt;Subtotal"),""))))),"")</f>
        <v>966.84</v>
      </c>
      <c r="L70" s="75" t="str">
        <f t="shared" si="1"/>
        <v/>
      </c>
    </row>
    <row r="71" spans="2:12" x14ac:dyDescent="0.25">
      <c r="B71" s="41">
        <f>IFERROR(IF(C70=C67,IF(B70+1&lt;='MAPA DE PREÇOS'!$H$8,B70+1,""),B70),"")</f>
        <v>64</v>
      </c>
      <c r="C71" s="41">
        <f>IFERROR(VLOOKUP(B71,'MAPA DE PREÇOS'!B:D,2,FALSE),"")</f>
        <v>1</v>
      </c>
      <c r="D71" s="41">
        <f>IFERROR(VLOOKUP(B71,'MAPA DE PREÇOS'!B:D,3,FALSE),"")</f>
        <v>64</v>
      </c>
      <c r="E71" s="82">
        <f t="shared" si="3"/>
        <v>64</v>
      </c>
      <c r="F71" s="82">
        <f>IF($B70="","",IF($C71=$C68,INDEX('MAPA DE PREÇOS'!$H:$H,MATCH($B71,'MAPA DE PREÇOS'!$B:$B)-19),IF($C71=$C69,"Código","")))</f>
        <v>0</v>
      </c>
      <c r="G71" s="145" t="str">
        <f>IF($B70="","",IF($C71=$C68,IF('BASE EDITAL'!$C$2="",INDEX('MAPA DE PREÇOS'!H:H,MATCH(EDITAL!B71,'MAPA DE PREÇOS'!B:B,0)+1),UPPER(INDEX('BASE EDITAL'!$C:$C,EDITAL!B71+1))),IF($C71=$C69,"Especificação do Objeto","")))</f>
        <v xml:space="preserve">Nivel </v>
      </c>
      <c r="H71" s="84" t="str">
        <f>IF($B70="","",IF($C71=$C68,INDEX('MAPA DE PREÇOS'!$M:$M,MATCH($B71,'MAPA DE PREÇOS'!$B:$B)-16),IF($C71=$C69,"Unidade","")))</f>
        <v>UN</v>
      </c>
      <c r="I71" s="84">
        <f>IF($B70="","",IF($C71=$C68,INDEX('MAPA DE PREÇOS'!$M:$M,MATCH($B71,'MAPA DE PREÇOS'!$B:$B)-17),IF($C71=$C69,"Quant.","")))</f>
        <v>5</v>
      </c>
      <c r="J71" s="60">
        <f>IF(AND(COUNTBLANK($B68:$B70)=2,$B70="",$B69="",MAX(C:C)&gt;1),"Total Estimado",IF($B70="","",IF($C71=$C68,INDEX('MAPA DE PREÇOS'!$M:$M,MATCH($B71,'MAPA DE PREÇOS'!$B:$B)-19),IF($C71=$C69,"Valor Unit. (R$)",IF(AND($C71&lt;&gt;$C70,$J70&lt;&gt;""),IF(MAX(C:C)=1,"Total Estimado","Subtotal"),"")))))</f>
        <v>33.43</v>
      </c>
      <c r="K71" s="75">
        <f>IFERROR(IF(AND(COUNTBLANK($B68:$B70)=2,$B70="",$B69="",MAX(C:C)&gt;1),SUM($K$3:K70)/2,IF($B70="","",IF($C71=$C68,ROUND(J71*I71,2),IF($C71=$C69,"Total Item (R$)",IF(AND($C71&lt;&gt;$C70,$J70&lt;&gt;""),SUMIFS(K:K,C:C,C70,J:J,"&lt;&gt;Subtotal"),""))))),"")</f>
        <v>167.15</v>
      </c>
      <c r="L71" s="75" t="str">
        <f t="shared" si="1"/>
        <v/>
      </c>
    </row>
    <row r="72" spans="2:12" x14ac:dyDescent="0.25">
      <c r="B72" s="41">
        <f>IFERROR(IF(C71=C68,IF(B71+1&lt;='MAPA DE PREÇOS'!$H$8,B71+1,""),B71),"")</f>
        <v>65</v>
      </c>
      <c r="C72" s="41">
        <f>IFERROR(VLOOKUP(B72,'MAPA DE PREÇOS'!B:D,2,FALSE),"")</f>
        <v>1</v>
      </c>
      <c r="D72" s="41">
        <f>IFERROR(VLOOKUP(B72,'MAPA DE PREÇOS'!B:D,3,FALSE),"")</f>
        <v>65</v>
      </c>
      <c r="E72" s="82">
        <f t="shared" si="3"/>
        <v>65</v>
      </c>
      <c r="F72" s="82">
        <f>IF($B71="","",IF($C72=$C69,INDEX('MAPA DE PREÇOS'!$H:$H,MATCH($B72,'MAPA DE PREÇOS'!$B:$B)-19),IF($C72=$C70,"Código","")))</f>
        <v>0</v>
      </c>
      <c r="G72" s="145" t="str">
        <f>IF($B71="","",IF($C72=$C69,IF('BASE EDITAL'!$C$2="",INDEX('MAPA DE PREÇOS'!H:H,MATCH(EDITAL!B72,'MAPA DE PREÇOS'!B:B,0)+1),UPPER(INDEX('BASE EDITAL'!$C:$C,EDITAL!B72+1))),IF($C72=$C70,"Especificação do Objeto","")))</f>
        <v xml:space="preserve">Martelo de borracha </v>
      </c>
      <c r="H72" s="84" t="str">
        <f>IF($B71="","",IF($C72=$C69,INDEX('MAPA DE PREÇOS'!$M:$M,MATCH($B72,'MAPA DE PREÇOS'!$B:$B)-16),IF($C72=$C70,"Unidade","")))</f>
        <v>UN</v>
      </c>
      <c r="I72" s="84">
        <f>IF($B71="","",IF($C72=$C69,INDEX('MAPA DE PREÇOS'!$M:$M,MATCH($B72,'MAPA DE PREÇOS'!$B:$B)-17),IF($C72=$C70,"Quant.","")))</f>
        <v>11</v>
      </c>
      <c r="J72" s="60">
        <f>IF(AND(COUNTBLANK($B69:$B71)=2,$B71="",$B70="",MAX(C:C)&gt;1),"Total Estimado",IF($B71="","",IF($C72=$C69,INDEX('MAPA DE PREÇOS'!$M:$M,MATCH($B72,'MAPA DE PREÇOS'!$B:$B)-19),IF($C72=$C70,"Valor Unit. (R$)",IF(AND($C72&lt;&gt;$C71,$J71&lt;&gt;""),IF(MAX(C:C)=1,"Total Estimado","Subtotal"),"")))))</f>
        <v>19.23</v>
      </c>
      <c r="K72" s="75">
        <f>IFERROR(IF(AND(COUNTBLANK($B69:$B71)=2,$B71="",$B70="",MAX(C:C)&gt;1),SUM($K$3:K71)/2,IF($B71="","",IF($C72=$C69,ROUND(J72*I72,2),IF($C72=$C70,"Total Item (R$)",IF(AND($C72&lt;&gt;$C71,$J71&lt;&gt;""),SUMIFS(K:K,C:C,C71,J:J,"&lt;&gt;Subtotal"),""))))),"")</f>
        <v>211.53</v>
      </c>
      <c r="L72" s="75" t="str">
        <f t="shared" si="1"/>
        <v/>
      </c>
    </row>
    <row r="73" spans="2:12" x14ac:dyDescent="0.25">
      <c r="B73" s="41">
        <f>IFERROR(IF(C72=C69,IF(B72+1&lt;='MAPA DE PREÇOS'!$H$8,B72+1,""),B72),"")</f>
        <v>66</v>
      </c>
      <c r="C73" s="41">
        <f>IFERROR(VLOOKUP(B73,'MAPA DE PREÇOS'!B:D,2,FALSE),"")</f>
        <v>1</v>
      </c>
      <c r="D73" s="41">
        <f>IFERROR(VLOOKUP(B73,'MAPA DE PREÇOS'!B:D,3,FALSE),"")</f>
        <v>66</v>
      </c>
      <c r="E73" s="82">
        <f t="shared" si="3"/>
        <v>66</v>
      </c>
      <c r="F73" s="82">
        <f>IF($B72="","",IF($C73=$C70,INDEX('MAPA DE PREÇOS'!$H:$H,MATCH($B73,'MAPA DE PREÇOS'!$B:$B)-19),IF($C73=$C71,"Código","")))</f>
        <v>0</v>
      </c>
      <c r="G73" s="145" t="str">
        <f>IF($B72="","",IF($C73=$C70,IF('BASE EDITAL'!$C$2="",INDEX('MAPA DE PREÇOS'!H:H,MATCH(EDITAL!B73,'MAPA DE PREÇOS'!B:B,0)+1),UPPER(INDEX('BASE EDITAL'!$C:$C,EDITAL!B73+1))),IF($C73=$C71,"Especificação do Objeto","")))</f>
        <v>Colher de pedreiro</v>
      </c>
      <c r="H73" s="84" t="str">
        <f>IF($B72="","",IF($C73=$C70,INDEX('MAPA DE PREÇOS'!$M:$M,MATCH($B73,'MAPA DE PREÇOS'!$B:$B)-16),IF($C73=$C71,"Unidade","")))</f>
        <v>UN</v>
      </c>
      <c r="I73" s="84">
        <f>IF($B72="","",IF($C73=$C70,INDEX('MAPA DE PREÇOS'!$M:$M,MATCH($B73,'MAPA DE PREÇOS'!$B:$B)-17),IF($C73=$C71,"Quant.","")))</f>
        <v>4</v>
      </c>
      <c r="J73" s="60">
        <f>IF(AND(COUNTBLANK($B70:$B72)=2,$B72="",$B71="",MAX(C:C)&gt;1),"Total Estimado",IF($B72="","",IF($C73=$C70,INDEX('MAPA DE PREÇOS'!$M:$M,MATCH($B73,'MAPA DE PREÇOS'!$B:$B)-19),IF($C73=$C71,"Valor Unit. (R$)",IF(AND($C73&lt;&gt;$C72,$J72&lt;&gt;""),IF(MAX(C:C)=1,"Total Estimado","Subtotal"),"")))))</f>
        <v>14.12</v>
      </c>
      <c r="K73" s="75">
        <f>IFERROR(IF(AND(COUNTBLANK($B70:$B72)=2,$B72="",$B71="",MAX(C:C)&gt;1),SUM($K$3:K72)/2,IF($B72="","",IF($C73=$C70,ROUND(J73*I73,2),IF($C73=$C71,"Total Item (R$)",IF(AND($C73&lt;&gt;$C72,$J72&lt;&gt;""),SUMIFS(K:K,C:C,C72,J:J,"&lt;&gt;Subtotal"),""))))),"")</f>
        <v>56.48</v>
      </c>
      <c r="L73" s="75" t="str">
        <f t="shared" si="1"/>
        <v/>
      </c>
    </row>
    <row r="74" spans="2:12" x14ac:dyDescent="0.25">
      <c r="B74" s="41">
        <f>IFERROR(IF(C73=C70,IF(B73+1&lt;='MAPA DE PREÇOS'!$H$8,B73+1,""),B73),"")</f>
        <v>67</v>
      </c>
      <c r="C74" s="41">
        <f>IFERROR(VLOOKUP(B74,'MAPA DE PREÇOS'!B:D,2,FALSE),"")</f>
        <v>1</v>
      </c>
      <c r="D74" s="41">
        <f>IFERROR(VLOOKUP(B74,'MAPA DE PREÇOS'!B:D,3,FALSE),"")</f>
        <v>67</v>
      </c>
      <c r="E74" s="82">
        <f t="shared" si="3"/>
        <v>67</v>
      </c>
      <c r="F74" s="82">
        <f>IF($B73="","",IF($C74=$C71,INDEX('MAPA DE PREÇOS'!$H:$H,MATCH($B74,'MAPA DE PREÇOS'!$B:$B)-19),IF($C74=$C72,"Código","")))</f>
        <v>0</v>
      </c>
      <c r="G74" s="145" t="str">
        <f>IF($B73="","",IF($C74=$C71,IF('BASE EDITAL'!$C$2="",INDEX('MAPA DE PREÇOS'!H:H,MATCH(EDITAL!B74,'MAPA DE PREÇOS'!B:B,0)+1),UPPER(INDEX('BASE EDITAL'!$C:$C,EDITAL!B74+1))),IF($C74=$C72,"Especificação do Objeto","")))</f>
        <v>Prumo</v>
      </c>
      <c r="H74" s="84" t="str">
        <f>IF($B73="","",IF($C74=$C71,INDEX('MAPA DE PREÇOS'!$M:$M,MATCH($B74,'MAPA DE PREÇOS'!$B:$B)-16),IF($C74=$C72,"Unidade","")))</f>
        <v>UN</v>
      </c>
      <c r="I74" s="84">
        <f>IF($B73="","",IF($C74=$C71,INDEX('MAPA DE PREÇOS'!$M:$M,MATCH($B74,'MAPA DE PREÇOS'!$B:$B)-17),IF($C74=$C72,"Quant.","")))</f>
        <v>4</v>
      </c>
      <c r="J74" s="60">
        <f>IF(AND(COUNTBLANK($B71:$B73)=2,$B73="",$B72="",MAX(C:C)&gt;1),"Total Estimado",IF($B73="","",IF($C74=$C71,INDEX('MAPA DE PREÇOS'!$M:$M,MATCH($B74,'MAPA DE PREÇOS'!$B:$B)-19),IF($C74=$C72,"Valor Unit. (R$)",IF(AND($C74&lt;&gt;$C73,$J73&lt;&gt;""),IF(MAX(C:C)=1,"Total Estimado","Subtotal"),"")))))</f>
        <v>53.73</v>
      </c>
      <c r="K74" s="75">
        <f>IFERROR(IF(AND(COUNTBLANK($B71:$B73)=2,$B73="",$B72="",MAX(C:C)&gt;1),SUM($K$3:K73)/2,IF($B73="","",IF($C74=$C71,ROUND(J74*I74,2),IF($C74=$C72,"Total Item (R$)",IF(AND($C74&lt;&gt;$C73,$J73&lt;&gt;""),SUMIFS(K:K,C:C,C73,J:J,"&lt;&gt;Subtotal"),""))))),"")</f>
        <v>214.92</v>
      </c>
      <c r="L74" s="75" t="str">
        <f t="shared" si="1"/>
        <v/>
      </c>
    </row>
    <row r="75" spans="2:12" x14ac:dyDescent="0.25">
      <c r="B75" s="41">
        <f>IFERROR(IF(C74=C71,IF(B74+1&lt;='MAPA DE PREÇOS'!$H$8,B74+1,""),B74),"")</f>
        <v>68</v>
      </c>
      <c r="C75" s="41">
        <f>IFERROR(VLOOKUP(B75,'MAPA DE PREÇOS'!B:D,2,FALSE),"")</f>
        <v>1</v>
      </c>
      <c r="D75" s="41">
        <f>IFERROR(VLOOKUP(B75,'MAPA DE PREÇOS'!B:D,3,FALSE),"")</f>
        <v>68</v>
      </c>
      <c r="E75" s="82">
        <f t="shared" si="3"/>
        <v>68</v>
      </c>
      <c r="F75" s="82">
        <f>IF($B74="","",IF($C75=$C72,INDEX('MAPA DE PREÇOS'!$H:$H,MATCH($B75,'MAPA DE PREÇOS'!$B:$B)-19),IF($C75=$C73,"Código","")))</f>
        <v>0</v>
      </c>
      <c r="G75" s="145" t="str">
        <f>IF($B74="","",IF($C75=$C72,IF('BASE EDITAL'!$C$2="",INDEX('MAPA DE PREÇOS'!H:H,MATCH(EDITAL!B75,'MAPA DE PREÇOS'!B:B,0)+1),UPPER(INDEX('BASE EDITAL'!$C:$C,EDITAL!B75+1))),IF($C75=$C73,"Especificação do Objeto","")))</f>
        <v>Régua 2 m</v>
      </c>
      <c r="H75" s="84" t="str">
        <f>IF($B74="","",IF($C75=$C72,INDEX('MAPA DE PREÇOS'!$M:$M,MATCH($B75,'MAPA DE PREÇOS'!$B:$B)-16),IF($C75=$C73,"Unidade","")))</f>
        <v>UN</v>
      </c>
      <c r="I75" s="84">
        <f>IF($B74="","",IF($C75=$C72,INDEX('MAPA DE PREÇOS'!$M:$M,MATCH($B75,'MAPA DE PREÇOS'!$B:$B)-17),IF($C75=$C73,"Quant.","")))</f>
        <v>4</v>
      </c>
      <c r="J75" s="60">
        <f>IF(AND(COUNTBLANK($B72:$B74)=2,$B74="",$B73="",MAX(C:C)&gt;1),"Total Estimado",IF($B74="","",IF($C75=$C72,INDEX('MAPA DE PREÇOS'!$M:$M,MATCH($B75,'MAPA DE PREÇOS'!$B:$B)-19),IF($C75=$C73,"Valor Unit. (R$)",IF(AND($C75&lt;&gt;$C74,$J74&lt;&gt;""),IF(MAX(C:C)=1,"Total Estimado","Subtotal"),"")))))</f>
        <v>63.27</v>
      </c>
      <c r="K75" s="75">
        <f>IFERROR(IF(AND(COUNTBLANK($B72:$B74)=2,$B74="",$B73="",MAX(C:C)&gt;1),SUM($K$3:K74)/2,IF($B74="","",IF($C75=$C72,ROUND(J75*I75,2),IF($C75=$C73,"Total Item (R$)",IF(AND($C75&lt;&gt;$C74,$J74&lt;&gt;""),SUMIFS(K:K,C:C,C74,J:J,"&lt;&gt;Subtotal"),""))))),"")</f>
        <v>253.08</v>
      </c>
      <c r="L75" s="75" t="str">
        <f t="shared" si="1"/>
        <v/>
      </c>
    </row>
    <row r="76" spans="2:12" x14ac:dyDescent="0.25">
      <c r="B76" s="41">
        <f>IFERROR(IF(C75=C72,IF(B75+1&lt;='MAPA DE PREÇOS'!$H$8,B75+1,""),B75),"")</f>
        <v>69</v>
      </c>
      <c r="C76" s="41">
        <f>IFERROR(VLOOKUP(B76,'MAPA DE PREÇOS'!B:D,2,FALSE),"")</f>
        <v>1</v>
      </c>
      <c r="D76" s="41">
        <f>IFERROR(VLOOKUP(B76,'MAPA DE PREÇOS'!B:D,3,FALSE),"")</f>
        <v>69</v>
      </c>
      <c r="E76" s="82">
        <f t="shared" si="3"/>
        <v>69</v>
      </c>
      <c r="F76" s="82">
        <f>IF($B75="","",IF($C76=$C73,INDEX('MAPA DE PREÇOS'!$H:$H,MATCH($B76,'MAPA DE PREÇOS'!$B:$B)-19),IF($C76=$C74,"Código","")))</f>
        <v>0</v>
      </c>
      <c r="G76" s="145" t="str">
        <f>IF($B75="","",IF($C76=$C73,IF('BASE EDITAL'!$C$2="",INDEX('MAPA DE PREÇOS'!H:H,MATCH(EDITAL!B76,'MAPA DE PREÇOS'!B:B,0)+1),UPPER(INDEX('BASE EDITAL'!$C:$C,EDITAL!B76+1))),IF($C76=$C74,"Especificação do Objeto","")))</f>
        <v>Martelo de pedreiro</v>
      </c>
      <c r="H76" s="84" t="str">
        <f>IF($B75="","",IF($C76=$C73,INDEX('MAPA DE PREÇOS'!$M:$M,MATCH($B76,'MAPA DE PREÇOS'!$B:$B)-16),IF($C76=$C74,"Unidade","")))</f>
        <v>UN</v>
      </c>
      <c r="I76" s="84">
        <f>IF($B75="","",IF($C76=$C73,INDEX('MAPA DE PREÇOS'!$M:$M,MATCH($B76,'MAPA DE PREÇOS'!$B:$B)-17),IF($C76=$C74,"Quant.","")))</f>
        <v>4</v>
      </c>
      <c r="J76" s="60">
        <f>IF(AND(COUNTBLANK($B73:$B75)=2,$B75="",$B74="",MAX(C:C)&gt;1),"Total Estimado",IF($B75="","",IF($C76=$C73,INDEX('MAPA DE PREÇOS'!$M:$M,MATCH($B76,'MAPA DE PREÇOS'!$B:$B)-19),IF($C76=$C74,"Valor Unit. (R$)",IF(AND($C76&lt;&gt;$C75,$J75&lt;&gt;""),IF(MAX(C:C)=1,"Total Estimado","Subtotal"),"")))))</f>
        <v>94.24</v>
      </c>
      <c r="K76" s="75">
        <f>IFERROR(IF(AND(COUNTBLANK($B73:$B75)=2,$B75="",$B74="",MAX(C:C)&gt;1),SUM($K$3:K75)/2,IF($B75="","",IF($C76=$C73,ROUND(J76*I76,2),IF($C76=$C74,"Total Item (R$)",IF(AND($C76&lt;&gt;$C75,$J75&lt;&gt;""),SUMIFS(K:K,C:C,C75,J:J,"&lt;&gt;Subtotal"),""))))),"")</f>
        <v>376.96</v>
      </c>
      <c r="L76" s="75" t="str">
        <f t="shared" si="1"/>
        <v/>
      </c>
    </row>
    <row r="77" spans="2:12" x14ac:dyDescent="0.25">
      <c r="B77" s="41">
        <f>IFERROR(IF(C76=C73,IF(B76+1&lt;='MAPA DE PREÇOS'!$H$8,B76+1,""),B76),"")</f>
        <v>70</v>
      </c>
      <c r="C77" s="41">
        <f>IFERROR(VLOOKUP(B77,'MAPA DE PREÇOS'!B:D,2,FALSE),"")</f>
        <v>1</v>
      </c>
      <c r="D77" s="41">
        <f>IFERROR(VLOOKUP(B77,'MAPA DE PREÇOS'!B:D,3,FALSE),"")</f>
        <v>70</v>
      </c>
      <c r="E77" s="82">
        <f t="shared" si="3"/>
        <v>70</v>
      </c>
      <c r="F77" s="82">
        <f>IF($B76="","",IF($C77=$C74,INDEX('MAPA DE PREÇOS'!$H:$H,MATCH($B77,'MAPA DE PREÇOS'!$B:$B)-19),IF($C77=$C75,"Código","")))</f>
        <v>0</v>
      </c>
      <c r="G77" s="145" t="str">
        <f>IF($B76="","",IF($C77=$C74,IF('BASE EDITAL'!$C$2="",INDEX('MAPA DE PREÇOS'!H:H,MATCH(EDITAL!B77,'MAPA DE PREÇOS'!B:B,0)+1),UPPER(INDEX('BASE EDITAL'!$C:$C,EDITAL!B77+1))),IF($C77=$C75,"Especificação do Objeto","")))</f>
        <v>Martelo de unha</v>
      </c>
      <c r="H77" s="84" t="str">
        <f>IF($B76="","",IF($C77=$C74,INDEX('MAPA DE PREÇOS'!$M:$M,MATCH($B77,'MAPA DE PREÇOS'!$B:$B)-16),IF($C77=$C75,"Unidade","")))</f>
        <v>UN</v>
      </c>
      <c r="I77" s="84">
        <f>IF($B76="","",IF($C77=$C74,INDEX('MAPA DE PREÇOS'!$M:$M,MATCH($B77,'MAPA DE PREÇOS'!$B:$B)-17),IF($C77=$C75,"Quant.","")))</f>
        <v>4</v>
      </c>
      <c r="J77" s="60">
        <f>IF(AND(COUNTBLANK($B74:$B76)=2,$B76="",$B75="",MAX(C:C)&gt;1),"Total Estimado",IF($B76="","",IF($C77=$C74,INDEX('MAPA DE PREÇOS'!$M:$M,MATCH($B77,'MAPA DE PREÇOS'!$B:$B)-19),IF($C77=$C75,"Valor Unit. (R$)",IF(AND($C77&lt;&gt;$C76,$J76&lt;&gt;""),IF(MAX(C:C)=1,"Total Estimado","Subtotal"),"")))))</f>
        <v>41.9</v>
      </c>
      <c r="K77" s="75">
        <f>IFERROR(IF(AND(COUNTBLANK($B74:$B76)=2,$B76="",$B75="",MAX(C:C)&gt;1),SUM($K$3:K76)/2,IF($B76="","",IF($C77=$C74,ROUND(J77*I77,2),IF($C77=$C75,"Total Item (R$)",IF(AND($C77&lt;&gt;$C76,$J76&lt;&gt;""),SUMIFS(K:K,C:C,C76,J:J,"&lt;&gt;Subtotal"),""))))),"")</f>
        <v>167.6</v>
      </c>
      <c r="L77" s="75" t="str">
        <f t="shared" si="1"/>
        <v/>
      </c>
    </row>
    <row r="78" spans="2:12" x14ac:dyDescent="0.25">
      <c r="B78" s="41">
        <f>IFERROR(IF(C77=C74,IF(B77+1&lt;='MAPA DE PREÇOS'!$H$8,B77+1,""),B77),"")</f>
        <v>71</v>
      </c>
      <c r="C78" s="41">
        <f>IFERROR(VLOOKUP(B78,'MAPA DE PREÇOS'!B:D,2,FALSE),"")</f>
        <v>1</v>
      </c>
      <c r="D78" s="41">
        <f>IFERROR(VLOOKUP(B78,'MAPA DE PREÇOS'!B:D,3,FALSE),"")</f>
        <v>71</v>
      </c>
      <c r="E78" s="82">
        <f t="shared" si="3"/>
        <v>71</v>
      </c>
      <c r="F78" s="82">
        <f>IF($B77="","",IF($C78=$C75,INDEX('MAPA DE PREÇOS'!$H:$H,MATCH($B78,'MAPA DE PREÇOS'!$B:$B)-19),IF($C78=$C76,"Código","")))</f>
        <v>0</v>
      </c>
      <c r="G78" s="145" t="str">
        <f>IF($B77="","",IF($C78=$C75,IF('BASE EDITAL'!$C$2="",INDEX('MAPA DE PREÇOS'!H:H,MATCH(EDITAL!B78,'MAPA DE PREÇOS'!B:B,0)+1),UPPER(INDEX('BASE EDITAL'!$C:$C,EDITAL!B78+1))),IF($C78=$C76,"Especificação do Objeto","")))</f>
        <v>Marreta de pedreiro</v>
      </c>
      <c r="H78" s="84" t="str">
        <f>IF($B77="","",IF($C78=$C75,INDEX('MAPA DE PREÇOS'!$M:$M,MATCH($B78,'MAPA DE PREÇOS'!$B:$B)-16),IF($C78=$C76,"Unidade","")))</f>
        <v>UN</v>
      </c>
      <c r="I78" s="84">
        <f>IF($B77="","",IF($C78=$C75,INDEX('MAPA DE PREÇOS'!$M:$M,MATCH($B78,'MAPA DE PREÇOS'!$B:$B)-17),IF($C78=$C76,"Quant.","")))</f>
        <v>4</v>
      </c>
      <c r="J78" s="60">
        <f>IF(AND(COUNTBLANK($B75:$B77)=2,$B77="",$B76="",MAX(C:C)&gt;1),"Total Estimado",IF($B77="","",IF($C78=$C75,INDEX('MAPA DE PREÇOS'!$M:$M,MATCH($B78,'MAPA DE PREÇOS'!$B:$B)-19),IF($C78=$C76,"Valor Unit. (R$)",IF(AND($C78&lt;&gt;$C77,$J77&lt;&gt;""),IF(MAX(C:C)=1,"Total Estimado","Subtotal"),"")))))</f>
        <v>57.53</v>
      </c>
      <c r="K78" s="75">
        <f>IFERROR(IF(AND(COUNTBLANK($B75:$B77)=2,$B77="",$B76="",MAX(C:C)&gt;1),SUM($K$3:K77)/2,IF($B77="","",IF($C78=$C75,ROUND(J78*I78,2),IF($C78=$C76,"Total Item (R$)",IF(AND($C78&lt;&gt;$C77,$J77&lt;&gt;""),SUMIFS(K:K,C:C,C77,J:J,"&lt;&gt;Subtotal"),""))))),"")</f>
        <v>230.12</v>
      </c>
      <c r="L78" s="75" t="str">
        <f t="shared" si="1"/>
        <v/>
      </c>
    </row>
    <row r="79" spans="2:12" x14ac:dyDescent="0.25">
      <c r="B79" s="41">
        <f>IFERROR(IF(C78=C75,IF(B78+1&lt;='MAPA DE PREÇOS'!$H$8,B78+1,""),B78),"")</f>
        <v>72</v>
      </c>
      <c r="C79" s="41">
        <f>IFERROR(VLOOKUP(B79,'MAPA DE PREÇOS'!B:D,2,FALSE),"")</f>
        <v>1</v>
      </c>
      <c r="D79" s="41">
        <f>IFERROR(VLOOKUP(B79,'MAPA DE PREÇOS'!B:D,3,FALSE),"")</f>
        <v>72</v>
      </c>
      <c r="E79" s="82">
        <f t="shared" si="3"/>
        <v>72</v>
      </c>
      <c r="F79" s="82">
        <f>IF($B78="","",IF($C79=$C76,INDEX('MAPA DE PREÇOS'!$H:$H,MATCH($B79,'MAPA DE PREÇOS'!$B:$B)-19),IF($C79=$C77,"Código","")))</f>
        <v>0</v>
      </c>
      <c r="G79" s="145" t="str">
        <f>IF($B78="","",IF($C79=$C76,IF('BASE EDITAL'!$C$2="",INDEX('MAPA DE PREÇOS'!H:H,MATCH(EDITAL!B79,'MAPA DE PREÇOS'!B:B,0)+1),UPPER(INDEX('BASE EDITAL'!$C:$C,EDITAL!B79+1))),IF($C79=$C77,"Especificação do Objeto","")))</f>
        <v>Talhadeira de pedreiro</v>
      </c>
      <c r="H79" s="84" t="str">
        <f>IF($B78="","",IF($C79=$C76,INDEX('MAPA DE PREÇOS'!$M:$M,MATCH($B79,'MAPA DE PREÇOS'!$B:$B)-16),IF($C79=$C77,"Unidade","")))</f>
        <v>UN</v>
      </c>
      <c r="I79" s="84">
        <f>IF($B78="","",IF($C79=$C76,INDEX('MAPA DE PREÇOS'!$M:$M,MATCH($B79,'MAPA DE PREÇOS'!$B:$B)-17),IF($C79=$C77,"Quant.","")))</f>
        <v>4</v>
      </c>
      <c r="J79" s="60">
        <f>IF(AND(COUNTBLANK($B76:$B78)=2,$B78="",$B77="",MAX(C:C)&gt;1),"Total Estimado",IF($B78="","",IF($C79=$C76,INDEX('MAPA DE PREÇOS'!$M:$M,MATCH($B79,'MAPA DE PREÇOS'!$B:$B)-19),IF($C79=$C77,"Valor Unit. (R$)",IF(AND($C79&lt;&gt;$C78,$J78&lt;&gt;""),IF(MAX(C:C)=1,"Total Estimado","Subtotal"),"")))))</f>
        <v>45.38</v>
      </c>
      <c r="K79" s="75">
        <f>IFERROR(IF(AND(COUNTBLANK($B76:$B78)=2,$B78="",$B77="",MAX(C:C)&gt;1),SUM($K$3:K78)/2,IF($B78="","",IF($C79=$C76,ROUND(J79*I79,2),IF($C79=$C77,"Total Item (R$)",IF(AND($C79&lt;&gt;$C78,$J78&lt;&gt;""),SUMIFS(K:K,C:C,C78,J:J,"&lt;&gt;Subtotal"),""))))),"")</f>
        <v>181.52</v>
      </c>
      <c r="L79" s="75" t="str">
        <f t="shared" si="1"/>
        <v/>
      </c>
    </row>
    <row r="80" spans="2:12" x14ac:dyDescent="0.25">
      <c r="B80" s="41">
        <f>IFERROR(IF(C79=C76,IF(B79+1&lt;='MAPA DE PREÇOS'!$H$8,B79+1,""),B79),"")</f>
        <v>73</v>
      </c>
      <c r="C80" s="41">
        <f>IFERROR(VLOOKUP(B80,'MAPA DE PREÇOS'!B:D,2,FALSE),"")</f>
        <v>1</v>
      </c>
      <c r="D80" s="41">
        <f>IFERROR(VLOOKUP(B80,'MAPA DE PREÇOS'!B:D,3,FALSE),"")</f>
        <v>73</v>
      </c>
      <c r="E80" s="82">
        <f t="shared" si="3"/>
        <v>73</v>
      </c>
      <c r="F80" s="82">
        <f>IF($B79="","",IF($C80=$C77,INDEX('MAPA DE PREÇOS'!$H:$H,MATCH($B80,'MAPA DE PREÇOS'!$B:$B)-19),IF($C80=$C78,"Código","")))</f>
        <v>0</v>
      </c>
      <c r="G80" s="145" t="str">
        <f>IF($B79="","",IF($C80=$C77,IF('BASE EDITAL'!$C$2="",INDEX('MAPA DE PREÇOS'!H:H,MATCH(EDITAL!B80,'MAPA DE PREÇOS'!B:B,0)+1),UPPER(INDEX('BASE EDITAL'!$C:$C,EDITAL!B80+1))),IF($C80=$C78,"Especificação do Objeto","")))</f>
        <v>Ponteiro de pedreiro</v>
      </c>
      <c r="H80" s="84" t="str">
        <f>IF($B79="","",IF($C80=$C77,INDEX('MAPA DE PREÇOS'!$M:$M,MATCH($B80,'MAPA DE PREÇOS'!$B:$B)-16),IF($C80=$C78,"Unidade","")))</f>
        <v>UN</v>
      </c>
      <c r="I80" s="84">
        <f>IF($B79="","",IF($C80=$C77,INDEX('MAPA DE PREÇOS'!$M:$M,MATCH($B80,'MAPA DE PREÇOS'!$B:$B)-17),IF($C80=$C78,"Quant.","")))</f>
        <v>4</v>
      </c>
      <c r="J80" s="60">
        <f>IF(AND(COUNTBLANK($B77:$B79)=2,$B79="",$B78="",MAX(C:C)&gt;1),"Total Estimado",IF($B79="","",IF($C80=$C77,INDEX('MAPA DE PREÇOS'!$M:$M,MATCH($B80,'MAPA DE PREÇOS'!$B:$B)-19),IF($C80=$C78,"Valor Unit. (R$)",IF(AND($C80&lt;&gt;$C79,$J79&lt;&gt;""),IF(MAX(C:C)=1,"Total Estimado","Subtotal"),"")))))</f>
        <v>16.29</v>
      </c>
      <c r="K80" s="75">
        <f>IFERROR(IF(AND(COUNTBLANK($B77:$B79)=2,$B79="",$B78="",MAX(C:C)&gt;1),SUM($K$3:K79)/2,IF($B79="","",IF($C80=$C77,ROUND(J80*I80,2),IF($C80=$C78,"Total Item (R$)",IF(AND($C80&lt;&gt;$C79,$J79&lt;&gt;""),SUMIFS(K:K,C:C,C79,J:J,"&lt;&gt;Subtotal"),""))))),"")</f>
        <v>65.16</v>
      </c>
      <c r="L80" s="75" t="str">
        <f t="shared" si="1"/>
        <v/>
      </c>
    </row>
    <row r="81" spans="2:12" x14ac:dyDescent="0.25">
      <c r="B81" s="41">
        <f>IFERROR(IF(C80=C77,IF(B80+1&lt;='MAPA DE PREÇOS'!$H$8,B80+1,""),B80),"")</f>
        <v>74</v>
      </c>
      <c r="C81" s="41">
        <f>IFERROR(VLOOKUP(B81,'MAPA DE PREÇOS'!B:D,2,FALSE),"")</f>
        <v>1</v>
      </c>
      <c r="D81" s="41">
        <f>IFERROR(VLOOKUP(B81,'MAPA DE PREÇOS'!B:D,3,FALSE),"")</f>
        <v>74</v>
      </c>
      <c r="E81" s="82">
        <f t="shared" si="3"/>
        <v>74</v>
      </c>
      <c r="F81" s="82">
        <f>IF($B80="","",IF($C81=$C78,INDEX('MAPA DE PREÇOS'!$H:$H,MATCH($B81,'MAPA DE PREÇOS'!$B:$B)-19),IF($C81=$C79,"Código","")))</f>
        <v>0</v>
      </c>
      <c r="G81" s="145" t="str">
        <f>IF($B80="","",IF($C81=$C78,IF('BASE EDITAL'!$C$2="",INDEX('MAPA DE PREÇOS'!H:H,MATCH(EDITAL!B81,'MAPA DE PREÇOS'!B:B,0)+1),UPPER(INDEX('BASE EDITAL'!$C:$C,EDITAL!B81+1))),IF($C81=$C79,"Especificação do Objeto","")))</f>
        <v>Balde de pedreiro</v>
      </c>
      <c r="H81" s="84" t="str">
        <f>IF($B80="","",IF($C81=$C78,INDEX('MAPA DE PREÇOS'!$M:$M,MATCH($B81,'MAPA DE PREÇOS'!$B:$B)-16),IF($C81=$C79,"Unidade","")))</f>
        <v>UN</v>
      </c>
      <c r="I81" s="84">
        <f>IF($B80="","",IF($C81=$C78,INDEX('MAPA DE PREÇOS'!$M:$M,MATCH($B81,'MAPA DE PREÇOS'!$B:$B)-17),IF($C81=$C79,"Quant.","")))</f>
        <v>4</v>
      </c>
      <c r="J81" s="60">
        <f>IF(AND(COUNTBLANK($B78:$B80)=2,$B80="",$B79="",MAX(C:C)&gt;1),"Total Estimado",IF($B80="","",IF($C81=$C78,INDEX('MAPA DE PREÇOS'!$M:$M,MATCH($B81,'MAPA DE PREÇOS'!$B:$B)-19),IF($C81=$C79,"Valor Unit. (R$)",IF(AND($C81&lt;&gt;$C80,$J80&lt;&gt;""),IF(MAX(C:C)=1,"Total Estimado","Subtotal"),"")))))</f>
        <v>25.77</v>
      </c>
      <c r="K81" s="75">
        <f>IFERROR(IF(AND(COUNTBLANK($B78:$B80)=2,$B80="",$B79="",MAX(C:C)&gt;1),SUM($K$3:K80)/2,IF($B80="","",IF($C81=$C78,ROUND(J81*I81,2),IF($C81=$C79,"Total Item (R$)",IF(AND($C81&lt;&gt;$C80,$J80&lt;&gt;""),SUMIFS(K:K,C:C,C80,J:J,"&lt;&gt;Subtotal"),""))))),"")</f>
        <v>103.08</v>
      </c>
      <c r="L81" s="75" t="str">
        <f t="shared" si="1"/>
        <v/>
      </c>
    </row>
    <row r="82" spans="2:12" x14ac:dyDescent="0.25">
      <c r="B82" s="41">
        <f>IFERROR(IF(C81=C78,IF(B81+1&lt;='MAPA DE PREÇOS'!$H$8,B81+1,""),B81),"")</f>
        <v>75</v>
      </c>
      <c r="C82" s="41">
        <f>IFERROR(VLOOKUP(B82,'MAPA DE PREÇOS'!B:D,2,FALSE),"")</f>
        <v>1</v>
      </c>
      <c r="D82" s="41">
        <f>IFERROR(VLOOKUP(B82,'MAPA DE PREÇOS'!B:D,3,FALSE),"")</f>
        <v>75</v>
      </c>
      <c r="E82" s="82">
        <f t="shared" si="3"/>
        <v>75</v>
      </c>
      <c r="F82" s="82">
        <f>IF($B81="","",IF($C82=$C79,INDEX('MAPA DE PREÇOS'!$H:$H,MATCH($B82,'MAPA DE PREÇOS'!$B:$B)-19),IF($C82=$C80,"Código","")))</f>
        <v>0</v>
      </c>
      <c r="G82" s="145" t="str">
        <f>IF($B81="","",IF($C82=$C79,IF('BASE EDITAL'!$C$2="",INDEX('MAPA DE PREÇOS'!H:H,MATCH(EDITAL!B82,'MAPA DE PREÇOS'!B:B,0)+1),UPPER(INDEX('BASE EDITAL'!$C:$C,EDITAL!B82+1))),IF($C82=$C80,"Especificação do Objeto","")))</f>
        <v>Enxada</v>
      </c>
      <c r="H82" s="84">
        <f>IF($B81="","",IF($C82=$C79,INDEX('MAPA DE PREÇOS'!$M:$M,MATCH($B82,'MAPA DE PREÇOS'!$B:$B)-16),IF($C82=$C80,"Unidade","")))</f>
        <v>0</v>
      </c>
      <c r="I82" s="84">
        <f>IF($B81="","",IF($C82=$C79,INDEX('MAPA DE PREÇOS'!$M:$M,MATCH($B82,'MAPA DE PREÇOS'!$B:$B)-17),IF($C82=$C80,"Quant.","")))</f>
        <v>12</v>
      </c>
      <c r="J82" s="60">
        <f>IF(AND(COUNTBLANK($B79:$B81)=2,$B81="",$B80="",MAX(C:C)&gt;1),"Total Estimado",IF($B81="","",IF($C82=$C79,INDEX('MAPA DE PREÇOS'!$M:$M,MATCH($B82,'MAPA DE PREÇOS'!$B:$B)-19),IF($C82=$C80,"Valor Unit. (R$)",IF(AND($C82&lt;&gt;$C81,$J81&lt;&gt;""),IF(MAX(C:C)=1,"Total Estimado","Subtotal"),"")))))</f>
        <v>66.900000000000006</v>
      </c>
      <c r="K82" s="75">
        <f>IFERROR(IF(AND(COUNTBLANK($B79:$B81)=2,$B81="",$B80="",MAX(C:C)&gt;1),SUM($K$3:K81)/2,IF($B81="","",IF($C82=$C79,ROUND(J82*I82,2),IF($C82=$C80,"Total Item (R$)",IF(AND($C82&lt;&gt;$C81,$J81&lt;&gt;""),SUMIFS(K:K,C:C,C81,J:J,"&lt;&gt;Subtotal"),""))))),"")</f>
        <v>802.8</v>
      </c>
      <c r="L82" s="75" t="str">
        <f t="shared" si="1"/>
        <v/>
      </c>
    </row>
    <row r="83" spans="2:12" x14ac:dyDescent="0.25">
      <c r="B83" s="41">
        <f>IFERROR(IF(C82=C79,IF(B82+1&lt;='MAPA DE PREÇOS'!$H$8,B82+1,""),B82),"")</f>
        <v>76</v>
      </c>
      <c r="C83" s="41">
        <f>IFERROR(VLOOKUP(B83,'MAPA DE PREÇOS'!B:D,2,FALSE),"")</f>
        <v>1</v>
      </c>
      <c r="D83" s="41">
        <f>IFERROR(VLOOKUP(B83,'MAPA DE PREÇOS'!B:D,3,FALSE),"")</f>
        <v>76</v>
      </c>
      <c r="E83" s="82">
        <f t="shared" si="3"/>
        <v>76</v>
      </c>
      <c r="F83" s="82">
        <f>IF($B82="","",IF($C83=$C80,INDEX('MAPA DE PREÇOS'!$H:$H,MATCH($B83,'MAPA DE PREÇOS'!$B:$B)-19),IF($C83=$C81,"Código","")))</f>
        <v>0</v>
      </c>
      <c r="G83" s="145" t="str">
        <f>IF($B82="","",IF($C83=$C80,IF('BASE EDITAL'!$C$2="",INDEX('MAPA DE PREÇOS'!H:H,MATCH(EDITAL!B83,'MAPA DE PREÇOS'!B:B,0)+1),UPPER(INDEX('BASE EDITAL'!$C:$C,EDITAL!B83+1))),IF($C83=$C81,"Especificação do Objeto","")))</f>
        <v>Picareta</v>
      </c>
      <c r="H83" s="84" t="str">
        <f>IF($B82="","",IF($C83=$C80,INDEX('MAPA DE PREÇOS'!$M:$M,MATCH($B83,'MAPA DE PREÇOS'!$B:$B)-16),IF($C83=$C81,"Unidade","")))</f>
        <v>UN</v>
      </c>
      <c r="I83" s="84">
        <f>IF($B82="","",IF($C83=$C80,INDEX('MAPA DE PREÇOS'!$M:$M,MATCH($B83,'MAPA DE PREÇOS'!$B:$B)-17),IF($C83=$C81,"Quant.","")))</f>
        <v>4</v>
      </c>
      <c r="J83" s="60">
        <f>IF(AND(COUNTBLANK($B80:$B82)=2,$B82="",$B81="",MAX(C:C)&gt;1),"Total Estimado",IF($B82="","",IF($C83=$C80,INDEX('MAPA DE PREÇOS'!$M:$M,MATCH($B83,'MAPA DE PREÇOS'!$B:$B)-19),IF($C83=$C81,"Valor Unit. (R$)",IF(AND($C83&lt;&gt;$C82,$J82&lt;&gt;""),IF(MAX(C:C)=1,"Total Estimado","Subtotal"),"")))))</f>
        <v>106.85</v>
      </c>
      <c r="K83" s="75">
        <f>IFERROR(IF(AND(COUNTBLANK($B80:$B82)=2,$B82="",$B81="",MAX(C:C)&gt;1),SUM($K$3:K82)/2,IF($B82="","",IF($C83=$C80,ROUND(J83*I83,2),IF($C83=$C81,"Total Item (R$)",IF(AND($C83&lt;&gt;$C82,$J82&lt;&gt;""),SUMIFS(K:K,C:C,C82,J:J,"&lt;&gt;Subtotal"),""))))),"")</f>
        <v>427.4</v>
      </c>
      <c r="L83" s="75" t="str">
        <f t="shared" si="1"/>
        <v/>
      </c>
    </row>
    <row r="84" spans="2:12" x14ac:dyDescent="0.25">
      <c r="B84" s="41">
        <f>IFERROR(IF(C83=C80,IF(B83+1&lt;='MAPA DE PREÇOS'!$H$8,B83+1,""),B83),"")</f>
        <v>77</v>
      </c>
      <c r="C84" s="41">
        <f>IFERROR(VLOOKUP(B84,'MAPA DE PREÇOS'!B:D,2,FALSE),"")</f>
        <v>1</v>
      </c>
      <c r="D84" s="41">
        <f>IFERROR(VLOOKUP(B84,'MAPA DE PREÇOS'!B:D,3,FALSE),"")</f>
        <v>77</v>
      </c>
      <c r="E84" s="82">
        <f t="shared" si="3"/>
        <v>77</v>
      </c>
      <c r="F84" s="82">
        <f>IF($B83="","",IF($C84=$C81,INDEX('MAPA DE PREÇOS'!$H:$H,MATCH($B84,'MAPA DE PREÇOS'!$B:$B)-19),IF($C84=$C82,"Código","")))</f>
        <v>0</v>
      </c>
      <c r="G84" s="145" t="str">
        <f>IF($B83="","",IF($C84=$C81,IF('BASE EDITAL'!$C$2="",INDEX('MAPA DE PREÇOS'!H:H,MATCH(EDITAL!B84,'MAPA DE PREÇOS'!B:B,0)+1),UPPER(INDEX('BASE EDITAL'!$C:$C,EDITAL!B84+1))),IF($C84=$C82,"Especificação do Objeto","")))</f>
        <v>Cavadeira articulada</v>
      </c>
      <c r="H84" s="84" t="str">
        <f>IF($B83="","",IF($C84=$C81,INDEX('MAPA DE PREÇOS'!$M:$M,MATCH($B84,'MAPA DE PREÇOS'!$B:$B)-16),IF($C84=$C82,"Unidade","")))</f>
        <v>UN</v>
      </c>
      <c r="I84" s="84">
        <f>IF($B83="","",IF($C84=$C81,INDEX('MAPA DE PREÇOS'!$M:$M,MATCH($B84,'MAPA DE PREÇOS'!$B:$B)-17),IF($C84=$C82,"Quant.","")))</f>
        <v>12</v>
      </c>
      <c r="J84" s="60">
        <f>IF(AND(COUNTBLANK($B81:$B83)=2,$B83="",$B82="",MAX(C:C)&gt;1),"Total Estimado",IF($B83="","",IF($C84=$C81,INDEX('MAPA DE PREÇOS'!$M:$M,MATCH($B84,'MAPA DE PREÇOS'!$B:$B)-19),IF($C84=$C82,"Valor Unit. (R$)",IF(AND($C84&lt;&gt;$C83,$J83&lt;&gt;""),IF(MAX(C:C)=1,"Total Estimado","Subtotal"),"")))))</f>
        <v>82</v>
      </c>
      <c r="K84" s="75">
        <f>IFERROR(IF(AND(COUNTBLANK($B81:$B83)=2,$B83="",$B82="",MAX(C:C)&gt;1),SUM($K$3:K83)/2,IF($B83="","",IF($C84=$C81,ROUND(J84*I84,2),IF($C84=$C82,"Total Item (R$)",IF(AND($C84&lt;&gt;$C83,$J83&lt;&gt;""),SUMIFS(K:K,C:C,C83,J:J,"&lt;&gt;Subtotal"),""))))),"")</f>
        <v>984</v>
      </c>
      <c r="L84" s="75" t="str">
        <f t="shared" si="1"/>
        <v/>
      </c>
    </row>
    <row r="85" spans="2:12" x14ac:dyDescent="0.25">
      <c r="B85" s="41">
        <f>IFERROR(IF(C84=C81,IF(B84+1&lt;='MAPA DE PREÇOS'!$H$8,B84+1,""),B84),"")</f>
        <v>78</v>
      </c>
      <c r="C85" s="41">
        <f>IFERROR(VLOOKUP(B85,'MAPA DE PREÇOS'!B:D,2,FALSE),"")</f>
        <v>1</v>
      </c>
      <c r="D85" s="41">
        <f>IFERROR(VLOOKUP(B85,'MAPA DE PREÇOS'!B:D,3,FALSE),"")</f>
        <v>78</v>
      </c>
      <c r="E85" s="82">
        <f t="shared" si="3"/>
        <v>78</v>
      </c>
      <c r="F85" s="82">
        <f>IF($B84="","",IF($C85=$C82,INDEX('MAPA DE PREÇOS'!$H:$H,MATCH($B85,'MAPA DE PREÇOS'!$B:$B)-19),IF($C85=$C83,"Código","")))</f>
        <v>0</v>
      </c>
      <c r="G85" s="145" t="str">
        <f>IF($B84="","",IF($C85=$C82,IF('BASE EDITAL'!$C$2="",INDEX('MAPA DE PREÇOS'!H:H,MATCH(EDITAL!B85,'MAPA DE PREÇOS'!B:B,0)+1),UPPER(INDEX('BASE EDITAL'!$C:$C,EDITAL!B85+1))),IF($C85=$C83,"Especificação do Objeto","")))</f>
        <v>Pá reta</v>
      </c>
      <c r="H85" s="84" t="str">
        <f>IF($B84="","",IF($C85=$C82,INDEX('MAPA DE PREÇOS'!$M:$M,MATCH($B85,'MAPA DE PREÇOS'!$B:$B)-16),IF($C85=$C83,"Unidade","")))</f>
        <v>UN</v>
      </c>
      <c r="I85" s="84">
        <f>IF($B84="","",IF($C85=$C82,INDEX('MAPA DE PREÇOS'!$M:$M,MATCH($B85,'MAPA DE PREÇOS'!$B:$B)-17),IF($C85=$C83,"Quant.","")))</f>
        <v>12</v>
      </c>
      <c r="J85" s="60">
        <f>IF(AND(COUNTBLANK($B82:$B84)=2,$B84="",$B83="",MAX(C:C)&gt;1),"Total Estimado",IF($B84="","",IF($C85=$C82,INDEX('MAPA DE PREÇOS'!$M:$M,MATCH($B85,'MAPA DE PREÇOS'!$B:$B)-19),IF($C85=$C83,"Valor Unit. (R$)",IF(AND($C85&lt;&gt;$C84,$J84&lt;&gt;""),IF(MAX(C:C)=1,"Total Estimado","Subtotal"),"")))))</f>
        <v>44.75</v>
      </c>
      <c r="K85" s="75">
        <f>IFERROR(IF(AND(COUNTBLANK($B82:$B84)=2,$B84="",$B83="",MAX(C:C)&gt;1),SUM($K$3:K84)/2,IF($B84="","",IF($C85=$C82,ROUND(J85*I85,2),IF($C85=$C83,"Total Item (R$)",IF(AND($C85&lt;&gt;$C84,$J84&lt;&gt;""),SUMIFS(K:K,C:C,C84,J:J,"&lt;&gt;Subtotal"),""))))),"")</f>
        <v>537</v>
      </c>
      <c r="L85" s="75" t="str">
        <f t="shared" si="1"/>
        <v/>
      </c>
    </row>
    <row r="86" spans="2:12" x14ac:dyDescent="0.25">
      <c r="B86" s="41">
        <f>IFERROR(IF(C85=C82,IF(B85+1&lt;='MAPA DE PREÇOS'!$H$8,B85+1,""),B85),"")</f>
        <v>79</v>
      </c>
      <c r="C86" s="41">
        <f>IFERROR(VLOOKUP(B86,'MAPA DE PREÇOS'!B:D,2,FALSE),"")</f>
        <v>1</v>
      </c>
      <c r="D86" s="41">
        <f>IFERROR(VLOOKUP(B86,'MAPA DE PREÇOS'!B:D,3,FALSE),"")</f>
        <v>79</v>
      </c>
      <c r="E86" s="82">
        <f t="shared" si="3"/>
        <v>79</v>
      </c>
      <c r="F86" s="82">
        <f>IF($B85="","",IF($C86=$C83,INDEX('MAPA DE PREÇOS'!$H:$H,MATCH($B86,'MAPA DE PREÇOS'!$B:$B)-19),IF($C86=$C84,"Código","")))</f>
        <v>0</v>
      </c>
      <c r="G86" s="145" t="str">
        <f>IF($B85="","",IF($C86=$C83,IF('BASE EDITAL'!$C$2="",INDEX('MAPA DE PREÇOS'!H:H,MATCH(EDITAL!B86,'MAPA DE PREÇOS'!B:B,0)+1),UPPER(INDEX('BASE EDITAL'!$C:$C,EDITAL!B86+1))),IF($C86=$C84,"Especificação do Objeto","")))</f>
        <v>Pá de concha</v>
      </c>
      <c r="H86" s="84" t="str">
        <f>IF($B85="","",IF($C86=$C83,INDEX('MAPA DE PREÇOS'!$M:$M,MATCH($B86,'MAPA DE PREÇOS'!$B:$B)-16),IF($C86=$C84,"Unidade","")))</f>
        <v>UN</v>
      </c>
      <c r="I86" s="84">
        <f>IF($B85="","",IF($C86=$C83,INDEX('MAPA DE PREÇOS'!$M:$M,MATCH($B86,'MAPA DE PREÇOS'!$B:$B)-17),IF($C86=$C84,"Quant.","")))</f>
        <v>12</v>
      </c>
      <c r="J86" s="60">
        <f>IF(AND(COUNTBLANK($B83:$B85)=2,$B85="",$B84="",MAX(C:C)&gt;1),"Total Estimado",IF($B85="","",IF($C86=$C83,INDEX('MAPA DE PREÇOS'!$M:$M,MATCH($B86,'MAPA DE PREÇOS'!$B:$B)-19),IF($C86=$C84,"Valor Unit. (R$)",IF(AND($C86&lt;&gt;$C85,$J85&lt;&gt;""),IF(MAX(C:C)=1,"Total Estimado","Subtotal"),"")))))</f>
        <v>33.26</v>
      </c>
      <c r="K86" s="75">
        <f>IFERROR(IF(AND(COUNTBLANK($B83:$B85)=2,$B85="",$B84="",MAX(C:C)&gt;1),SUM($K$3:K85)/2,IF($B85="","",IF($C86=$C83,ROUND(J86*I86,2),IF($C86=$C84,"Total Item (R$)",IF(AND($C86&lt;&gt;$C85,$J85&lt;&gt;""),SUMIFS(K:K,C:C,C85,J:J,"&lt;&gt;Subtotal"),""))))),"")</f>
        <v>399.12</v>
      </c>
      <c r="L86" s="75" t="str">
        <f t="shared" si="1"/>
        <v/>
      </c>
    </row>
    <row r="87" spans="2:12" x14ac:dyDescent="0.25">
      <c r="B87" s="41">
        <f>IFERROR(IF(C86=C83,IF(B86+1&lt;='MAPA DE PREÇOS'!$H$8,B86+1,""),B86),"")</f>
        <v>80</v>
      </c>
      <c r="C87" s="41">
        <f>IFERROR(VLOOKUP(B87,'MAPA DE PREÇOS'!B:D,2,FALSE),"")</f>
        <v>1</v>
      </c>
      <c r="D87" s="41">
        <f>IFERROR(VLOOKUP(B87,'MAPA DE PREÇOS'!B:D,3,FALSE),"")</f>
        <v>80</v>
      </c>
      <c r="E87" s="82">
        <f t="shared" si="3"/>
        <v>80</v>
      </c>
      <c r="F87" s="82">
        <f>IF($B86="","",IF($C87=$C84,INDEX('MAPA DE PREÇOS'!$H:$H,MATCH($B87,'MAPA DE PREÇOS'!$B:$B)-19),IF($C87=$C85,"Código","")))</f>
        <v>0</v>
      </c>
      <c r="G87" s="145" t="str">
        <f>IF($B86="","",IF($C87=$C84,IF('BASE EDITAL'!$C$2="",INDEX('MAPA DE PREÇOS'!H:H,MATCH(EDITAL!B87,'MAPA DE PREÇOS'!B:B,0)+1),UPPER(INDEX('BASE EDITAL'!$C:$C,EDITAL!B87+1))),IF($C87=$C85,"Especificação do Objeto","")))</f>
        <v>Linha para pedreiro</v>
      </c>
      <c r="H87" s="84" t="str">
        <f>IF($B86="","",IF($C87=$C84,INDEX('MAPA DE PREÇOS'!$M:$M,MATCH($B87,'MAPA DE PREÇOS'!$B:$B)-16),IF($C87=$C85,"Unidade","")))</f>
        <v>UN</v>
      </c>
      <c r="I87" s="84">
        <f>IF($B86="","",IF($C87=$C84,INDEX('MAPA DE PREÇOS'!$M:$M,MATCH($B87,'MAPA DE PREÇOS'!$B:$B)-17),IF($C87=$C85,"Quant.","")))</f>
        <v>4</v>
      </c>
      <c r="J87" s="60">
        <f>IF(AND(COUNTBLANK($B84:$B86)=2,$B86="",$B85="",MAX(C:C)&gt;1),"Total Estimado",IF($B86="","",IF($C87=$C84,INDEX('MAPA DE PREÇOS'!$M:$M,MATCH($B87,'MAPA DE PREÇOS'!$B:$B)-19),IF($C87=$C85,"Valor Unit. (R$)",IF(AND($C87&lt;&gt;$C86,$J86&lt;&gt;""),IF(MAX(C:C)=1,"Total Estimado","Subtotal"),"")))))</f>
        <v>10.75</v>
      </c>
      <c r="K87" s="75">
        <f>IFERROR(IF(AND(COUNTBLANK($B84:$B86)=2,$B86="",$B85="",MAX(C:C)&gt;1),SUM($K$3:K86)/2,IF($B86="","",IF($C87=$C84,ROUND(J87*I87,2),IF($C87=$C85,"Total Item (R$)",IF(AND($C87&lt;&gt;$C86,$J86&lt;&gt;""),SUMIFS(K:K,C:C,C86,J:J,"&lt;&gt;Subtotal"),""))))),"")</f>
        <v>43</v>
      </c>
      <c r="L87" s="75" t="str">
        <f t="shared" si="1"/>
        <v/>
      </c>
    </row>
    <row r="88" spans="2:12" x14ac:dyDescent="0.25">
      <c r="B88" s="41">
        <f>IFERROR(IF(C87=C84,IF(B87+1&lt;='MAPA DE PREÇOS'!$H$8,B87+1,""),B87),"")</f>
        <v>81</v>
      </c>
      <c r="C88" s="41">
        <f>IFERROR(VLOOKUP(B88,'MAPA DE PREÇOS'!B:D,2,FALSE),"")</f>
        <v>1</v>
      </c>
      <c r="D88" s="41">
        <f>IFERROR(VLOOKUP(B88,'MAPA DE PREÇOS'!B:D,3,FALSE),"")</f>
        <v>81</v>
      </c>
      <c r="E88" s="82">
        <f t="shared" si="3"/>
        <v>81</v>
      </c>
      <c r="F88" s="82">
        <f>IF($B87="","",IF($C88=$C85,INDEX('MAPA DE PREÇOS'!$H:$H,MATCH($B88,'MAPA DE PREÇOS'!$B:$B)-19),IF($C88=$C86,"Código","")))</f>
        <v>0</v>
      </c>
      <c r="G88" s="145" t="str">
        <f>IF($B87="","",IF($C88=$C85,IF('BASE EDITAL'!$C$2="",INDEX('MAPA DE PREÇOS'!H:H,MATCH(EDITAL!B88,'MAPA DE PREÇOS'!B:B,0)+1),UPPER(INDEX('BASE EDITAL'!$C:$C,EDITAL!B88+1))),IF($C88=$C86,"Especificação do Objeto","")))</f>
        <v>Jogo de formões 4 peças</v>
      </c>
      <c r="H88" s="84" t="str">
        <f>IF($B87="","",IF($C88=$C85,INDEX('MAPA DE PREÇOS'!$M:$M,MATCH($B88,'MAPA DE PREÇOS'!$B:$B)-16),IF($C88=$C86,"Unidade","")))</f>
        <v>UN</v>
      </c>
      <c r="I88" s="84">
        <f>IF($B87="","",IF($C88=$C85,INDEX('MAPA DE PREÇOS'!$M:$M,MATCH($B88,'MAPA DE PREÇOS'!$B:$B)-17),IF($C88=$C86,"Quant.","")))</f>
        <v>6</v>
      </c>
      <c r="J88" s="60">
        <f>IF(AND(COUNTBLANK($B85:$B87)=2,$B87="",$B86="",MAX(C:C)&gt;1),"Total Estimado",IF($B87="","",IF($C88=$C85,INDEX('MAPA DE PREÇOS'!$M:$M,MATCH($B88,'MAPA DE PREÇOS'!$B:$B)-19),IF($C88=$C86,"Valor Unit. (R$)",IF(AND($C88&lt;&gt;$C87,$J87&lt;&gt;""),IF(MAX(C:C)=1,"Total Estimado","Subtotal"),"")))))</f>
        <v>178.3</v>
      </c>
      <c r="K88" s="75">
        <f>IFERROR(IF(AND(COUNTBLANK($B85:$B87)=2,$B87="",$B86="",MAX(C:C)&gt;1),SUM($K$3:K87)/2,IF($B87="","",IF($C88=$C85,ROUND(J88*I88,2),IF($C88=$C86,"Total Item (R$)",IF(AND($C88&lt;&gt;$C87,$J87&lt;&gt;""),SUMIFS(K:K,C:C,C87,J:J,"&lt;&gt;Subtotal"),""))))),"")</f>
        <v>1069.8</v>
      </c>
      <c r="L88" s="75" t="str">
        <f t="shared" si="1"/>
        <v/>
      </c>
    </row>
    <row r="89" spans="2:12" x14ac:dyDescent="0.25">
      <c r="B89" s="41">
        <f>IFERROR(IF(C88=C85,IF(B88+1&lt;='MAPA DE PREÇOS'!$H$8,B88+1,""),B88),"")</f>
        <v>82</v>
      </c>
      <c r="C89" s="41">
        <f>IFERROR(VLOOKUP(B89,'MAPA DE PREÇOS'!B:D,2,FALSE),"")</f>
        <v>1</v>
      </c>
      <c r="D89" s="41">
        <f>IFERROR(VLOOKUP(B89,'MAPA DE PREÇOS'!B:D,3,FALSE),"")</f>
        <v>82</v>
      </c>
      <c r="E89" s="82">
        <f t="shared" si="3"/>
        <v>82</v>
      </c>
      <c r="F89" s="82">
        <f>IF($B88="","",IF($C89=$C86,INDEX('MAPA DE PREÇOS'!$H:$H,MATCH($B89,'MAPA DE PREÇOS'!$B:$B)-19),IF($C89=$C87,"Código","")))</f>
        <v>0</v>
      </c>
      <c r="G89" s="145" t="str">
        <f>IF($B88="","",IF($C89=$C86,IF('BASE EDITAL'!$C$2="",INDEX('MAPA DE PREÇOS'!H:H,MATCH(EDITAL!B89,'MAPA DE PREÇOS'!B:B,0)+1),UPPER(INDEX('BASE EDITAL'!$C:$C,EDITAL!B89+1))),IF($C89=$C87,"Especificação do Objeto","")))</f>
        <v>Sargento</v>
      </c>
      <c r="H89" s="84" t="str">
        <f>IF($B88="","",IF($C89=$C86,INDEX('MAPA DE PREÇOS'!$M:$M,MATCH($B89,'MAPA DE PREÇOS'!$B:$B)-16),IF($C89=$C87,"Unidade","")))</f>
        <v>UN</v>
      </c>
      <c r="I89" s="84">
        <f>IF($B88="","",IF($C89=$C86,INDEX('MAPA DE PREÇOS'!$M:$M,MATCH($B89,'MAPA DE PREÇOS'!$B:$B)-17),IF($C89=$C87,"Quant.","")))</f>
        <v>12</v>
      </c>
      <c r="J89" s="60">
        <f>IF(AND(COUNTBLANK($B86:$B88)=2,$B88="",$B87="",MAX(C:C)&gt;1),"Total Estimado",IF($B88="","",IF($C89=$C86,INDEX('MAPA DE PREÇOS'!$M:$M,MATCH($B89,'MAPA DE PREÇOS'!$B:$B)-19),IF($C89=$C87,"Valor Unit. (R$)",IF(AND($C89&lt;&gt;$C88,$J88&lt;&gt;""),IF(MAX(C:C)=1,"Total Estimado","Subtotal"),"")))))</f>
        <v>13.8</v>
      </c>
      <c r="K89" s="75">
        <f>IFERROR(IF(AND(COUNTBLANK($B86:$B88)=2,$B88="",$B87="",MAX(C:C)&gt;1),SUM($K$3:K88)/2,IF($B88="","",IF($C89=$C86,ROUND(J89*I89,2),IF($C89=$C87,"Total Item (R$)",IF(AND($C89&lt;&gt;$C88,$J88&lt;&gt;""),SUMIFS(K:K,C:C,C88,J:J,"&lt;&gt;Subtotal"),""))))),"")</f>
        <v>165.6</v>
      </c>
      <c r="L89" s="75" t="str">
        <f t="shared" si="1"/>
        <v/>
      </c>
    </row>
    <row r="90" spans="2:12" x14ac:dyDescent="0.25">
      <c r="B90" s="41">
        <f>IFERROR(IF(C89=C86,IF(B89+1&lt;='MAPA DE PREÇOS'!$H$8,B89+1,""),B89),"")</f>
        <v>83</v>
      </c>
      <c r="C90" s="41">
        <f>IFERROR(VLOOKUP(B90,'MAPA DE PREÇOS'!B:D,2,FALSE),"")</f>
        <v>1</v>
      </c>
      <c r="D90" s="41">
        <f>IFERROR(VLOOKUP(B90,'MAPA DE PREÇOS'!B:D,3,FALSE),"")</f>
        <v>83</v>
      </c>
      <c r="E90" s="82">
        <f t="shared" si="3"/>
        <v>83</v>
      </c>
      <c r="F90" s="82">
        <f>IF($B89="","",IF($C90=$C87,INDEX('MAPA DE PREÇOS'!$H:$H,MATCH($B90,'MAPA DE PREÇOS'!$B:$B)-19),IF($C90=$C88,"Código","")))</f>
        <v>0</v>
      </c>
      <c r="G90" s="145" t="str">
        <f>IF($B89="","",IF($C90=$C87,IF('BASE EDITAL'!$C$2="",INDEX('MAPA DE PREÇOS'!H:H,MATCH(EDITAL!B90,'MAPA DE PREÇOS'!B:B,0)+1),UPPER(INDEX('BASE EDITAL'!$C:$C,EDITAL!B90+1))),IF($C90=$C88,"Especificação do Objeto","")))</f>
        <v>Serrote</v>
      </c>
      <c r="H90" s="84" t="str">
        <f>IF($B89="","",IF($C90=$C87,INDEX('MAPA DE PREÇOS'!$M:$M,MATCH($B90,'MAPA DE PREÇOS'!$B:$B)-16),IF($C90=$C88,"Unidade","")))</f>
        <v>UN</v>
      </c>
      <c r="I90" s="84">
        <f>IF($B89="","",IF($C90=$C87,INDEX('MAPA DE PREÇOS'!$M:$M,MATCH($B90,'MAPA DE PREÇOS'!$B:$B)-17),IF($C90=$C88,"Quant.","")))</f>
        <v>6</v>
      </c>
      <c r="J90" s="60">
        <f>IF(AND(COUNTBLANK($B87:$B89)=2,$B89="",$B88="",MAX(C:C)&gt;1),"Total Estimado",IF($B89="","",IF($C90=$C87,INDEX('MAPA DE PREÇOS'!$M:$M,MATCH($B90,'MAPA DE PREÇOS'!$B:$B)-19),IF($C90=$C88,"Valor Unit. (R$)",IF(AND($C90&lt;&gt;$C89,$J89&lt;&gt;""),IF(MAX(C:C)=1,"Total Estimado","Subtotal"),"")))))</f>
        <v>59.63</v>
      </c>
      <c r="K90" s="75">
        <f>IFERROR(IF(AND(COUNTBLANK($B87:$B89)=2,$B89="",$B88="",MAX(C:C)&gt;1),SUM($K$3:K89)/2,IF($B89="","",IF($C90=$C87,ROUND(J90*I90,2),IF($C90=$C88,"Total Item (R$)",IF(AND($C90&lt;&gt;$C89,$J89&lt;&gt;""),SUMIFS(K:K,C:C,C89,J:J,"&lt;&gt;Subtotal"),""))))),"")</f>
        <v>357.78</v>
      </c>
      <c r="L90" s="75" t="str">
        <f t="shared" si="1"/>
        <v/>
      </c>
    </row>
    <row r="91" spans="2:12" x14ac:dyDescent="0.25">
      <c r="B91" s="41">
        <f>IFERROR(IF(C90=C87,IF(B90+1&lt;='MAPA DE PREÇOS'!$H$8,B90+1,""),B90),"")</f>
        <v>84</v>
      </c>
      <c r="C91" s="41">
        <f>IFERROR(VLOOKUP(B91,'MAPA DE PREÇOS'!B:D,2,FALSE),"")</f>
        <v>1</v>
      </c>
      <c r="D91" s="41">
        <f>IFERROR(VLOOKUP(B91,'MAPA DE PREÇOS'!B:D,3,FALSE),"")</f>
        <v>84</v>
      </c>
      <c r="E91" s="82">
        <f t="shared" si="3"/>
        <v>84</v>
      </c>
      <c r="F91" s="82">
        <f>IF($B90="","",IF($C91=$C88,INDEX('MAPA DE PREÇOS'!$H:$H,MATCH($B91,'MAPA DE PREÇOS'!$B:$B)-19),IF($C91=$C89,"Código","")))</f>
        <v>0</v>
      </c>
      <c r="G91" s="145" t="str">
        <f>IF($B90="","",IF($C91=$C88,IF('BASE EDITAL'!$C$2="",INDEX('MAPA DE PREÇOS'!H:H,MATCH(EDITAL!B91,'MAPA DE PREÇOS'!B:B,0)+1),UPPER(INDEX('BASE EDITAL'!$C:$C,EDITAL!B91+1))),IF($C91=$C89,"Especificação do Objeto","")))</f>
        <v>Serra japonesa</v>
      </c>
      <c r="H91" s="84" t="str">
        <f>IF($B90="","",IF($C91=$C88,INDEX('MAPA DE PREÇOS'!$M:$M,MATCH($B91,'MAPA DE PREÇOS'!$B:$B)-16),IF($C91=$C89,"Unidade","")))</f>
        <v>UN</v>
      </c>
      <c r="I91" s="84">
        <f>IF($B90="","",IF($C91=$C88,INDEX('MAPA DE PREÇOS'!$M:$M,MATCH($B91,'MAPA DE PREÇOS'!$B:$B)-17),IF($C91=$C89,"Quant.","")))</f>
        <v>4</v>
      </c>
      <c r="J91" s="60">
        <f>IF(AND(COUNTBLANK($B88:$B90)=2,$B90="",$B89="",MAX(C:C)&gt;1),"Total Estimado",IF($B90="","",IF($C91=$C88,INDEX('MAPA DE PREÇOS'!$M:$M,MATCH($B91,'MAPA DE PREÇOS'!$B:$B)-19),IF($C91=$C89,"Valor Unit. (R$)",IF(AND($C91&lt;&gt;$C90,$J90&lt;&gt;""),IF(MAX(C:C)=1,"Total Estimado","Subtotal"),"")))))</f>
        <v>85.55</v>
      </c>
      <c r="K91" s="75">
        <f>IFERROR(IF(AND(COUNTBLANK($B88:$B90)=2,$B90="",$B89="",MAX(C:C)&gt;1),SUM($K$3:K90)/2,IF($B90="","",IF($C91=$C88,ROUND(J91*I91,2),IF($C91=$C89,"Total Item (R$)",IF(AND($C91&lt;&gt;$C90,$J90&lt;&gt;""),SUMIFS(K:K,C:C,C90,J:J,"&lt;&gt;Subtotal"),""))))),"")</f>
        <v>342.2</v>
      </c>
      <c r="L91" s="75" t="str">
        <f t="shared" si="1"/>
        <v/>
      </c>
    </row>
    <row r="92" spans="2:12" x14ac:dyDescent="0.25">
      <c r="B92" s="41">
        <f>IFERROR(IF(C91=C88,IF(B91+1&lt;='MAPA DE PREÇOS'!$H$8,B91+1,""),B91),"")</f>
        <v>85</v>
      </c>
      <c r="C92" s="41">
        <f>IFERROR(VLOOKUP(B92,'MAPA DE PREÇOS'!B:D,2,FALSE),"")</f>
        <v>1</v>
      </c>
      <c r="D92" s="41">
        <f>IFERROR(VLOOKUP(B92,'MAPA DE PREÇOS'!B:D,3,FALSE),"")</f>
        <v>85</v>
      </c>
      <c r="E92" s="82">
        <f t="shared" si="3"/>
        <v>85</v>
      </c>
      <c r="F92" s="82">
        <f>IF($B91="","",IF($C92=$C89,INDEX('MAPA DE PREÇOS'!$H:$H,MATCH($B92,'MAPA DE PREÇOS'!$B:$B)-19),IF($C92=$C90,"Código","")))</f>
        <v>0</v>
      </c>
      <c r="G92" s="145" t="str">
        <f>IF($B91="","",IF($C92=$C89,IF('BASE EDITAL'!$C$2="",INDEX('MAPA DE PREÇOS'!H:H,MATCH(EDITAL!B92,'MAPA DE PREÇOS'!B:B,0)+1),UPPER(INDEX('BASE EDITAL'!$C:$C,EDITAL!B92+1))),IF($C92=$C90,"Especificação do Objeto","")))</f>
        <v>Pé de cabra</v>
      </c>
      <c r="H92" s="84" t="str">
        <f>IF($B91="","",IF($C92=$C89,INDEX('MAPA DE PREÇOS'!$M:$M,MATCH($B92,'MAPA DE PREÇOS'!$B:$B)-16),IF($C92=$C90,"Unidade","")))</f>
        <v>UN</v>
      </c>
      <c r="I92" s="84">
        <f>IF($B91="","",IF($C92=$C89,INDEX('MAPA DE PREÇOS'!$M:$M,MATCH($B92,'MAPA DE PREÇOS'!$B:$B)-17),IF($C92=$C90,"Quant.","")))</f>
        <v>4</v>
      </c>
      <c r="J92" s="60">
        <f>IF(AND(COUNTBLANK($B89:$B91)=2,$B91="",$B90="",MAX(C:C)&gt;1),"Total Estimado",IF($B91="","",IF($C92=$C89,INDEX('MAPA DE PREÇOS'!$M:$M,MATCH($B92,'MAPA DE PREÇOS'!$B:$B)-19),IF($C92=$C90,"Valor Unit. (R$)",IF(AND($C92&lt;&gt;$C91,$J91&lt;&gt;""),IF(MAX(C:C)=1,"Total Estimado","Subtotal"),"")))))</f>
        <v>94.94</v>
      </c>
      <c r="K92" s="75">
        <f>IFERROR(IF(AND(COUNTBLANK($B89:$B91)=2,$B91="",$B90="",MAX(C:C)&gt;1),SUM($K$3:K91)/2,IF($B91="","",IF($C92=$C89,ROUND(J92*I92,2),IF($C92=$C90,"Total Item (R$)",IF(AND($C92&lt;&gt;$C91,$J91&lt;&gt;""),SUMIFS(K:K,C:C,C91,J:J,"&lt;&gt;Subtotal"),""))))),"")</f>
        <v>379.76</v>
      </c>
      <c r="L92" s="75" t="str">
        <f t="shared" si="1"/>
        <v/>
      </c>
    </row>
    <row r="93" spans="2:12" x14ac:dyDescent="0.25">
      <c r="B93" s="41">
        <f>IFERROR(IF(C92=C89,IF(B92+1&lt;='MAPA DE PREÇOS'!$H$8,B92+1,""),B92),"")</f>
        <v>86</v>
      </c>
      <c r="C93" s="41">
        <f>IFERROR(VLOOKUP(B93,'MAPA DE PREÇOS'!B:D,2,FALSE),"")</f>
        <v>1</v>
      </c>
      <c r="D93" s="41">
        <f>IFERROR(VLOOKUP(B93,'MAPA DE PREÇOS'!B:D,3,FALSE),"")</f>
        <v>86</v>
      </c>
      <c r="E93" s="82">
        <f t="shared" si="3"/>
        <v>86</v>
      </c>
      <c r="F93" s="82">
        <f>IF($B92="","",IF($C93=$C90,INDEX('MAPA DE PREÇOS'!$H:$H,MATCH($B93,'MAPA DE PREÇOS'!$B:$B)-19),IF($C93=$C91,"Código","")))</f>
        <v>0</v>
      </c>
      <c r="G93" s="145" t="str">
        <f>IF($B92="","",IF($C93=$C90,IF('BASE EDITAL'!$C$2="",INDEX('MAPA DE PREÇOS'!H:H,MATCH(EDITAL!B93,'MAPA DE PREÇOS'!B:B,0)+1),UPPER(INDEX('BASE EDITAL'!$C:$C,EDITAL!B93+1))),IF($C93=$C91,"Especificação do Objeto","")))</f>
        <v xml:space="preserve">Torquês </v>
      </c>
      <c r="H93" s="84" t="str">
        <f>IF($B92="","",IF($C93=$C90,INDEX('MAPA DE PREÇOS'!$M:$M,MATCH($B93,'MAPA DE PREÇOS'!$B:$B)-16),IF($C93=$C91,"Unidade","")))</f>
        <v>UN</v>
      </c>
      <c r="I93" s="84">
        <f>IF($B92="","",IF($C93=$C90,INDEX('MAPA DE PREÇOS'!$M:$M,MATCH($B93,'MAPA DE PREÇOS'!$B:$B)-17),IF($C93=$C91,"Quant.","")))</f>
        <v>4</v>
      </c>
      <c r="J93" s="60">
        <f>IF(AND(COUNTBLANK($B90:$B92)=2,$B92="",$B91="",MAX(C:C)&gt;1),"Total Estimado",IF($B92="","",IF($C93=$C90,INDEX('MAPA DE PREÇOS'!$M:$M,MATCH($B93,'MAPA DE PREÇOS'!$B:$B)-19),IF($C93=$C91,"Valor Unit. (R$)",IF(AND($C93&lt;&gt;$C92,$J92&lt;&gt;""),IF(MAX(C:C)=1,"Total Estimado","Subtotal"),"")))))</f>
        <v>41.93</v>
      </c>
      <c r="K93" s="75">
        <f>IFERROR(IF(AND(COUNTBLANK($B90:$B92)=2,$B92="",$B91="",MAX(C:C)&gt;1),SUM($K$3:K92)/2,IF($B92="","",IF($C93=$C90,ROUND(J93*I93,2),IF($C93=$C91,"Total Item (R$)",IF(AND($C93&lt;&gt;$C92,$J92&lt;&gt;""),SUMIFS(K:K,C:C,C92,J:J,"&lt;&gt;Subtotal"),""))))),"")</f>
        <v>167.72</v>
      </c>
      <c r="L93" s="75" t="str">
        <f t="shared" si="1"/>
        <v/>
      </c>
    </row>
    <row r="94" spans="2:12" x14ac:dyDescent="0.25">
      <c r="B94" s="41">
        <f>IFERROR(IF(C93=C90,IF(B93+1&lt;='MAPA DE PREÇOS'!$H$8,B93+1,""),B93),"")</f>
        <v>87</v>
      </c>
      <c r="C94" s="41">
        <f>IFERROR(VLOOKUP(B94,'MAPA DE PREÇOS'!B:D,2,FALSE),"")</f>
        <v>1</v>
      </c>
      <c r="D94" s="41">
        <f>IFERROR(VLOOKUP(B94,'MAPA DE PREÇOS'!B:D,3,FALSE),"")</f>
        <v>87</v>
      </c>
      <c r="E94" s="82">
        <f t="shared" si="3"/>
        <v>87</v>
      </c>
      <c r="F94" s="82">
        <f>IF($B93="","",IF($C94=$C91,INDEX('MAPA DE PREÇOS'!$H:$H,MATCH($B94,'MAPA DE PREÇOS'!$B:$B)-19),IF($C94=$C92,"Código","")))</f>
        <v>0</v>
      </c>
      <c r="G94" s="145" t="str">
        <f>IF($B93="","",IF($C94=$C91,IF('BASE EDITAL'!$C$2="",INDEX('MAPA DE PREÇOS'!H:H,MATCH(EDITAL!B94,'MAPA DE PREÇOS'!B:B,0)+1),UPPER(INDEX('BASE EDITAL'!$C:$C,EDITAL!B94+1))),IF($C94=$C92,"Especificação do Objeto","")))</f>
        <v>Grampo rápico</v>
      </c>
      <c r="H94" s="84" t="str">
        <f>IF($B93="","",IF($C94=$C91,INDEX('MAPA DE PREÇOS'!$M:$M,MATCH($B94,'MAPA DE PREÇOS'!$B:$B)-16),IF($C94=$C92,"Unidade","")))</f>
        <v>UN</v>
      </c>
      <c r="I94" s="84">
        <f>IF($B93="","",IF($C94=$C91,INDEX('MAPA DE PREÇOS'!$M:$M,MATCH($B94,'MAPA DE PREÇOS'!$B:$B)-17),IF($C94=$C92,"Quant.","")))</f>
        <v>6</v>
      </c>
      <c r="J94" s="60">
        <f>IF(AND(COUNTBLANK($B91:$B93)=2,$B93="",$B92="",MAX(C:C)&gt;1),"Total Estimado",IF($B93="","",IF($C94=$C91,INDEX('MAPA DE PREÇOS'!$M:$M,MATCH($B94,'MAPA DE PREÇOS'!$B:$B)-19),IF($C94=$C92,"Valor Unit. (R$)",IF(AND($C94&lt;&gt;$C93,$J93&lt;&gt;""),IF(MAX(C:C)=1,"Total Estimado","Subtotal"),"")))))</f>
        <v>40.64</v>
      </c>
      <c r="K94" s="75">
        <f>IFERROR(IF(AND(COUNTBLANK($B91:$B93)=2,$B93="",$B92="",MAX(C:C)&gt;1),SUM($K$3:K93)/2,IF($B93="","",IF($C94=$C91,ROUND(J94*I94,2),IF($C94=$C92,"Total Item (R$)",IF(AND($C94&lt;&gt;$C93,$J93&lt;&gt;""),SUMIFS(K:K,C:C,C93,J:J,"&lt;&gt;Subtotal"),""))))),"")</f>
        <v>243.84</v>
      </c>
      <c r="L94" s="75" t="str">
        <f t="shared" si="1"/>
        <v/>
      </c>
    </row>
    <row r="95" spans="2:12" x14ac:dyDescent="0.25">
      <c r="B95" s="41">
        <f>IFERROR(IF(C94=C91,IF(B94+1&lt;='MAPA DE PREÇOS'!$H$8,B94+1,""),B94),"")</f>
        <v>88</v>
      </c>
      <c r="C95" s="41">
        <f>IFERROR(VLOOKUP(B95,'MAPA DE PREÇOS'!B:D,2,FALSE),"")</f>
        <v>1</v>
      </c>
      <c r="D95" s="41">
        <f>IFERROR(VLOOKUP(B95,'MAPA DE PREÇOS'!B:D,3,FALSE),"")</f>
        <v>88</v>
      </c>
      <c r="E95" s="82">
        <f t="shared" si="3"/>
        <v>88</v>
      </c>
      <c r="F95" s="82">
        <f>IF($B94="","",IF($C95=$C92,INDEX('MAPA DE PREÇOS'!$H:$H,MATCH($B95,'MAPA DE PREÇOS'!$B:$B)-19),IF($C95=$C93,"Código","")))</f>
        <v>0</v>
      </c>
      <c r="G95" s="145" t="str">
        <f>IF($B94="","",IF($C95=$C92,IF('BASE EDITAL'!$C$2="",INDEX('MAPA DE PREÇOS'!H:H,MATCH(EDITAL!B95,'MAPA DE PREÇOS'!B:B,0)+1),UPPER(INDEX('BASE EDITAL'!$C:$C,EDITAL!B95+1))),IF($C95=$C93,"Especificação do Objeto","")))</f>
        <v xml:space="preserve">Jogo de brocas 33 peças </v>
      </c>
      <c r="H95" s="84" t="str">
        <f>IF($B94="","",IF($C95=$C92,INDEX('MAPA DE PREÇOS'!$M:$M,MATCH($B95,'MAPA DE PREÇOS'!$B:$B)-16),IF($C95=$C93,"Unidade","")))</f>
        <v>UN</v>
      </c>
      <c r="I95" s="84">
        <f>IF($B94="","",IF($C95=$C92,INDEX('MAPA DE PREÇOS'!$M:$M,MATCH($B95,'MAPA DE PREÇOS'!$B:$B)-17),IF($C95=$C93,"Quant.","")))</f>
        <v>2</v>
      </c>
      <c r="J95" s="60">
        <f>IF(AND(COUNTBLANK($B92:$B94)=2,$B94="",$B93="",MAX(C:C)&gt;1),"Total Estimado",IF($B94="","",IF($C95=$C92,INDEX('MAPA DE PREÇOS'!$M:$M,MATCH($B95,'MAPA DE PREÇOS'!$B:$B)-19),IF($C95=$C93,"Valor Unit. (R$)",IF(AND($C95&lt;&gt;$C94,$J94&lt;&gt;""),IF(MAX(C:C)=1,"Total Estimado","Subtotal"),"")))))</f>
        <v>77.900000000000006</v>
      </c>
      <c r="K95" s="75">
        <f>IFERROR(IF(AND(COUNTBLANK($B92:$B94)=2,$B94="",$B93="",MAX(C:C)&gt;1),SUM($K$3:K94)/2,IF($B94="","",IF($C95=$C92,ROUND(J95*I95,2),IF($C95=$C93,"Total Item (R$)",IF(AND($C95&lt;&gt;$C94,$J94&lt;&gt;""),SUMIFS(K:K,C:C,C94,J:J,"&lt;&gt;Subtotal"),""))))),"")</f>
        <v>155.80000000000001</v>
      </c>
      <c r="L95" s="75" t="str">
        <f t="shared" si="1"/>
        <v/>
      </c>
    </row>
    <row r="96" spans="2:12" x14ac:dyDescent="0.25">
      <c r="B96" s="41">
        <f>IFERROR(IF(C95=C92,IF(B95+1&lt;='MAPA DE PREÇOS'!$H$8,B95+1,""),B95),"")</f>
        <v>89</v>
      </c>
      <c r="C96" s="41">
        <f>IFERROR(VLOOKUP(B96,'MAPA DE PREÇOS'!B:D,2,FALSE),"")</f>
        <v>1</v>
      </c>
      <c r="D96" s="41">
        <f>IFERROR(VLOOKUP(B96,'MAPA DE PREÇOS'!B:D,3,FALSE),"")</f>
        <v>89</v>
      </c>
      <c r="E96" s="82">
        <f t="shared" si="3"/>
        <v>89</v>
      </c>
      <c r="F96" s="82">
        <f>IF($B95="","",IF($C96=$C93,INDEX('MAPA DE PREÇOS'!$H:$H,MATCH($B96,'MAPA DE PREÇOS'!$B:$B)-19),IF($C96=$C94,"Código","")))</f>
        <v>0</v>
      </c>
      <c r="G96" s="145" t="str">
        <f>IF($B95="","",IF($C96=$C93,IF('BASE EDITAL'!$C$2="",INDEX('MAPA DE PREÇOS'!H:H,MATCH(EDITAL!B96,'MAPA DE PREÇOS'!B:B,0)+1),UPPER(INDEX('BASE EDITAL'!$C:$C,EDITAL!B96+1))),IF($C96=$C94,"Especificação do Objeto","")))</f>
        <v>Jogo de serra copo 11 peças</v>
      </c>
      <c r="H96" s="84" t="str">
        <f>IF($B95="","",IF($C96=$C93,INDEX('MAPA DE PREÇOS'!$M:$M,MATCH($B96,'MAPA DE PREÇOS'!$B:$B)-16),IF($C96=$C94,"Unidade","")))</f>
        <v>UN</v>
      </c>
      <c r="I96" s="84">
        <f>IF($B95="","",IF($C96=$C93,INDEX('MAPA DE PREÇOS'!$M:$M,MATCH($B96,'MAPA DE PREÇOS'!$B:$B)-17),IF($C96=$C94,"Quant.","")))</f>
        <v>2</v>
      </c>
      <c r="J96" s="60">
        <f>IF(AND(COUNTBLANK($B93:$B95)=2,$B95="",$B94="",MAX(C:C)&gt;1),"Total Estimado",IF($B95="","",IF($C96=$C93,INDEX('MAPA DE PREÇOS'!$M:$M,MATCH($B96,'MAPA DE PREÇOS'!$B:$B)-19),IF($C96=$C94,"Valor Unit. (R$)",IF(AND($C96&lt;&gt;$C95,$J95&lt;&gt;""),IF(MAX(C:C)=1,"Total Estimado","Subtotal"),"")))))</f>
        <v>37.1</v>
      </c>
      <c r="K96" s="75">
        <f>IFERROR(IF(AND(COUNTBLANK($B93:$B95)=2,$B95="",$B94="",MAX(C:C)&gt;1),SUM($K$3:K95)/2,IF($B95="","",IF($C96=$C93,ROUND(J96*I96,2),IF($C96=$C94,"Total Item (R$)",IF(AND($C96&lt;&gt;$C95,$J95&lt;&gt;""),SUMIFS(K:K,C:C,C95,J:J,"&lt;&gt;Subtotal"),""))))),"")</f>
        <v>74.2</v>
      </c>
      <c r="L96" s="75" t="str">
        <f t="shared" si="1"/>
        <v/>
      </c>
    </row>
    <row r="97" spans="2:12" x14ac:dyDescent="0.25">
      <c r="B97" s="41">
        <f>IFERROR(IF(C96=C93,IF(B96+1&lt;='MAPA DE PREÇOS'!$H$8,B96+1,""),B96),"")</f>
        <v>90</v>
      </c>
      <c r="C97" s="41">
        <f>IFERROR(VLOOKUP(B97,'MAPA DE PREÇOS'!B:D,2,FALSE),"")</f>
        <v>1</v>
      </c>
      <c r="D97" s="41">
        <f>IFERROR(VLOOKUP(B97,'MAPA DE PREÇOS'!B:D,3,FALSE),"")</f>
        <v>90</v>
      </c>
      <c r="E97" s="82">
        <f t="shared" si="3"/>
        <v>90</v>
      </c>
      <c r="F97" s="82">
        <f>IF($B96="","",IF($C97=$C94,INDEX('MAPA DE PREÇOS'!$H:$H,MATCH($B97,'MAPA DE PREÇOS'!$B:$B)-19),IF($C97=$C95,"Código","")))</f>
        <v>0</v>
      </c>
      <c r="G97" s="145" t="str">
        <f>IF($B96="","",IF($C97=$C94,IF('BASE EDITAL'!$C$2="",INDEX('MAPA DE PREÇOS'!H:H,MATCH(EDITAL!B97,'MAPA DE PREÇOS'!B:B,0)+1),UPPER(INDEX('BASE EDITAL'!$C:$C,EDITAL!B97+1))),IF($C97=$C95,"Especificação do Objeto","")))</f>
        <v xml:space="preserve">Inversora de solda </v>
      </c>
      <c r="H97" s="84" t="str">
        <f>IF($B96="","",IF($C97=$C94,INDEX('MAPA DE PREÇOS'!$M:$M,MATCH($B97,'MAPA DE PREÇOS'!$B:$B)-16),IF($C97=$C95,"Unidade","")))</f>
        <v>UN</v>
      </c>
      <c r="I97" s="84">
        <f>IF($B96="","",IF($C97=$C94,INDEX('MAPA DE PREÇOS'!$M:$M,MATCH($B97,'MAPA DE PREÇOS'!$B:$B)-17),IF($C97=$C95,"Quant.","")))</f>
        <v>2</v>
      </c>
      <c r="J97" s="60">
        <f>IF(AND(COUNTBLANK($B94:$B96)=2,$B96="",$B95="",MAX(C:C)&gt;1),"Total Estimado",IF($B96="","",IF($C97=$C94,INDEX('MAPA DE PREÇOS'!$M:$M,MATCH($B97,'MAPA DE PREÇOS'!$B:$B)-19),IF($C97=$C95,"Valor Unit. (R$)",IF(AND($C97&lt;&gt;$C96,$J96&lt;&gt;""),IF(MAX(C:C)=1,"Total Estimado","Subtotal"),"")))))</f>
        <v>624.20000000000005</v>
      </c>
      <c r="K97" s="75">
        <f>IFERROR(IF(AND(COUNTBLANK($B94:$B96)=2,$B96="",$B95="",MAX(C:C)&gt;1),SUM($K$3:K96)/2,IF($B96="","",IF($C97=$C94,ROUND(J97*I97,2),IF($C97=$C95,"Total Item (R$)",IF(AND($C97&lt;&gt;$C96,$J96&lt;&gt;""),SUMIFS(K:K,C:C,C96,J:J,"&lt;&gt;Subtotal"),""))))),"")</f>
        <v>1248.4000000000001</v>
      </c>
      <c r="L97" s="75" t="str">
        <f t="shared" si="1"/>
        <v/>
      </c>
    </row>
    <row r="98" spans="2:12" x14ac:dyDescent="0.25">
      <c r="B98" s="41">
        <f>IFERROR(IF(C97=C94,IF(B97+1&lt;='MAPA DE PREÇOS'!$H$8,B97+1,""),B97),"")</f>
        <v>91</v>
      </c>
      <c r="C98" s="41">
        <f>IFERROR(VLOOKUP(B98,'MAPA DE PREÇOS'!B:D,2,FALSE),"")</f>
        <v>1</v>
      </c>
      <c r="D98" s="41">
        <f>IFERROR(VLOOKUP(B98,'MAPA DE PREÇOS'!B:D,3,FALSE),"")</f>
        <v>91</v>
      </c>
      <c r="E98" s="82">
        <f t="shared" si="3"/>
        <v>91</v>
      </c>
      <c r="F98" s="82">
        <f>IF($B97="","",IF($C98=$C95,INDEX('MAPA DE PREÇOS'!$H:$H,MATCH($B98,'MAPA DE PREÇOS'!$B:$B)-19),IF($C98=$C96,"Código","")))</f>
        <v>0</v>
      </c>
      <c r="G98" s="145" t="str">
        <f>IF($B97="","",IF($C98=$C95,IF('BASE EDITAL'!$C$2="",INDEX('MAPA DE PREÇOS'!H:H,MATCH(EDITAL!B98,'MAPA DE PREÇOS'!B:B,0)+1),UPPER(INDEX('BASE EDITAL'!$C:$C,EDITAL!B98+1))),IF($C98=$C96,"Especificação do Objeto","")))</f>
        <v>Morsa</v>
      </c>
      <c r="H98" s="84" t="str">
        <f>IF($B97="","",IF($C98=$C95,INDEX('MAPA DE PREÇOS'!$M:$M,MATCH($B98,'MAPA DE PREÇOS'!$B:$B)-16),IF($C98=$C96,"Unidade","")))</f>
        <v>UN</v>
      </c>
      <c r="I98" s="84">
        <f>IF($B97="","",IF($C98=$C95,INDEX('MAPA DE PREÇOS'!$M:$M,MATCH($B98,'MAPA DE PREÇOS'!$B:$B)-17),IF($C98=$C96,"Quant.","")))</f>
        <v>1</v>
      </c>
      <c r="J98" s="60">
        <f>IF(AND(COUNTBLANK($B95:$B97)=2,$B97="",$B96="",MAX(C:C)&gt;1),"Total Estimado",IF($B97="","",IF($C98=$C95,INDEX('MAPA DE PREÇOS'!$M:$M,MATCH($B98,'MAPA DE PREÇOS'!$B:$B)-19),IF($C98=$C96,"Valor Unit. (R$)",IF(AND($C98&lt;&gt;$C97,$J97&lt;&gt;""),IF(MAX(C:C)=1,"Total Estimado","Subtotal"),"")))))</f>
        <v>44.97</v>
      </c>
      <c r="K98" s="75">
        <f>IFERROR(IF(AND(COUNTBLANK($B95:$B97)=2,$B97="",$B96="",MAX(C:C)&gt;1),SUM($K$3:K97)/2,IF($B97="","",IF($C98=$C95,ROUND(J98*I98,2),IF($C98=$C96,"Total Item (R$)",IF(AND($C98&lt;&gt;$C97,$J97&lt;&gt;""),SUMIFS(K:K,C:C,C97,J:J,"&lt;&gt;Subtotal"),""))))),"")</f>
        <v>44.97</v>
      </c>
      <c r="L98" s="75" t="str">
        <f t="shared" si="1"/>
        <v/>
      </c>
    </row>
    <row r="99" spans="2:12" x14ac:dyDescent="0.25">
      <c r="B99" s="41">
        <f>IFERROR(IF(C98=C95,IF(B98+1&lt;='MAPA DE PREÇOS'!$H$8,B98+1,""),B98),"")</f>
        <v>92</v>
      </c>
      <c r="C99" s="41">
        <f>IFERROR(VLOOKUP(B99,'MAPA DE PREÇOS'!B:D,2,FALSE),"")</f>
        <v>1</v>
      </c>
      <c r="D99" s="41">
        <f>IFERROR(VLOOKUP(B99,'MAPA DE PREÇOS'!B:D,3,FALSE),"")</f>
        <v>92</v>
      </c>
      <c r="E99" s="82">
        <f t="shared" si="3"/>
        <v>92</v>
      </c>
      <c r="F99" s="82">
        <f>IF($B98="","",IF($C99=$C96,INDEX('MAPA DE PREÇOS'!$H:$H,MATCH($B99,'MAPA DE PREÇOS'!$B:$B)-19),IF($C99=$C97,"Código","")))</f>
        <v>0</v>
      </c>
      <c r="G99" s="145" t="str">
        <f>IF($B98="","",IF($C99=$C96,IF('BASE EDITAL'!$C$2="",INDEX('MAPA DE PREÇOS'!H:H,MATCH(EDITAL!B99,'MAPA DE PREÇOS'!B:B,0)+1),UPPER(INDEX('BASE EDITAL'!$C:$C,EDITAL!B99+1))),IF($C99=$C97,"Especificação do Objeto","")))</f>
        <v xml:space="preserve">Alicate de pressão para solda </v>
      </c>
      <c r="H99" s="84" t="str">
        <f>IF($B98="","",IF($C99=$C96,INDEX('MAPA DE PREÇOS'!$M:$M,MATCH($B99,'MAPA DE PREÇOS'!$B:$B)-16),IF($C99=$C97,"Unidade","")))</f>
        <v>UN</v>
      </c>
      <c r="I99" s="84">
        <f>IF($B98="","",IF($C99=$C96,INDEX('MAPA DE PREÇOS'!$M:$M,MATCH($B99,'MAPA DE PREÇOS'!$B:$B)-17),IF($C99=$C97,"Quant.","")))</f>
        <v>1</v>
      </c>
      <c r="J99" s="60">
        <f>IF(AND(COUNTBLANK($B96:$B98)=2,$B98="",$B97="",MAX(C:C)&gt;1),"Total Estimado",IF($B98="","",IF($C99=$C96,INDEX('MAPA DE PREÇOS'!$M:$M,MATCH($B99,'MAPA DE PREÇOS'!$B:$B)-19),IF($C99=$C97,"Valor Unit. (R$)",IF(AND($C99&lt;&gt;$C98,$J98&lt;&gt;""),IF(MAX(C:C)=1,"Total Estimado","Subtotal"),"")))))</f>
        <v>166.25</v>
      </c>
      <c r="K99" s="75">
        <f>IFERROR(IF(AND(COUNTBLANK($B96:$B98)=2,$B98="",$B97="",MAX(C:C)&gt;1),SUM($K$3:K98)/2,IF($B98="","",IF($C99=$C96,ROUND(J99*I99,2),IF($C99=$C97,"Total Item (R$)",IF(AND($C99&lt;&gt;$C98,$J98&lt;&gt;""),SUMIFS(K:K,C:C,C98,J:J,"&lt;&gt;Subtotal"),""))))),"")</f>
        <v>166.25</v>
      </c>
      <c r="L99" s="75" t="str">
        <f t="shared" si="1"/>
        <v/>
      </c>
    </row>
    <row r="100" spans="2:12" x14ac:dyDescent="0.25">
      <c r="B100" s="41">
        <f>IFERROR(IF(C99=C96,IF(B99+1&lt;='MAPA DE PREÇOS'!$H$8,B99+1,""),B99),"")</f>
        <v>93</v>
      </c>
      <c r="C100" s="41">
        <f>IFERROR(VLOOKUP(B100,'MAPA DE PREÇOS'!B:D,2,FALSE),"")</f>
        <v>1</v>
      </c>
      <c r="D100" s="41">
        <f>IFERROR(VLOOKUP(B100,'MAPA DE PREÇOS'!B:D,3,FALSE),"")</f>
        <v>93</v>
      </c>
      <c r="E100" s="82">
        <f t="shared" si="3"/>
        <v>93</v>
      </c>
      <c r="F100" s="82">
        <f>IF($B99="","",IF($C100=$C97,INDEX('MAPA DE PREÇOS'!$H:$H,MATCH($B100,'MAPA DE PREÇOS'!$B:$B)-19),IF($C100=$C98,"Código","")))</f>
        <v>0</v>
      </c>
      <c r="G100" s="145" t="str">
        <f>IF($B99="","",IF($C100=$C97,IF('BASE EDITAL'!$C$2="",INDEX('MAPA DE PREÇOS'!H:H,MATCH(EDITAL!B100,'MAPA DE PREÇOS'!B:B,0)+1),UPPER(INDEX('BASE EDITAL'!$C:$C,EDITAL!B100+1))),IF($C100=$C98,"Especificação do Objeto","")))</f>
        <v xml:space="preserve">Tesoura de chapa </v>
      </c>
      <c r="H100" s="84" t="str">
        <f>IF($B99="","",IF($C100=$C97,INDEX('MAPA DE PREÇOS'!$M:$M,MATCH($B100,'MAPA DE PREÇOS'!$B:$B)-16),IF($C100=$C98,"Unidade","")))</f>
        <v>UN</v>
      </c>
      <c r="I100" s="84">
        <f>IF($B99="","",IF($C100=$C97,INDEX('MAPA DE PREÇOS'!$M:$M,MATCH($B100,'MAPA DE PREÇOS'!$B:$B)-17),IF($C100=$C98,"Quant.","")))</f>
        <v>1</v>
      </c>
      <c r="J100" s="60">
        <f>IF(AND(COUNTBLANK($B97:$B99)=2,$B99="",$B98="",MAX(C:C)&gt;1),"Total Estimado",IF($B99="","",IF($C100=$C97,INDEX('MAPA DE PREÇOS'!$M:$M,MATCH($B100,'MAPA DE PREÇOS'!$B:$B)-19),IF($C100=$C98,"Valor Unit. (R$)",IF(AND($C100&lt;&gt;$C99,$J99&lt;&gt;""),IF(MAX(C:C)=1,"Total Estimado","Subtotal"),"")))))</f>
        <v>108.59</v>
      </c>
      <c r="K100" s="75">
        <f>IFERROR(IF(AND(COUNTBLANK($B97:$B99)=2,$B99="",$B98="",MAX(C:C)&gt;1),SUM($K$3:K99)/2,IF($B99="","",IF($C100=$C97,ROUND(J100*I100,2),IF($C100=$C98,"Total Item (R$)",IF(AND($C100&lt;&gt;$C99,$J99&lt;&gt;""),SUMIFS(K:K,C:C,C99,J:J,"&lt;&gt;Subtotal"),""))))),"")</f>
        <v>108.59</v>
      </c>
      <c r="L100" s="75" t="str">
        <f t="shared" si="1"/>
        <v/>
      </c>
    </row>
    <row r="101" spans="2:12" x14ac:dyDescent="0.25">
      <c r="B101" s="41">
        <f>IFERROR(IF(C100=C97,IF(B100+1&lt;='MAPA DE PREÇOS'!$H$8,B100+1,""),B100),"")</f>
        <v>94</v>
      </c>
      <c r="C101" s="41">
        <f>IFERROR(VLOOKUP(B101,'MAPA DE PREÇOS'!B:D,2,FALSE),"")</f>
        <v>1</v>
      </c>
      <c r="D101" s="41">
        <f>IFERROR(VLOOKUP(B101,'MAPA DE PREÇOS'!B:D,3,FALSE),"")</f>
        <v>94</v>
      </c>
      <c r="E101" s="82">
        <f t="shared" ref="E101:E107" si="4">IF($B100="","",IF($C101=$C98,D101,IF($C101=$C99,"Item",IF(AND(MAX(C:C)&gt;1,$C101=$C100),CONCATENATE("LOTE ",C101),""))))</f>
        <v>94</v>
      </c>
      <c r="F101" s="82">
        <f>IF($B100="","",IF($C101=$C98,INDEX('MAPA DE PREÇOS'!$H:$H,MATCH($B101,'MAPA DE PREÇOS'!$B:$B)-19),IF($C101=$C99,"Código","")))</f>
        <v>0</v>
      </c>
      <c r="G101" s="145" t="str">
        <f>IF($B100="","",IF($C101=$C98,IF('BASE EDITAL'!$C$2="",INDEX('MAPA DE PREÇOS'!H:H,MATCH(EDITAL!B101,'MAPA DE PREÇOS'!B:B,0)+1),UPPER(INDEX('BASE EDITAL'!$C:$C,EDITAL!B101+1))),IF($C101=$C99,"Especificação do Objeto","")))</f>
        <v>Punção de serralheiro</v>
      </c>
      <c r="H101" s="84" t="str">
        <f>IF($B100="","",IF($C101=$C98,INDEX('MAPA DE PREÇOS'!$M:$M,MATCH($B101,'MAPA DE PREÇOS'!$B:$B)-16),IF($C101=$C99,"Unidade","")))</f>
        <v>UN</v>
      </c>
      <c r="I101" s="84">
        <f>IF($B100="","",IF($C101=$C98,INDEX('MAPA DE PREÇOS'!$M:$M,MATCH($B101,'MAPA DE PREÇOS'!$B:$B)-17),IF($C101=$C99,"Quant.","")))</f>
        <v>1</v>
      </c>
      <c r="J101" s="60">
        <f>IF(AND(COUNTBLANK($B98:$B100)=2,$B100="",$B99="",MAX(C:C)&gt;1),"Total Estimado",IF($B100="","",IF($C101=$C98,INDEX('MAPA DE PREÇOS'!$M:$M,MATCH($B101,'MAPA DE PREÇOS'!$B:$B)-19),IF($C101=$C99,"Valor Unit. (R$)",IF(AND($C101&lt;&gt;$C100,$J100&lt;&gt;""),IF(MAX(C:C)=1,"Total Estimado","Subtotal"),"")))))</f>
        <v>26.03</v>
      </c>
      <c r="K101" s="75">
        <f>IFERROR(IF(AND(COUNTBLANK($B98:$B100)=2,$B100="",$B99="",MAX(C:C)&gt;1),SUM($K$3:K100)/2,IF($B100="","",IF($C101=$C98,ROUND(J101*I101,2),IF($C101=$C99,"Total Item (R$)",IF(AND($C101&lt;&gt;$C100,$J100&lt;&gt;""),SUMIFS(K:K,C:C,C100,J:J,"&lt;&gt;Subtotal"),""))))),"")</f>
        <v>26.03</v>
      </c>
      <c r="L101" s="75" t="str">
        <f t="shared" si="1"/>
        <v/>
      </c>
    </row>
    <row r="102" spans="2:12" x14ac:dyDescent="0.25">
      <c r="B102" s="41">
        <f>IFERROR(IF(C101=C98,IF(B101+1&lt;='MAPA DE PREÇOS'!$H$8,B101+1,""),B101),"")</f>
        <v>95</v>
      </c>
      <c r="C102" s="41">
        <f>IFERROR(VLOOKUP(B102,'MAPA DE PREÇOS'!B:D,2,FALSE),"")</f>
        <v>1</v>
      </c>
      <c r="D102" s="41">
        <f>IFERROR(VLOOKUP(B102,'MAPA DE PREÇOS'!B:D,3,FALSE),"")</f>
        <v>95</v>
      </c>
      <c r="E102" s="82">
        <f t="shared" si="4"/>
        <v>95</v>
      </c>
      <c r="F102" s="82">
        <f>IF($B101="","",IF($C102=$C99,INDEX('MAPA DE PREÇOS'!$H:$H,MATCH($B102,'MAPA DE PREÇOS'!$B:$B)-19),IF($C102=$C100,"Código","")))</f>
        <v>0</v>
      </c>
      <c r="G102" s="145" t="str">
        <f>IF($B101="","",IF($C102=$C99,IF('BASE EDITAL'!$C$2="",INDEX('MAPA DE PREÇOS'!H:H,MATCH(EDITAL!B102,'MAPA DE PREÇOS'!B:B,0)+1),UPPER(INDEX('BASE EDITAL'!$C:$C,EDITAL!B102+1))),IF($C102=$C100,"Especificação do Objeto","")))</f>
        <v xml:space="preserve">Martelo picador de solda </v>
      </c>
      <c r="H102" s="84" t="str">
        <f>IF($B101="","",IF($C102=$C99,INDEX('MAPA DE PREÇOS'!$M:$M,MATCH($B102,'MAPA DE PREÇOS'!$B:$B)-16),IF($C102=$C100,"Unidade","")))</f>
        <v>UN</v>
      </c>
      <c r="I102" s="84">
        <f>IF($B101="","",IF($C102=$C99,INDEX('MAPA DE PREÇOS'!$M:$M,MATCH($B102,'MAPA DE PREÇOS'!$B:$B)-17),IF($C102=$C100,"Quant.","")))</f>
        <v>1</v>
      </c>
      <c r="J102" s="60">
        <f>IF(AND(COUNTBLANK($B99:$B101)=2,$B101="",$B100="",MAX(C:C)&gt;1),"Total Estimado",IF($B101="","",IF($C102=$C99,INDEX('MAPA DE PREÇOS'!$M:$M,MATCH($B102,'MAPA DE PREÇOS'!$B:$B)-19),IF($C102=$C100,"Valor Unit. (R$)",IF(AND($C102&lt;&gt;$C101,$J101&lt;&gt;""),IF(MAX(C:C)=1,"Total Estimado","Subtotal"),"")))))</f>
        <v>42.09</v>
      </c>
      <c r="K102" s="75">
        <f>IFERROR(IF(AND(COUNTBLANK($B99:$B101)=2,$B101="",$B100="",MAX(C:C)&gt;1),SUM($K$3:K101)/2,IF($B101="","",IF($C102=$C99,ROUND(J102*I102,2),IF($C102=$C100,"Total Item (R$)",IF(AND($C102&lt;&gt;$C101,$J101&lt;&gt;""),SUMIFS(K:K,C:C,C101,J:J,"&lt;&gt;Subtotal"),""))))),"")</f>
        <v>42.09</v>
      </c>
      <c r="L102" s="75" t="str">
        <f t="shared" si="1"/>
        <v/>
      </c>
    </row>
    <row r="103" spans="2:12" x14ac:dyDescent="0.25">
      <c r="B103" s="41">
        <f>IFERROR(IF(C102=C99,IF(B102+1&lt;='MAPA DE PREÇOS'!$H$8,B102+1,""),B102),"")</f>
        <v>96</v>
      </c>
      <c r="C103" s="41">
        <f>IFERROR(VLOOKUP(B103,'MAPA DE PREÇOS'!B:D,2,FALSE),"")</f>
        <v>1</v>
      </c>
      <c r="D103" s="41">
        <f>IFERROR(VLOOKUP(B103,'MAPA DE PREÇOS'!B:D,3,FALSE),"")</f>
        <v>96</v>
      </c>
      <c r="E103" s="82">
        <f t="shared" si="4"/>
        <v>96</v>
      </c>
      <c r="F103" s="82">
        <f>IF($B102="","",IF($C103=$C100,INDEX('MAPA DE PREÇOS'!$H:$H,MATCH($B103,'MAPA DE PREÇOS'!$B:$B)-19),IF($C103=$C101,"Código","")))</f>
        <v>0</v>
      </c>
      <c r="G103" s="145" t="str">
        <f>IF($B102="","",IF($C103=$C100,IF('BASE EDITAL'!$C$2="",INDEX('MAPA DE PREÇOS'!H:H,MATCH(EDITAL!B103,'MAPA DE PREÇOS'!B:B,0)+1),UPPER(INDEX('BASE EDITAL'!$C:$C,EDITAL!B103+1))),IF($C103=$C101,"Especificação do Objeto","")))</f>
        <v xml:space="preserve">Martelo de bola </v>
      </c>
      <c r="H103" s="84" t="str">
        <f>IF($B102="","",IF($C103=$C100,INDEX('MAPA DE PREÇOS'!$M:$M,MATCH($B103,'MAPA DE PREÇOS'!$B:$B)-16),IF($C103=$C101,"Unidade","")))</f>
        <v>UN</v>
      </c>
      <c r="I103" s="84">
        <f>IF($B102="","",IF($C103=$C100,INDEX('MAPA DE PREÇOS'!$M:$M,MATCH($B103,'MAPA DE PREÇOS'!$B:$B)-17),IF($C103=$C101,"Quant.","")))</f>
        <v>1</v>
      </c>
      <c r="J103" s="60">
        <f>IF(AND(COUNTBLANK($B100:$B102)=2,$B102="",$B101="",MAX(C:C)&gt;1),"Total Estimado",IF($B102="","",IF($C103=$C100,INDEX('MAPA DE PREÇOS'!$M:$M,MATCH($B103,'MAPA DE PREÇOS'!$B:$B)-19),IF($C103=$C101,"Valor Unit. (R$)",IF(AND($C103&lt;&gt;$C102,$J102&lt;&gt;""),IF(MAX(C:C)=1,"Total Estimado","Subtotal"),"")))))</f>
        <v>67.849999999999994</v>
      </c>
      <c r="K103" s="75">
        <f>IFERROR(IF(AND(COUNTBLANK($B100:$B102)=2,$B102="",$B101="",MAX(C:C)&gt;1),SUM($K$3:K102)/2,IF($B102="","",IF($C103=$C100,ROUND(J103*I103,2),IF($C103=$C101,"Total Item (R$)",IF(AND($C103&lt;&gt;$C102,$J102&lt;&gt;""),SUMIFS(K:K,C:C,C102,J:J,"&lt;&gt;Subtotal"),""))))),"")</f>
        <v>67.849999999999994</v>
      </c>
      <c r="L103" s="75" t="str">
        <f t="shared" si="1"/>
        <v/>
      </c>
    </row>
    <row r="104" spans="2:12" x14ac:dyDescent="0.25">
      <c r="B104" s="41">
        <f>IFERROR(IF(C103=C100,IF(B103+1&lt;='MAPA DE PREÇOS'!$H$8,B103+1,""),B103),"")</f>
        <v>97</v>
      </c>
      <c r="C104" s="41">
        <f>IFERROR(VLOOKUP(B104,'MAPA DE PREÇOS'!B:D,2,FALSE),"")</f>
        <v>1</v>
      </c>
      <c r="D104" s="41">
        <f>IFERROR(VLOOKUP(B104,'MAPA DE PREÇOS'!B:D,3,FALSE),"")</f>
        <v>97</v>
      </c>
      <c r="E104" s="82">
        <f t="shared" si="4"/>
        <v>97</v>
      </c>
      <c r="F104" s="82">
        <f>IF($B103="","",IF($C104=$C101,INDEX('MAPA DE PREÇOS'!$H:$H,MATCH($B104,'MAPA DE PREÇOS'!$B:$B)-19),IF($C104=$C102,"Código","")))</f>
        <v>0</v>
      </c>
      <c r="G104" s="145" t="str">
        <f>IF($B103="","",IF($C104=$C101,IF('BASE EDITAL'!$C$2="",INDEX('MAPA DE PREÇOS'!H:H,MATCH(EDITAL!B104,'MAPA DE PREÇOS'!B:B,0)+1),UPPER(INDEX('BASE EDITAL'!$C:$C,EDITAL!B104+1))),IF($C104=$C102,"Especificação do Objeto","")))</f>
        <v>Martelo de pena</v>
      </c>
      <c r="H104" s="84" t="str">
        <f>IF($B103="","",IF($C104=$C101,INDEX('MAPA DE PREÇOS'!$M:$M,MATCH($B104,'MAPA DE PREÇOS'!$B:$B)-16),IF($C104=$C102,"Unidade","")))</f>
        <v>UN</v>
      </c>
      <c r="I104" s="84">
        <f>IF($B103="","",IF($C104=$C101,INDEX('MAPA DE PREÇOS'!$M:$M,MATCH($B104,'MAPA DE PREÇOS'!$B:$B)-17),IF($C104=$C102,"Quant.","")))</f>
        <v>1</v>
      </c>
      <c r="J104" s="60">
        <f>IF(AND(COUNTBLANK($B101:$B103)=2,$B103="",$B102="",MAX(C:C)&gt;1),"Total Estimado",IF($B103="","",IF($C104=$C101,INDEX('MAPA DE PREÇOS'!$M:$M,MATCH($B104,'MAPA DE PREÇOS'!$B:$B)-19),IF($C104=$C102,"Valor Unit. (R$)",IF(AND($C104&lt;&gt;$C103,$J103&lt;&gt;""),IF(MAX(C:C)=1,"Total Estimado","Subtotal"),"")))))</f>
        <v>62.26</v>
      </c>
      <c r="K104" s="75">
        <f>IFERROR(IF(AND(COUNTBLANK($B101:$B103)=2,$B103="",$B102="",MAX(C:C)&gt;1),SUM($K$3:K103)/2,IF($B103="","",IF($C104=$C101,ROUND(J104*I104,2),IF($C104=$C102,"Total Item (R$)",IF(AND($C104&lt;&gt;$C103,$J103&lt;&gt;""),SUMIFS(K:K,C:C,C103,J:J,"&lt;&gt;Subtotal"),""))))),"")</f>
        <v>62.26</v>
      </c>
      <c r="L104" s="75" t="str">
        <f t="shared" si="1"/>
        <v/>
      </c>
    </row>
    <row r="105" spans="2:12" x14ac:dyDescent="0.25">
      <c r="B105" s="41">
        <f>IFERROR(IF(C104=C101,IF(B104+1&lt;='MAPA DE PREÇOS'!$H$8,B104+1,""),B104),"")</f>
        <v>98</v>
      </c>
      <c r="C105" s="41">
        <f>IFERROR(VLOOKUP(B105,'MAPA DE PREÇOS'!B:D,2,FALSE),"")</f>
        <v>1</v>
      </c>
      <c r="D105" s="41">
        <f>IFERROR(VLOOKUP(B105,'MAPA DE PREÇOS'!B:D,3,FALSE),"")</f>
        <v>98</v>
      </c>
      <c r="E105" s="82">
        <f t="shared" si="4"/>
        <v>98</v>
      </c>
      <c r="F105" s="82">
        <f>IF($B104="","",IF($C105=$C102,INDEX('MAPA DE PREÇOS'!$H:$H,MATCH($B105,'MAPA DE PREÇOS'!$B:$B)-19),IF($C105=$C103,"Código","")))</f>
        <v>0</v>
      </c>
      <c r="G105" s="145" t="str">
        <f>IF($B104="","",IF($C105=$C102,IF('BASE EDITAL'!$C$2="",INDEX('MAPA DE PREÇOS'!H:H,MATCH(EDITAL!B105,'MAPA DE PREÇOS'!B:B,0)+1),UPPER(INDEX('BASE EDITAL'!$C:$C,EDITAL!B105+1))),IF($C105=$C103,"Especificação do Objeto","")))</f>
        <v>Martelo de retrocesso</v>
      </c>
      <c r="H105" s="84" t="str">
        <f>IF($B104="","",IF($C105=$C102,INDEX('MAPA DE PREÇOS'!$M:$M,MATCH($B105,'MAPA DE PREÇOS'!$B:$B)-16),IF($C105=$C103,"Unidade","")))</f>
        <v>UN</v>
      </c>
      <c r="I105" s="84">
        <f>IF($B104="","",IF($C105=$C102,INDEX('MAPA DE PREÇOS'!$M:$M,MATCH($B105,'MAPA DE PREÇOS'!$B:$B)-17),IF($C105=$C103,"Quant.","")))</f>
        <v>1</v>
      </c>
      <c r="J105" s="60">
        <f>IF(AND(COUNTBLANK($B102:$B104)=2,$B104="",$B103="",MAX(C:C)&gt;1),"Total Estimado",IF($B104="","",IF($C105=$C102,INDEX('MAPA DE PREÇOS'!$M:$M,MATCH($B105,'MAPA DE PREÇOS'!$B:$B)-19),IF($C105=$C103,"Valor Unit. (R$)",IF(AND($C105&lt;&gt;$C104,$J104&lt;&gt;""),IF(MAX(C:C)=1,"Total Estimado","Subtotal"),"")))))</f>
        <v>57.32</v>
      </c>
      <c r="K105" s="75">
        <f>IFERROR(IF(AND(COUNTBLANK($B102:$B104)=2,$B104="",$B103="",MAX(C:C)&gt;1),SUM($K$3:K104)/2,IF($B104="","",IF($C105=$C102,ROUND(J105*I105,2),IF($C105=$C103,"Total Item (R$)",IF(AND($C105&lt;&gt;$C104,$J104&lt;&gt;""),SUMIFS(K:K,C:C,C104,J:J,"&lt;&gt;Subtotal"),""))))),"")</f>
        <v>57.32</v>
      </c>
      <c r="L105" s="75" t="str">
        <f t="shared" si="1"/>
        <v/>
      </c>
    </row>
    <row r="106" spans="2:12" x14ac:dyDescent="0.25">
      <c r="B106" s="41">
        <f>IFERROR(IF(C105=C102,IF(B105+1&lt;='MAPA DE PREÇOS'!$H$8,B105+1,""),B105),"")</f>
        <v>99</v>
      </c>
      <c r="C106" s="41">
        <f>IFERROR(VLOOKUP(B106,'MAPA DE PREÇOS'!B:D,2,FALSE),"")</f>
        <v>1</v>
      </c>
      <c r="D106" s="41">
        <f>IFERROR(VLOOKUP(B106,'MAPA DE PREÇOS'!B:D,3,FALSE),"")</f>
        <v>99</v>
      </c>
      <c r="E106" s="82">
        <f t="shared" si="4"/>
        <v>99</v>
      </c>
      <c r="F106" s="82">
        <f>IF($B105="","",IF($C106=$C103,INDEX('MAPA DE PREÇOS'!$H:$H,MATCH($B106,'MAPA DE PREÇOS'!$B:$B)-19),IF($C106=$C104,"Código","")))</f>
        <v>0</v>
      </c>
      <c r="G106" s="145" t="str">
        <f>IF($B105="","",IF($C106=$C103,IF('BASE EDITAL'!$C$2="",INDEX('MAPA DE PREÇOS'!H:H,MATCH(EDITAL!B106,'MAPA DE PREÇOS'!B:B,0)+1),UPPER(INDEX('BASE EDITAL'!$C:$C,EDITAL!B106+1))),IF($C106=$C104,"Especificação do Objeto","")))</f>
        <v>Rastelo de aço com cabo</v>
      </c>
      <c r="H106" s="84" t="str">
        <f>IF($B105="","",IF($C106=$C103,INDEX('MAPA DE PREÇOS'!$M:$M,MATCH($B106,'MAPA DE PREÇOS'!$B:$B)-16),IF($C106=$C104,"Unidade","")))</f>
        <v>UN</v>
      </c>
      <c r="I106" s="84">
        <f>IF($B105="","",IF($C106=$C103,INDEX('MAPA DE PREÇOS'!$M:$M,MATCH($B106,'MAPA DE PREÇOS'!$B:$B)-17),IF($C106=$C104,"Quant.","")))</f>
        <v>8</v>
      </c>
      <c r="J106" s="60">
        <f>IF(AND(COUNTBLANK($B103:$B105)=2,$B105="",$B104="",MAX(C:C)&gt;1),"Total Estimado",IF($B105="","",IF($C106=$C103,INDEX('MAPA DE PREÇOS'!$M:$M,MATCH($B106,'MAPA DE PREÇOS'!$B:$B)-19),IF($C106=$C104,"Valor Unit. (R$)",IF(AND($C106&lt;&gt;$C105,$J105&lt;&gt;""),IF(MAX(C:C)=1,"Total Estimado","Subtotal"),"")))))</f>
        <v>57.36</v>
      </c>
      <c r="K106" s="75">
        <f>IFERROR(IF(AND(COUNTBLANK($B103:$B105)=2,$B105="",$B104="",MAX(C:C)&gt;1),SUM($K$3:K105)/2,IF($B105="","",IF($C106=$C103,ROUND(J106*I106,2),IF($C106=$C104,"Total Item (R$)",IF(AND($C106&lt;&gt;$C105,$J105&lt;&gt;""),SUMIFS(K:K,C:C,C105,J:J,"&lt;&gt;Subtotal"),""))))),"")</f>
        <v>458.88</v>
      </c>
      <c r="L106" s="75" t="str">
        <f t="shared" si="1"/>
        <v/>
      </c>
    </row>
    <row r="107" spans="2:12" x14ac:dyDescent="0.25">
      <c r="B107" s="41">
        <f>IFERROR(IF(C106=C103,IF(B106+1&lt;='MAPA DE PREÇOS'!$H$8,B106+1,""),B106),"")</f>
        <v>100</v>
      </c>
      <c r="C107" s="41">
        <f>IFERROR(VLOOKUP(B107,'MAPA DE PREÇOS'!B:D,2,FALSE),"")</f>
        <v>1</v>
      </c>
      <c r="D107" s="41">
        <f>IFERROR(VLOOKUP(B107,'MAPA DE PREÇOS'!B:D,3,FALSE),"")</f>
        <v>100</v>
      </c>
      <c r="E107" s="82">
        <f t="shared" si="4"/>
        <v>100</v>
      </c>
      <c r="F107" s="82">
        <f>IF($B106="","",IF($C107=$C104,INDEX('MAPA DE PREÇOS'!$H:$H,MATCH($B107,'MAPA DE PREÇOS'!$B:$B)-19),IF($C107=$C105,"Código","")))</f>
        <v>0</v>
      </c>
      <c r="G107" s="145" t="str">
        <f>IF($B106="","",IF($C107=$C104,IF('BASE EDITAL'!$C$2="",INDEX('MAPA DE PREÇOS'!H:H,MATCH(EDITAL!B107,'MAPA DE PREÇOS'!B:B,0)+1),UPPER(INDEX('BASE EDITAL'!$C:$C,EDITAL!B107+1))),IF($C107=$C105,"Especificação do Objeto","")))</f>
        <v>Tesoura de poda</v>
      </c>
      <c r="H107" s="84" t="str">
        <f>IF($B106="","",IF($C107=$C104,INDEX('MAPA DE PREÇOS'!$M:$M,MATCH($B107,'MAPA DE PREÇOS'!$B:$B)-16),IF($C107=$C105,"Unidade","")))</f>
        <v>UN</v>
      </c>
      <c r="I107" s="84">
        <f>IF($B106="","",IF($C107=$C104,INDEX('MAPA DE PREÇOS'!$M:$M,MATCH($B107,'MAPA DE PREÇOS'!$B:$B)-17),IF($C107=$C105,"Quant.","")))</f>
        <v>8</v>
      </c>
      <c r="J107" s="60">
        <f>IF(AND(COUNTBLANK($B104:$B106)=2,$B106="",$B105="",MAX(C:C)&gt;1),"Total Estimado",IF($B106="","",IF($C107=$C104,INDEX('MAPA DE PREÇOS'!$M:$M,MATCH($B107,'MAPA DE PREÇOS'!$B:$B)-19),IF($C107=$C105,"Valor Unit. (R$)",IF(AND($C107&lt;&gt;$C106,$J106&lt;&gt;""),IF(MAX(C:C)=1,"Total Estimado","Subtotal"),"")))))</f>
        <v>33.14</v>
      </c>
      <c r="K107" s="75">
        <f>IFERROR(IF(AND(COUNTBLANK($B104:$B106)=2,$B106="",$B105="",MAX(C:C)&gt;1),SUM($K$3:K106)/2,IF($B106="","",IF($C107=$C104,ROUND(J107*I107,2),IF($C107=$C105,"Total Item (R$)",IF(AND($C107&lt;&gt;$C106,$J106&lt;&gt;""),SUMIFS(K:K,C:C,C106,J:J,"&lt;&gt;Subtotal"),""))))),"")</f>
        <v>265.12</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4" t="s">
        <v>305</v>
      </c>
      <c r="F2" s="245"/>
      <c r="G2" s="245"/>
      <c r="H2" s="245"/>
      <c r="I2" s="245"/>
      <c r="J2" s="245"/>
      <c r="K2" s="245"/>
      <c r="L2" s="246"/>
      <c r="M2" s="110"/>
    </row>
    <row r="3" spans="2:37" ht="21" x14ac:dyDescent="0.35">
      <c r="E3" s="236" t="str">
        <f>'MAPA DE PREÇOS'!H5</f>
        <v>DEPARTAMENTO MUNICIPAL DE ÁGUA E ESGOTOS (DMAE)</v>
      </c>
      <c r="F3" s="237"/>
      <c r="G3" s="237"/>
      <c r="H3" s="237"/>
      <c r="I3" s="237"/>
      <c r="J3" s="237"/>
      <c r="K3" s="237"/>
      <c r="L3" s="238"/>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7" t="s">
        <v>358</v>
      </c>
      <c r="F5" s="248"/>
      <c r="G5" s="248"/>
      <c r="H5" s="248"/>
      <c r="I5" s="248"/>
      <c r="J5" s="248"/>
      <c r="K5" s="248"/>
      <c r="L5" s="249"/>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2" t="s">
        <v>354</v>
      </c>
      <c r="O7" s="243"/>
      <c r="P7" s="242" t="s">
        <v>364</v>
      </c>
      <c r="Q7" s="243"/>
      <c r="R7" s="242" t="s">
        <v>365</v>
      </c>
      <c r="S7" s="243"/>
      <c r="T7" s="242" t="s">
        <v>366</v>
      </c>
      <c r="U7" s="243"/>
      <c r="V7" s="242" t="s">
        <v>367</v>
      </c>
      <c r="W7" s="243"/>
      <c r="X7" s="242" t="s">
        <v>368</v>
      </c>
      <c r="Y7" s="243"/>
      <c r="Z7" s="242" t="s">
        <v>369</v>
      </c>
      <c r="AA7" s="243"/>
      <c r="AB7" s="242" t="s">
        <v>370</v>
      </c>
      <c r="AC7" s="243"/>
      <c r="AD7" s="242" t="s">
        <v>371</v>
      </c>
      <c r="AE7" s="243"/>
      <c r="AF7" s="242" t="s">
        <v>372</v>
      </c>
      <c r="AG7" s="243"/>
      <c r="AH7" s="242" t="s">
        <v>373</v>
      </c>
      <c r="AI7" s="243"/>
      <c r="AJ7" s="242" t="s">
        <v>374</v>
      </c>
      <c r="AK7" s="243"/>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Capacete de segurança classe B</v>
      </c>
      <c r="H8" s="84" t="str">
        <f>IF($B7="","",IF($C8=$C5,INDEX('MAPA DE PREÇOS'!$M:$M,MATCH($B8,'MAPA DE PREÇOS'!$B:$B)-16),IF($C8=$C6,"Unidade","")))</f>
        <v>UN</v>
      </c>
      <c r="I8" s="84">
        <f>IF($B7="","",IF($C8=$C5,INDEX('MAPA DE PREÇOS'!$M:$M,MATCH($B8,'MAPA DE PREÇOS'!$B:$B)-17),IF($C8=$C6,"Quant.","")))</f>
        <v>46</v>
      </c>
      <c r="J8" s="60">
        <f>IF(J7="Total Mensal","Total Acumulado",IF($B7="","",IF($C8=$C5,INDEX('MAPA DE PREÇOS'!$M:$M,MATCH($B8,'MAPA DE PREÇOS'!$B:$B)-19),IF($C8=$C6,"Valor Unit. (R$)",IF(AND($C8&lt;&gt;$C7,$J7&lt;&gt;""),"Total Mensal","")))))</f>
        <v>16.36</v>
      </c>
      <c r="K8" s="75">
        <f>IF(J8="","",IF(J8="Total Mensal","-",IF(J8="Total Acumulado",SUM(K$7:K7),I8*J8)))</f>
        <v>752.56</v>
      </c>
      <c r="L8" s="112" t="e">
        <f>IF(J8="","",IF(J8="Total Mensal","-",IF(J8="Total Acumulado",SUM(L$7:L7),K8/SUMIF(J:J,"Total Acumulado",K:K))))</f>
        <v>#DIV/0!</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Protetor auricular tipo plug</v>
      </c>
      <c r="H9" s="84" t="str">
        <f>IF($B8="","",IF($C9=$C6,INDEX('MAPA DE PREÇOS'!$M:$M,MATCH($B9,'MAPA DE PREÇOS'!$B:$B)-16),IF($C9=$C7,"Unidade","")))</f>
        <v>UN</v>
      </c>
      <c r="I9" s="84">
        <f>IF($B8="","",IF($C9=$C6,INDEX('MAPA DE PREÇOS'!$M:$M,MATCH($B9,'MAPA DE PREÇOS'!$B:$B)-17),IF($C9=$C7,"Quant.","")))</f>
        <v>184</v>
      </c>
      <c r="J9" s="60">
        <f>IF(J8="Total Mensal","Total Acumulado",IF($B8="","",IF($C9=$C6,INDEX('MAPA DE PREÇOS'!$M:$M,MATCH($B9,'MAPA DE PREÇOS'!$B:$B)-19),IF($C9=$C7,"Valor Unit. (R$)",IF(AND($C9&lt;&gt;$C8,$J8&lt;&gt;""),"Total Mensal","")))))</f>
        <v>1.51</v>
      </c>
      <c r="K9" s="75">
        <f>IF(J9="","",IF(J9="Total Mensal","-",IF(J9="Total Acumulado",SUM(K$7:K8),I9*J9)))</f>
        <v>277.83999999999997</v>
      </c>
      <c r="L9" s="112" t="e">
        <f>IF(J9="","",IF(J9="Total Mensal","-",IF(J9="Total Acumulado",SUM(L$7:L8),K9/SUMIF(J:J,"Total Acumulado",K:K))))</f>
        <v>#DIV/0!</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Luva de malha pigmentada</v>
      </c>
      <c r="H10" s="84" t="str">
        <f>IF($B9="","",IF($C10=$C7,INDEX('MAPA DE PREÇOS'!$M:$M,MATCH($B10,'MAPA DE PREÇOS'!$B:$B)-16),IF($C10=$C8,"Unidade","")))</f>
        <v>UN</v>
      </c>
      <c r="I10" s="84">
        <f>IF($B9="","",IF($C10=$C7,INDEX('MAPA DE PREÇOS'!$M:$M,MATCH($B10,'MAPA DE PREÇOS'!$B:$B)-17),IF($C10=$C8,"Quant.","")))</f>
        <v>258</v>
      </c>
      <c r="J10" s="60">
        <f>IF(J9="Total Mensal","Total Acumulado",IF($B9="","",IF($C10=$C7,INDEX('MAPA DE PREÇOS'!$M:$M,MATCH($B10,'MAPA DE PREÇOS'!$B:$B)-19),IF($C10=$C8,"Valor Unit. (R$)",IF(AND($C10&lt;&gt;$C9,$J9&lt;&gt;""),"Total Mensal","")))))</f>
        <v>2.75</v>
      </c>
      <c r="K10" s="75">
        <f>IF(J10="","",IF(J10="Total Mensal","-",IF(J10="Total Acumulado",SUM(K$7:K9),I10*J10)))</f>
        <v>709.5</v>
      </c>
      <c r="L10" s="112" t="e">
        <f>IF(J10="","",IF(J10="Total Mensal","-",IF(J10="Total Acumulado",SUM(L$7:L9),K10/SUMIF(J:J,"Total Acumulado",K:K))))</f>
        <v>#DIV/0!</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Chapéu com proteção de nuca</v>
      </c>
      <c r="H11" s="84" t="str">
        <f>IF($B10="","",IF($C11=$C8,INDEX('MAPA DE PREÇOS'!$M:$M,MATCH($B11,'MAPA DE PREÇOS'!$B:$B)-16),IF($C11=$C9,"Unidade","")))</f>
        <v>UN</v>
      </c>
      <c r="I11" s="84">
        <f>IF($B10="","",IF($C11=$C8,INDEX('MAPA DE PREÇOS'!$M:$M,MATCH($B11,'MAPA DE PREÇOS'!$B:$B)-17),IF($C11=$C9,"Quant.","")))</f>
        <v>92</v>
      </c>
      <c r="J11" s="60">
        <f>IF(J10="Total Mensal","Total Acumulado",IF($B10="","",IF($C11=$C8,INDEX('MAPA DE PREÇOS'!$M:$M,MATCH($B11,'MAPA DE PREÇOS'!$B:$B)-19),IF($C11=$C9,"Valor Unit. (R$)",IF(AND($C11&lt;&gt;$C10,$J10&lt;&gt;""),"Total Mensal","")))))</f>
        <v>20.18</v>
      </c>
      <c r="K11" s="75">
        <f>IF(J11="","",IF(J11="Total Mensal","-",IF(J11="Total Acumulado",SUM(K$7:K10),I11*J11)))</f>
        <v>1856.56</v>
      </c>
      <c r="L11" s="112" t="e">
        <f>IF(J11="","",IF(J11="Total Mensal","-",IF(J11="Total Acumulado",SUM(L$7:L10),K11/SUMIF(J:J,"Total Acumulado",K:K))))</f>
        <v>#DIV/0!</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 xml:space="preserve">Rolo de lã de pintura 23 cm com cabo </v>
      </c>
      <c r="H12" s="84" t="str">
        <f>IF($B11="","",IF($C12=$C9,INDEX('MAPA DE PREÇOS'!$M:$M,MATCH($B12,'MAPA DE PREÇOS'!$B:$B)-16),IF($C12=$C10,"Unidade","")))</f>
        <v>UN</v>
      </c>
      <c r="I12" s="84">
        <f>IF($B11="","",IF($C12=$C9,INDEX('MAPA DE PREÇOS'!$M:$M,MATCH($B12,'MAPA DE PREÇOS'!$B:$B)-17),IF($C12=$C10,"Quant.","")))</f>
        <v>4</v>
      </c>
      <c r="J12" s="60">
        <f>IF(J11="Total Mensal","Total Acumulado",IF($B11="","",IF($C12=$C9,INDEX('MAPA DE PREÇOS'!$M:$M,MATCH($B12,'MAPA DE PREÇOS'!$B:$B)-19),IF($C12=$C10,"Valor Unit. (R$)",IF(AND($C12&lt;&gt;$C11,$J11&lt;&gt;""),"Total Mensal","")))))</f>
        <v>22.07</v>
      </c>
      <c r="K12" s="75">
        <f>IF(J12="","",IF(J12="Total Mensal","-",IF(J12="Total Acumulado",SUM(K$7:K11),I12*J12)))</f>
        <v>88.28</v>
      </c>
      <c r="L12" s="112" t="e">
        <f>IF(J12="","",IF(J12="Total Mensal","-",IF(J12="Total Acumulado",SUM(L$7:L11),K12/SUMIF(J:J,"Total Acumulado",K:K))))</f>
        <v>#DIV/0!</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Rolo de lã de pintura 15 cm com cabo</v>
      </c>
      <c r="H13" s="84" t="str">
        <f>IF($B12="","",IF($C13=$C10,INDEX('MAPA DE PREÇOS'!$M:$M,MATCH($B13,'MAPA DE PREÇOS'!$B:$B)-16),IF($C13=$C11,"Unidade","")))</f>
        <v>UN</v>
      </c>
      <c r="I13" s="84">
        <f>IF($B12="","",IF($C13=$C10,INDEX('MAPA DE PREÇOS'!$M:$M,MATCH($B13,'MAPA DE PREÇOS'!$B:$B)-17),IF($C13=$C11,"Quant.","")))</f>
        <v>4</v>
      </c>
      <c r="J13" s="60">
        <f>IF(J12="Total Mensal","Total Acumulado",IF($B12="","",IF($C13=$C10,INDEX('MAPA DE PREÇOS'!$M:$M,MATCH($B13,'MAPA DE PREÇOS'!$B:$B)-19),IF($C13=$C11,"Valor Unit. (R$)",IF(AND($C13&lt;&gt;$C12,$J12&lt;&gt;""),"Total Mensal","")))))</f>
        <v>14.64</v>
      </c>
      <c r="K13" s="75">
        <f>IF(J13="","",IF(J13="Total Mensal","-",IF(J13="Total Acumulado",SUM(K$7:K12),I13*J13)))</f>
        <v>58.56</v>
      </c>
      <c r="L13" s="112" t="e">
        <f>IF(J13="","",IF(J13="Total Mensal","-",IF(J13="Total Acumulado",SUM(L$7:L12),K13/SUMIF(J:J,"Total Acumulado",K:K))))</f>
        <v>#DIV/0!</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 xml:space="preserve">Rolo de lã de pintura 9 cm com cabo </v>
      </c>
      <c r="H14" s="84" t="str">
        <f>IF($B13="","",IF($C14=$C11,INDEX('MAPA DE PREÇOS'!$M:$M,MATCH($B14,'MAPA DE PREÇOS'!$B:$B)-16),IF($C14=$C12,"Unidade","")))</f>
        <v>UN</v>
      </c>
      <c r="I14" s="84">
        <f>IF($B13="","",IF($C14=$C11,INDEX('MAPA DE PREÇOS'!$M:$M,MATCH($B14,'MAPA DE PREÇOS'!$B:$B)-17),IF($C14=$C12,"Quant.","")))</f>
        <v>4</v>
      </c>
      <c r="J14" s="60">
        <f>IF(J13="Total Mensal","Total Acumulado",IF($B13="","",IF($C14=$C11,INDEX('MAPA DE PREÇOS'!$M:$M,MATCH($B14,'MAPA DE PREÇOS'!$B:$B)-19),IF($C14=$C12,"Valor Unit. (R$)",IF(AND($C14&lt;&gt;$C13,$J13&lt;&gt;""),"Total Mensal","")))))</f>
        <v>12.26</v>
      </c>
      <c r="K14" s="75">
        <f>IF(J14="","",IF(J14="Total Mensal","-",IF(J14="Total Acumulado",SUM(K$7:K13),I14*J14)))</f>
        <v>49.04</v>
      </c>
      <c r="L14" s="112" t="e">
        <f>IF(J14="","",IF(J14="Total Mensal","-",IF(J14="Total Acumulado",SUM(L$7:L13),K14/SUMIF(J:J,"Total Acumulado",K:K))))</f>
        <v>#DIV/0!</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 xml:space="preserve">Kit com 5 pinceis de pintura </v>
      </c>
      <c r="H15" s="84" t="str">
        <f>IF($B14="","",IF($C15=$C12,INDEX('MAPA DE PREÇOS'!$M:$M,MATCH($B15,'MAPA DE PREÇOS'!$B:$B)-16),IF($C15=$C13,"Unidade","")))</f>
        <v>UN</v>
      </c>
      <c r="I15" s="84">
        <f>IF($B14="","",IF($C15=$C12,INDEX('MAPA DE PREÇOS'!$M:$M,MATCH($B15,'MAPA DE PREÇOS'!$B:$B)-17),IF($C15=$C13,"Quant.","")))</f>
        <v>4</v>
      </c>
      <c r="J15" s="60">
        <f>IF(J14="Total Mensal","Total Acumulado",IF($B14="","",IF($C15=$C12,INDEX('MAPA DE PREÇOS'!$M:$M,MATCH($B15,'MAPA DE PREÇOS'!$B:$B)-19),IF($C15=$C13,"Valor Unit. (R$)",IF(AND($C15&lt;&gt;$C14,$J14&lt;&gt;""),"Total Mensal","")))))</f>
        <v>20.100000000000001</v>
      </c>
      <c r="K15" s="75">
        <f>IF(J15="","",IF(J15="Total Mensal","-",IF(J15="Total Acumulado",SUM(K$7:K14),I15*J15)))</f>
        <v>80.400000000000006</v>
      </c>
      <c r="L15" s="112" t="e">
        <f>IF(J15="","",IF(J15="Total Mensal","-",IF(J15="Total Acumulado",SUM(L$7:L14),K15/SUMIF(J:J,"Total Acumulado",K:K))))</f>
        <v>#DIV/0!</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PREÇOS'!H:H,MATCH(EDITAL!B16,'MAPA DE PREÇOS'!B:B,0)+1),UPPER(INDEX('BASE EDITAL'!$C:$C,EDITAL!B16+1))),IF($C16=$C14,"Especificação do Objeto","")))</f>
        <v>Bandeja para pintura</v>
      </c>
      <c r="H16" s="84" t="str">
        <f>IF($B15="","",IF($C16=$C13,INDEX('MAPA DE PREÇOS'!$M:$M,MATCH($B16,'MAPA DE PREÇOS'!$B:$B)-16),IF($C16=$C14,"Unidade","")))</f>
        <v>UN</v>
      </c>
      <c r="I16" s="84">
        <f>IF($B15="","",IF($C16=$C13,INDEX('MAPA DE PREÇOS'!$M:$M,MATCH($B16,'MAPA DE PREÇOS'!$B:$B)-17),IF($C16=$C14,"Quant.","")))</f>
        <v>4</v>
      </c>
      <c r="J16" s="60">
        <f>IF(J15="Total Mensal","Total Acumulado",IF($B15="","",IF($C16=$C13,INDEX('MAPA DE PREÇOS'!$M:$M,MATCH($B16,'MAPA DE PREÇOS'!$B:$B)-19),IF($C16=$C14,"Valor Unit. (R$)",IF(AND($C16&lt;&gt;$C15,$J15&lt;&gt;""),"Total Mensal","")))))</f>
        <v>20.57</v>
      </c>
      <c r="K16" s="75">
        <f>IF(J16="","",IF(J16="Total Mensal","-",IF(J16="Total Acumulado",SUM(K$7:K15),I16*J16)))</f>
        <v>82.28</v>
      </c>
      <c r="L16" s="112" t="e">
        <f>IF(J16="","",IF(J16="Total Mensal","-",IF(J16="Total Acumulado",SUM(L$7:L15),K16/SUMIF(J:J,"Total Acumulado",K:K))))</f>
        <v>#DIV/0!</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PREÇOS'!H:H,MATCH(EDITAL!B17,'MAPA DE PREÇOS'!B:B,0)+1),UPPER(INDEX('BASE EDITAL'!$C:$C,EDITAL!B17+1))),IF($C17=$C15,"Especificação do Objeto","")))</f>
        <v>Espátula rígida</v>
      </c>
      <c r="H17" s="84" t="str">
        <f>IF($B16="","",IF($C17=$C14,INDEX('MAPA DE PREÇOS'!$M:$M,MATCH($B17,'MAPA DE PREÇOS'!$B:$B)-16),IF($C17=$C15,"Unidade","")))</f>
        <v>UN</v>
      </c>
      <c r="I17" s="84">
        <f>IF($B16="","",IF($C17=$C14,INDEX('MAPA DE PREÇOS'!$M:$M,MATCH($B17,'MAPA DE PREÇOS'!$B:$B)-17),IF($C17=$C15,"Quant.","")))</f>
        <v>4</v>
      </c>
      <c r="J17" s="60">
        <f>IF(J16="Total Mensal","Total Acumulado",IF($B16="","",IF($C17=$C14,INDEX('MAPA DE PREÇOS'!$M:$M,MATCH($B17,'MAPA DE PREÇOS'!$B:$B)-19),IF($C17=$C15,"Valor Unit. (R$)",IF(AND($C17&lt;&gt;$C16,$J16&lt;&gt;""),"Total Mensal","")))))</f>
        <v>11.4</v>
      </c>
      <c r="K17" s="75">
        <f>IF(J17="","",IF(J17="Total Mensal","-",IF(J17="Total Acumulado",SUM(K$7:K16),I17*J17)))</f>
        <v>45.6</v>
      </c>
      <c r="L17" s="112" t="e">
        <f>IF(J17="","",IF(J17="Total Mensal","-",IF(J17="Total Acumulado",SUM(L$7:L16),K17/SUMIF(J:J,"Total Acumulado",K:K))))</f>
        <v>#DIV/0!</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PREÇOS'!H:H,MATCH(EDITAL!B18,'MAPA DE PREÇOS'!B:B,0)+1),UPPER(INDEX('BASE EDITAL'!$C:$C,EDITAL!B18+1))),IF($C18=$C16,"Especificação do Objeto","")))</f>
        <v>Espátula flexível</v>
      </c>
      <c r="H18" s="84" t="str">
        <f>IF($B17="","",IF($C18=$C15,INDEX('MAPA DE PREÇOS'!$M:$M,MATCH($B18,'MAPA DE PREÇOS'!$B:$B)-16),IF($C18=$C16,"Unidade","")))</f>
        <v>UN</v>
      </c>
      <c r="I18" s="84">
        <f>IF($B17="","",IF($C18=$C15,INDEX('MAPA DE PREÇOS'!$M:$M,MATCH($B18,'MAPA DE PREÇOS'!$B:$B)-17),IF($C18=$C16,"Quant.","")))</f>
        <v>4</v>
      </c>
      <c r="J18" s="60">
        <f>IF(J17="Total Mensal","Total Acumulado",IF($B17="","",IF($C18=$C15,INDEX('MAPA DE PREÇOS'!$M:$M,MATCH($B18,'MAPA DE PREÇOS'!$B:$B)-19),IF($C18=$C16,"Valor Unit. (R$)",IF(AND($C18&lt;&gt;$C17,$J17&lt;&gt;""),"Total Mensal","")))))</f>
        <v>10.88</v>
      </c>
      <c r="K18" s="75">
        <f>IF(J18="","",IF(J18="Total Mensal","-",IF(J18="Total Acumulado",SUM(K$7:K17),I18*J18)))</f>
        <v>43.52</v>
      </c>
      <c r="L18" s="112" t="e">
        <f>IF(J18="","",IF(J18="Total Mensal","-",IF(J18="Total Acumulado",SUM(L$7:L17),K18/SUMIF(J:J,"Total Acumulado",K:K))))</f>
        <v>#DIV/0!</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PREÇOS'!H:H,MATCH(EDITAL!B19,'MAPA DE PREÇOS'!B:B,0)+1),UPPER(INDEX('BASE EDITAL'!$C:$C,EDITAL!B19+1))),IF($C19=$C17,"Especificação do Objeto","")))</f>
        <v>Raspador</v>
      </c>
      <c r="H19" s="84" t="str">
        <f>IF($B18="","",IF($C19=$C16,INDEX('MAPA DE PREÇOS'!$M:$M,MATCH($B19,'MAPA DE PREÇOS'!$B:$B)-16),IF($C19=$C17,"Unidade","")))</f>
        <v>UN</v>
      </c>
      <c r="I19" s="84">
        <f>IF($B18="","",IF($C19=$C16,INDEX('MAPA DE PREÇOS'!$M:$M,MATCH($B19,'MAPA DE PREÇOS'!$B:$B)-17),IF($C19=$C17,"Quant.","")))</f>
        <v>4</v>
      </c>
      <c r="J19" s="60">
        <f>IF(J18="Total Mensal","Total Acumulado",IF($B18="","",IF($C19=$C16,INDEX('MAPA DE PREÇOS'!$M:$M,MATCH($B19,'MAPA DE PREÇOS'!$B:$B)-19),IF($C19=$C17,"Valor Unit. (R$)",IF(AND($C19&lt;&gt;$C18,$J18&lt;&gt;""),"Total Mensal","")))))</f>
        <v>26.01</v>
      </c>
      <c r="K19" s="75">
        <f>IF(J19="","",IF(J19="Total Mensal","-",IF(J19="Total Acumulado",SUM(K$7:K18),I19*J19)))</f>
        <v>104.04</v>
      </c>
      <c r="L19" s="112" t="e">
        <f>IF(J19="","",IF(J19="Total Mensal","-",IF(J19="Total Acumulado",SUM(L$7:L18),K19/SUMIF(J:J,"Total Acumulado",K:K))))</f>
        <v>#DIV/0!</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PREÇOS'!H:H,MATCH(EDITAL!B20,'MAPA DE PREÇOS'!B:B,0)+1),UPPER(INDEX('BASE EDITAL'!$C:$C,EDITAL!B20+1))),IF($C20=$C18,"Especificação do Objeto","")))</f>
        <v xml:space="preserve">Escova de aço </v>
      </c>
      <c r="H20" s="84" t="str">
        <f>IF($B19="","",IF($C20=$C17,INDEX('MAPA DE PREÇOS'!$M:$M,MATCH($B20,'MAPA DE PREÇOS'!$B:$B)-16),IF($C20=$C18,"Unidade","")))</f>
        <v>UN</v>
      </c>
      <c r="I20" s="84">
        <f>IF($B19="","",IF($C20=$C17,INDEX('MAPA DE PREÇOS'!$M:$M,MATCH($B20,'MAPA DE PREÇOS'!$B:$B)-17),IF($C20=$C18,"Quant.","")))</f>
        <v>4</v>
      </c>
      <c r="J20" s="60">
        <f>IF(J19="Total Mensal","Total Acumulado",IF($B19="","",IF($C20=$C17,INDEX('MAPA DE PREÇOS'!$M:$M,MATCH($B20,'MAPA DE PREÇOS'!$B:$B)-19),IF($C20=$C18,"Valor Unit. (R$)",IF(AND($C20&lt;&gt;$C19,$J19&lt;&gt;""),"Total Mensal","")))))</f>
        <v>6.62</v>
      </c>
      <c r="K20" s="75">
        <f>IF(J20="","",IF(J20="Total Mensal","-",IF(J20="Total Acumulado",SUM(K$7:K19),I20*J20)))</f>
        <v>26.48</v>
      </c>
      <c r="L20" s="112" t="e">
        <f>IF(J20="","",IF(J20="Total Mensal","-",IF(J20="Total Acumulado",SUM(L$7:L19),K20/SUMIF(J:J,"Total Acumulado",K:K))))</f>
        <v>#DIV/0!</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83" t="str">
        <f>IF($B20="","",IF($C21=$C18,IF('BASE EDITAL'!$C$2="",INDEX('MAPA DE PREÇOS'!H:H,MATCH(EDITAL!B21,'MAPA DE PREÇOS'!B:B,0)+1),UPPER(INDEX('BASE EDITAL'!$C:$C,EDITAL!B21+1))),IF($C21=$C19,"Especificação do Objeto","")))</f>
        <v>Desempenadeira metálica</v>
      </c>
      <c r="H21" s="84" t="str">
        <f>IF($B20="","",IF($C21=$C18,INDEX('MAPA DE PREÇOS'!$M:$M,MATCH($B21,'MAPA DE PREÇOS'!$B:$B)-16),IF($C21=$C19,"Unidade","")))</f>
        <v>UN</v>
      </c>
      <c r="I21" s="84">
        <f>IF($B20="","",IF($C21=$C18,INDEX('MAPA DE PREÇOS'!$M:$M,MATCH($B21,'MAPA DE PREÇOS'!$B:$B)-17),IF($C21=$C19,"Quant.","")))</f>
        <v>8</v>
      </c>
      <c r="J21" s="60">
        <f>IF(J20="Total Mensal","Total Acumulado",IF($B20="","",IF($C21=$C18,INDEX('MAPA DE PREÇOS'!$M:$M,MATCH($B21,'MAPA DE PREÇOS'!$B:$B)-19),IF($C21=$C19,"Valor Unit. (R$)",IF(AND($C21&lt;&gt;$C20,$J20&lt;&gt;""),"Total Mensal","")))))</f>
        <v>62.96</v>
      </c>
      <c r="K21" s="75">
        <f>IF(J21="","",IF(J21="Total Mensal","-",IF(J21="Total Acumulado",SUM(K$7:K20),I21*J21)))</f>
        <v>503.68</v>
      </c>
      <c r="L21" s="112" t="e">
        <f>IF(J21="","",IF(J21="Total Mensal","-",IF(J21="Total Acumulado",SUM(L$7:L20),K21/SUMIF(J:J,"Total Acumulado",K:K))))</f>
        <v>#DIV/0!</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83" t="str">
        <f>IF($B21="","",IF($C22=$C19,IF('BASE EDITAL'!$C$2="",INDEX('MAPA DE PREÇOS'!H:H,MATCH(EDITAL!B22,'MAPA DE PREÇOS'!B:B,0)+1),UPPER(INDEX('BASE EDITAL'!$C:$C,EDITAL!B22+1))),IF($C22=$C20,"Especificação do Objeto","")))</f>
        <v>Desempenadeira plástica</v>
      </c>
      <c r="H22" s="84" t="str">
        <f>IF($B21="","",IF($C22=$C19,INDEX('MAPA DE PREÇOS'!$M:$M,MATCH($B22,'MAPA DE PREÇOS'!$B:$B)-16),IF($C22=$C20,"Unidade","")))</f>
        <v>UN</v>
      </c>
      <c r="I22" s="84">
        <f>IF($B21="","",IF($C22=$C19,INDEX('MAPA DE PREÇOS'!$M:$M,MATCH($B22,'MAPA DE PREÇOS'!$B:$B)-17),IF($C22=$C20,"Quant.","")))</f>
        <v>8</v>
      </c>
      <c r="J22" s="60">
        <f>IF(J21="Total Mensal","Total Acumulado",IF($B21="","",IF($C22=$C19,INDEX('MAPA DE PREÇOS'!$M:$M,MATCH($B22,'MAPA DE PREÇOS'!$B:$B)-19),IF($C22=$C20,"Valor Unit. (R$)",IF(AND($C22&lt;&gt;$C21,$J21&lt;&gt;""),"Total Mensal","")))))</f>
        <v>15.96</v>
      </c>
      <c r="K22" s="75">
        <f>IF(J22="","",IF(J22="Total Mensal","-",IF(J22="Total Acumulado",SUM(K$7:K21),I22*J22)))</f>
        <v>127.68</v>
      </c>
      <c r="L22" s="112" t="e">
        <f>IF(J22="","",IF(J22="Total Mensal","-",IF(J22="Total Acumulado",SUM(L$7:L21),K22/SUMIF(J:J,"Total Acumulado",K:K))))</f>
        <v>#DIV/0!</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83" t="str">
        <f>IF($B22="","",IF($C23=$C20,IF('BASE EDITAL'!$C$2="",INDEX('MAPA DE PREÇOS'!H:H,MATCH(EDITAL!B23,'MAPA DE PREÇOS'!B:B,0)+1),UPPER(INDEX('BASE EDITAL'!$C:$C,EDITAL!B23+1))),IF($C23=$C21,"Especificação do Objeto","")))</f>
        <v>Estilete</v>
      </c>
      <c r="H23" s="84" t="str">
        <f>IF($B22="","",IF($C23=$C20,INDEX('MAPA DE PREÇOS'!$M:$M,MATCH($B23,'MAPA DE PREÇOS'!$B:$B)-16),IF($C23=$C21,"Unidade","")))</f>
        <v>UN</v>
      </c>
      <c r="I23" s="84">
        <f>IF($B22="","",IF($C23=$C20,INDEX('MAPA DE PREÇOS'!$M:$M,MATCH($B23,'MAPA DE PREÇOS'!$B:$B)-17),IF($C23=$C21,"Quant.","")))</f>
        <v>9</v>
      </c>
      <c r="J23" s="60">
        <f>IF(J22="Total Mensal","Total Acumulado",IF($B22="","",IF($C23=$C20,INDEX('MAPA DE PREÇOS'!$M:$M,MATCH($B23,'MAPA DE PREÇOS'!$B:$B)-19),IF($C23=$C21,"Valor Unit. (R$)",IF(AND($C23&lt;&gt;$C22,$J22&lt;&gt;""),"Total Mensal","")))))</f>
        <v>12.64</v>
      </c>
      <c r="K23" s="75">
        <f>IF(J23="","",IF(J23="Total Mensal","-",IF(J23="Total Acumulado",SUM(K$7:K22),I23*J23)))</f>
        <v>113.76</v>
      </c>
      <c r="L23" s="112" t="e">
        <f>IF(J23="","",IF(J23="Total Mensal","-",IF(J23="Total Acumulado",SUM(L$7:L22),K23/SUMIF(J:J,"Total Acumulado",K:K))))</f>
        <v>#DIV/0!</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83" t="str">
        <f>IF($B23="","",IF($C24=$C21,IF('BASE EDITAL'!$C$2="",INDEX('MAPA DE PREÇOS'!H:H,MATCH(EDITAL!B24,'MAPA DE PREÇOS'!B:B,0)+1),UPPER(INDEX('BASE EDITAL'!$C:$C,EDITAL!B24+1))),IF($C24=$C22,"Especificação do Objeto","")))</f>
        <v xml:space="preserve">Trena 10 m </v>
      </c>
      <c r="H24" s="84" t="str">
        <f>IF($B23="","",IF($C24=$C21,INDEX('MAPA DE PREÇOS'!$M:$M,MATCH($B24,'MAPA DE PREÇOS'!$B:$B)-16),IF($C24=$C22,"Unidade","")))</f>
        <v>UN</v>
      </c>
      <c r="I24" s="84">
        <f>IF($B23="","",IF($C24=$C21,INDEX('MAPA DE PREÇOS'!$M:$M,MATCH($B24,'MAPA DE PREÇOS'!$B:$B)-17),IF($C24=$C22,"Quant.","")))</f>
        <v>17</v>
      </c>
      <c r="J24" s="60">
        <f>IF(J23="Total Mensal","Total Acumulado",IF($B23="","",IF($C24=$C21,INDEX('MAPA DE PREÇOS'!$M:$M,MATCH($B24,'MAPA DE PREÇOS'!$B:$B)-19),IF($C24=$C22,"Valor Unit. (R$)",IF(AND($C24&lt;&gt;$C23,$J23&lt;&gt;""),"Total Mensal","")))))</f>
        <v>47.99</v>
      </c>
      <c r="K24" s="75">
        <f>IF(J24="","",IF(J24="Total Mensal","-",IF(J24="Total Acumulado",SUM(K$7:K23),I24*J24)))</f>
        <v>815.83</v>
      </c>
      <c r="L24" s="112" t="e">
        <f>IF(J24="","",IF(J24="Total Mensal","-",IF(J24="Total Acumulado",SUM(L$7:L23),K24/SUMIF(J:J,"Total Acumulado",K:K))))</f>
        <v>#DIV/0!</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83" t="str">
        <f>IF($B24="","",IF($C25=$C22,IF('BASE EDITAL'!$C$2="",INDEX('MAPA DE PREÇOS'!H:H,MATCH(EDITAL!B25,'MAPA DE PREÇOS'!B:B,0)+1),UPPER(INDEX('BASE EDITAL'!$C:$C,EDITAL!B25+1))),IF($C25=$C23,"Especificação do Objeto","")))</f>
        <v>Cabo extensor telescópico</v>
      </c>
      <c r="H25" s="84" t="str">
        <f>IF($B24="","",IF($C25=$C22,INDEX('MAPA DE PREÇOS'!$M:$M,MATCH($B25,'MAPA DE PREÇOS'!$B:$B)-16),IF($C25=$C23,"Unidade","")))</f>
        <v>UN</v>
      </c>
      <c r="I25" s="84">
        <f>IF($B24="","",IF($C25=$C22,INDEX('MAPA DE PREÇOS'!$M:$M,MATCH($B25,'MAPA DE PREÇOS'!$B:$B)-17),IF($C25=$C23,"Quant.","")))</f>
        <v>4</v>
      </c>
      <c r="J25" s="60">
        <f>IF(J24="Total Mensal","Total Acumulado",IF($B24="","",IF($C25=$C22,INDEX('MAPA DE PREÇOS'!$M:$M,MATCH($B25,'MAPA DE PREÇOS'!$B:$B)-19),IF($C25=$C23,"Valor Unit. (R$)",IF(AND($C25&lt;&gt;$C24,$J24&lt;&gt;""),"Total Mensal","")))))</f>
        <v>38.299999999999997</v>
      </c>
      <c r="K25" s="75">
        <f>IF(J25="","",IF(J25="Total Mensal","-",IF(J25="Total Acumulado",SUM(K$7:K24),I25*J25)))</f>
        <v>153.19999999999999</v>
      </c>
      <c r="L25" s="112" t="e">
        <f>IF(J25="","",IF(J25="Total Mensal","-",IF(J25="Total Acumulado",SUM(L$7:L24),K25/SUMIF(J:J,"Total Acumulado",K:K))))</f>
        <v>#DIV/0!</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83" t="str">
        <f>IF($B25="","",IF($C26=$C23,IF('BASE EDITAL'!$C$2="",INDEX('MAPA DE PREÇOS'!H:H,MATCH(EDITAL!B26,'MAPA DE PREÇOS'!B:B,0)+1),UPPER(INDEX('BASE EDITAL'!$C:$C,EDITAL!B26+1))),IF($C26=$C24,"Especificação do Objeto","")))</f>
        <v>Alicate universal</v>
      </c>
      <c r="H26" s="84" t="str">
        <f>IF($B25="","",IF($C26=$C23,INDEX('MAPA DE PREÇOS'!$M:$M,MATCH($B26,'MAPA DE PREÇOS'!$B:$B)-16),IF($C26=$C24,"Unidade","")))</f>
        <v>UN</v>
      </c>
      <c r="I26" s="84">
        <f>IF($B25="","",IF($C26=$C23,INDEX('MAPA DE PREÇOS'!$M:$M,MATCH($B26,'MAPA DE PREÇOS'!$B:$B)-17),IF($C26=$C24,"Quant.","")))</f>
        <v>10</v>
      </c>
      <c r="J26" s="60">
        <f>IF(J25="Total Mensal","Total Acumulado",IF($B25="","",IF($C26=$C23,INDEX('MAPA DE PREÇOS'!$M:$M,MATCH($B26,'MAPA DE PREÇOS'!$B:$B)-19),IF($C26=$C24,"Valor Unit. (R$)",IF(AND($C26&lt;&gt;$C25,$J25&lt;&gt;""),"Total Mensal","")))))</f>
        <v>33.229999999999997</v>
      </c>
      <c r="K26" s="75">
        <f>IF(J26="","",IF(J26="Total Mensal","-",IF(J26="Total Acumulado",SUM(K$7:K25),I26*J26)))</f>
        <v>332.29999999999995</v>
      </c>
      <c r="L26" s="112" t="e">
        <f>IF(J26="","",IF(J26="Total Mensal","-",IF(J26="Total Acumulado",SUM(L$7:L25),K26/SUMIF(J:J,"Total Acumulado",K:K))))</f>
        <v>#DIV/0!</v>
      </c>
      <c r="M26" s="108"/>
      <c r="N26" s="112">
        <f>IF($J26="","",IF($J26="Total Mensal",SUM(O$7:O25)/VLOOKUP("Total Acumulado",$J:$K,2,FALSE),IF($J26="Total Acumulado",N25+L26+IF(L$7="% Item",-1,0),0%)))</f>
        <v>0</v>
      </c>
      <c r="O26" s="109">
        <f>IF($J26="","",IF($J26="Total Mensal",SUM(O$7:O25),IF($J26="Total Acumulado",SUM(O$7:O24)+M26,IFERROR(N26*$K26,0))))</f>
        <v>0</v>
      </c>
      <c r="P26" s="112">
        <f>IF($J26="","",IF($J26="Total Mensal",SUM(Q$7:Q25)/VLOOKUP("Total Acumulado",$J:$K,2,FALSE),IF($J26="Total Acumulado",P25+N26+IF(N$7="% Item",-1,0),0%)))</f>
        <v>0</v>
      </c>
      <c r="Q26" s="109">
        <f>IF($J26="","",IF($J26="Total Mensal",SUM(Q$7:Q25),IF($J26="Total Acumulado",SUM(Q$7:Q24)+O26,IFERROR(P26*$K26,0))))</f>
        <v>0</v>
      </c>
      <c r="R26" s="112">
        <f>IF($J26="","",IF($J26="Total Mensal",SUM(S$7:S25)/VLOOKUP("Total Acumulado",$J:$K,2,FALSE),IF($J26="Total Acumulado",R25+P26+IF(P$7="% Item",-1,0),0%)))</f>
        <v>0</v>
      </c>
      <c r="S26" s="109">
        <f>IF($J26="","",IF($J26="Total Mensal",SUM(S$7:S25),IF($J26="Total Acumulado",SUM(S$7:S24)+Q26,IFERROR(R26*$K26,0))))</f>
        <v>0</v>
      </c>
      <c r="T26" s="112">
        <f>IF($J26="","",IF($J26="Total Mensal",SUM(U$7:U25)/VLOOKUP("Total Acumulado",$J:$K,2,FALSE),IF($J26="Total Acumulado",T25+R26+IF(R$7="% Item",-1,0),0%)))</f>
        <v>0</v>
      </c>
      <c r="U26" s="109">
        <f>IF($J26="","",IF($J26="Total Mensal",SUM(U$7:U25),IF($J26="Total Acumulado",SUM(U$7:U24)+S26,IFERROR(T26*$K26,0))))</f>
        <v>0</v>
      </c>
      <c r="V26" s="112">
        <f>IF($J26="","",IF($J26="Total Mensal",SUM(W$7:W25)/VLOOKUP("Total Acumulado",$J:$K,2,FALSE),IF($J26="Total Acumulado",V25+T26+IF(T$7="% Item",-1,0),0%)))</f>
        <v>0</v>
      </c>
      <c r="W26" s="109">
        <f>IF($J26="","",IF($J26="Total Mensal",SUM(W$7:W25),IF($J26="Total Acumulado",SUM(W$7:W24)+U26,IFERROR(V26*$K26,0))))</f>
        <v>0</v>
      </c>
      <c r="X26" s="112">
        <f>IF($J26="","",IF($J26="Total Mensal",SUM(Y$7:Y25)/VLOOKUP("Total Acumulado",$J:$K,2,FALSE),IF($J26="Total Acumulado",X25+V26+IF(V$7="% Item",-1,0),0%)))</f>
        <v>0</v>
      </c>
      <c r="Y26" s="109">
        <f>IF($J26="","",IF($J26="Total Mensal",SUM(Y$7:Y25),IF($J26="Total Acumulado",SUM(Y$7:Y24)+W26,IFERROR(X26*$K26,0))))</f>
        <v>0</v>
      </c>
      <c r="Z26" s="112">
        <f>IF($J26="","",IF($J26="Total Mensal",SUM(AA$7:AA25)/VLOOKUP("Total Acumulado",$J:$K,2,FALSE),IF($J26="Total Acumulado",Z25+X26+IF(X$7="% Item",-1,0),0%)))</f>
        <v>0</v>
      </c>
      <c r="AA26" s="109">
        <f>IF($J26="","",IF($J26="Total Mensal",SUM(AA$7:AA25),IF($J26="Total Acumulado",SUM(AA$7:AA24)+Y26,IFERROR(Z26*$K26,0))))</f>
        <v>0</v>
      </c>
      <c r="AB26" s="112">
        <f>IF($J26="","",IF($J26="Total Mensal",SUM(AC$7:AC25)/VLOOKUP("Total Acumulado",$J:$K,2,FALSE),IF($J26="Total Acumulado",AB25+Z26+IF(Z$7="% Item",-1,0),0%)))</f>
        <v>0</v>
      </c>
      <c r="AC26" s="109">
        <f>IF($J26="","",IF($J26="Total Mensal",SUM(AC$7:AC25),IF($J26="Total Acumulado",SUM(AC$7:AC24)+AA26,IFERROR(AB26*$K26,0))))</f>
        <v>0</v>
      </c>
      <c r="AD26" s="112">
        <f>IF($J26="","",IF($J26="Total Mensal",SUM(AE$7:AE25)/VLOOKUP("Total Acumulado",$J:$K,2,FALSE),IF($J26="Total Acumulado",AD25+AB26+IF(AB$7="% Item",-1,0),0%)))</f>
        <v>0</v>
      </c>
      <c r="AE26" s="109">
        <f>IF($J26="","",IF($J26="Total Mensal",SUM(AE$7:AE25),IF($J26="Total Acumulado",SUM(AE$7:AE24)+AC26,IFERROR(AD26*$K26,0))))</f>
        <v>0</v>
      </c>
      <c r="AF26" s="112">
        <f>IF($J26="","",IF($J26="Total Mensal",SUM(AG$7:AG25)/VLOOKUP("Total Acumulado",$J:$K,2,FALSE),IF($J26="Total Acumulado",AF25+AD26+IF(AD$7="% Item",-1,0),0%)))</f>
        <v>0</v>
      </c>
      <c r="AG26" s="109">
        <f>IF($J26="","",IF($J26="Total Mensal",SUM(AG$7:AG25),IF($J26="Total Acumulado",SUM(AG$7:AG24)+AE26,IFERROR(AF26*$K26,0))))</f>
        <v>0</v>
      </c>
      <c r="AH26" s="112">
        <f>IF($J26="","",IF($J26="Total Mensal",SUM(AI$7:AI25)/VLOOKUP("Total Acumulado",$J:$K,2,FALSE),IF($J26="Total Acumulado",AH25+AF26+IF(AF$7="% Item",-1,0),0%)))</f>
        <v>0</v>
      </c>
      <c r="AI26" s="109">
        <f>IF($J26="","",IF($J26="Total Mensal",SUM(AI$7:AI25),IF($J26="Total Acumulado",SUM(AI$7:AI24)+AG26,IFERROR(AH26*$K26,0))))</f>
        <v>0</v>
      </c>
      <c r="AJ26" s="112">
        <f>IF($J26="","",IF($J26="Total Mensal",SUM(AK$7:AK25)/VLOOKUP("Total Acumulado",$J:$K,2,FALSE),IF($J26="Total Acumulado",AJ25+AH26+IF(AH$7="% Item",-1,0),0%)))</f>
        <v>0</v>
      </c>
      <c r="AK26" s="109">
        <f>IF($J26="","",IF($J26="Total Mensal",SUM(AK$7:AK25),IF($J26="Total Acumulado",SUM(AK$7:AK24)+AI26,IFERROR(AJ26*$K26,0))))</f>
        <v>0</v>
      </c>
    </row>
    <row r="27" spans="2:37"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83" t="str">
        <f>IF($B26="","",IF($C27=$C24,IF('BASE EDITAL'!$C$2="",INDEX('MAPA DE PREÇOS'!H:H,MATCH(EDITAL!B27,'MAPA DE PREÇOS'!B:B,0)+1),UPPER(INDEX('BASE EDITAL'!$C:$C,EDITAL!B27+1))),IF($C27=$C25,"Especificação do Objeto","")))</f>
        <v>Alicate de corte</v>
      </c>
      <c r="H27" s="84" t="str">
        <f>IF($B26="","",IF($C27=$C24,INDEX('MAPA DE PREÇOS'!$M:$M,MATCH($B27,'MAPA DE PREÇOS'!$B:$B)-16),IF($C27=$C25,"Unidade","")))</f>
        <v>UN</v>
      </c>
      <c r="I27" s="84">
        <f>IF($B26="","",IF($C27=$C24,INDEX('MAPA DE PREÇOS'!$M:$M,MATCH($B27,'MAPA DE PREÇOS'!$B:$B)-17),IF($C27=$C25,"Quant.","")))</f>
        <v>7</v>
      </c>
      <c r="J27" s="60">
        <f>IF(J26="Total Mensal","Total Acumulado",IF($B26="","",IF($C27=$C24,INDEX('MAPA DE PREÇOS'!$M:$M,MATCH($B27,'MAPA DE PREÇOS'!$B:$B)-19),IF($C27=$C25,"Valor Unit. (R$)",IF(AND($C27&lt;&gt;$C26,$J26&lt;&gt;""),"Total Mensal","")))))</f>
        <v>44.08</v>
      </c>
      <c r="K27" s="75">
        <f>IF(J27="","",IF(J27="Total Mensal","-",IF(J27="Total Acumulado",SUM(K$7:K26),I27*J27)))</f>
        <v>308.56</v>
      </c>
      <c r="L27" s="112" t="e">
        <f>IF(J27="","",IF(J27="Total Mensal","-",IF(J27="Total Acumulado",SUM(L$7:L26),K27/SUMIF(J:J,"Total Acumulado",K:K))))</f>
        <v>#DIV/0!</v>
      </c>
      <c r="M27" s="108"/>
      <c r="N27" s="112">
        <f>IF($J27="","",IF($J27="Total Mensal",SUM(O$7:O26)/VLOOKUP("Total Acumulado",$J:$K,2,FALSE),IF($J27="Total Acumulado",N26+L27+IF(L$7="% Item",-1,0),0%)))</f>
        <v>0</v>
      </c>
      <c r="O27" s="109">
        <f>IF($J27="","",IF($J27="Total Mensal",SUM(O$7:O26),IF($J27="Total Acumulado",SUM(O$7:O25)+M27,IFERROR(N27*$K27,0))))</f>
        <v>0</v>
      </c>
      <c r="P27" s="112">
        <f>IF($J27="","",IF($J27="Total Mensal",SUM(Q$7:Q26)/VLOOKUP("Total Acumulado",$J:$K,2,FALSE),IF($J27="Total Acumulado",P26+N27+IF(N$7="% Item",-1,0),0%)))</f>
        <v>0</v>
      </c>
      <c r="Q27" s="109">
        <f>IF($J27="","",IF($J27="Total Mensal",SUM(Q$7:Q26),IF($J27="Total Acumulado",SUM(Q$7:Q25)+O27,IFERROR(P27*$K27,0))))</f>
        <v>0</v>
      </c>
      <c r="R27" s="112">
        <f>IF($J27="","",IF($J27="Total Mensal",SUM(S$7:S26)/VLOOKUP("Total Acumulado",$J:$K,2,FALSE),IF($J27="Total Acumulado",R26+P27+IF(P$7="% Item",-1,0),0%)))</f>
        <v>0</v>
      </c>
      <c r="S27" s="109">
        <f>IF($J27="","",IF($J27="Total Mensal",SUM(S$7:S26),IF($J27="Total Acumulado",SUM(S$7:S25)+Q27,IFERROR(R27*$K27,0))))</f>
        <v>0</v>
      </c>
      <c r="T27" s="112">
        <f>IF($J27="","",IF($J27="Total Mensal",SUM(U$7:U26)/VLOOKUP("Total Acumulado",$J:$K,2,FALSE),IF($J27="Total Acumulado",T26+R27+IF(R$7="% Item",-1,0),0%)))</f>
        <v>0</v>
      </c>
      <c r="U27" s="109">
        <f>IF($J27="","",IF($J27="Total Mensal",SUM(U$7:U26),IF($J27="Total Acumulado",SUM(U$7:U25)+S27,IFERROR(T27*$K27,0))))</f>
        <v>0</v>
      </c>
      <c r="V27" s="112">
        <f>IF($J27="","",IF($J27="Total Mensal",SUM(W$7:W26)/VLOOKUP("Total Acumulado",$J:$K,2,FALSE),IF($J27="Total Acumulado",V26+T27+IF(T$7="% Item",-1,0),0%)))</f>
        <v>0</v>
      </c>
      <c r="W27" s="109">
        <f>IF($J27="","",IF($J27="Total Mensal",SUM(W$7:W26),IF($J27="Total Acumulado",SUM(W$7:W25)+U27,IFERROR(V27*$K27,0))))</f>
        <v>0</v>
      </c>
      <c r="X27" s="112">
        <f>IF($J27="","",IF($J27="Total Mensal",SUM(Y$7:Y26)/VLOOKUP("Total Acumulado",$J:$K,2,FALSE),IF($J27="Total Acumulado",X26+V27+IF(V$7="% Item",-1,0),0%)))</f>
        <v>0</v>
      </c>
      <c r="Y27" s="109">
        <f>IF($J27="","",IF($J27="Total Mensal",SUM(Y$7:Y26),IF($J27="Total Acumulado",SUM(Y$7:Y25)+W27,IFERROR(X27*$K27,0))))</f>
        <v>0</v>
      </c>
      <c r="Z27" s="112">
        <f>IF($J27="","",IF($J27="Total Mensal",SUM(AA$7:AA26)/VLOOKUP("Total Acumulado",$J:$K,2,FALSE),IF($J27="Total Acumulado",Z26+X27+IF(X$7="% Item",-1,0),0%)))</f>
        <v>0</v>
      </c>
      <c r="AA27" s="109">
        <f>IF($J27="","",IF($J27="Total Mensal",SUM(AA$7:AA26),IF($J27="Total Acumulado",SUM(AA$7:AA25)+Y27,IFERROR(Z27*$K27,0))))</f>
        <v>0</v>
      </c>
      <c r="AB27" s="112">
        <f>IF($J27="","",IF($J27="Total Mensal",SUM(AC$7:AC26)/VLOOKUP("Total Acumulado",$J:$K,2,FALSE),IF($J27="Total Acumulado",AB26+Z27+IF(Z$7="% Item",-1,0),0%)))</f>
        <v>0</v>
      </c>
      <c r="AC27" s="109">
        <f>IF($J27="","",IF($J27="Total Mensal",SUM(AC$7:AC26),IF($J27="Total Acumulado",SUM(AC$7:AC25)+AA27,IFERROR(AB27*$K27,0))))</f>
        <v>0</v>
      </c>
      <c r="AD27" s="112">
        <f>IF($J27="","",IF($J27="Total Mensal",SUM(AE$7:AE26)/VLOOKUP("Total Acumulado",$J:$K,2,FALSE),IF($J27="Total Acumulado",AD26+AB27+IF(AB$7="% Item",-1,0),0%)))</f>
        <v>0</v>
      </c>
      <c r="AE27" s="109">
        <f>IF($J27="","",IF($J27="Total Mensal",SUM(AE$7:AE26),IF($J27="Total Acumulado",SUM(AE$7:AE25)+AC27,IFERROR(AD27*$K27,0))))</f>
        <v>0</v>
      </c>
      <c r="AF27" s="112">
        <f>IF($J27="","",IF($J27="Total Mensal",SUM(AG$7:AG26)/VLOOKUP("Total Acumulado",$J:$K,2,FALSE),IF($J27="Total Acumulado",AF26+AD27+IF(AD$7="% Item",-1,0),0%)))</f>
        <v>0</v>
      </c>
      <c r="AG27" s="109">
        <f>IF($J27="","",IF($J27="Total Mensal",SUM(AG$7:AG26),IF($J27="Total Acumulado",SUM(AG$7:AG25)+AE27,IFERROR(AF27*$K27,0))))</f>
        <v>0</v>
      </c>
      <c r="AH27" s="112">
        <f>IF($J27="","",IF($J27="Total Mensal",SUM(AI$7:AI26)/VLOOKUP("Total Acumulado",$J:$K,2,FALSE),IF($J27="Total Acumulado",AH26+AF27+IF(AF$7="% Item",-1,0),0%)))</f>
        <v>0</v>
      </c>
      <c r="AI27" s="109">
        <f>IF($J27="","",IF($J27="Total Mensal",SUM(AI$7:AI26),IF($J27="Total Acumulado",SUM(AI$7:AI25)+AG27,IFERROR(AH27*$K27,0))))</f>
        <v>0</v>
      </c>
      <c r="AJ27" s="112">
        <f>IF($J27="","",IF($J27="Total Mensal",SUM(AK$7:AK26)/VLOOKUP("Total Acumulado",$J:$K,2,FALSE),IF($J27="Total Acumulado",AJ26+AH27+IF(AH$7="% Item",-1,0),0%)))</f>
        <v>0</v>
      </c>
      <c r="AK27" s="109">
        <f>IF($J27="","",IF($J27="Total Mensal",SUM(AK$7:AK26),IF($J27="Total Acumulado",SUM(AK$7:AK25)+AI27,IFERROR(AJ27*$K27,0))))</f>
        <v>0</v>
      </c>
    </row>
    <row r="28" spans="2:37"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83" t="str">
        <f>IF($B27="","",IF($C28=$C25,IF('BASE EDITAL'!$C$2="",INDEX('MAPA DE PREÇOS'!H:H,MATCH(EDITAL!B28,'MAPA DE PREÇOS'!B:B,0)+1),UPPER(INDEX('BASE EDITAL'!$C:$C,EDITAL!B28+1))),IF($C28=$C26,"Especificação do Objeto","")))</f>
        <v>Alicate de bico</v>
      </c>
      <c r="H28" s="84" t="str">
        <f>IF($B27="","",IF($C28=$C25,INDEX('MAPA DE PREÇOS'!$M:$M,MATCH($B28,'MAPA DE PREÇOS'!$B:$B)-16),IF($C28=$C26,"Unidade","")))</f>
        <v>UN</v>
      </c>
      <c r="I28" s="84">
        <f>IF($B27="","",IF($C28=$C25,INDEX('MAPA DE PREÇOS'!$M:$M,MATCH($B28,'MAPA DE PREÇOS'!$B:$B)-17),IF($C28=$C26,"Quant.","")))</f>
        <v>3</v>
      </c>
      <c r="J28" s="60">
        <f>IF(J27="Total Mensal","Total Acumulado",IF($B27="","",IF($C28=$C25,INDEX('MAPA DE PREÇOS'!$M:$M,MATCH($B28,'MAPA DE PREÇOS'!$B:$B)-19),IF($C28=$C26,"Valor Unit. (R$)",IF(AND($C28&lt;&gt;$C27,$J27&lt;&gt;""),"Total Mensal","")))))</f>
        <v>41.26</v>
      </c>
      <c r="K28" s="75">
        <f>IF(J28="","",IF(J28="Total Mensal","-",IF(J28="Total Acumulado",SUM(K$7:K27),I28*J28)))</f>
        <v>123.78</v>
      </c>
      <c r="L28" s="112" t="e">
        <f>IF(J28="","",IF(J28="Total Mensal","-",IF(J28="Total Acumulado",SUM(L$7:L27),K28/SUMIF(J:J,"Total Acumulado",K:K))))</f>
        <v>#DIV/0!</v>
      </c>
      <c r="M28" s="108"/>
      <c r="N28" s="112">
        <f>IF($J28="","",IF($J28="Total Mensal",SUM(O$7:O27)/VLOOKUP("Total Acumulado",$J:$K,2,FALSE),IF($J28="Total Acumulado",N27+L28+IF(L$7="% Item",-1,0),0%)))</f>
        <v>0</v>
      </c>
      <c r="O28" s="109">
        <f>IF($J28="","",IF($J28="Total Mensal",SUM(O$7:O27),IF($J28="Total Acumulado",SUM(O$7:O26)+M28,IFERROR(N28*$K28,0))))</f>
        <v>0</v>
      </c>
      <c r="P28" s="112">
        <f>IF($J28="","",IF($J28="Total Mensal",SUM(Q$7:Q27)/VLOOKUP("Total Acumulado",$J:$K,2,FALSE),IF($J28="Total Acumulado",P27+N28+IF(N$7="% Item",-1,0),0%)))</f>
        <v>0</v>
      </c>
      <c r="Q28" s="109">
        <f>IF($J28="","",IF($J28="Total Mensal",SUM(Q$7:Q27),IF($J28="Total Acumulado",SUM(Q$7:Q26)+O28,IFERROR(P28*$K28,0))))</f>
        <v>0</v>
      </c>
      <c r="R28" s="112">
        <f>IF($J28="","",IF($J28="Total Mensal",SUM(S$7:S27)/VLOOKUP("Total Acumulado",$J:$K,2,FALSE),IF($J28="Total Acumulado",R27+P28+IF(P$7="% Item",-1,0),0%)))</f>
        <v>0</v>
      </c>
      <c r="S28" s="109">
        <f>IF($J28="","",IF($J28="Total Mensal",SUM(S$7:S27),IF($J28="Total Acumulado",SUM(S$7:S26)+Q28,IFERROR(R28*$K28,0))))</f>
        <v>0</v>
      </c>
      <c r="T28" s="112">
        <f>IF($J28="","",IF($J28="Total Mensal",SUM(U$7:U27)/VLOOKUP("Total Acumulado",$J:$K,2,FALSE),IF($J28="Total Acumulado",T27+R28+IF(R$7="% Item",-1,0),0%)))</f>
        <v>0</v>
      </c>
      <c r="U28" s="109">
        <f>IF($J28="","",IF($J28="Total Mensal",SUM(U$7:U27),IF($J28="Total Acumulado",SUM(U$7:U26)+S28,IFERROR(T28*$K28,0))))</f>
        <v>0</v>
      </c>
      <c r="V28" s="112">
        <f>IF($J28="","",IF($J28="Total Mensal",SUM(W$7:W27)/VLOOKUP("Total Acumulado",$J:$K,2,FALSE),IF($J28="Total Acumulado",V27+T28+IF(T$7="% Item",-1,0),0%)))</f>
        <v>0</v>
      </c>
      <c r="W28" s="109">
        <f>IF($J28="","",IF($J28="Total Mensal",SUM(W$7:W27),IF($J28="Total Acumulado",SUM(W$7:W26)+U28,IFERROR(V28*$K28,0))))</f>
        <v>0</v>
      </c>
      <c r="X28" s="112">
        <f>IF($J28="","",IF($J28="Total Mensal",SUM(Y$7:Y27)/VLOOKUP("Total Acumulado",$J:$K,2,FALSE),IF($J28="Total Acumulado",X27+V28+IF(V$7="% Item",-1,0),0%)))</f>
        <v>0</v>
      </c>
      <c r="Y28" s="109">
        <f>IF($J28="","",IF($J28="Total Mensal",SUM(Y$7:Y27),IF($J28="Total Acumulado",SUM(Y$7:Y26)+W28,IFERROR(X28*$K28,0))))</f>
        <v>0</v>
      </c>
      <c r="Z28" s="112">
        <f>IF($J28="","",IF($J28="Total Mensal",SUM(AA$7:AA27)/VLOOKUP("Total Acumulado",$J:$K,2,FALSE),IF($J28="Total Acumulado",Z27+X28+IF(X$7="% Item",-1,0),0%)))</f>
        <v>0</v>
      </c>
      <c r="AA28" s="109">
        <f>IF($J28="","",IF($J28="Total Mensal",SUM(AA$7:AA27),IF($J28="Total Acumulado",SUM(AA$7:AA26)+Y28,IFERROR(Z28*$K28,0))))</f>
        <v>0</v>
      </c>
      <c r="AB28" s="112">
        <f>IF($J28="","",IF($J28="Total Mensal",SUM(AC$7:AC27)/VLOOKUP("Total Acumulado",$J:$K,2,FALSE),IF($J28="Total Acumulado",AB27+Z28+IF(Z$7="% Item",-1,0),0%)))</f>
        <v>0</v>
      </c>
      <c r="AC28" s="109">
        <f>IF($J28="","",IF($J28="Total Mensal",SUM(AC$7:AC27),IF($J28="Total Acumulado",SUM(AC$7:AC26)+AA28,IFERROR(AB28*$K28,0))))</f>
        <v>0</v>
      </c>
      <c r="AD28" s="112">
        <f>IF($J28="","",IF($J28="Total Mensal",SUM(AE$7:AE27)/VLOOKUP("Total Acumulado",$J:$K,2,FALSE),IF($J28="Total Acumulado",AD27+AB28+IF(AB$7="% Item",-1,0),0%)))</f>
        <v>0</v>
      </c>
      <c r="AE28" s="109">
        <f>IF($J28="","",IF($J28="Total Mensal",SUM(AE$7:AE27),IF($J28="Total Acumulado",SUM(AE$7:AE26)+AC28,IFERROR(AD28*$K28,0))))</f>
        <v>0</v>
      </c>
      <c r="AF28" s="112">
        <f>IF($J28="","",IF($J28="Total Mensal",SUM(AG$7:AG27)/VLOOKUP("Total Acumulado",$J:$K,2,FALSE),IF($J28="Total Acumulado",AF27+AD28+IF(AD$7="% Item",-1,0),0%)))</f>
        <v>0</v>
      </c>
      <c r="AG28" s="109">
        <f>IF($J28="","",IF($J28="Total Mensal",SUM(AG$7:AG27),IF($J28="Total Acumulado",SUM(AG$7:AG26)+AE28,IFERROR(AF28*$K28,0))))</f>
        <v>0</v>
      </c>
      <c r="AH28" s="112">
        <f>IF($J28="","",IF($J28="Total Mensal",SUM(AI$7:AI27)/VLOOKUP("Total Acumulado",$J:$K,2,FALSE),IF($J28="Total Acumulado",AH27+AF28+IF(AF$7="% Item",-1,0),0%)))</f>
        <v>0</v>
      </c>
      <c r="AI28" s="109">
        <f>IF($J28="","",IF($J28="Total Mensal",SUM(AI$7:AI27),IF($J28="Total Acumulado",SUM(AI$7:AI26)+AG28,IFERROR(AH28*$K28,0))))</f>
        <v>0</v>
      </c>
      <c r="AJ28" s="112">
        <f>IF($J28="","",IF($J28="Total Mensal",SUM(AK$7:AK27)/VLOOKUP("Total Acumulado",$J:$K,2,FALSE),IF($J28="Total Acumulado",AJ27+AH28+IF(AH$7="% Item",-1,0),0%)))</f>
        <v>0</v>
      </c>
      <c r="AK28" s="109">
        <f>IF($J28="","",IF($J28="Total Mensal",SUM(AK$7:AK27),IF($J28="Total Acumulado",SUM(AK$7:AK26)+AI28,IFERROR(AJ28*$K28,0))))</f>
        <v>0</v>
      </c>
    </row>
    <row r="29" spans="2:37"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83" t="str">
        <f>IF($B28="","",IF($C29=$C26,IF('BASE EDITAL'!$C$2="",INDEX('MAPA DE PREÇOS'!H:H,MATCH(EDITAL!B29,'MAPA DE PREÇOS'!B:B,0)+1),UPPER(INDEX('BASE EDITAL'!$C:$C,EDITAL!B29+1))),IF($C29=$C27,"Especificação do Objeto","")))</f>
        <v>Alicate prensa terminal</v>
      </c>
      <c r="H29" s="84" t="str">
        <f>IF($B28="","",IF($C29=$C26,INDEX('MAPA DE PREÇOS'!$M:$M,MATCH($B29,'MAPA DE PREÇOS'!$B:$B)-16),IF($C29=$C27,"Unidade","")))</f>
        <v>UN</v>
      </c>
      <c r="I29" s="84">
        <f>IF($B28="","",IF($C29=$C26,INDEX('MAPA DE PREÇOS'!$M:$M,MATCH($B29,'MAPA DE PREÇOS'!$B:$B)-17),IF($C29=$C27,"Quant.","")))</f>
        <v>3</v>
      </c>
      <c r="J29" s="60">
        <f>IF(J28="Total Mensal","Total Acumulado",IF($B28="","",IF($C29=$C26,INDEX('MAPA DE PREÇOS'!$M:$M,MATCH($B29,'MAPA DE PREÇOS'!$B:$B)-19),IF($C29=$C27,"Valor Unit. (R$)",IF(AND($C29&lt;&gt;$C28,$J28&lt;&gt;""),"Total Mensal","")))))</f>
        <v>234.35</v>
      </c>
      <c r="K29" s="75">
        <f>IF(J29="","",IF(J29="Total Mensal","-",IF(J29="Total Acumulado",SUM(K$7:K28),I29*J29)))</f>
        <v>703.05</v>
      </c>
      <c r="L29" s="112" t="e">
        <f>IF(J29="","",IF(J29="Total Mensal","-",IF(J29="Total Acumulado",SUM(L$7:L28),K29/SUMIF(J:J,"Total Acumulado",K:K))))</f>
        <v>#DIV/0!</v>
      </c>
      <c r="M29" s="108"/>
      <c r="N29" s="112">
        <f>IF($J29="","",IF($J29="Total Mensal",SUM(O$7:O28)/VLOOKUP("Total Acumulado",$J:$K,2,FALSE),IF($J29="Total Acumulado",N28+L29+IF(L$7="% Item",-1,0),0%)))</f>
        <v>0</v>
      </c>
      <c r="O29" s="109">
        <f>IF($J29="","",IF($J29="Total Mensal",SUM(O$7:O28),IF($J29="Total Acumulado",SUM(O$7:O27)+M29,IFERROR(N29*$K29,0))))</f>
        <v>0</v>
      </c>
      <c r="P29" s="112">
        <f>IF($J29="","",IF($J29="Total Mensal",SUM(Q$7:Q28)/VLOOKUP("Total Acumulado",$J:$K,2,FALSE),IF($J29="Total Acumulado",P28+N29+IF(N$7="% Item",-1,0),0%)))</f>
        <v>0</v>
      </c>
      <c r="Q29" s="109">
        <f>IF($J29="","",IF($J29="Total Mensal",SUM(Q$7:Q28),IF($J29="Total Acumulado",SUM(Q$7:Q27)+O29,IFERROR(P29*$K29,0))))</f>
        <v>0</v>
      </c>
      <c r="R29" s="112">
        <f>IF($J29="","",IF($J29="Total Mensal",SUM(S$7:S28)/VLOOKUP("Total Acumulado",$J:$K,2,FALSE),IF($J29="Total Acumulado",R28+P29+IF(P$7="% Item",-1,0),0%)))</f>
        <v>0</v>
      </c>
      <c r="S29" s="109">
        <f>IF($J29="","",IF($J29="Total Mensal",SUM(S$7:S28),IF($J29="Total Acumulado",SUM(S$7:S27)+Q29,IFERROR(R29*$K29,0))))</f>
        <v>0</v>
      </c>
      <c r="T29" s="112">
        <f>IF($J29="","",IF($J29="Total Mensal",SUM(U$7:U28)/VLOOKUP("Total Acumulado",$J:$K,2,FALSE),IF($J29="Total Acumulado",T28+R29+IF(R$7="% Item",-1,0),0%)))</f>
        <v>0</v>
      </c>
      <c r="U29" s="109">
        <f>IF($J29="","",IF($J29="Total Mensal",SUM(U$7:U28),IF($J29="Total Acumulado",SUM(U$7:U27)+S29,IFERROR(T29*$K29,0))))</f>
        <v>0</v>
      </c>
      <c r="V29" s="112">
        <f>IF($J29="","",IF($J29="Total Mensal",SUM(W$7:W28)/VLOOKUP("Total Acumulado",$J:$K,2,FALSE),IF($J29="Total Acumulado",V28+T29+IF(T$7="% Item",-1,0),0%)))</f>
        <v>0</v>
      </c>
      <c r="W29" s="109">
        <f>IF($J29="","",IF($J29="Total Mensal",SUM(W$7:W28),IF($J29="Total Acumulado",SUM(W$7:W27)+U29,IFERROR(V29*$K29,0))))</f>
        <v>0</v>
      </c>
      <c r="X29" s="112">
        <f>IF($J29="","",IF($J29="Total Mensal",SUM(Y$7:Y28)/VLOOKUP("Total Acumulado",$J:$K,2,FALSE),IF($J29="Total Acumulado",X28+V29+IF(V$7="% Item",-1,0),0%)))</f>
        <v>0</v>
      </c>
      <c r="Y29" s="109">
        <f>IF($J29="","",IF($J29="Total Mensal",SUM(Y$7:Y28),IF($J29="Total Acumulado",SUM(Y$7:Y27)+W29,IFERROR(X29*$K29,0))))</f>
        <v>0</v>
      </c>
      <c r="Z29" s="112">
        <f>IF($J29="","",IF($J29="Total Mensal",SUM(AA$7:AA28)/VLOOKUP("Total Acumulado",$J:$K,2,FALSE),IF($J29="Total Acumulado",Z28+X29+IF(X$7="% Item",-1,0),0%)))</f>
        <v>0</v>
      </c>
      <c r="AA29" s="109">
        <f>IF($J29="","",IF($J29="Total Mensal",SUM(AA$7:AA28),IF($J29="Total Acumulado",SUM(AA$7:AA27)+Y29,IFERROR(Z29*$K29,0))))</f>
        <v>0</v>
      </c>
      <c r="AB29" s="112">
        <f>IF($J29="","",IF($J29="Total Mensal",SUM(AC$7:AC28)/VLOOKUP("Total Acumulado",$J:$K,2,FALSE),IF($J29="Total Acumulado",AB28+Z29+IF(Z$7="% Item",-1,0),0%)))</f>
        <v>0</v>
      </c>
      <c r="AC29" s="109">
        <f>IF($J29="","",IF($J29="Total Mensal",SUM(AC$7:AC28),IF($J29="Total Acumulado",SUM(AC$7:AC27)+AA29,IFERROR(AB29*$K29,0))))</f>
        <v>0</v>
      </c>
      <c r="AD29" s="112">
        <f>IF($J29="","",IF($J29="Total Mensal",SUM(AE$7:AE28)/VLOOKUP("Total Acumulado",$J:$K,2,FALSE),IF($J29="Total Acumulado",AD28+AB29+IF(AB$7="% Item",-1,0),0%)))</f>
        <v>0</v>
      </c>
      <c r="AE29" s="109">
        <f>IF($J29="","",IF($J29="Total Mensal",SUM(AE$7:AE28),IF($J29="Total Acumulado",SUM(AE$7:AE27)+AC29,IFERROR(AD29*$K29,0))))</f>
        <v>0</v>
      </c>
      <c r="AF29" s="112">
        <f>IF($J29="","",IF($J29="Total Mensal",SUM(AG$7:AG28)/VLOOKUP("Total Acumulado",$J:$K,2,FALSE),IF($J29="Total Acumulado",AF28+AD29+IF(AD$7="% Item",-1,0),0%)))</f>
        <v>0</v>
      </c>
      <c r="AG29" s="109">
        <f>IF($J29="","",IF($J29="Total Mensal",SUM(AG$7:AG28),IF($J29="Total Acumulado",SUM(AG$7:AG27)+AE29,IFERROR(AF29*$K29,0))))</f>
        <v>0</v>
      </c>
      <c r="AH29" s="112">
        <f>IF($J29="","",IF($J29="Total Mensal",SUM(AI$7:AI28)/VLOOKUP("Total Acumulado",$J:$K,2,FALSE),IF($J29="Total Acumulado",AH28+AF29+IF(AF$7="% Item",-1,0),0%)))</f>
        <v>0</v>
      </c>
      <c r="AI29" s="109">
        <f>IF($J29="","",IF($J29="Total Mensal",SUM(AI$7:AI28),IF($J29="Total Acumulado",SUM(AI$7:AI27)+AG29,IFERROR(AH29*$K29,0))))</f>
        <v>0</v>
      </c>
      <c r="AJ29" s="112">
        <f>IF($J29="","",IF($J29="Total Mensal",SUM(AK$7:AK28)/VLOOKUP("Total Acumulado",$J:$K,2,FALSE),IF($J29="Total Acumulado",AJ28+AH29+IF(AH$7="% Item",-1,0),0%)))</f>
        <v>0</v>
      </c>
      <c r="AK29" s="109">
        <f>IF($J29="","",IF($J29="Total Mensal",SUM(AK$7:AK28),IF($J29="Total Acumulado",SUM(AK$7:AK27)+AI29,IFERROR(AJ29*$K29,0))))</f>
        <v>0</v>
      </c>
    </row>
    <row r="30" spans="2:37"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83" t="str">
        <f>IF($B29="","",IF($C30=$C27,IF('BASE EDITAL'!$C$2="",INDEX('MAPA DE PREÇOS'!H:H,MATCH(EDITAL!B30,'MAPA DE PREÇOS'!B:B,0)+1),UPPER(INDEX('BASE EDITAL'!$C:$C,EDITAL!B30+1))),IF($C30=$C28,"Especificação do Objeto","")))</f>
        <v xml:space="preserve">Alicate desencapador </v>
      </c>
      <c r="H30" s="84" t="str">
        <f>IF($B29="","",IF($C30=$C27,INDEX('MAPA DE PREÇOS'!$M:$M,MATCH($B30,'MAPA DE PREÇOS'!$B:$B)-16),IF($C30=$C28,"Unidade","")))</f>
        <v>UN</v>
      </c>
      <c r="I30" s="84">
        <f>IF($B29="","",IF($C30=$C27,INDEX('MAPA DE PREÇOS'!$M:$M,MATCH($B30,'MAPA DE PREÇOS'!$B:$B)-17),IF($C30=$C28,"Quant.","")))</f>
        <v>3</v>
      </c>
      <c r="J30" s="60">
        <f>IF(J29="Total Mensal","Total Acumulado",IF($B29="","",IF($C30=$C27,INDEX('MAPA DE PREÇOS'!$M:$M,MATCH($B30,'MAPA DE PREÇOS'!$B:$B)-19),IF($C30=$C28,"Valor Unit. (R$)",IF(AND($C30&lt;&gt;$C29,$J29&lt;&gt;""),"Total Mensal","")))))</f>
        <v>78.83</v>
      </c>
      <c r="K30" s="75">
        <f>IF(J30="","",IF(J30="Total Mensal","-",IF(J30="Total Acumulado",SUM(K$7:K29),I30*J30)))</f>
        <v>236.49</v>
      </c>
      <c r="L30" s="112" t="e">
        <f>IF(J30="","",IF(J30="Total Mensal","-",IF(J30="Total Acumulado",SUM(L$7:L29),K30/SUMIF(J:J,"Total Acumulado",K:K))))</f>
        <v>#DIV/0!</v>
      </c>
      <c r="M30" s="108"/>
      <c r="N30" s="112">
        <f>IF($J30="","",IF($J30="Total Mensal",SUM(O$7:O29)/VLOOKUP("Total Acumulado",$J:$K,2,FALSE),IF($J30="Total Acumulado",N29+L30+IF(L$7="% Item",-1,0),0%)))</f>
        <v>0</v>
      </c>
      <c r="O30" s="109">
        <f>IF($J30="","",IF($J30="Total Mensal",SUM(O$7:O29),IF($J30="Total Acumulado",SUM(O$7:O28)+M30,IFERROR(N30*$K30,0))))</f>
        <v>0</v>
      </c>
      <c r="P30" s="112">
        <f>IF($J30="","",IF($J30="Total Mensal",SUM(Q$7:Q29)/VLOOKUP("Total Acumulado",$J:$K,2,FALSE),IF($J30="Total Acumulado",P29+N30+IF(N$7="% Item",-1,0),0%)))</f>
        <v>0</v>
      </c>
      <c r="Q30" s="109">
        <f>IF($J30="","",IF($J30="Total Mensal",SUM(Q$7:Q29),IF($J30="Total Acumulado",SUM(Q$7:Q28)+O30,IFERROR(P30*$K30,0))))</f>
        <v>0</v>
      </c>
      <c r="R30" s="112">
        <f>IF($J30="","",IF($J30="Total Mensal",SUM(S$7:S29)/VLOOKUP("Total Acumulado",$J:$K,2,FALSE),IF($J30="Total Acumulado",R29+P30+IF(P$7="% Item",-1,0),0%)))</f>
        <v>0</v>
      </c>
      <c r="S30" s="109">
        <f>IF($J30="","",IF($J30="Total Mensal",SUM(S$7:S29),IF($J30="Total Acumulado",SUM(S$7:S28)+Q30,IFERROR(R30*$K30,0))))</f>
        <v>0</v>
      </c>
      <c r="T30" s="112">
        <f>IF($J30="","",IF($J30="Total Mensal",SUM(U$7:U29)/VLOOKUP("Total Acumulado",$J:$K,2,FALSE),IF($J30="Total Acumulado",T29+R30+IF(R$7="% Item",-1,0),0%)))</f>
        <v>0</v>
      </c>
      <c r="U30" s="109">
        <f>IF($J30="","",IF($J30="Total Mensal",SUM(U$7:U29),IF($J30="Total Acumulado",SUM(U$7:U28)+S30,IFERROR(T30*$K30,0))))</f>
        <v>0</v>
      </c>
      <c r="V30" s="112">
        <f>IF($J30="","",IF($J30="Total Mensal",SUM(W$7:W29)/VLOOKUP("Total Acumulado",$J:$K,2,FALSE),IF($J30="Total Acumulado",V29+T30+IF(T$7="% Item",-1,0),0%)))</f>
        <v>0</v>
      </c>
      <c r="W30" s="109">
        <f>IF($J30="","",IF($J30="Total Mensal",SUM(W$7:W29),IF($J30="Total Acumulado",SUM(W$7:W28)+U30,IFERROR(V30*$K30,0))))</f>
        <v>0</v>
      </c>
      <c r="X30" s="112">
        <f>IF($J30="","",IF($J30="Total Mensal",SUM(Y$7:Y29)/VLOOKUP("Total Acumulado",$J:$K,2,FALSE),IF($J30="Total Acumulado",X29+V30+IF(V$7="% Item",-1,0),0%)))</f>
        <v>0</v>
      </c>
      <c r="Y30" s="109">
        <f>IF($J30="","",IF($J30="Total Mensal",SUM(Y$7:Y29),IF($J30="Total Acumulado",SUM(Y$7:Y28)+W30,IFERROR(X30*$K30,0))))</f>
        <v>0</v>
      </c>
      <c r="Z30" s="112">
        <f>IF($J30="","",IF($J30="Total Mensal",SUM(AA$7:AA29)/VLOOKUP("Total Acumulado",$J:$K,2,FALSE),IF($J30="Total Acumulado",Z29+X30+IF(X$7="% Item",-1,0),0%)))</f>
        <v>0</v>
      </c>
      <c r="AA30" s="109">
        <f>IF($J30="","",IF($J30="Total Mensal",SUM(AA$7:AA29),IF($J30="Total Acumulado",SUM(AA$7:AA28)+Y30,IFERROR(Z30*$K30,0))))</f>
        <v>0</v>
      </c>
      <c r="AB30" s="112">
        <f>IF($J30="","",IF($J30="Total Mensal",SUM(AC$7:AC29)/VLOOKUP("Total Acumulado",$J:$K,2,FALSE),IF($J30="Total Acumulado",AB29+Z30+IF(Z$7="% Item",-1,0),0%)))</f>
        <v>0</v>
      </c>
      <c r="AC30" s="109">
        <f>IF($J30="","",IF($J30="Total Mensal",SUM(AC$7:AC29),IF($J30="Total Acumulado",SUM(AC$7:AC28)+AA30,IFERROR(AB30*$K30,0))))</f>
        <v>0</v>
      </c>
      <c r="AD30" s="112">
        <f>IF($J30="","",IF($J30="Total Mensal",SUM(AE$7:AE29)/VLOOKUP("Total Acumulado",$J:$K,2,FALSE),IF($J30="Total Acumulado",AD29+AB30+IF(AB$7="% Item",-1,0),0%)))</f>
        <v>0</v>
      </c>
      <c r="AE30" s="109">
        <f>IF($J30="","",IF($J30="Total Mensal",SUM(AE$7:AE29),IF($J30="Total Acumulado",SUM(AE$7:AE28)+AC30,IFERROR(AD30*$K30,0))))</f>
        <v>0</v>
      </c>
      <c r="AF30" s="112">
        <f>IF($J30="","",IF($J30="Total Mensal",SUM(AG$7:AG29)/VLOOKUP("Total Acumulado",$J:$K,2,FALSE),IF($J30="Total Acumulado",AF29+AD30+IF(AD$7="% Item",-1,0),0%)))</f>
        <v>0</v>
      </c>
      <c r="AG30" s="109">
        <f>IF($J30="","",IF($J30="Total Mensal",SUM(AG$7:AG29),IF($J30="Total Acumulado",SUM(AG$7:AG28)+AE30,IFERROR(AF30*$K30,0))))</f>
        <v>0</v>
      </c>
      <c r="AH30" s="112">
        <f>IF($J30="","",IF($J30="Total Mensal",SUM(AI$7:AI29)/VLOOKUP("Total Acumulado",$J:$K,2,FALSE),IF($J30="Total Acumulado",AH29+AF30+IF(AF$7="% Item",-1,0),0%)))</f>
        <v>0</v>
      </c>
      <c r="AI30" s="109">
        <f>IF($J30="","",IF($J30="Total Mensal",SUM(AI$7:AI29),IF($J30="Total Acumulado",SUM(AI$7:AI28)+AG30,IFERROR(AH30*$K30,0))))</f>
        <v>0</v>
      </c>
      <c r="AJ30" s="112">
        <f>IF($J30="","",IF($J30="Total Mensal",SUM(AK$7:AK29)/VLOOKUP("Total Acumulado",$J:$K,2,FALSE),IF($J30="Total Acumulado",AJ29+AH30+IF(AH$7="% Item",-1,0),0%)))</f>
        <v>0</v>
      </c>
      <c r="AK30" s="109">
        <f>IF($J30="","",IF($J30="Total Mensal",SUM(AK$7:AK29),IF($J30="Total Acumulado",SUM(AK$7:AK28)+AI30,IFERROR(AJ30*$K30,0))))</f>
        <v>0</v>
      </c>
    </row>
    <row r="31" spans="2:37"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83" t="str">
        <f>IF($B30="","",IF($C31=$C28,IF('BASE EDITAL'!$C$2="",INDEX('MAPA DE PREÇOS'!H:H,MATCH(EDITAL!B31,'MAPA DE PREÇOS'!B:B,0)+1),UPPER(INDEX('BASE EDITAL'!$C:$C,EDITAL!B31+1))),IF($C31=$C29,"Especificação do Objeto","")))</f>
        <v>Alicate bomba d'água 12 polegadas</v>
      </c>
      <c r="H31" s="84" t="str">
        <f>IF($B30="","",IF($C31=$C28,INDEX('MAPA DE PREÇOS'!$M:$M,MATCH($B31,'MAPA DE PREÇOS'!$B:$B)-16),IF($C31=$C29,"Unidade","")))</f>
        <v>UN</v>
      </c>
      <c r="I31" s="84">
        <f>IF($B30="","",IF($C31=$C28,INDEX('MAPA DE PREÇOS'!$M:$M,MATCH($B31,'MAPA DE PREÇOS'!$B:$B)-17),IF($C31=$C29,"Quant.","")))</f>
        <v>5</v>
      </c>
      <c r="J31" s="60">
        <f>IF(J30="Total Mensal","Total Acumulado",IF($B30="","",IF($C31=$C28,INDEX('MAPA DE PREÇOS'!$M:$M,MATCH($B31,'MAPA DE PREÇOS'!$B:$B)-19),IF($C31=$C29,"Valor Unit. (R$)",IF(AND($C31&lt;&gt;$C30,$J30&lt;&gt;""),"Total Mensal","")))))</f>
        <v>104.85</v>
      </c>
      <c r="K31" s="75">
        <f>IF(J31="","",IF(J31="Total Mensal","-",IF(J31="Total Acumulado",SUM(K$7:K30),I31*J31)))</f>
        <v>524.25</v>
      </c>
      <c r="L31" s="112" t="e">
        <f>IF(J31="","",IF(J31="Total Mensal","-",IF(J31="Total Acumulado",SUM(L$7:L30),K31/SUMIF(J:J,"Total Acumulado",K:K))))</f>
        <v>#DIV/0!</v>
      </c>
      <c r="M31" s="108"/>
      <c r="N31" s="112">
        <f>IF($J31="","",IF($J31="Total Mensal",SUM(O$7:O30)/VLOOKUP("Total Acumulado",$J:$K,2,FALSE),IF($J31="Total Acumulado",N30+L31+IF(L$7="% Item",-1,0),0%)))</f>
        <v>0</v>
      </c>
      <c r="O31" s="109">
        <f>IF($J31="","",IF($J31="Total Mensal",SUM(O$7:O30),IF($J31="Total Acumulado",SUM(O$7:O29)+M31,IFERROR(N31*$K31,0))))</f>
        <v>0</v>
      </c>
      <c r="P31" s="112">
        <f>IF($J31="","",IF($J31="Total Mensal",SUM(Q$7:Q30)/VLOOKUP("Total Acumulado",$J:$K,2,FALSE),IF($J31="Total Acumulado",P30+N31+IF(N$7="% Item",-1,0),0%)))</f>
        <v>0</v>
      </c>
      <c r="Q31" s="109">
        <f>IF($J31="","",IF($J31="Total Mensal",SUM(Q$7:Q30),IF($J31="Total Acumulado",SUM(Q$7:Q29)+O31,IFERROR(P31*$K31,0))))</f>
        <v>0</v>
      </c>
      <c r="R31" s="112">
        <f>IF($J31="","",IF($J31="Total Mensal",SUM(S$7:S30)/VLOOKUP("Total Acumulado",$J:$K,2,FALSE),IF($J31="Total Acumulado",R30+P31+IF(P$7="% Item",-1,0),0%)))</f>
        <v>0</v>
      </c>
      <c r="S31" s="109">
        <f>IF($J31="","",IF($J31="Total Mensal",SUM(S$7:S30),IF($J31="Total Acumulado",SUM(S$7:S29)+Q31,IFERROR(R31*$K31,0))))</f>
        <v>0</v>
      </c>
      <c r="T31" s="112">
        <f>IF($J31="","",IF($J31="Total Mensal",SUM(U$7:U30)/VLOOKUP("Total Acumulado",$J:$K,2,FALSE),IF($J31="Total Acumulado",T30+R31+IF(R$7="% Item",-1,0),0%)))</f>
        <v>0</v>
      </c>
      <c r="U31" s="109">
        <f>IF($J31="","",IF($J31="Total Mensal",SUM(U$7:U30),IF($J31="Total Acumulado",SUM(U$7:U29)+S31,IFERROR(T31*$K31,0))))</f>
        <v>0</v>
      </c>
      <c r="V31" s="112">
        <f>IF($J31="","",IF($J31="Total Mensal",SUM(W$7:W30)/VLOOKUP("Total Acumulado",$J:$K,2,FALSE),IF($J31="Total Acumulado",V30+T31+IF(T$7="% Item",-1,0),0%)))</f>
        <v>0</v>
      </c>
      <c r="W31" s="109">
        <f>IF($J31="","",IF($J31="Total Mensal",SUM(W$7:W30),IF($J31="Total Acumulado",SUM(W$7:W29)+U31,IFERROR(V31*$K31,0))))</f>
        <v>0</v>
      </c>
      <c r="X31" s="112">
        <f>IF($J31="","",IF($J31="Total Mensal",SUM(Y$7:Y30)/VLOOKUP("Total Acumulado",$J:$K,2,FALSE),IF($J31="Total Acumulado",X30+V31+IF(V$7="% Item",-1,0),0%)))</f>
        <v>0</v>
      </c>
      <c r="Y31" s="109">
        <f>IF($J31="","",IF($J31="Total Mensal",SUM(Y$7:Y30),IF($J31="Total Acumulado",SUM(Y$7:Y29)+W31,IFERROR(X31*$K31,0))))</f>
        <v>0</v>
      </c>
      <c r="Z31" s="112">
        <f>IF($J31="","",IF($J31="Total Mensal",SUM(AA$7:AA30)/VLOOKUP("Total Acumulado",$J:$K,2,FALSE),IF($J31="Total Acumulado",Z30+X31+IF(X$7="% Item",-1,0),0%)))</f>
        <v>0</v>
      </c>
      <c r="AA31" s="109">
        <f>IF($J31="","",IF($J31="Total Mensal",SUM(AA$7:AA30),IF($J31="Total Acumulado",SUM(AA$7:AA29)+Y31,IFERROR(Z31*$K31,0))))</f>
        <v>0</v>
      </c>
      <c r="AB31" s="112">
        <f>IF($J31="","",IF($J31="Total Mensal",SUM(AC$7:AC30)/VLOOKUP("Total Acumulado",$J:$K,2,FALSE),IF($J31="Total Acumulado",AB30+Z31+IF(Z$7="% Item",-1,0),0%)))</f>
        <v>0</v>
      </c>
      <c r="AC31" s="109">
        <f>IF($J31="","",IF($J31="Total Mensal",SUM(AC$7:AC30),IF($J31="Total Acumulado",SUM(AC$7:AC29)+AA31,IFERROR(AB31*$K31,0))))</f>
        <v>0</v>
      </c>
      <c r="AD31" s="112">
        <f>IF($J31="","",IF($J31="Total Mensal",SUM(AE$7:AE30)/VLOOKUP("Total Acumulado",$J:$K,2,FALSE),IF($J31="Total Acumulado",AD30+AB31+IF(AB$7="% Item",-1,0),0%)))</f>
        <v>0</v>
      </c>
      <c r="AE31" s="109">
        <f>IF($J31="","",IF($J31="Total Mensal",SUM(AE$7:AE30),IF($J31="Total Acumulado",SUM(AE$7:AE29)+AC31,IFERROR(AD31*$K31,0))))</f>
        <v>0</v>
      </c>
      <c r="AF31" s="112">
        <f>IF($J31="","",IF($J31="Total Mensal",SUM(AG$7:AG30)/VLOOKUP("Total Acumulado",$J:$K,2,FALSE),IF($J31="Total Acumulado",AF30+AD31+IF(AD$7="% Item",-1,0),0%)))</f>
        <v>0</v>
      </c>
      <c r="AG31" s="109">
        <f>IF($J31="","",IF($J31="Total Mensal",SUM(AG$7:AG30),IF($J31="Total Acumulado",SUM(AG$7:AG29)+AE31,IFERROR(AF31*$K31,0))))</f>
        <v>0</v>
      </c>
      <c r="AH31" s="112">
        <f>IF($J31="","",IF($J31="Total Mensal",SUM(AI$7:AI30)/VLOOKUP("Total Acumulado",$J:$K,2,FALSE),IF($J31="Total Acumulado",AH30+AF31+IF(AF$7="% Item",-1,0),0%)))</f>
        <v>0</v>
      </c>
      <c r="AI31" s="109">
        <f>IF($J31="","",IF($J31="Total Mensal",SUM(AI$7:AI30),IF($J31="Total Acumulado",SUM(AI$7:AI29)+AG31,IFERROR(AH31*$K31,0))))</f>
        <v>0</v>
      </c>
      <c r="AJ31" s="112">
        <f>IF($J31="","",IF($J31="Total Mensal",SUM(AK$7:AK30)/VLOOKUP("Total Acumulado",$J:$K,2,FALSE),IF($J31="Total Acumulado",AJ30+AH31+IF(AH$7="% Item",-1,0),0%)))</f>
        <v>0</v>
      </c>
      <c r="AK31" s="109">
        <f>IF($J31="","",IF($J31="Total Mensal",SUM(AK$7:AK30),IF($J31="Total Acumulado",SUM(AK$7:AK29)+AI31,IFERROR(AJ31*$K31,0))))</f>
        <v>0</v>
      </c>
    </row>
    <row r="32" spans="2:37" x14ac:dyDescent="0.25">
      <c r="B32" s="41">
        <f>IFERROR(IF(C31=C28,IF(B31+1&lt;='MAPA DE PREÇOS'!$H$8,B31+1,""),B31),"")</f>
        <v>25</v>
      </c>
      <c r="C32" s="41">
        <f>IFERROR(VLOOKUP(B32,'MAPA DE PREÇOS'!B:D,2,FALSE),"")</f>
        <v>1</v>
      </c>
      <c r="D32" s="41">
        <f>IFERROR(VLOOKUP(B32,'MAPA DE PREÇOS'!B:D,3,FALSE),"")</f>
        <v>25</v>
      </c>
      <c r="E32" s="82">
        <f t="shared" si="0"/>
        <v>25</v>
      </c>
      <c r="F32" s="82">
        <f>IF($B31="","",IF($C32=$C29,INDEX('MAPA DE PREÇOS'!$H:$H,MATCH($B32,'MAPA DE PREÇOS'!$B:$B)-19),IF($C32=$C30,"Código","")))</f>
        <v>0</v>
      </c>
      <c r="G32" s="83" t="str">
        <f>IF($B31="","",IF($C32=$C29,IF('BASE EDITAL'!$C$2="",INDEX('MAPA DE PREÇOS'!H:H,MATCH(EDITAL!B32,'MAPA DE PREÇOS'!B:B,0)+1),UPPER(INDEX('BASE EDITAL'!$C:$C,EDITAL!B32+1))),IF($C32=$C30,"Especificação do Objeto","")))</f>
        <v xml:space="preserve">Alicate de pressão </v>
      </c>
      <c r="H32" s="84" t="str">
        <f>IF($B31="","",IF($C32=$C29,INDEX('MAPA DE PREÇOS'!$M:$M,MATCH($B32,'MAPA DE PREÇOS'!$B:$B)-16),IF($C32=$C30,"Unidade","")))</f>
        <v>UN</v>
      </c>
      <c r="I32" s="84">
        <f>IF($B31="","",IF($C32=$C29,INDEX('MAPA DE PREÇOS'!$M:$M,MATCH($B32,'MAPA DE PREÇOS'!$B:$B)-17),IF($C32=$C30,"Quant.","")))</f>
        <v>10</v>
      </c>
      <c r="J32" s="60">
        <f>IF(J31="Total Mensal","Total Acumulado",IF($B31="","",IF($C32=$C29,INDEX('MAPA DE PREÇOS'!$M:$M,MATCH($B32,'MAPA DE PREÇOS'!$B:$B)-19),IF($C32=$C30,"Valor Unit. (R$)",IF(AND($C32&lt;&gt;$C31,$J31&lt;&gt;""),"Total Mensal","")))))</f>
        <v>57.36</v>
      </c>
      <c r="K32" s="75">
        <f>IF(J32="","",IF(J32="Total Mensal","-",IF(J32="Total Acumulado",SUM(K$7:K31),I32*J32)))</f>
        <v>573.6</v>
      </c>
      <c r="L32" s="112" t="e">
        <f>IF(J32="","",IF(J32="Total Mensal","-",IF(J32="Total Acumulado",SUM(L$7:L31),K32/SUMIF(J:J,"Total Acumulado",K:K))))</f>
        <v>#DIV/0!</v>
      </c>
      <c r="M32" s="108"/>
      <c r="N32" s="112">
        <f>IF($J32="","",IF($J32="Total Mensal",SUM(O$7:O31)/VLOOKUP("Total Acumulado",$J:$K,2,FALSE),IF($J32="Total Acumulado",N31+L32+IF(L$7="% Item",-1,0),0%)))</f>
        <v>0</v>
      </c>
      <c r="O32" s="109">
        <f>IF($J32="","",IF($J32="Total Mensal",SUM(O$7:O31),IF($J32="Total Acumulado",SUM(O$7:O30)+M32,IFERROR(N32*$K32,0))))</f>
        <v>0</v>
      </c>
      <c r="P32" s="112">
        <f>IF($J32="","",IF($J32="Total Mensal",SUM(Q$7:Q31)/VLOOKUP("Total Acumulado",$J:$K,2,FALSE),IF($J32="Total Acumulado",P31+N32+IF(N$7="% Item",-1,0),0%)))</f>
        <v>0</v>
      </c>
      <c r="Q32" s="109">
        <f>IF($J32="","",IF($J32="Total Mensal",SUM(Q$7:Q31),IF($J32="Total Acumulado",SUM(Q$7:Q30)+O32,IFERROR(P32*$K32,0))))</f>
        <v>0</v>
      </c>
      <c r="R32" s="112">
        <f>IF($J32="","",IF($J32="Total Mensal",SUM(S$7:S31)/VLOOKUP("Total Acumulado",$J:$K,2,FALSE),IF($J32="Total Acumulado",R31+P32+IF(P$7="% Item",-1,0),0%)))</f>
        <v>0</v>
      </c>
      <c r="S32" s="109">
        <f>IF($J32="","",IF($J32="Total Mensal",SUM(S$7:S31),IF($J32="Total Acumulado",SUM(S$7:S30)+Q32,IFERROR(R32*$K32,0))))</f>
        <v>0</v>
      </c>
      <c r="T32" s="112">
        <f>IF($J32="","",IF($J32="Total Mensal",SUM(U$7:U31)/VLOOKUP("Total Acumulado",$J:$K,2,FALSE),IF($J32="Total Acumulado",T31+R32+IF(R$7="% Item",-1,0),0%)))</f>
        <v>0</v>
      </c>
      <c r="U32" s="109">
        <f>IF($J32="","",IF($J32="Total Mensal",SUM(U$7:U31),IF($J32="Total Acumulado",SUM(U$7:U30)+S32,IFERROR(T32*$K32,0))))</f>
        <v>0</v>
      </c>
      <c r="V32" s="112">
        <f>IF($J32="","",IF($J32="Total Mensal",SUM(W$7:W31)/VLOOKUP("Total Acumulado",$J:$K,2,FALSE),IF($J32="Total Acumulado",V31+T32+IF(T$7="% Item",-1,0),0%)))</f>
        <v>0</v>
      </c>
      <c r="W32" s="109">
        <f>IF($J32="","",IF($J32="Total Mensal",SUM(W$7:W31),IF($J32="Total Acumulado",SUM(W$7:W30)+U32,IFERROR(V32*$K32,0))))</f>
        <v>0</v>
      </c>
      <c r="X32" s="112">
        <f>IF($J32="","",IF($J32="Total Mensal",SUM(Y$7:Y31)/VLOOKUP("Total Acumulado",$J:$K,2,FALSE),IF($J32="Total Acumulado",X31+V32+IF(V$7="% Item",-1,0),0%)))</f>
        <v>0</v>
      </c>
      <c r="Y32" s="109">
        <f>IF($J32="","",IF($J32="Total Mensal",SUM(Y$7:Y31),IF($J32="Total Acumulado",SUM(Y$7:Y30)+W32,IFERROR(X32*$K32,0))))</f>
        <v>0</v>
      </c>
      <c r="Z32" s="112">
        <f>IF($J32="","",IF($J32="Total Mensal",SUM(AA$7:AA31)/VLOOKUP("Total Acumulado",$J:$K,2,FALSE),IF($J32="Total Acumulado",Z31+X32+IF(X$7="% Item",-1,0),0%)))</f>
        <v>0</v>
      </c>
      <c r="AA32" s="109">
        <f>IF($J32="","",IF($J32="Total Mensal",SUM(AA$7:AA31),IF($J32="Total Acumulado",SUM(AA$7:AA30)+Y32,IFERROR(Z32*$K32,0))))</f>
        <v>0</v>
      </c>
      <c r="AB32" s="112">
        <f>IF($J32="","",IF($J32="Total Mensal",SUM(AC$7:AC31)/VLOOKUP("Total Acumulado",$J:$K,2,FALSE),IF($J32="Total Acumulado",AB31+Z32+IF(Z$7="% Item",-1,0),0%)))</f>
        <v>0</v>
      </c>
      <c r="AC32" s="109">
        <f>IF($J32="","",IF($J32="Total Mensal",SUM(AC$7:AC31),IF($J32="Total Acumulado",SUM(AC$7:AC30)+AA32,IFERROR(AB32*$K32,0))))</f>
        <v>0</v>
      </c>
      <c r="AD32" s="112">
        <f>IF($J32="","",IF($J32="Total Mensal",SUM(AE$7:AE31)/VLOOKUP("Total Acumulado",$J:$K,2,FALSE),IF($J32="Total Acumulado",AD31+AB32+IF(AB$7="% Item",-1,0),0%)))</f>
        <v>0</v>
      </c>
      <c r="AE32" s="109">
        <f>IF($J32="","",IF($J32="Total Mensal",SUM(AE$7:AE31),IF($J32="Total Acumulado",SUM(AE$7:AE30)+AC32,IFERROR(AD32*$K32,0))))</f>
        <v>0</v>
      </c>
      <c r="AF32" s="112">
        <f>IF($J32="","",IF($J32="Total Mensal",SUM(AG$7:AG31)/VLOOKUP("Total Acumulado",$J:$K,2,FALSE),IF($J32="Total Acumulado",AF31+AD32+IF(AD$7="% Item",-1,0),0%)))</f>
        <v>0</v>
      </c>
      <c r="AG32" s="109">
        <f>IF($J32="","",IF($J32="Total Mensal",SUM(AG$7:AG31),IF($J32="Total Acumulado",SUM(AG$7:AG30)+AE32,IFERROR(AF32*$K32,0))))</f>
        <v>0</v>
      </c>
      <c r="AH32" s="112">
        <f>IF($J32="","",IF($J32="Total Mensal",SUM(AI$7:AI31)/VLOOKUP("Total Acumulado",$J:$K,2,FALSE),IF($J32="Total Acumulado",AH31+AF32+IF(AF$7="% Item",-1,0),0%)))</f>
        <v>0</v>
      </c>
      <c r="AI32" s="109">
        <f>IF($J32="","",IF($J32="Total Mensal",SUM(AI$7:AI31),IF($J32="Total Acumulado",SUM(AI$7:AI30)+AG32,IFERROR(AH32*$K32,0))))</f>
        <v>0</v>
      </c>
      <c r="AJ32" s="112">
        <f>IF($J32="","",IF($J32="Total Mensal",SUM(AK$7:AK31)/VLOOKUP("Total Acumulado",$J:$K,2,FALSE),IF($J32="Total Acumulado",AJ31+AH32+IF(AH$7="% Item",-1,0),0%)))</f>
        <v>0</v>
      </c>
      <c r="AK32" s="109">
        <f>IF($J32="","",IF($J32="Total Mensal",SUM(AK$7:AK31),IF($J32="Total Acumulado",SUM(AK$7:AK30)+AI32,IFERROR(AJ32*$K32,0))))</f>
        <v>0</v>
      </c>
    </row>
    <row r="33" spans="2:37" x14ac:dyDescent="0.25">
      <c r="B33" s="41">
        <f>IFERROR(IF(C32=C29,IF(B32+1&lt;='MAPA DE PREÇOS'!$H$8,B32+1,""),B32),"")</f>
        <v>26</v>
      </c>
      <c r="C33" s="41">
        <f>IFERROR(VLOOKUP(B33,'MAPA DE PREÇOS'!B:D,2,FALSE),"")</f>
        <v>1</v>
      </c>
      <c r="D33" s="41">
        <f>IFERROR(VLOOKUP(B33,'MAPA DE PREÇOS'!B:D,3,FALSE),"")</f>
        <v>26</v>
      </c>
      <c r="E33" s="82">
        <f t="shared" si="0"/>
        <v>26</v>
      </c>
      <c r="F33" s="82">
        <f>IF($B32="","",IF($C33=$C30,INDEX('MAPA DE PREÇOS'!$H:$H,MATCH($B33,'MAPA DE PREÇOS'!$B:$B)-19),IF($C33=$C31,"Código","")))</f>
        <v>0</v>
      </c>
      <c r="G33" s="83" t="str">
        <f>IF($B32="","",IF($C33=$C30,IF('BASE EDITAL'!$C$2="",INDEX('MAPA DE PREÇOS'!H:H,MATCH(EDITAL!B33,'MAPA DE PREÇOS'!B:B,0)+1),UPPER(INDEX('BASE EDITAL'!$C:$C,EDITAL!B33+1))),IF($C33=$C31,"Especificação do Objeto","")))</f>
        <v xml:space="preserve">Kit chave philips isolada 5 peças </v>
      </c>
      <c r="H33" s="84" t="str">
        <f>IF($B32="","",IF($C33=$C30,INDEX('MAPA DE PREÇOS'!$M:$M,MATCH($B33,'MAPA DE PREÇOS'!$B:$B)-16),IF($C33=$C31,"Unidade","")))</f>
        <v>UN</v>
      </c>
      <c r="I33" s="84">
        <f>IF($B32="","",IF($C33=$C30,INDEX('MAPA DE PREÇOS'!$M:$M,MATCH($B33,'MAPA DE PREÇOS'!$B:$B)-17),IF($C33=$C31,"Quant.","")))</f>
        <v>5</v>
      </c>
      <c r="J33" s="60">
        <f>IF(J32="Total Mensal","Total Acumulado",IF($B32="","",IF($C33=$C30,INDEX('MAPA DE PREÇOS'!$M:$M,MATCH($B33,'MAPA DE PREÇOS'!$B:$B)-19),IF($C33=$C31,"Valor Unit. (R$)",IF(AND($C33&lt;&gt;$C32,$J32&lt;&gt;""),"Total Mensal","")))))</f>
        <v>53.8</v>
      </c>
      <c r="K33" s="75">
        <f>IF(J33="","",IF(J33="Total Mensal","-",IF(J33="Total Acumulado",SUM(K$7:K32),I33*J33)))</f>
        <v>269</v>
      </c>
      <c r="L33" s="112" t="e">
        <f>IF(J33="","",IF(J33="Total Mensal","-",IF(J33="Total Acumulado",SUM(L$7:L32),K33/SUMIF(J:J,"Total Acumulado",K:K))))</f>
        <v>#DIV/0!</v>
      </c>
      <c r="M33" s="108"/>
      <c r="N33" s="112">
        <f>IF($J33="","",IF($J33="Total Mensal",SUM(O$7:O32)/VLOOKUP("Total Acumulado",$J:$K,2,FALSE),IF($J33="Total Acumulado",N32+L33+IF(L$7="% Item",-1,0),0%)))</f>
        <v>0</v>
      </c>
      <c r="O33" s="109">
        <f>IF($J33="","",IF($J33="Total Mensal",SUM(O$7:O32),IF($J33="Total Acumulado",SUM(O$7:O31)+M33,IFERROR(N33*$K33,0))))</f>
        <v>0</v>
      </c>
      <c r="P33" s="112">
        <f>IF($J33="","",IF($J33="Total Mensal",SUM(Q$7:Q32)/VLOOKUP("Total Acumulado",$J:$K,2,FALSE),IF($J33="Total Acumulado",P32+N33+IF(N$7="% Item",-1,0),0%)))</f>
        <v>0</v>
      </c>
      <c r="Q33" s="109">
        <f>IF($J33="","",IF($J33="Total Mensal",SUM(Q$7:Q32),IF($J33="Total Acumulado",SUM(Q$7:Q31)+O33,IFERROR(P33*$K33,0))))</f>
        <v>0</v>
      </c>
      <c r="R33" s="112">
        <f>IF($J33="","",IF($J33="Total Mensal",SUM(S$7:S32)/VLOOKUP("Total Acumulado",$J:$K,2,FALSE),IF($J33="Total Acumulado",R32+P33+IF(P$7="% Item",-1,0),0%)))</f>
        <v>0</v>
      </c>
      <c r="S33" s="109">
        <f>IF($J33="","",IF($J33="Total Mensal",SUM(S$7:S32),IF($J33="Total Acumulado",SUM(S$7:S31)+Q33,IFERROR(R33*$K33,0))))</f>
        <v>0</v>
      </c>
      <c r="T33" s="112">
        <f>IF($J33="","",IF($J33="Total Mensal",SUM(U$7:U32)/VLOOKUP("Total Acumulado",$J:$K,2,FALSE),IF($J33="Total Acumulado",T32+R33+IF(R$7="% Item",-1,0),0%)))</f>
        <v>0</v>
      </c>
      <c r="U33" s="109">
        <f>IF($J33="","",IF($J33="Total Mensal",SUM(U$7:U32),IF($J33="Total Acumulado",SUM(U$7:U31)+S33,IFERROR(T33*$K33,0))))</f>
        <v>0</v>
      </c>
      <c r="V33" s="112">
        <f>IF($J33="","",IF($J33="Total Mensal",SUM(W$7:W32)/VLOOKUP("Total Acumulado",$J:$K,2,FALSE),IF($J33="Total Acumulado",V32+T33+IF(T$7="% Item",-1,0),0%)))</f>
        <v>0</v>
      </c>
      <c r="W33" s="109">
        <f>IF($J33="","",IF($J33="Total Mensal",SUM(W$7:W32),IF($J33="Total Acumulado",SUM(W$7:W31)+U33,IFERROR(V33*$K33,0))))</f>
        <v>0</v>
      </c>
      <c r="X33" s="112">
        <f>IF($J33="","",IF($J33="Total Mensal",SUM(Y$7:Y32)/VLOOKUP("Total Acumulado",$J:$K,2,FALSE),IF($J33="Total Acumulado",X32+V33+IF(V$7="% Item",-1,0),0%)))</f>
        <v>0</v>
      </c>
      <c r="Y33" s="109">
        <f>IF($J33="","",IF($J33="Total Mensal",SUM(Y$7:Y32),IF($J33="Total Acumulado",SUM(Y$7:Y31)+W33,IFERROR(X33*$K33,0))))</f>
        <v>0</v>
      </c>
      <c r="Z33" s="112">
        <f>IF($J33="","",IF($J33="Total Mensal",SUM(AA$7:AA32)/VLOOKUP("Total Acumulado",$J:$K,2,FALSE),IF($J33="Total Acumulado",Z32+X33+IF(X$7="% Item",-1,0),0%)))</f>
        <v>0</v>
      </c>
      <c r="AA33" s="109">
        <f>IF($J33="","",IF($J33="Total Mensal",SUM(AA$7:AA32),IF($J33="Total Acumulado",SUM(AA$7:AA31)+Y33,IFERROR(Z33*$K33,0))))</f>
        <v>0</v>
      </c>
      <c r="AB33" s="112">
        <f>IF($J33="","",IF($J33="Total Mensal",SUM(AC$7:AC32)/VLOOKUP("Total Acumulado",$J:$K,2,FALSE),IF($J33="Total Acumulado",AB32+Z33+IF(Z$7="% Item",-1,0),0%)))</f>
        <v>0</v>
      </c>
      <c r="AC33" s="109">
        <f>IF($J33="","",IF($J33="Total Mensal",SUM(AC$7:AC32),IF($J33="Total Acumulado",SUM(AC$7:AC31)+AA33,IFERROR(AB33*$K33,0))))</f>
        <v>0</v>
      </c>
      <c r="AD33" s="112">
        <f>IF($J33="","",IF($J33="Total Mensal",SUM(AE$7:AE32)/VLOOKUP("Total Acumulado",$J:$K,2,FALSE),IF($J33="Total Acumulado",AD32+AB33+IF(AB$7="% Item",-1,0),0%)))</f>
        <v>0</v>
      </c>
      <c r="AE33" s="109">
        <f>IF($J33="","",IF($J33="Total Mensal",SUM(AE$7:AE32),IF($J33="Total Acumulado",SUM(AE$7:AE31)+AC33,IFERROR(AD33*$K33,0))))</f>
        <v>0</v>
      </c>
      <c r="AF33" s="112">
        <f>IF($J33="","",IF($J33="Total Mensal",SUM(AG$7:AG32)/VLOOKUP("Total Acumulado",$J:$K,2,FALSE),IF($J33="Total Acumulado",AF32+AD33+IF(AD$7="% Item",-1,0),0%)))</f>
        <v>0</v>
      </c>
      <c r="AG33" s="109">
        <f>IF($J33="","",IF($J33="Total Mensal",SUM(AG$7:AG32),IF($J33="Total Acumulado",SUM(AG$7:AG31)+AE33,IFERROR(AF33*$K33,0))))</f>
        <v>0</v>
      </c>
      <c r="AH33" s="112">
        <f>IF($J33="","",IF($J33="Total Mensal",SUM(AI$7:AI32)/VLOOKUP("Total Acumulado",$J:$K,2,FALSE),IF($J33="Total Acumulado",AH32+AF33+IF(AF$7="% Item",-1,0),0%)))</f>
        <v>0</v>
      </c>
      <c r="AI33" s="109">
        <f>IF($J33="","",IF($J33="Total Mensal",SUM(AI$7:AI32),IF($J33="Total Acumulado",SUM(AI$7:AI31)+AG33,IFERROR(AH33*$K33,0))))</f>
        <v>0</v>
      </c>
      <c r="AJ33" s="112">
        <f>IF($J33="","",IF($J33="Total Mensal",SUM(AK$7:AK32)/VLOOKUP("Total Acumulado",$J:$K,2,FALSE),IF($J33="Total Acumulado",AJ32+AH33+IF(AH$7="% Item",-1,0),0%)))</f>
        <v>0</v>
      </c>
      <c r="AK33" s="109">
        <f>IF($J33="","",IF($J33="Total Mensal",SUM(AK$7:AK32),IF($J33="Total Acumulado",SUM(AK$7:AK31)+AI33,IFERROR(AJ33*$K33,0))))</f>
        <v>0</v>
      </c>
    </row>
    <row r="34" spans="2:37" x14ac:dyDescent="0.25">
      <c r="B34" s="41">
        <f>IFERROR(IF(C33=C30,IF(B33+1&lt;='MAPA DE PREÇOS'!$H$8,B33+1,""),B33),"")</f>
        <v>27</v>
      </c>
      <c r="C34" s="41">
        <f>IFERROR(VLOOKUP(B34,'MAPA DE PREÇOS'!B:D,2,FALSE),"")</f>
        <v>1</v>
      </c>
      <c r="D34" s="41">
        <f>IFERROR(VLOOKUP(B34,'MAPA DE PREÇOS'!B:D,3,FALSE),"")</f>
        <v>27</v>
      </c>
      <c r="E34" s="82">
        <f t="shared" si="0"/>
        <v>27</v>
      </c>
      <c r="F34" s="82">
        <f>IF($B33="","",IF($C34=$C31,INDEX('MAPA DE PREÇOS'!$H:$H,MATCH($B34,'MAPA DE PREÇOS'!$B:$B)-19),IF($C34=$C32,"Código","")))</f>
        <v>0</v>
      </c>
      <c r="G34" s="83" t="str">
        <f>IF($B33="","",IF($C34=$C31,IF('BASE EDITAL'!$C$2="",INDEX('MAPA DE PREÇOS'!H:H,MATCH(EDITAL!B34,'MAPA DE PREÇOS'!B:B,0)+1),UPPER(INDEX('BASE EDITAL'!$C:$C,EDITAL!B34+1))),IF($C34=$C32,"Especificação do Objeto","")))</f>
        <v xml:space="preserve">Kit chave de fenda isolada 5 peças </v>
      </c>
      <c r="H34" s="84" t="str">
        <f>IF($B33="","",IF($C34=$C31,INDEX('MAPA DE PREÇOS'!$M:$M,MATCH($B34,'MAPA DE PREÇOS'!$B:$B)-16),IF($C34=$C32,"Unidade","")))</f>
        <v>UN</v>
      </c>
      <c r="I34" s="84">
        <f>IF($B33="","",IF($C34=$C31,INDEX('MAPA DE PREÇOS'!$M:$M,MATCH($B34,'MAPA DE PREÇOS'!$B:$B)-17),IF($C34=$C32,"Quant.","")))</f>
        <v>4</v>
      </c>
      <c r="J34" s="60">
        <f>IF(J33="Total Mensal","Total Acumulado",IF($B33="","",IF($C34=$C31,INDEX('MAPA DE PREÇOS'!$M:$M,MATCH($B34,'MAPA DE PREÇOS'!$B:$B)-19),IF($C34=$C32,"Valor Unit. (R$)",IF(AND($C34&lt;&gt;$C33,$J33&lt;&gt;""),"Total Mensal","")))))</f>
        <v>43</v>
      </c>
      <c r="K34" s="75">
        <f>IF(J34="","",IF(J34="Total Mensal","-",IF(J34="Total Acumulado",SUM(K$7:K33),I34*J34)))</f>
        <v>172</v>
      </c>
      <c r="L34" s="112" t="e">
        <f>IF(J34="","",IF(J34="Total Mensal","-",IF(J34="Total Acumulado",SUM(L$7:L33),K34/SUMIF(J:J,"Total Acumulado",K:K))))</f>
        <v>#DIV/0!</v>
      </c>
      <c r="M34" s="108"/>
      <c r="N34" s="112">
        <f>IF($J34="","",IF($J34="Total Mensal",SUM(O$7:O33)/VLOOKUP("Total Acumulado",$J:$K,2,FALSE),IF($J34="Total Acumulado",N33+L34+IF(L$7="% Item",-1,0),0%)))</f>
        <v>0</v>
      </c>
      <c r="O34" s="109">
        <f>IF($J34="","",IF($J34="Total Mensal",SUM(O$7:O33),IF($J34="Total Acumulado",SUM(O$7:O32)+M34,IFERROR(N34*$K34,0))))</f>
        <v>0</v>
      </c>
      <c r="P34" s="112">
        <f>IF($J34="","",IF($J34="Total Mensal",SUM(Q$7:Q33)/VLOOKUP("Total Acumulado",$J:$K,2,FALSE),IF($J34="Total Acumulado",P33+N34+IF(N$7="% Item",-1,0),0%)))</f>
        <v>0</v>
      </c>
      <c r="Q34" s="109">
        <f>IF($J34="","",IF($J34="Total Mensal",SUM(Q$7:Q33),IF($J34="Total Acumulado",SUM(Q$7:Q32)+O34,IFERROR(P34*$K34,0))))</f>
        <v>0</v>
      </c>
      <c r="R34" s="112">
        <f>IF($J34="","",IF($J34="Total Mensal",SUM(S$7:S33)/VLOOKUP("Total Acumulado",$J:$K,2,FALSE),IF($J34="Total Acumulado",R33+P34+IF(P$7="% Item",-1,0),0%)))</f>
        <v>0</v>
      </c>
      <c r="S34" s="109">
        <f>IF($J34="","",IF($J34="Total Mensal",SUM(S$7:S33),IF($J34="Total Acumulado",SUM(S$7:S32)+Q34,IFERROR(R34*$K34,0))))</f>
        <v>0</v>
      </c>
      <c r="T34" s="112">
        <f>IF($J34="","",IF($J34="Total Mensal",SUM(U$7:U33)/VLOOKUP("Total Acumulado",$J:$K,2,FALSE),IF($J34="Total Acumulado",T33+R34+IF(R$7="% Item",-1,0),0%)))</f>
        <v>0</v>
      </c>
      <c r="U34" s="109">
        <f>IF($J34="","",IF($J34="Total Mensal",SUM(U$7:U33),IF($J34="Total Acumulado",SUM(U$7:U32)+S34,IFERROR(T34*$K34,0))))</f>
        <v>0</v>
      </c>
      <c r="V34" s="112">
        <f>IF($J34="","",IF($J34="Total Mensal",SUM(W$7:W33)/VLOOKUP("Total Acumulado",$J:$K,2,FALSE),IF($J34="Total Acumulado",V33+T34+IF(T$7="% Item",-1,0),0%)))</f>
        <v>0</v>
      </c>
      <c r="W34" s="109">
        <f>IF($J34="","",IF($J34="Total Mensal",SUM(W$7:W33),IF($J34="Total Acumulado",SUM(W$7:W32)+U34,IFERROR(V34*$K34,0))))</f>
        <v>0</v>
      </c>
      <c r="X34" s="112">
        <f>IF($J34="","",IF($J34="Total Mensal",SUM(Y$7:Y33)/VLOOKUP("Total Acumulado",$J:$K,2,FALSE),IF($J34="Total Acumulado",X33+V34+IF(V$7="% Item",-1,0),0%)))</f>
        <v>0</v>
      </c>
      <c r="Y34" s="109">
        <f>IF($J34="","",IF($J34="Total Mensal",SUM(Y$7:Y33),IF($J34="Total Acumulado",SUM(Y$7:Y32)+W34,IFERROR(X34*$K34,0))))</f>
        <v>0</v>
      </c>
      <c r="Z34" s="112">
        <f>IF($J34="","",IF($J34="Total Mensal",SUM(AA$7:AA33)/VLOOKUP("Total Acumulado",$J:$K,2,FALSE),IF($J34="Total Acumulado",Z33+X34+IF(X$7="% Item",-1,0),0%)))</f>
        <v>0</v>
      </c>
      <c r="AA34" s="109">
        <f>IF($J34="","",IF($J34="Total Mensal",SUM(AA$7:AA33),IF($J34="Total Acumulado",SUM(AA$7:AA32)+Y34,IFERROR(Z34*$K34,0))))</f>
        <v>0</v>
      </c>
      <c r="AB34" s="112">
        <f>IF($J34="","",IF($J34="Total Mensal",SUM(AC$7:AC33)/VLOOKUP("Total Acumulado",$J:$K,2,FALSE),IF($J34="Total Acumulado",AB33+Z34+IF(Z$7="% Item",-1,0),0%)))</f>
        <v>0</v>
      </c>
      <c r="AC34" s="109">
        <f>IF($J34="","",IF($J34="Total Mensal",SUM(AC$7:AC33),IF($J34="Total Acumulado",SUM(AC$7:AC32)+AA34,IFERROR(AB34*$K34,0))))</f>
        <v>0</v>
      </c>
      <c r="AD34" s="112">
        <f>IF($J34="","",IF($J34="Total Mensal",SUM(AE$7:AE33)/VLOOKUP("Total Acumulado",$J:$K,2,FALSE),IF($J34="Total Acumulado",AD33+AB34+IF(AB$7="% Item",-1,0),0%)))</f>
        <v>0</v>
      </c>
      <c r="AE34" s="109">
        <f>IF($J34="","",IF($J34="Total Mensal",SUM(AE$7:AE33),IF($J34="Total Acumulado",SUM(AE$7:AE32)+AC34,IFERROR(AD34*$K34,0))))</f>
        <v>0</v>
      </c>
      <c r="AF34" s="112">
        <f>IF($J34="","",IF($J34="Total Mensal",SUM(AG$7:AG33)/VLOOKUP("Total Acumulado",$J:$K,2,FALSE),IF($J34="Total Acumulado",AF33+AD34+IF(AD$7="% Item",-1,0),0%)))</f>
        <v>0</v>
      </c>
      <c r="AG34" s="109">
        <f>IF($J34="","",IF($J34="Total Mensal",SUM(AG$7:AG33),IF($J34="Total Acumulado",SUM(AG$7:AG32)+AE34,IFERROR(AF34*$K34,0))))</f>
        <v>0</v>
      </c>
      <c r="AH34" s="112">
        <f>IF($J34="","",IF($J34="Total Mensal",SUM(AI$7:AI33)/VLOOKUP("Total Acumulado",$J:$K,2,FALSE),IF($J34="Total Acumulado",AH33+AF34+IF(AF$7="% Item",-1,0),0%)))</f>
        <v>0</v>
      </c>
      <c r="AI34" s="109">
        <f>IF($J34="","",IF($J34="Total Mensal",SUM(AI$7:AI33),IF($J34="Total Acumulado",SUM(AI$7:AI32)+AG34,IFERROR(AH34*$K34,0))))</f>
        <v>0</v>
      </c>
      <c r="AJ34" s="112">
        <f>IF($J34="","",IF($J34="Total Mensal",SUM(AK$7:AK33)/VLOOKUP("Total Acumulado",$J:$K,2,FALSE),IF($J34="Total Acumulado",AJ33+AH34+IF(AH$7="% Item",-1,0),0%)))</f>
        <v>0</v>
      </c>
      <c r="AK34" s="109">
        <f>IF($J34="","",IF($J34="Total Mensal",SUM(AK$7:AK33),IF($J34="Total Acumulado",SUM(AK$7:AK32)+AI34,IFERROR(AJ34*$K34,0))))</f>
        <v>0</v>
      </c>
    </row>
    <row r="35" spans="2:37" x14ac:dyDescent="0.25">
      <c r="B35" s="41">
        <f>IFERROR(IF(C34=C31,IF(B34+1&lt;='MAPA DE PREÇOS'!$H$8,B34+1,""),B34),"")</f>
        <v>28</v>
      </c>
      <c r="C35" s="41">
        <f>IFERROR(VLOOKUP(B35,'MAPA DE PREÇOS'!B:D,2,FALSE),"")</f>
        <v>1</v>
      </c>
      <c r="D35" s="41">
        <f>IFERROR(VLOOKUP(B35,'MAPA DE PREÇOS'!B:D,3,FALSE),"")</f>
        <v>28</v>
      </c>
      <c r="E35" s="82">
        <f t="shared" si="0"/>
        <v>28</v>
      </c>
      <c r="F35" s="82">
        <f>IF($B34="","",IF($C35=$C32,INDEX('MAPA DE PREÇOS'!$H:$H,MATCH($B35,'MAPA DE PREÇOS'!$B:$B)-19),IF($C35=$C33,"Código","")))</f>
        <v>0</v>
      </c>
      <c r="G35" s="83" t="str">
        <f>IF($B34="","",IF($C35=$C32,IF('BASE EDITAL'!$C$2="",INDEX('MAPA DE PREÇOS'!H:H,MATCH(EDITAL!B35,'MAPA DE PREÇOS'!B:B,0)+1),UPPER(INDEX('BASE EDITAL'!$C:$C,EDITAL!B35+1))),IF($C35=$C33,"Especificação do Objeto","")))</f>
        <v>Jogo de chaves Allen 9 peças</v>
      </c>
      <c r="H35" s="84" t="str">
        <f>IF($B34="","",IF($C35=$C32,INDEX('MAPA DE PREÇOS'!$M:$M,MATCH($B35,'MAPA DE PREÇOS'!$B:$B)-16),IF($C35=$C33,"Unidade","")))</f>
        <v>UN</v>
      </c>
      <c r="I35" s="84">
        <f>IF($B34="","",IF($C35=$C32,INDEX('MAPA DE PREÇOS'!$M:$M,MATCH($B35,'MAPA DE PREÇOS'!$B:$B)-17),IF($C35=$C33,"Quant.","")))</f>
        <v>7</v>
      </c>
      <c r="J35" s="60">
        <f>IF(J34="Total Mensal","Total Acumulado",IF($B34="","",IF($C35=$C32,INDEX('MAPA DE PREÇOS'!$M:$M,MATCH($B35,'MAPA DE PREÇOS'!$B:$B)-19),IF($C35=$C33,"Valor Unit. (R$)",IF(AND($C35&lt;&gt;$C34,$J34&lt;&gt;""),"Total Mensal","")))))</f>
        <v>14.16</v>
      </c>
      <c r="K35" s="75">
        <f>IF(J35="","",IF(J35="Total Mensal","-",IF(J35="Total Acumulado",SUM(K$7:K34),I35*J35)))</f>
        <v>99.12</v>
      </c>
      <c r="L35" s="112" t="e">
        <f>IF(J35="","",IF(J35="Total Mensal","-",IF(J35="Total Acumulado",SUM(L$7:L34),K35/SUMIF(J:J,"Total Acumulado",K:K))))</f>
        <v>#DIV/0!</v>
      </c>
      <c r="M35" s="108"/>
      <c r="N35" s="112">
        <f>IF($J35="","",IF($J35="Total Mensal",SUM(O$7:O34)/VLOOKUP("Total Acumulado",$J:$K,2,FALSE),IF($J35="Total Acumulado",N34+L35+IF(L$7="% Item",-1,0),0%)))</f>
        <v>0</v>
      </c>
      <c r="O35" s="109">
        <f>IF($J35="","",IF($J35="Total Mensal",SUM(O$7:O34),IF($J35="Total Acumulado",SUM(O$7:O33)+M35,IFERROR(N35*$K35,0))))</f>
        <v>0</v>
      </c>
      <c r="P35" s="112">
        <f>IF($J35="","",IF($J35="Total Mensal",SUM(Q$7:Q34)/VLOOKUP("Total Acumulado",$J:$K,2,FALSE),IF($J35="Total Acumulado",P34+N35+IF(N$7="% Item",-1,0),0%)))</f>
        <v>0</v>
      </c>
      <c r="Q35" s="109">
        <f>IF($J35="","",IF($J35="Total Mensal",SUM(Q$7:Q34),IF($J35="Total Acumulado",SUM(Q$7:Q33)+O35,IFERROR(P35*$K35,0))))</f>
        <v>0</v>
      </c>
      <c r="R35" s="112">
        <f>IF($J35="","",IF($J35="Total Mensal",SUM(S$7:S34)/VLOOKUP("Total Acumulado",$J:$K,2,FALSE),IF($J35="Total Acumulado",R34+P35+IF(P$7="% Item",-1,0),0%)))</f>
        <v>0</v>
      </c>
      <c r="S35" s="109">
        <f>IF($J35="","",IF($J35="Total Mensal",SUM(S$7:S34),IF($J35="Total Acumulado",SUM(S$7:S33)+Q35,IFERROR(R35*$K35,0))))</f>
        <v>0</v>
      </c>
      <c r="T35" s="112">
        <f>IF($J35="","",IF($J35="Total Mensal",SUM(U$7:U34)/VLOOKUP("Total Acumulado",$J:$K,2,FALSE),IF($J35="Total Acumulado",T34+R35+IF(R$7="% Item",-1,0),0%)))</f>
        <v>0</v>
      </c>
      <c r="U35" s="109">
        <f>IF($J35="","",IF($J35="Total Mensal",SUM(U$7:U34),IF($J35="Total Acumulado",SUM(U$7:U33)+S35,IFERROR(T35*$K35,0))))</f>
        <v>0</v>
      </c>
      <c r="V35" s="112">
        <f>IF($J35="","",IF($J35="Total Mensal",SUM(W$7:W34)/VLOOKUP("Total Acumulado",$J:$K,2,FALSE),IF($J35="Total Acumulado",V34+T35+IF(T$7="% Item",-1,0),0%)))</f>
        <v>0</v>
      </c>
      <c r="W35" s="109">
        <f>IF($J35="","",IF($J35="Total Mensal",SUM(W$7:W34),IF($J35="Total Acumulado",SUM(W$7:W33)+U35,IFERROR(V35*$K35,0))))</f>
        <v>0</v>
      </c>
      <c r="X35" s="112">
        <f>IF($J35="","",IF($J35="Total Mensal",SUM(Y$7:Y34)/VLOOKUP("Total Acumulado",$J:$K,2,FALSE),IF($J35="Total Acumulado",X34+V35+IF(V$7="% Item",-1,0),0%)))</f>
        <v>0</v>
      </c>
      <c r="Y35" s="109">
        <f>IF($J35="","",IF($J35="Total Mensal",SUM(Y$7:Y34),IF($J35="Total Acumulado",SUM(Y$7:Y33)+W35,IFERROR(X35*$K35,0))))</f>
        <v>0</v>
      </c>
      <c r="Z35" s="112">
        <f>IF($J35="","",IF($J35="Total Mensal",SUM(AA$7:AA34)/VLOOKUP("Total Acumulado",$J:$K,2,FALSE),IF($J35="Total Acumulado",Z34+X35+IF(X$7="% Item",-1,0),0%)))</f>
        <v>0</v>
      </c>
      <c r="AA35" s="109">
        <f>IF($J35="","",IF($J35="Total Mensal",SUM(AA$7:AA34),IF($J35="Total Acumulado",SUM(AA$7:AA33)+Y35,IFERROR(Z35*$K35,0))))</f>
        <v>0</v>
      </c>
      <c r="AB35" s="112">
        <f>IF($J35="","",IF($J35="Total Mensal",SUM(AC$7:AC34)/VLOOKUP("Total Acumulado",$J:$K,2,FALSE),IF($J35="Total Acumulado",AB34+Z35+IF(Z$7="% Item",-1,0),0%)))</f>
        <v>0</v>
      </c>
      <c r="AC35" s="109">
        <f>IF($J35="","",IF($J35="Total Mensal",SUM(AC$7:AC34),IF($J35="Total Acumulado",SUM(AC$7:AC33)+AA35,IFERROR(AB35*$K35,0))))</f>
        <v>0</v>
      </c>
      <c r="AD35" s="112">
        <f>IF($J35="","",IF($J35="Total Mensal",SUM(AE$7:AE34)/VLOOKUP("Total Acumulado",$J:$K,2,FALSE),IF($J35="Total Acumulado",AD34+AB35+IF(AB$7="% Item",-1,0),0%)))</f>
        <v>0</v>
      </c>
      <c r="AE35" s="109">
        <f>IF($J35="","",IF($J35="Total Mensal",SUM(AE$7:AE34),IF($J35="Total Acumulado",SUM(AE$7:AE33)+AC35,IFERROR(AD35*$K35,0))))</f>
        <v>0</v>
      </c>
      <c r="AF35" s="112">
        <f>IF($J35="","",IF($J35="Total Mensal",SUM(AG$7:AG34)/VLOOKUP("Total Acumulado",$J:$K,2,FALSE),IF($J35="Total Acumulado",AF34+AD35+IF(AD$7="% Item",-1,0),0%)))</f>
        <v>0</v>
      </c>
      <c r="AG35" s="109">
        <f>IF($J35="","",IF($J35="Total Mensal",SUM(AG$7:AG34),IF($J35="Total Acumulado",SUM(AG$7:AG33)+AE35,IFERROR(AF35*$K35,0))))</f>
        <v>0</v>
      </c>
      <c r="AH35" s="112">
        <f>IF($J35="","",IF($J35="Total Mensal",SUM(AI$7:AI34)/VLOOKUP("Total Acumulado",$J:$K,2,FALSE),IF($J35="Total Acumulado",AH34+AF35+IF(AF$7="% Item",-1,0),0%)))</f>
        <v>0</v>
      </c>
      <c r="AI35" s="109">
        <f>IF($J35="","",IF($J35="Total Mensal",SUM(AI$7:AI34),IF($J35="Total Acumulado",SUM(AI$7:AI33)+AG35,IFERROR(AH35*$K35,0))))</f>
        <v>0</v>
      </c>
      <c r="AJ35" s="112">
        <f>IF($J35="","",IF($J35="Total Mensal",SUM(AK$7:AK34)/VLOOKUP("Total Acumulado",$J:$K,2,FALSE),IF($J35="Total Acumulado",AJ34+AH35+IF(AH$7="% Item",-1,0),0%)))</f>
        <v>0</v>
      </c>
      <c r="AK35" s="109">
        <f>IF($J35="","",IF($J35="Total Mensal",SUM(AK$7:AK34),IF($J35="Total Acumulado",SUM(AK$7:AK33)+AI35,IFERROR(AJ35*$K35,0))))</f>
        <v>0</v>
      </c>
    </row>
    <row r="36" spans="2:37" x14ac:dyDescent="0.25">
      <c r="B36" s="41">
        <f>IFERROR(IF(C35=C32,IF(B35+1&lt;='MAPA DE PREÇOS'!$H$8,B35+1,""),B35),"")</f>
        <v>29</v>
      </c>
      <c r="C36" s="41">
        <f>IFERROR(VLOOKUP(B36,'MAPA DE PREÇOS'!B:D,2,FALSE),"")</f>
        <v>1</v>
      </c>
      <c r="D36" s="41">
        <f>IFERROR(VLOOKUP(B36,'MAPA DE PREÇOS'!B:D,3,FALSE),"")</f>
        <v>29</v>
      </c>
      <c r="E36" s="82">
        <f t="shared" si="0"/>
        <v>29</v>
      </c>
      <c r="F36" s="82">
        <f>IF($B35="","",IF($C36=$C33,INDEX('MAPA DE PREÇOS'!$H:$H,MATCH($B36,'MAPA DE PREÇOS'!$B:$B)-19),IF($C36=$C34,"Código","")))</f>
        <v>0</v>
      </c>
      <c r="G36" s="83" t="str">
        <f>IF($B35="","",IF($C36=$C33,IF('BASE EDITAL'!$C$2="",INDEX('MAPA DE PREÇOS'!H:H,MATCH(EDITAL!B36,'MAPA DE PREÇOS'!B:B,0)+1),UPPER(INDEX('BASE EDITAL'!$C:$C,EDITAL!B36+1))),IF($C36=$C34,"Especificação do Objeto","")))</f>
        <v>Jogo de chaves Torx 9 peças</v>
      </c>
      <c r="H36" s="84" t="str">
        <f>IF($B35="","",IF($C36=$C33,INDEX('MAPA DE PREÇOS'!$M:$M,MATCH($B36,'MAPA DE PREÇOS'!$B:$B)-16),IF($C36=$C34,"Unidade","")))</f>
        <v>UN</v>
      </c>
      <c r="I36" s="84">
        <f>IF($B35="","",IF($C36=$C33,INDEX('MAPA DE PREÇOS'!$M:$M,MATCH($B36,'MAPA DE PREÇOS'!$B:$B)-17),IF($C36=$C34,"Quant.","")))</f>
        <v>5</v>
      </c>
      <c r="J36" s="60">
        <f>IF(J35="Total Mensal","Total Acumulado",IF($B35="","",IF($C36=$C33,INDEX('MAPA DE PREÇOS'!$M:$M,MATCH($B36,'MAPA DE PREÇOS'!$B:$B)-19),IF($C36=$C34,"Valor Unit. (R$)",IF(AND($C36&lt;&gt;$C35,$J35&lt;&gt;""),"Total Mensal","")))))</f>
        <v>69.709999999999994</v>
      </c>
      <c r="K36" s="75">
        <f>IF(J36="","",IF(J36="Total Mensal","-",IF(J36="Total Acumulado",SUM(K$7:K35),I36*J36)))</f>
        <v>348.54999999999995</v>
      </c>
      <c r="L36" s="112" t="e">
        <f>IF(J36="","",IF(J36="Total Mensal","-",IF(J36="Total Acumulado",SUM(L$7:L35),K36/SUMIF(J:J,"Total Acumulado",K:K))))</f>
        <v>#DIV/0!</v>
      </c>
      <c r="M36" s="108"/>
      <c r="N36" s="112">
        <f>IF($J36="","",IF($J36="Total Mensal",SUM(O$7:O35)/VLOOKUP("Total Acumulado",$J:$K,2,FALSE),IF($J36="Total Acumulado",N35+L36+IF(L$7="% Item",-1,0),0%)))</f>
        <v>0</v>
      </c>
      <c r="O36" s="109">
        <f>IF($J36="","",IF($J36="Total Mensal",SUM(O$7:O35),IF($J36="Total Acumulado",SUM(O$7:O34)+M36,IFERROR(N36*$K36,0))))</f>
        <v>0</v>
      </c>
      <c r="P36" s="112">
        <f>IF($J36="","",IF($J36="Total Mensal",SUM(Q$7:Q35)/VLOOKUP("Total Acumulado",$J:$K,2,FALSE),IF($J36="Total Acumulado",P35+N36+IF(N$7="% Item",-1,0),0%)))</f>
        <v>0</v>
      </c>
      <c r="Q36" s="109">
        <f>IF($J36="","",IF($J36="Total Mensal",SUM(Q$7:Q35),IF($J36="Total Acumulado",SUM(Q$7:Q34)+O36,IFERROR(P36*$K36,0))))</f>
        <v>0</v>
      </c>
      <c r="R36" s="112">
        <f>IF($J36="","",IF($J36="Total Mensal",SUM(S$7:S35)/VLOOKUP("Total Acumulado",$J:$K,2,FALSE),IF($J36="Total Acumulado",R35+P36+IF(P$7="% Item",-1,0),0%)))</f>
        <v>0</v>
      </c>
      <c r="S36" s="109">
        <f>IF($J36="","",IF($J36="Total Mensal",SUM(S$7:S35),IF($J36="Total Acumulado",SUM(S$7:S34)+Q36,IFERROR(R36*$K36,0))))</f>
        <v>0</v>
      </c>
      <c r="T36" s="112">
        <f>IF($J36="","",IF($J36="Total Mensal",SUM(U$7:U35)/VLOOKUP("Total Acumulado",$J:$K,2,FALSE),IF($J36="Total Acumulado",T35+R36+IF(R$7="% Item",-1,0),0%)))</f>
        <v>0</v>
      </c>
      <c r="U36" s="109">
        <f>IF($J36="","",IF($J36="Total Mensal",SUM(U$7:U35),IF($J36="Total Acumulado",SUM(U$7:U34)+S36,IFERROR(T36*$K36,0))))</f>
        <v>0</v>
      </c>
      <c r="V36" s="112">
        <f>IF($J36="","",IF($J36="Total Mensal",SUM(W$7:W35)/VLOOKUP("Total Acumulado",$J:$K,2,FALSE),IF($J36="Total Acumulado",V35+T36+IF(T$7="% Item",-1,0),0%)))</f>
        <v>0</v>
      </c>
      <c r="W36" s="109">
        <f>IF($J36="","",IF($J36="Total Mensal",SUM(W$7:W35),IF($J36="Total Acumulado",SUM(W$7:W34)+U36,IFERROR(V36*$K36,0))))</f>
        <v>0</v>
      </c>
      <c r="X36" s="112">
        <f>IF($J36="","",IF($J36="Total Mensal",SUM(Y$7:Y35)/VLOOKUP("Total Acumulado",$J:$K,2,FALSE),IF($J36="Total Acumulado",X35+V36+IF(V$7="% Item",-1,0),0%)))</f>
        <v>0</v>
      </c>
      <c r="Y36" s="109">
        <f>IF($J36="","",IF($J36="Total Mensal",SUM(Y$7:Y35),IF($J36="Total Acumulado",SUM(Y$7:Y34)+W36,IFERROR(X36*$K36,0))))</f>
        <v>0</v>
      </c>
      <c r="Z36" s="112">
        <f>IF($J36="","",IF($J36="Total Mensal",SUM(AA$7:AA35)/VLOOKUP("Total Acumulado",$J:$K,2,FALSE),IF($J36="Total Acumulado",Z35+X36+IF(X$7="% Item",-1,0),0%)))</f>
        <v>0</v>
      </c>
      <c r="AA36" s="109">
        <f>IF($J36="","",IF($J36="Total Mensal",SUM(AA$7:AA35),IF($J36="Total Acumulado",SUM(AA$7:AA34)+Y36,IFERROR(Z36*$K36,0))))</f>
        <v>0</v>
      </c>
      <c r="AB36" s="112">
        <f>IF($J36="","",IF($J36="Total Mensal",SUM(AC$7:AC35)/VLOOKUP("Total Acumulado",$J:$K,2,FALSE),IF($J36="Total Acumulado",AB35+Z36+IF(Z$7="% Item",-1,0),0%)))</f>
        <v>0</v>
      </c>
      <c r="AC36" s="109">
        <f>IF($J36="","",IF($J36="Total Mensal",SUM(AC$7:AC35),IF($J36="Total Acumulado",SUM(AC$7:AC34)+AA36,IFERROR(AB36*$K36,0))))</f>
        <v>0</v>
      </c>
      <c r="AD36" s="112">
        <f>IF($J36="","",IF($J36="Total Mensal",SUM(AE$7:AE35)/VLOOKUP("Total Acumulado",$J:$K,2,FALSE),IF($J36="Total Acumulado",AD35+AB36+IF(AB$7="% Item",-1,0),0%)))</f>
        <v>0</v>
      </c>
      <c r="AE36" s="109">
        <f>IF($J36="","",IF($J36="Total Mensal",SUM(AE$7:AE35),IF($J36="Total Acumulado",SUM(AE$7:AE34)+AC36,IFERROR(AD36*$K36,0))))</f>
        <v>0</v>
      </c>
      <c r="AF36" s="112">
        <f>IF($J36="","",IF($J36="Total Mensal",SUM(AG$7:AG35)/VLOOKUP("Total Acumulado",$J:$K,2,FALSE),IF($J36="Total Acumulado",AF35+AD36+IF(AD$7="% Item",-1,0),0%)))</f>
        <v>0</v>
      </c>
      <c r="AG36" s="109">
        <f>IF($J36="","",IF($J36="Total Mensal",SUM(AG$7:AG35),IF($J36="Total Acumulado",SUM(AG$7:AG34)+AE36,IFERROR(AF36*$K36,0))))</f>
        <v>0</v>
      </c>
      <c r="AH36" s="112">
        <f>IF($J36="","",IF($J36="Total Mensal",SUM(AI$7:AI35)/VLOOKUP("Total Acumulado",$J:$K,2,FALSE),IF($J36="Total Acumulado",AH35+AF36+IF(AF$7="% Item",-1,0),0%)))</f>
        <v>0</v>
      </c>
      <c r="AI36" s="109">
        <f>IF($J36="","",IF($J36="Total Mensal",SUM(AI$7:AI35),IF($J36="Total Acumulado",SUM(AI$7:AI34)+AG36,IFERROR(AH36*$K36,0))))</f>
        <v>0</v>
      </c>
      <c r="AJ36" s="112">
        <f>IF($J36="","",IF($J36="Total Mensal",SUM(AK$7:AK35)/VLOOKUP("Total Acumulado",$J:$K,2,FALSE),IF($J36="Total Acumulado",AJ35+AH36+IF(AH$7="% Item",-1,0),0%)))</f>
        <v>0</v>
      </c>
      <c r="AK36" s="109">
        <f>IF($J36="","",IF($J36="Total Mensal",SUM(AK$7:AK35),IF($J36="Total Acumulado",SUM(AK$7:AK34)+AI36,IFERROR(AJ36*$K36,0))))</f>
        <v>0</v>
      </c>
    </row>
    <row r="37" spans="2:37" x14ac:dyDescent="0.25">
      <c r="B37" s="41">
        <f>IFERROR(IF(C36=C33,IF(B36+1&lt;='MAPA DE PREÇOS'!$H$8,B36+1,""),B36),"")</f>
        <v>30</v>
      </c>
      <c r="C37" s="41">
        <f>IFERROR(VLOOKUP(B37,'MAPA DE PREÇOS'!B:D,2,FALSE),"")</f>
        <v>1</v>
      </c>
      <c r="D37" s="41">
        <f>IFERROR(VLOOKUP(B37,'MAPA DE PREÇOS'!B:D,3,FALSE),"")</f>
        <v>30</v>
      </c>
      <c r="E37" s="82">
        <f t="shared" si="0"/>
        <v>30</v>
      </c>
      <c r="F37" s="82">
        <f>IF($B36="","",IF($C37=$C34,INDEX('MAPA DE PREÇOS'!$H:$H,MATCH($B37,'MAPA DE PREÇOS'!$B:$B)-19),IF($C37=$C35,"Código","")))</f>
        <v>0</v>
      </c>
      <c r="G37" s="83" t="str">
        <f>IF($B36="","",IF($C37=$C34,IF('BASE EDITAL'!$C$2="",INDEX('MAPA DE PREÇOS'!H:H,MATCH(EDITAL!B37,'MAPA DE PREÇOS'!B:B,0)+1),UPPER(INDEX('BASE EDITAL'!$C:$C,EDITAL!B37+1))),IF($C37=$C35,"Especificação do Objeto","")))</f>
        <v>Jogos de chaves canhão 12 peças</v>
      </c>
      <c r="H37" s="84" t="str">
        <f>IF($B36="","",IF($C37=$C34,INDEX('MAPA DE PREÇOS'!$M:$M,MATCH($B37,'MAPA DE PREÇOS'!$B:$B)-16),IF($C37=$C35,"Unidade","")))</f>
        <v>UN</v>
      </c>
      <c r="I37" s="84">
        <f>IF($B36="","",IF($C37=$C34,INDEX('MAPA DE PREÇOS'!$M:$M,MATCH($B37,'MAPA DE PREÇOS'!$B:$B)-17),IF($C37=$C35,"Quant.","")))</f>
        <v>3</v>
      </c>
      <c r="J37" s="60">
        <f>IF(J36="Total Mensal","Total Acumulado",IF($B36="","",IF($C37=$C34,INDEX('MAPA DE PREÇOS'!$M:$M,MATCH($B37,'MAPA DE PREÇOS'!$B:$B)-19),IF($C37=$C35,"Valor Unit. (R$)",IF(AND($C37&lt;&gt;$C36,$J36&lt;&gt;""),"Total Mensal","")))))</f>
        <v>284.12</v>
      </c>
      <c r="K37" s="75">
        <f>IF(J37="","",IF(J37="Total Mensal","-",IF(J37="Total Acumulado",SUM(K$7:K36),I37*J37)))</f>
        <v>852.36</v>
      </c>
      <c r="L37" s="112" t="e">
        <f>IF(J37="","",IF(J37="Total Mensal","-",IF(J37="Total Acumulado",SUM(L$7:L36),K37/SUMIF(J:J,"Total Acumulado",K:K))))</f>
        <v>#DIV/0!</v>
      </c>
      <c r="M37" s="108"/>
      <c r="N37" s="112">
        <f>IF($J37="","",IF($J37="Total Mensal",SUM(O$7:O36)/VLOOKUP("Total Acumulado",$J:$K,2,FALSE),IF($J37="Total Acumulado",N36+L37+IF(L$7="% Item",-1,0),0%)))</f>
        <v>0</v>
      </c>
      <c r="O37" s="109">
        <f>IF($J37="","",IF($J37="Total Mensal",SUM(O$7:O36),IF($J37="Total Acumulado",SUM(O$7:O35)+M37,IFERROR(N37*$K37,0))))</f>
        <v>0</v>
      </c>
      <c r="P37" s="112">
        <f>IF($J37="","",IF($J37="Total Mensal",SUM(Q$7:Q36)/VLOOKUP("Total Acumulado",$J:$K,2,FALSE),IF($J37="Total Acumulado",P36+N37+IF(N$7="% Item",-1,0),0%)))</f>
        <v>0</v>
      </c>
      <c r="Q37" s="109">
        <f>IF($J37="","",IF($J37="Total Mensal",SUM(Q$7:Q36),IF($J37="Total Acumulado",SUM(Q$7:Q35)+O37,IFERROR(P37*$K37,0))))</f>
        <v>0</v>
      </c>
      <c r="R37" s="112">
        <f>IF($J37="","",IF($J37="Total Mensal",SUM(S$7:S36)/VLOOKUP("Total Acumulado",$J:$K,2,FALSE),IF($J37="Total Acumulado",R36+P37+IF(P$7="% Item",-1,0),0%)))</f>
        <v>0</v>
      </c>
      <c r="S37" s="109">
        <f>IF($J37="","",IF($J37="Total Mensal",SUM(S$7:S36),IF($J37="Total Acumulado",SUM(S$7:S35)+Q37,IFERROR(R37*$K37,0))))</f>
        <v>0</v>
      </c>
      <c r="T37" s="112">
        <f>IF($J37="","",IF($J37="Total Mensal",SUM(U$7:U36)/VLOOKUP("Total Acumulado",$J:$K,2,FALSE),IF($J37="Total Acumulado",T36+R37+IF(R$7="% Item",-1,0),0%)))</f>
        <v>0</v>
      </c>
      <c r="U37" s="109">
        <f>IF($J37="","",IF($J37="Total Mensal",SUM(U$7:U36),IF($J37="Total Acumulado",SUM(U$7:U35)+S37,IFERROR(T37*$K37,0))))</f>
        <v>0</v>
      </c>
      <c r="V37" s="112">
        <f>IF($J37="","",IF($J37="Total Mensal",SUM(W$7:W36)/VLOOKUP("Total Acumulado",$J:$K,2,FALSE),IF($J37="Total Acumulado",V36+T37+IF(T$7="% Item",-1,0),0%)))</f>
        <v>0</v>
      </c>
      <c r="W37" s="109">
        <f>IF($J37="","",IF($J37="Total Mensal",SUM(W$7:W36),IF($J37="Total Acumulado",SUM(W$7:W35)+U37,IFERROR(V37*$K37,0))))</f>
        <v>0</v>
      </c>
      <c r="X37" s="112">
        <f>IF($J37="","",IF($J37="Total Mensal",SUM(Y$7:Y36)/VLOOKUP("Total Acumulado",$J:$K,2,FALSE),IF($J37="Total Acumulado",X36+V37+IF(V$7="% Item",-1,0),0%)))</f>
        <v>0</v>
      </c>
      <c r="Y37" s="109">
        <f>IF($J37="","",IF($J37="Total Mensal",SUM(Y$7:Y36),IF($J37="Total Acumulado",SUM(Y$7:Y35)+W37,IFERROR(X37*$K37,0))))</f>
        <v>0</v>
      </c>
      <c r="Z37" s="112">
        <f>IF($J37="","",IF($J37="Total Mensal",SUM(AA$7:AA36)/VLOOKUP("Total Acumulado",$J:$K,2,FALSE),IF($J37="Total Acumulado",Z36+X37+IF(X$7="% Item",-1,0),0%)))</f>
        <v>0</v>
      </c>
      <c r="AA37" s="109">
        <f>IF($J37="","",IF($J37="Total Mensal",SUM(AA$7:AA36),IF($J37="Total Acumulado",SUM(AA$7:AA35)+Y37,IFERROR(Z37*$K37,0))))</f>
        <v>0</v>
      </c>
      <c r="AB37" s="112">
        <f>IF($J37="","",IF($J37="Total Mensal",SUM(AC$7:AC36)/VLOOKUP("Total Acumulado",$J:$K,2,FALSE),IF($J37="Total Acumulado",AB36+Z37+IF(Z$7="% Item",-1,0),0%)))</f>
        <v>0</v>
      </c>
      <c r="AC37" s="109">
        <f>IF($J37="","",IF($J37="Total Mensal",SUM(AC$7:AC36),IF($J37="Total Acumulado",SUM(AC$7:AC35)+AA37,IFERROR(AB37*$K37,0))))</f>
        <v>0</v>
      </c>
      <c r="AD37" s="112">
        <f>IF($J37="","",IF($J37="Total Mensal",SUM(AE$7:AE36)/VLOOKUP("Total Acumulado",$J:$K,2,FALSE),IF($J37="Total Acumulado",AD36+AB37+IF(AB$7="% Item",-1,0),0%)))</f>
        <v>0</v>
      </c>
      <c r="AE37" s="109">
        <f>IF($J37="","",IF($J37="Total Mensal",SUM(AE$7:AE36),IF($J37="Total Acumulado",SUM(AE$7:AE35)+AC37,IFERROR(AD37*$K37,0))))</f>
        <v>0</v>
      </c>
      <c r="AF37" s="112">
        <f>IF($J37="","",IF($J37="Total Mensal",SUM(AG$7:AG36)/VLOOKUP("Total Acumulado",$J:$K,2,FALSE),IF($J37="Total Acumulado",AF36+AD37+IF(AD$7="% Item",-1,0),0%)))</f>
        <v>0</v>
      </c>
      <c r="AG37" s="109">
        <f>IF($J37="","",IF($J37="Total Mensal",SUM(AG$7:AG36),IF($J37="Total Acumulado",SUM(AG$7:AG35)+AE37,IFERROR(AF37*$K37,0))))</f>
        <v>0</v>
      </c>
      <c r="AH37" s="112">
        <f>IF($J37="","",IF($J37="Total Mensal",SUM(AI$7:AI36)/VLOOKUP("Total Acumulado",$J:$K,2,FALSE),IF($J37="Total Acumulado",AH36+AF37+IF(AF$7="% Item",-1,0),0%)))</f>
        <v>0</v>
      </c>
      <c r="AI37" s="109">
        <f>IF($J37="","",IF($J37="Total Mensal",SUM(AI$7:AI36),IF($J37="Total Acumulado",SUM(AI$7:AI35)+AG37,IFERROR(AH37*$K37,0))))</f>
        <v>0</v>
      </c>
      <c r="AJ37" s="112">
        <f>IF($J37="","",IF($J37="Total Mensal",SUM(AK$7:AK36)/VLOOKUP("Total Acumulado",$J:$K,2,FALSE),IF($J37="Total Acumulado",AJ36+AH37+IF(AH$7="% Item",-1,0),0%)))</f>
        <v>0</v>
      </c>
      <c r="AK37" s="109">
        <f>IF($J37="","",IF($J37="Total Mensal",SUM(AK$7:AK36),IF($J37="Total Acumulado",SUM(AK$7:AK35)+AI37,IFERROR(AJ37*$K37,0))))</f>
        <v>0</v>
      </c>
    </row>
    <row r="38" spans="2:37" x14ac:dyDescent="0.25">
      <c r="B38" s="41">
        <f>IFERROR(IF(C37=C34,IF(B37+1&lt;='MAPA DE PREÇOS'!$H$8,B37+1,""),B37),"")</f>
        <v>31</v>
      </c>
      <c r="C38" s="41">
        <f>IFERROR(VLOOKUP(B38,'MAPA DE PREÇOS'!B:D,2,FALSE),"")</f>
        <v>1</v>
      </c>
      <c r="D38" s="41">
        <f>IFERROR(VLOOKUP(B38,'MAPA DE PREÇOS'!B:D,3,FALSE),"")</f>
        <v>31</v>
      </c>
      <c r="E38" s="82">
        <f t="shared" si="0"/>
        <v>31</v>
      </c>
      <c r="F38" s="82">
        <f>IF($B37="","",IF($C38=$C35,INDEX('MAPA DE PREÇOS'!$H:$H,MATCH($B38,'MAPA DE PREÇOS'!$B:$B)-19),IF($C38=$C36,"Código","")))</f>
        <v>0</v>
      </c>
      <c r="G38" s="83" t="str">
        <f>IF($B37="","",IF($C38=$C35,IF('BASE EDITAL'!$C$2="",INDEX('MAPA DE PREÇOS'!H:H,MATCH(EDITAL!B38,'MAPA DE PREÇOS'!B:B,0)+1),UPPER(INDEX('BASE EDITAL'!$C:$C,EDITAL!B38+1))),IF($C38=$C36,"Especificação do Objeto","")))</f>
        <v>Chave inglesa</v>
      </c>
      <c r="H38" s="84" t="str">
        <f>IF($B37="","",IF($C38=$C35,INDEX('MAPA DE PREÇOS'!$M:$M,MATCH($B38,'MAPA DE PREÇOS'!$B:$B)-16),IF($C38=$C36,"Unidade","")))</f>
        <v>UN</v>
      </c>
      <c r="I38" s="84">
        <f>IF($B37="","",IF($C38=$C35,INDEX('MAPA DE PREÇOS'!$M:$M,MATCH($B38,'MAPA DE PREÇOS'!$B:$B)-17),IF($C38=$C36,"Quant.","")))</f>
        <v>4</v>
      </c>
      <c r="J38" s="60">
        <f>IF(J37="Total Mensal","Total Acumulado",IF($B37="","",IF($C38=$C35,INDEX('MAPA DE PREÇOS'!$M:$M,MATCH($B38,'MAPA DE PREÇOS'!$B:$B)-19),IF($C38=$C36,"Valor Unit. (R$)",IF(AND($C38&lt;&gt;$C37,$J37&lt;&gt;""),"Total Mensal","")))))</f>
        <v>32.93</v>
      </c>
      <c r="K38" s="75">
        <f>IF(J38="","",IF(J38="Total Mensal","-",IF(J38="Total Acumulado",SUM(K$7:K37),I38*J38)))</f>
        <v>131.72</v>
      </c>
      <c r="L38" s="112" t="e">
        <f>IF(J38="","",IF(J38="Total Mensal","-",IF(J38="Total Acumulado",SUM(L$7:L37),K38/SUMIF(J:J,"Total Acumulado",K:K))))</f>
        <v>#DIV/0!</v>
      </c>
      <c r="M38" s="108"/>
      <c r="N38" s="112">
        <f>IF($J38="","",IF($J38="Total Mensal",SUM(O$7:O37)/VLOOKUP("Total Acumulado",$J:$K,2,FALSE),IF($J38="Total Acumulado",N37+L38+IF(L$7="% Item",-1,0),0%)))</f>
        <v>0</v>
      </c>
      <c r="O38" s="109">
        <f>IF($J38="","",IF($J38="Total Mensal",SUM(O$7:O37),IF($J38="Total Acumulado",SUM(O$7:O36)+M38,IFERROR(N38*$K38,0))))</f>
        <v>0</v>
      </c>
      <c r="P38" s="112">
        <f>IF($J38="","",IF($J38="Total Mensal",SUM(Q$7:Q37)/VLOOKUP("Total Acumulado",$J:$K,2,FALSE),IF($J38="Total Acumulado",P37+N38+IF(N$7="% Item",-1,0),0%)))</f>
        <v>0</v>
      </c>
      <c r="Q38" s="109">
        <f>IF($J38="","",IF($J38="Total Mensal",SUM(Q$7:Q37),IF($J38="Total Acumulado",SUM(Q$7:Q36)+O38,IFERROR(P38*$K38,0))))</f>
        <v>0</v>
      </c>
      <c r="R38" s="112">
        <f>IF($J38="","",IF($J38="Total Mensal",SUM(S$7:S37)/VLOOKUP("Total Acumulado",$J:$K,2,FALSE),IF($J38="Total Acumulado",R37+P38+IF(P$7="% Item",-1,0),0%)))</f>
        <v>0</v>
      </c>
      <c r="S38" s="109">
        <f>IF($J38="","",IF($J38="Total Mensal",SUM(S$7:S37),IF($J38="Total Acumulado",SUM(S$7:S36)+Q38,IFERROR(R38*$K38,0))))</f>
        <v>0</v>
      </c>
      <c r="T38" s="112">
        <f>IF($J38="","",IF($J38="Total Mensal",SUM(U$7:U37)/VLOOKUP("Total Acumulado",$J:$K,2,FALSE),IF($J38="Total Acumulado",T37+R38+IF(R$7="% Item",-1,0),0%)))</f>
        <v>0</v>
      </c>
      <c r="U38" s="109">
        <f>IF($J38="","",IF($J38="Total Mensal",SUM(U$7:U37),IF($J38="Total Acumulado",SUM(U$7:U36)+S38,IFERROR(T38*$K38,0))))</f>
        <v>0</v>
      </c>
      <c r="V38" s="112">
        <f>IF($J38="","",IF($J38="Total Mensal",SUM(W$7:W37)/VLOOKUP("Total Acumulado",$J:$K,2,FALSE),IF($J38="Total Acumulado",V37+T38+IF(T$7="% Item",-1,0),0%)))</f>
        <v>0</v>
      </c>
      <c r="W38" s="109">
        <f>IF($J38="","",IF($J38="Total Mensal",SUM(W$7:W37),IF($J38="Total Acumulado",SUM(W$7:W36)+U38,IFERROR(V38*$K38,0))))</f>
        <v>0</v>
      </c>
      <c r="X38" s="112">
        <f>IF($J38="","",IF($J38="Total Mensal",SUM(Y$7:Y37)/VLOOKUP("Total Acumulado",$J:$K,2,FALSE),IF($J38="Total Acumulado",X37+V38+IF(V$7="% Item",-1,0),0%)))</f>
        <v>0</v>
      </c>
      <c r="Y38" s="109">
        <f>IF($J38="","",IF($J38="Total Mensal",SUM(Y$7:Y37),IF($J38="Total Acumulado",SUM(Y$7:Y36)+W38,IFERROR(X38*$K38,0))))</f>
        <v>0</v>
      </c>
      <c r="Z38" s="112">
        <f>IF($J38="","",IF($J38="Total Mensal",SUM(AA$7:AA37)/VLOOKUP("Total Acumulado",$J:$K,2,FALSE),IF($J38="Total Acumulado",Z37+X38+IF(X$7="% Item",-1,0),0%)))</f>
        <v>0</v>
      </c>
      <c r="AA38" s="109">
        <f>IF($J38="","",IF($J38="Total Mensal",SUM(AA$7:AA37),IF($J38="Total Acumulado",SUM(AA$7:AA36)+Y38,IFERROR(Z38*$K38,0))))</f>
        <v>0</v>
      </c>
      <c r="AB38" s="112">
        <f>IF($J38="","",IF($J38="Total Mensal",SUM(AC$7:AC37)/VLOOKUP("Total Acumulado",$J:$K,2,FALSE),IF($J38="Total Acumulado",AB37+Z38+IF(Z$7="% Item",-1,0),0%)))</f>
        <v>0</v>
      </c>
      <c r="AC38" s="109">
        <f>IF($J38="","",IF($J38="Total Mensal",SUM(AC$7:AC37),IF($J38="Total Acumulado",SUM(AC$7:AC36)+AA38,IFERROR(AB38*$K38,0))))</f>
        <v>0</v>
      </c>
      <c r="AD38" s="112">
        <f>IF($J38="","",IF($J38="Total Mensal",SUM(AE$7:AE37)/VLOOKUP("Total Acumulado",$J:$K,2,FALSE),IF($J38="Total Acumulado",AD37+AB38+IF(AB$7="% Item",-1,0),0%)))</f>
        <v>0</v>
      </c>
      <c r="AE38" s="109">
        <f>IF($J38="","",IF($J38="Total Mensal",SUM(AE$7:AE37),IF($J38="Total Acumulado",SUM(AE$7:AE36)+AC38,IFERROR(AD38*$K38,0))))</f>
        <v>0</v>
      </c>
      <c r="AF38" s="112">
        <f>IF($J38="","",IF($J38="Total Mensal",SUM(AG$7:AG37)/VLOOKUP("Total Acumulado",$J:$K,2,FALSE),IF($J38="Total Acumulado",AF37+AD38+IF(AD$7="% Item",-1,0),0%)))</f>
        <v>0</v>
      </c>
      <c r="AG38" s="109">
        <f>IF($J38="","",IF($J38="Total Mensal",SUM(AG$7:AG37),IF($J38="Total Acumulado",SUM(AG$7:AG36)+AE38,IFERROR(AF38*$K38,0))))</f>
        <v>0</v>
      </c>
      <c r="AH38" s="112">
        <f>IF($J38="","",IF($J38="Total Mensal",SUM(AI$7:AI37)/VLOOKUP("Total Acumulado",$J:$K,2,FALSE),IF($J38="Total Acumulado",AH37+AF38+IF(AF$7="% Item",-1,0),0%)))</f>
        <v>0</v>
      </c>
      <c r="AI38" s="109">
        <f>IF($J38="","",IF($J38="Total Mensal",SUM(AI$7:AI37),IF($J38="Total Acumulado",SUM(AI$7:AI36)+AG38,IFERROR(AH38*$K38,0))))</f>
        <v>0</v>
      </c>
      <c r="AJ38" s="112">
        <f>IF($J38="","",IF($J38="Total Mensal",SUM(AK$7:AK37)/VLOOKUP("Total Acumulado",$J:$K,2,FALSE),IF($J38="Total Acumulado",AJ37+AH38+IF(AH$7="% Item",-1,0),0%)))</f>
        <v>0</v>
      </c>
      <c r="AK38" s="109">
        <f>IF($J38="","",IF($J38="Total Mensal",SUM(AK$7:AK37),IF($J38="Total Acumulado",SUM(AK$7:AK36)+AI38,IFERROR(AJ38*$K38,0))))</f>
        <v>0</v>
      </c>
    </row>
    <row r="39" spans="2:37" x14ac:dyDescent="0.25">
      <c r="B39" s="41">
        <f>IFERROR(IF(C38=C35,IF(B38+1&lt;='MAPA DE PREÇOS'!$H$8,B38+1,""),B38),"")</f>
        <v>32</v>
      </c>
      <c r="C39" s="41">
        <f>IFERROR(VLOOKUP(B39,'MAPA DE PREÇOS'!B:D,2,FALSE),"")</f>
        <v>1</v>
      </c>
      <c r="D39" s="41">
        <f>IFERROR(VLOOKUP(B39,'MAPA DE PREÇOS'!B:D,3,FALSE),"")</f>
        <v>32</v>
      </c>
      <c r="E39" s="82">
        <f t="shared" si="0"/>
        <v>32</v>
      </c>
      <c r="F39" s="82">
        <f>IF($B38="","",IF($C39=$C36,INDEX('MAPA DE PREÇOS'!$H:$H,MATCH($B39,'MAPA DE PREÇOS'!$B:$B)-19),IF($C39=$C37,"Código","")))</f>
        <v>0</v>
      </c>
      <c r="G39" s="83" t="str">
        <f>IF($B38="","",IF($C39=$C36,IF('BASE EDITAL'!$C$2="",INDEX('MAPA DE PREÇOS'!H:H,MATCH(EDITAL!B39,'MAPA DE PREÇOS'!B:B,0)+1),UPPER(INDEX('BASE EDITAL'!$C:$C,EDITAL!B39+1))),IF($C39=$C37,"Especificação do Objeto","")))</f>
        <v>Chave de grifo</v>
      </c>
      <c r="H39" s="84" t="str">
        <f>IF($B38="","",IF($C39=$C36,INDEX('MAPA DE PREÇOS'!$M:$M,MATCH($B39,'MAPA DE PREÇOS'!$B:$B)-16),IF($C39=$C37,"Unidade","")))</f>
        <v>UN</v>
      </c>
      <c r="I39" s="84">
        <f>IF($B38="","",IF($C39=$C36,INDEX('MAPA DE PREÇOS'!$M:$M,MATCH($B39,'MAPA DE PREÇOS'!$B:$B)-17),IF($C39=$C37,"Quant.","")))</f>
        <v>6</v>
      </c>
      <c r="J39" s="60">
        <f>IF(J38="Total Mensal","Total Acumulado",IF($B38="","",IF($C39=$C36,INDEX('MAPA DE PREÇOS'!$M:$M,MATCH($B39,'MAPA DE PREÇOS'!$B:$B)-19),IF($C39=$C37,"Valor Unit. (R$)",IF(AND($C39&lt;&gt;$C38,$J38&lt;&gt;""),"Total Mensal","")))))</f>
        <v>93.9</v>
      </c>
      <c r="K39" s="75">
        <f>IF(J39="","",IF(J39="Total Mensal","-",IF(J39="Total Acumulado",SUM(K$7:K38),I39*J39)))</f>
        <v>563.40000000000009</v>
      </c>
      <c r="L39" s="112" t="e">
        <f>IF(J39="","",IF(J39="Total Mensal","-",IF(J39="Total Acumulado",SUM(L$7:L38),K39/SUMIF(J:J,"Total Acumulado",K:K))))</f>
        <v>#DIV/0!</v>
      </c>
      <c r="M39" s="108"/>
      <c r="N39" s="112">
        <f>IF($J39="","",IF($J39="Total Mensal",SUM(O$7:O38)/VLOOKUP("Total Acumulado",$J:$K,2,FALSE),IF($J39="Total Acumulado",N38+L39+IF(L$7="% Item",-1,0),0%)))</f>
        <v>0</v>
      </c>
      <c r="O39" s="109">
        <f>IF($J39="","",IF($J39="Total Mensal",SUM(O$7:O38),IF($J39="Total Acumulado",SUM(O$7:O37)+M39,IFERROR(N39*$K39,0))))</f>
        <v>0</v>
      </c>
      <c r="P39" s="112">
        <f>IF($J39="","",IF($J39="Total Mensal",SUM(Q$7:Q38)/VLOOKUP("Total Acumulado",$J:$K,2,FALSE),IF($J39="Total Acumulado",P38+N39+IF(N$7="% Item",-1,0),0%)))</f>
        <v>0</v>
      </c>
      <c r="Q39" s="109">
        <f>IF($J39="","",IF($J39="Total Mensal",SUM(Q$7:Q38),IF($J39="Total Acumulado",SUM(Q$7:Q37)+O39,IFERROR(P39*$K39,0))))</f>
        <v>0</v>
      </c>
      <c r="R39" s="112">
        <f>IF($J39="","",IF($J39="Total Mensal",SUM(S$7:S38)/VLOOKUP("Total Acumulado",$J:$K,2,FALSE),IF($J39="Total Acumulado",R38+P39+IF(P$7="% Item",-1,0),0%)))</f>
        <v>0</v>
      </c>
      <c r="S39" s="109">
        <f>IF($J39="","",IF($J39="Total Mensal",SUM(S$7:S38),IF($J39="Total Acumulado",SUM(S$7:S37)+Q39,IFERROR(R39*$K39,0))))</f>
        <v>0</v>
      </c>
      <c r="T39" s="112">
        <f>IF($J39="","",IF($J39="Total Mensal",SUM(U$7:U38)/VLOOKUP("Total Acumulado",$J:$K,2,FALSE),IF($J39="Total Acumulado",T38+R39+IF(R$7="% Item",-1,0),0%)))</f>
        <v>0</v>
      </c>
      <c r="U39" s="109">
        <f>IF($J39="","",IF($J39="Total Mensal",SUM(U$7:U38),IF($J39="Total Acumulado",SUM(U$7:U37)+S39,IFERROR(T39*$K39,0))))</f>
        <v>0</v>
      </c>
      <c r="V39" s="112">
        <f>IF($J39="","",IF($J39="Total Mensal",SUM(W$7:W38)/VLOOKUP("Total Acumulado",$J:$K,2,FALSE),IF($J39="Total Acumulado",V38+T39+IF(T$7="% Item",-1,0),0%)))</f>
        <v>0</v>
      </c>
      <c r="W39" s="109">
        <f>IF($J39="","",IF($J39="Total Mensal",SUM(W$7:W38),IF($J39="Total Acumulado",SUM(W$7:W37)+U39,IFERROR(V39*$K39,0))))</f>
        <v>0</v>
      </c>
      <c r="X39" s="112">
        <f>IF($J39="","",IF($J39="Total Mensal",SUM(Y$7:Y38)/VLOOKUP("Total Acumulado",$J:$K,2,FALSE),IF($J39="Total Acumulado",X38+V39+IF(V$7="% Item",-1,0),0%)))</f>
        <v>0</v>
      </c>
      <c r="Y39" s="109">
        <f>IF($J39="","",IF($J39="Total Mensal",SUM(Y$7:Y38),IF($J39="Total Acumulado",SUM(Y$7:Y37)+W39,IFERROR(X39*$K39,0))))</f>
        <v>0</v>
      </c>
      <c r="Z39" s="112">
        <f>IF($J39="","",IF($J39="Total Mensal",SUM(AA$7:AA38)/VLOOKUP("Total Acumulado",$J:$K,2,FALSE),IF($J39="Total Acumulado",Z38+X39+IF(X$7="% Item",-1,0),0%)))</f>
        <v>0</v>
      </c>
      <c r="AA39" s="109">
        <f>IF($J39="","",IF($J39="Total Mensal",SUM(AA$7:AA38),IF($J39="Total Acumulado",SUM(AA$7:AA37)+Y39,IFERROR(Z39*$K39,0))))</f>
        <v>0</v>
      </c>
      <c r="AB39" s="112">
        <f>IF($J39="","",IF($J39="Total Mensal",SUM(AC$7:AC38)/VLOOKUP("Total Acumulado",$J:$K,2,FALSE),IF($J39="Total Acumulado",AB38+Z39+IF(Z$7="% Item",-1,0),0%)))</f>
        <v>0</v>
      </c>
      <c r="AC39" s="109">
        <f>IF($J39="","",IF($J39="Total Mensal",SUM(AC$7:AC38),IF($J39="Total Acumulado",SUM(AC$7:AC37)+AA39,IFERROR(AB39*$K39,0))))</f>
        <v>0</v>
      </c>
      <c r="AD39" s="112">
        <f>IF($J39="","",IF($J39="Total Mensal",SUM(AE$7:AE38)/VLOOKUP("Total Acumulado",$J:$K,2,FALSE),IF($J39="Total Acumulado",AD38+AB39+IF(AB$7="% Item",-1,0),0%)))</f>
        <v>0</v>
      </c>
      <c r="AE39" s="109">
        <f>IF($J39="","",IF($J39="Total Mensal",SUM(AE$7:AE38),IF($J39="Total Acumulado",SUM(AE$7:AE37)+AC39,IFERROR(AD39*$K39,0))))</f>
        <v>0</v>
      </c>
      <c r="AF39" s="112">
        <f>IF($J39="","",IF($J39="Total Mensal",SUM(AG$7:AG38)/VLOOKUP("Total Acumulado",$J:$K,2,FALSE),IF($J39="Total Acumulado",AF38+AD39+IF(AD$7="% Item",-1,0),0%)))</f>
        <v>0</v>
      </c>
      <c r="AG39" s="109">
        <f>IF($J39="","",IF($J39="Total Mensal",SUM(AG$7:AG38),IF($J39="Total Acumulado",SUM(AG$7:AG37)+AE39,IFERROR(AF39*$K39,0))))</f>
        <v>0</v>
      </c>
      <c r="AH39" s="112">
        <f>IF($J39="","",IF($J39="Total Mensal",SUM(AI$7:AI38)/VLOOKUP("Total Acumulado",$J:$K,2,FALSE),IF($J39="Total Acumulado",AH38+AF39+IF(AF$7="% Item",-1,0),0%)))</f>
        <v>0</v>
      </c>
      <c r="AI39" s="109">
        <f>IF($J39="","",IF($J39="Total Mensal",SUM(AI$7:AI38),IF($J39="Total Acumulado",SUM(AI$7:AI37)+AG39,IFERROR(AH39*$K39,0))))</f>
        <v>0</v>
      </c>
      <c r="AJ39" s="112">
        <f>IF($J39="","",IF($J39="Total Mensal",SUM(AK$7:AK38)/VLOOKUP("Total Acumulado",$J:$K,2,FALSE),IF($J39="Total Acumulado",AJ38+AH39+IF(AH$7="% Item",-1,0),0%)))</f>
        <v>0</v>
      </c>
      <c r="AK39" s="109">
        <f>IF($J39="","",IF($J39="Total Mensal",SUM(AK$7:AK38),IF($J39="Total Acumulado",SUM(AK$7:AK37)+AI39,IFERROR(AJ39*$K39,0))))</f>
        <v>0</v>
      </c>
    </row>
    <row r="40" spans="2:37" x14ac:dyDescent="0.25">
      <c r="B40" s="41">
        <f>IFERROR(IF(C39=C36,IF(B39+1&lt;='MAPA DE PREÇOS'!$H$8,B39+1,""),B39),"")</f>
        <v>33</v>
      </c>
      <c r="C40" s="41">
        <f>IFERROR(VLOOKUP(B40,'MAPA DE PREÇOS'!B:D,2,FALSE),"")</f>
        <v>1</v>
      </c>
      <c r="D40" s="41">
        <f>IFERROR(VLOOKUP(B40,'MAPA DE PREÇOS'!B:D,3,FALSE),"")</f>
        <v>33</v>
      </c>
      <c r="E40" s="82">
        <f t="shared" ref="E40:E68" si="1">IF($B39="","",IF($C40=$C37,D40,IF($C40=$C38,"Item",IF(AND(MAX(C:C)&gt;1,$C40=$C39),CONCATENATE("LOTE ",C40),""))))</f>
        <v>33</v>
      </c>
      <c r="F40" s="82">
        <f>IF($B39="","",IF($C40=$C37,INDEX('MAPA DE PREÇOS'!$H:$H,MATCH($B40,'MAPA DE PREÇOS'!$B:$B)-19),IF($C40=$C38,"Código","")))</f>
        <v>0</v>
      </c>
      <c r="G40" s="83" t="str">
        <f>IF($B39="","",IF($C40=$C37,IF('BASE EDITAL'!$C$2="",INDEX('MAPA DE PREÇOS'!H:H,MATCH(EDITAL!B40,'MAPA DE PREÇOS'!B:B,0)+1),UPPER(INDEX('BASE EDITAL'!$C:$C,EDITAL!B40+1))),IF($C40=$C38,"Especificação do Objeto","")))</f>
        <v>Fita guia passa fio 20 m</v>
      </c>
      <c r="H40" s="84" t="str">
        <f>IF($B39="","",IF($C40=$C37,INDEX('MAPA DE PREÇOS'!$M:$M,MATCH($B40,'MAPA DE PREÇOS'!$B:$B)-16),IF($C40=$C38,"Unidade","")))</f>
        <v>UN</v>
      </c>
      <c r="I40" s="84">
        <f>IF($B39="","",IF($C40=$C37,INDEX('MAPA DE PREÇOS'!$M:$M,MATCH($B40,'MAPA DE PREÇOS'!$B:$B)-17),IF($C40=$C38,"Quant.","")))</f>
        <v>3</v>
      </c>
      <c r="J40" s="60">
        <f>IF(J39="Total Mensal","Total Acumulado",IF($B39="","",IF($C40=$C37,INDEX('MAPA DE PREÇOS'!$M:$M,MATCH($B40,'MAPA DE PREÇOS'!$B:$B)-19),IF($C40=$C38,"Valor Unit. (R$)",IF(AND($C40&lt;&gt;$C39,$J39&lt;&gt;""),"Total Mensal","")))))</f>
        <v>63.68</v>
      </c>
      <c r="K40" s="75">
        <f>IF(J40="","",IF(J40="Total Mensal","-",IF(J40="Total Acumulado",SUM(K$7:K39),I40*J40)))</f>
        <v>191.04</v>
      </c>
      <c r="L40" s="112" t="e">
        <f>IF(J40="","",IF(J40="Total Mensal","-",IF(J40="Total Acumulado",SUM(L$7:L39),K40/SUMIF(J:J,"Total Acumulado",K:K))))</f>
        <v>#DIV/0!</v>
      </c>
      <c r="M40" s="108"/>
      <c r="N40" s="112">
        <f>IF($J40="","",IF($J40="Total Mensal",SUM(O$7:O39)/VLOOKUP("Total Acumulado",$J:$K,2,FALSE),IF($J40="Total Acumulado",N39+L40+IF(L$7="% Item",-1,0),0%)))</f>
        <v>0</v>
      </c>
      <c r="O40" s="109">
        <f>IF($J40="","",IF($J40="Total Mensal",SUM(O$7:O39),IF($J40="Total Acumulado",SUM(O$7:O38)+M40,IFERROR(N40*$K40,0))))</f>
        <v>0</v>
      </c>
      <c r="P40" s="112">
        <f>IF($J40="","",IF($J40="Total Mensal",SUM(Q$7:Q39)/VLOOKUP("Total Acumulado",$J:$K,2,FALSE),IF($J40="Total Acumulado",P39+N40+IF(N$7="% Item",-1,0),0%)))</f>
        <v>0</v>
      </c>
      <c r="Q40" s="109">
        <f>IF($J40="","",IF($J40="Total Mensal",SUM(Q$7:Q39),IF($J40="Total Acumulado",SUM(Q$7:Q38)+O40,IFERROR(P40*$K40,0))))</f>
        <v>0</v>
      </c>
      <c r="R40" s="112">
        <f>IF($J40="","",IF($J40="Total Mensal",SUM(S$7:S39)/VLOOKUP("Total Acumulado",$J:$K,2,FALSE),IF($J40="Total Acumulado",R39+P40+IF(P$7="% Item",-1,0),0%)))</f>
        <v>0</v>
      </c>
      <c r="S40" s="109">
        <f>IF($J40="","",IF($J40="Total Mensal",SUM(S$7:S39),IF($J40="Total Acumulado",SUM(S$7:S38)+Q40,IFERROR(R40*$K40,0))))</f>
        <v>0</v>
      </c>
      <c r="T40" s="112">
        <f>IF($J40="","",IF($J40="Total Mensal",SUM(U$7:U39)/VLOOKUP("Total Acumulado",$J:$K,2,FALSE),IF($J40="Total Acumulado",T39+R40+IF(R$7="% Item",-1,0),0%)))</f>
        <v>0</v>
      </c>
      <c r="U40" s="109">
        <f>IF($J40="","",IF($J40="Total Mensal",SUM(U$7:U39),IF($J40="Total Acumulado",SUM(U$7:U38)+S40,IFERROR(T40*$K40,0))))</f>
        <v>0</v>
      </c>
      <c r="V40" s="112">
        <f>IF($J40="","",IF($J40="Total Mensal",SUM(W$7:W39)/VLOOKUP("Total Acumulado",$J:$K,2,FALSE),IF($J40="Total Acumulado",V39+T40+IF(T$7="% Item",-1,0),0%)))</f>
        <v>0</v>
      </c>
      <c r="W40" s="109">
        <f>IF($J40="","",IF($J40="Total Mensal",SUM(W$7:W39),IF($J40="Total Acumulado",SUM(W$7:W38)+U40,IFERROR(V40*$K40,0))))</f>
        <v>0</v>
      </c>
      <c r="X40" s="112">
        <f>IF($J40="","",IF($J40="Total Mensal",SUM(Y$7:Y39)/VLOOKUP("Total Acumulado",$J:$K,2,FALSE),IF($J40="Total Acumulado",X39+V40+IF(V$7="% Item",-1,0),0%)))</f>
        <v>0</v>
      </c>
      <c r="Y40" s="109">
        <f>IF($J40="","",IF($J40="Total Mensal",SUM(Y$7:Y39),IF($J40="Total Acumulado",SUM(Y$7:Y38)+W40,IFERROR(X40*$K40,0))))</f>
        <v>0</v>
      </c>
      <c r="Z40" s="112">
        <f>IF($J40="","",IF($J40="Total Mensal",SUM(AA$7:AA39)/VLOOKUP("Total Acumulado",$J:$K,2,FALSE),IF($J40="Total Acumulado",Z39+X40+IF(X$7="% Item",-1,0),0%)))</f>
        <v>0</v>
      </c>
      <c r="AA40" s="109">
        <f>IF($J40="","",IF($J40="Total Mensal",SUM(AA$7:AA39),IF($J40="Total Acumulado",SUM(AA$7:AA38)+Y40,IFERROR(Z40*$K40,0))))</f>
        <v>0</v>
      </c>
      <c r="AB40" s="112">
        <f>IF($J40="","",IF($J40="Total Mensal",SUM(AC$7:AC39)/VLOOKUP("Total Acumulado",$J:$K,2,FALSE),IF($J40="Total Acumulado",AB39+Z40+IF(Z$7="% Item",-1,0),0%)))</f>
        <v>0</v>
      </c>
      <c r="AC40" s="109">
        <f>IF($J40="","",IF($J40="Total Mensal",SUM(AC$7:AC39),IF($J40="Total Acumulado",SUM(AC$7:AC38)+AA40,IFERROR(AB40*$K40,0))))</f>
        <v>0</v>
      </c>
      <c r="AD40" s="112">
        <f>IF($J40="","",IF($J40="Total Mensal",SUM(AE$7:AE39)/VLOOKUP("Total Acumulado",$J:$K,2,FALSE),IF($J40="Total Acumulado",AD39+AB40+IF(AB$7="% Item",-1,0),0%)))</f>
        <v>0</v>
      </c>
      <c r="AE40" s="109">
        <f>IF($J40="","",IF($J40="Total Mensal",SUM(AE$7:AE39),IF($J40="Total Acumulado",SUM(AE$7:AE38)+AC40,IFERROR(AD40*$K40,0))))</f>
        <v>0</v>
      </c>
      <c r="AF40" s="112">
        <f>IF($J40="","",IF($J40="Total Mensal",SUM(AG$7:AG39)/VLOOKUP("Total Acumulado",$J:$K,2,FALSE),IF($J40="Total Acumulado",AF39+AD40+IF(AD$7="% Item",-1,0),0%)))</f>
        <v>0</v>
      </c>
      <c r="AG40" s="109">
        <f>IF($J40="","",IF($J40="Total Mensal",SUM(AG$7:AG39),IF($J40="Total Acumulado",SUM(AG$7:AG38)+AE40,IFERROR(AF40*$K40,0))))</f>
        <v>0</v>
      </c>
      <c r="AH40" s="112">
        <f>IF($J40="","",IF($J40="Total Mensal",SUM(AI$7:AI39)/VLOOKUP("Total Acumulado",$J:$K,2,FALSE),IF($J40="Total Acumulado",AH39+AF40+IF(AF$7="% Item",-1,0),0%)))</f>
        <v>0</v>
      </c>
      <c r="AI40" s="109">
        <f>IF($J40="","",IF($J40="Total Mensal",SUM(AI$7:AI39),IF($J40="Total Acumulado",SUM(AI$7:AI38)+AG40,IFERROR(AH40*$K40,0))))</f>
        <v>0</v>
      </c>
      <c r="AJ40" s="112">
        <f>IF($J40="","",IF($J40="Total Mensal",SUM(AK$7:AK39)/VLOOKUP("Total Acumulado",$J:$K,2,FALSE),IF($J40="Total Acumulado",AJ39+AH40+IF(AH$7="% Item",-1,0),0%)))</f>
        <v>0</v>
      </c>
      <c r="AK40" s="109">
        <f>IF($J40="","",IF($J40="Total Mensal",SUM(AK$7:AK39),IF($J40="Total Acumulado",SUM(AK$7:AK38)+AI40,IFERROR(AJ40*$K40,0))))</f>
        <v>0</v>
      </c>
    </row>
    <row r="41" spans="2:37" x14ac:dyDescent="0.25">
      <c r="B41" s="41">
        <f>IFERROR(IF(C40=C37,IF(B40+1&lt;='MAPA DE PREÇOS'!$H$8,B40+1,""),B40),"")</f>
        <v>34</v>
      </c>
      <c r="C41" s="41">
        <f>IFERROR(VLOOKUP(B41,'MAPA DE PREÇOS'!B:D,2,FALSE),"")</f>
        <v>1</v>
      </c>
      <c r="D41" s="41">
        <f>IFERROR(VLOOKUP(B41,'MAPA DE PREÇOS'!B:D,3,FALSE),"")</f>
        <v>34</v>
      </c>
      <c r="E41" s="82">
        <f t="shared" si="1"/>
        <v>34</v>
      </c>
      <c r="F41" s="82">
        <f>IF($B40="","",IF($C41=$C38,INDEX('MAPA DE PREÇOS'!$H:$H,MATCH($B41,'MAPA DE PREÇOS'!$B:$B)-19),IF($C41=$C39,"Código","")))</f>
        <v>0</v>
      </c>
      <c r="G41" s="83" t="str">
        <f>IF($B40="","",IF($C41=$C38,IF('BASE EDITAL'!$C$2="",INDEX('MAPA DE PREÇOS'!H:H,MATCH(EDITAL!B41,'MAPA DE PREÇOS'!B:B,0)+1),UPPER(INDEX('BASE EDITAL'!$C:$C,EDITAL!B41+1))),IF($C41=$C39,"Especificação do Objeto","")))</f>
        <v>Fita guia passa fio 10 m</v>
      </c>
      <c r="H41" s="84" t="str">
        <f>IF($B40="","",IF($C41=$C38,INDEX('MAPA DE PREÇOS'!$M:$M,MATCH($B41,'MAPA DE PREÇOS'!$B:$B)-16),IF($C41=$C39,"Unidade","")))</f>
        <v>UN</v>
      </c>
      <c r="I41" s="84">
        <f>IF($B40="","",IF($C41=$C38,INDEX('MAPA DE PREÇOS'!$M:$M,MATCH($B41,'MAPA DE PREÇOS'!$B:$B)-17),IF($C41=$C39,"Quant.","")))</f>
        <v>3</v>
      </c>
      <c r="J41" s="60">
        <f>IF(J40="Total Mensal","Total Acumulado",IF($B40="","",IF($C41=$C38,INDEX('MAPA DE PREÇOS'!$M:$M,MATCH($B41,'MAPA DE PREÇOS'!$B:$B)-19),IF($C41=$C39,"Valor Unit. (R$)",IF(AND($C41&lt;&gt;$C40,$J40&lt;&gt;""),"Total Mensal","")))))</f>
        <v>21.47</v>
      </c>
      <c r="K41" s="75">
        <f>IF(J41="","",IF(J41="Total Mensal","-",IF(J41="Total Acumulado",SUM(K$7:K40),I41*J41)))</f>
        <v>64.41</v>
      </c>
      <c r="L41" s="112" t="e">
        <f>IF(J41="","",IF(J41="Total Mensal","-",IF(J41="Total Acumulado",SUM(L$7:L40),K41/SUMIF(J:J,"Total Acumulado",K:K))))</f>
        <v>#DIV/0!</v>
      </c>
      <c r="M41" s="108"/>
      <c r="N41" s="112">
        <f>IF($J41="","",IF($J41="Total Mensal",SUM(O$7:O40)/VLOOKUP("Total Acumulado",$J:$K,2,FALSE),IF($J41="Total Acumulado",N40+L41+IF(L$7="% Item",-1,0),0%)))</f>
        <v>0</v>
      </c>
      <c r="O41" s="109">
        <f>IF($J41="","",IF($J41="Total Mensal",SUM(O$7:O40),IF($J41="Total Acumulado",SUM(O$7:O39)+M41,IFERROR(N41*$K41,0))))</f>
        <v>0</v>
      </c>
      <c r="P41" s="112">
        <f>IF($J41="","",IF($J41="Total Mensal",SUM(Q$7:Q40)/VLOOKUP("Total Acumulado",$J:$K,2,FALSE),IF($J41="Total Acumulado",P40+N41+IF(N$7="% Item",-1,0),0%)))</f>
        <v>0</v>
      </c>
      <c r="Q41" s="109">
        <f>IF($J41="","",IF($J41="Total Mensal",SUM(Q$7:Q40),IF($J41="Total Acumulado",SUM(Q$7:Q39)+O41,IFERROR(P41*$K41,0))))</f>
        <v>0</v>
      </c>
      <c r="R41" s="112">
        <f>IF($J41="","",IF($J41="Total Mensal",SUM(S$7:S40)/VLOOKUP("Total Acumulado",$J:$K,2,FALSE),IF($J41="Total Acumulado",R40+P41+IF(P$7="% Item",-1,0),0%)))</f>
        <v>0</v>
      </c>
      <c r="S41" s="109">
        <f>IF($J41="","",IF($J41="Total Mensal",SUM(S$7:S40),IF($J41="Total Acumulado",SUM(S$7:S39)+Q41,IFERROR(R41*$K41,0))))</f>
        <v>0</v>
      </c>
      <c r="T41" s="112">
        <f>IF($J41="","",IF($J41="Total Mensal",SUM(U$7:U40)/VLOOKUP("Total Acumulado",$J:$K,2,FALSE),IF($J41="Total Acumulado",T40+R41+IF(R$7="% Item",-1,0),0%)))</f>
        <v>0</v>
      </c>
      <c r="U41" s="109">
        <f>IF($J41="","",IF($J41="Total Mensal",SUM(U$7:U40),IF($J41="Total Acumulado",SUM(U$7:U39)+S41,IFERROR(T41*$K41,0))))</f>
        <v>0</v>
      </c>
      <c r="V41" s="112">
        <f>IF($J41="","",IF($J41="Total Mensal",SUM(W$7:W40)/VLOOKUP("Total Acumulado",$J:$K,2,FALSE),IF($J41="Total Acumulado",V40+T41+IF(T$7="% Item",-1,0),0%)))</f>
        <v>0</v>
      </c>
      <c r="W41" s="109">
        <f>IF($J41="","",IF($J41="Total Mensal",SUM(W$7:W40),IF($J41="Total Acumulado",SUM(W$7:W39)+U41,IFERROR(V41*$K41,0))))</f>
        <v>0</v>
      </c>
      <c r="X41" s="112">
        <f>IF($J41="","",IF($J41="Total Mensal",SUM(Y$7:Y40)/VLOOKUP("Total Acumulado",$J:$K,2,FALSE),IF($J41="Total Acumulado",X40+V41+IF(V$7="% Item",-1,0),0%)))</f>
        <v>0</v>
      </c>
      <c r="Y41" s="109">
        <f>IF($J41="","",IF($J41="Total Mensal",SUM(Y$7:Y40),IF($J41="Total Acumulado",SUM(Y$7:Y39)+W41,IFERROR(X41*$K41,0))))</f>
        <v>0</v>
      </c>
      <c r="Z41" s="112">
        <f>IF($J41="","",IF($J41="Total Mensal",SUM(AA$7:AA40)/VLOOKUP("Total Acumulado",$J:$K,2,FALSE),IF($J41="Total Acumulado",Z40+X41+IF(X$7="% Item",-1,0),0%)))</f>
        <v>0</v>
      </c>
      <c r="AA41" s="109">
        <f>IF($J41="","",IF($J41="Total Mensal",SUM(AA$7:AA40),IF($J41="Total Acumulado",SUM(AA$7:AA39)+Y41,IFERROR(Z41*$K41,0))))</f>
        <v>0</v>
      </c>
      <c r="AB41" s="112">
        <f>IF($J41="","",IF($J41="Total Mensal",SUM(AC$7:AC40)/VLOOKUP("Total Acumulado",$J:$K,2,FALSE),IF($J41="Total Acumulado",AB40+Z41+IF(Z$7="% Item",-1,0),0%)))</f>
        <v>0</v>
      </c>
      <c r="AC41" s="109">
        <f>IF($J41="","",IF($J41="Total Mensal",SUM(AC$7:AC40),IF($J41="Total Acumulado",SUM(AC$7:AC39)+AA41,IFERROR(AB41*$K41,0))))</f>
        <v>0</v>
      </c>
      <c r="AD41" s="112">
        <f>IF($J41="","",IF($J41="Total Mensal",SUM(AE$7:AE40)/VLOOKUP("Total Acumulado",$J:$K,2,FALSE),IF($J41="Total Acumulado",AD40+AB41+IF(AB$7="% Item",-1,0),0%)))</f>
        <v>0</v>
      </c>
      <c r="AE41" s="109">
        <f>IF($J41="","",IF($J41="Total Mensal",SUM(AE$7:AE40),IF($J41="Total Acumulado",SUM(AE$7:AE39)+AC41,IFERROR(AD41*$K41,0))))</f>
        <v>0</v>
      </c>
      <c r="AF41" s="112">
        <f>IF($J41="","",IF($J41="Total Mensal",SUM(AG$7:AG40)/VLOOKUP("Total Acumulado",$J:$K,2,FALSE),IF($J41="Total Acumulado",AF40+AD41+IF(AD$7="% Item",-1,0),0%)))</f>
        <v>0</v>
      </c>
      <c r="AG41" s="109">
        <f>IF($J41="","",IF($J41="Total Mensal",SUM(AG$7:AG40),IF($J41="Total Acumulado",SUM(AG$7:AG39)+AE41,IFERROR(AF41*$K41,0))))</f>
        <v>0</v>
      </c>
      <c r="AH41" s="112">
        <f>IF($J41="","",IF($J41="Total Mensal",SUM(AI$7:AI40)/VLOOKUP("Total Acumulado",$J:$K,2,FALSE),IF($J41="Total Acumulado",AH40+AF41+IF(AF$7="% Item",-1,0),0%)))</f>
        <v>0</v>
      </c>
      <c r="AI41" s="109">
        <f>IF($J41="","",IF($J41="Total Mensal",SUM(AI$7:AI40),IF($J41="Total Acumulado",SUM(AI$7:AI39)+AG41,IFERROR(AH41*$K41,0))))</f>
        <v>0</v>
      </c>
      <c r="AJ41" s="112">
        <f>IF($J41="","",IF($J41="Total Mensal",SUM(AK$7:AK40)/VLOOKUP("Total Acumulado",$J:$K,2,FALSE),IF($J41="Total Acumulado",AJ40+AH41+IF(AH$7="% Item",-1,0),0%)))</f>
        <v>0</v>
      </c>
      <c r="AK41" s="109">
        <f>IF($J41="","",IF($J41="Total Mensal",SUM(AK$7:AK40),IF($J41="Total Acumulado",SUM(AK$7:AK39)+AI41,IFERROR(AJ41*$K41,0))))</f>
        <v>0</v>
      </c>
    </row>
    <row r="42" spans="2:37" x14ac:dyDescent="0.25">
      <c r="B42" s="41">
        <f>IFERROR(IF(C41=C38,IF(B41+1&lt;='MAPA DE PREÇOS'!$H$8,B41+1,""),B41),"")</f>
        <v>35</v>
      </c>
      <c r="C42" s="41">
        <f>IFERROR(VLOOKUP(B42,'MAPA DE PREÇOS'!B:D,2,FALSE),"")</f>
        <v>1</v>
      </c>
      <c r="D42" s="41">
        <f>IFERROR(VLOOKUP(B42,'MAPA DE PREÇOS'!B:D,3,FALSE),"")</f>
        <v>35</v>
      </c>
      <c r="E42" s="82">
        <f t="shared" si="1"/>
        <v>35</v>
      </c>
      <c r="F42" s="82">
        <f>IF($B41="","",IF($C42=$C39,INDEX('MAPA DE PREÇOS'!$H:$H,MATCH($B42,'MAPA DE PREÇOS'!$B:$B)-19),IF($C42=$C40,"Código","")))</f>
        <v>0</v>
      </c>
      <c r="G42" s="83" t="str">
        <f>IF($B41="","",IF($C42=$C39,IF('BASE EDITAL'!$C$2="",INDEX('MAPA DE PREÇOS'!H:H,MATCH(EDITAL!B42,'MAPA DE PREÇOS'!B:B,0)+1),UPPER(INDEX('BASE EDITAL'!$C:$C,EDITAL!B42+1))),IF($C42=$C40,"Especificação do Objeto","")))</f>
        <v>Lubrificante para passagem de cabos</v>
      </c>
      <c r="H42" s="84" t="str">
        <f>IF($B41="","",IF($C42=$C39,INDEX('MAPA DE PREÇOS'!$M:$M,MATCH($B42,'MAPA DE PREÇOS'!$B:$B)-16),IF($C42=$C40,"Unidade","")))</f>
        <v>UN</v>
      </c>
      <c r="I42" s="84">
        <f>IF($B41="","",IF($C42=$C39,INDEX('MAPA DE PREÇOS'!$M:$M,MATCH($B42,'MAPA DE PREÇOS'!$B:$B)-17),IF($C42=$C40,"Quant.","")))</f>
        <v>3</v>
      </c>
      <c r="J42" s="60">
        <f>IF(J41="Total Mensal","Total Acumulado",IF($B41="","",IF($C42=$C39,INDEX('MAPA DE PREÇOS'!$M:$M,MATCH($B42,'MAPA DE PREÇOS'!$B:$B)-19),IF($C42=$C40,"Valor Unit. (R$)",IF(AND($C42&lt;&gt;$C41,$J41&lt;&gt;""),"Total Mensal","")))))</f>
        <v>33.450000000000003</v>
      </c>
      <c r="K42" s="75">
        <f>IF(J42="","",IF(J42="Total Mensal","-",IF(J42="Total Acumulado",SUM(K$7:K41),I42*J42)))</f>
        <v>100.35000000000001</v>
      </c>
      <c r="L42" s="112" t="e">
        <f>IF(J42="","",IF(J42="Total Mensal","-",IF(J42="Total Acumulado",SUM(L$7:L41),K42/SUMIF(J:J,"Total Acumulado",K:K))))</f>
        <v>#DIV/0!</v>
      </c>
      <c r="M42" s="108"/>
      <c r="N42" s="112">
        <f>IF($J42="","",IF($J42="Total Mensal",SUM(O$7:O41)/VLOOKUP("Total Acumulado",$J:$K,2,FALSE),IF($J42="Total Acumulado",N41+L42+IF(L$7="% Item",-1,0),0%)))</f>
        <v>0</v>
      </c>
      <c r="O42" s="109">
        <f>IF($J42="","",IF($J42="Total Mensal",SUM(O$7:O41),IF($J42="Total Acumulado",SUM(O$7:O40)+M42,IFERROR(N42*$K42,0))))</f>
        <v>0</v>
      </c>
      <c r="P42" s="112">
        <f>IF($J42="","",IF($J42="Total Mensal",SUM(Q$7:Q41)/VLOOKUP("Total Acumulado",$J:$K,2,FALSE),IF($J42="Total Acumulado",P41+N42+IF(N$7="% Item",-1,0),0%)))</f>
        <v>0</v>
      </c>
      <c r="Q42" s="109">
        <f>IF($J42="","",IF($J42="Total Mensal",SUM(Q$7:Q41),IF($J42="Total Acumulado",SUM(Q$7:Q40)+O42,IFERROR(P42*$K42,0))))</f>
        <v>0</v>
      </c>
      <c r="R42" s="112">
        <f>IF($J42="","",IF($J42="Total Mensal",SUM(S$7:S41)/VLOOKUP("Total Acumulado",$J:$K,2,FALSE),IF($J42="Total Acumulado",R41+P42+IF(P$7="% Item",-1,0),0%)))</f>
        <v>0</v>
      </c>
      <c r="S42" s="109">
        <f>IF($J42="","",IF($J42="Total Mensal",SUM(S$7:S41),IF($J42="Total Acumulado",SUM(S$7:S40)+Q42,IFERROR(R42*$K42,0))))</f>
        <v>0</v>
      </c>
      <c r="T42" s="112">
        <f>IF($J42="","",IF($J42="Total Mensal",SUM(U$7:U41)/VLOOKUP("Total Acumulado",$J:$K,2,FALSE),IF($J42="Total Acumulado",T41+R42+IF(R$7="% Item",-1,0),0%)))</f>
        <v>0</v>
      </c>
      <c r="U42" s="109">
        <f>IF($J42="","",IF($J42="Total Mensal",SUM(U$7:U41),IF($J42="Total Acumulado",SUM(U$7:U40)+S42,IFERROR(T42*$K42,0))))</f>
        <v>0</v>
      </c>
      <c r="V42" s="112">
        <f>IF($J42="","",IF($J42="Total Mensal",SUM(W$7:W41)/VLOOKUP("Total Acumulado",$J:$K,2,FALSE),IF($J42="Total Acumulado",V41+T42+IF(T$7="% Item",-1,0),0%)))</f>
        <v>0</v>
      </c>
      <c r="W42" s="109">
        <f>IF($J42="","",IF($J42="Total Mensal",SUM(W$7:W41),IF($J42="Total Acumulado",SUM(W$7:W40)+U42,IFERROR(V42*$K42,0))))</f>
        <v>0</v>
      </c>
      <c r="X42" s="112">
        <f>IF($J42="","",IF($J42="Total Mensal",SUM(Y$7:Y41)/VLOOKUP("Total Acumulado",$J:$K,2,FALSE),IF($J42="Total Acumulado",X41+V42+IF(V$7="% Item",-1,0),0%)))</f>
        <v>0</v>
      </c>
      <c r="Y42" s="109">
        <f>IF($J42="","",IF($J42="Total Mensal",SUM(Y$7:Y41),IF($J42="Total Acumulado",SUM(Y$7:Y40)+W42,IFERROR(X42*$K42,0))))</f>
        <v>0</v>
      </c>
      <c r="Z42" s="112">
        <f>IF($J42="","",IF($J42="Total Mensal",SUM(AA$7:AA41)/VLOOKUP("Total Acumulado",$J:$K,2,FALSE),IF($J42="Total Acumulado",Z41+X42+IF(X$7="% Item",-1,0),0%)))</f>
        <v>0</v>
      </c>
      <c r="AA42" s="109">
        <f>IF($J42="","",IF($J42="Total Mensal",SUM(AA$7:AA41),IF($J42="Total Acumulado",SUM(AA$7:AA40)+Y42,IFERROR(Z42*$K42,0))))</f>
        <v>0</v>
      </c>
      <c r="AB42" s="112">
        <f>IF($J42="","",IF($J42="Total Mensal",SUM(AC$7:AC41)/VLOOKUP("Total Acumulado",$J:$K,2,FALSE),IF($J42="Total Acumulado",AB41+Z42+IF(Z$7="% Item",-1,0),0%)))</f>
        <v>0</v>
      </c>
      <c r="AC42" s="109">
        <f>IF($J42="","",IF($J42="Total Mensal",SUM(AC$7:AC41),IF($J42="Total Acumulado",SUM(AC$7:AC40)+AA42,IFERROR(AB42*$K42,0))))</f>
        <v>0</v>
      </c>
      <c r="AD42" s="112">
        <f>IF($J42="","",IF($J42="Total Mensal",SUM(AE$7:AE41)/VLOOKUP("Total Acumulado",$J:$K,2,FALSE),IF($J42="Total Acumulado",AD41+AB42+IF(AB$7="% Item",-1,0),0%)))</f>
        <v>0</v>
      </c>
      <c r="AE42" s="109">
        <f>IF($J42="","",IF($J42="Total Mensal",SUM(AE$7:AE41),IF($J42="Total Acumulado",SUM(AE$7:AE40)+AC42,IFERROR(AD42*$K42,0))))</f>
        <v>0</v>
      </c>
      <c r="AF42" s="112">
        <f>IF($J42="","",IF($J42="Total Mensal",SUM(AG$7:AG41)/VLOOKUP("Total Acumulado",$J:$K,2,FALSE),IF($J42="Total Acumulado",AF41+AD42+IF(AD$7="% Item",-1,0),0%)))</f>
        <v>0</v>
      </c>
      <c r="AG42" s="109">
        <f>IF($J42="","",IF($J42="Total Mensal",SUM(AG$7:AG41),IF($J42="Total Acumulado",SUM(AG$7:AG40)+AE42,IFERROR(AF42*$K42,0))))</f>
        <v>0</v>
      </c>
      <c r="AH42" s="112">
        <f>IF($J42="","",IF($J42="Total Mensal",SUM(AI$7:AI41)/VLOOKUP("Total Acumulado",$J:$K,2,FALSE),IF($J42="Total Acumulado",AH41+AF42+IF(AF$7="% Item",-1,0),0%)))</f>
        <v>0</v>
      </c>
      <c r="AI42" s="109">
        <f>IF($J42="","",IF($J42="Total Mensal",SUM(AI$7:AI41),IF($J42="Total Acumulado",SUM(AI$7:AI40)+AG42,IFERROR(AH42*$K42,0))))</f>
        <v>0</v>
      </c>
      <c r="AJ42" s="112">
        <f>IF($J42="","",IF($J42="Total Mensal",SUM(AK$7:AK41)/VLOOKUP("Total Acumulado",$J:$K,2,FALSE),IF($J42="Total Acumulado",AJ41+AH42+IF(AH$7="% Item",-1,0),0%)))</f>
        <v>0</v>
      </c>
      <c r="AK42" s="109">
        <f>IF($J42="","",IF($J42="Total Mensal",SUM(AK$7:AK41),IF($J42="Total Acumulado",SUM(AK$7:AK40)+AI42,IFERROR(AJ42*$K42,0))))</f>
        <v>0</v>
      </c>
    </row>
    <row r="43" spans="2:37" x14ac:dyDescent="0.25">
      <c r="B43" s="41">
        <f>IFERROR(IF(C42=C39,IF(B42+1&lt;='MAPA DE PREÇOS'!$H$8,B42+1,""),B42),"")</f>
        <v>36</v>
      </c>
      <c r="C43" s="41">
        <f>IFERROR(VLOOKUP(B43,'MAPA DE PREÇOS'!B:D,2,FALSE),"")</f>
        <v>1</v>
      </c>
      <c r="D43" s="41">
        <f>IFERROR(VLOOKUP(B43,'MAPA DE PREÇOS'!B:D,3,FALSE),"")</f>
        <v>36</v>
      </c>
      <c r="E43" s="82">
        <f t="shared" si="1"/>
        <v>36</v>
      </c>
      <c r="F43" s="82">
        <f>IF($B42="","",IF($C43=$C40,INDEX('MAPA DE PREÇOS'!$H:$H,MATCH($B43,'MAPA DE PREÇOS'!$B:$B)-19),IF($C43=$C41,"Código","")))</f>
        <v>0</v>
      </c>
      <c r="G43" s="83" t="str">
        <f>IF($B42="","",IF($C43=$C40,IF('BASE EDITAL'!$C$2="",INDEX('MAPA DE PREÇOS'!H:H,MATCH(EDITAL!B43,'MAPA DE PREÇOS'!B:B,0)+1),UPPER(INDEX('BASE EDITAL'!$C:$C,EDITAL!B43+1))),IF($C43=$C41,"Especificação do Objeto","")))</f>
        <v>Multímetro digital</v>
      </c>
      <c r="H43" s="84" t="str">
        <f>IF($B42="","",IF($C43=$C40,INDEX('MAPA DE PREÇOS'!$M:$M,MATCH($B43,'MAPA DE PREÇOS'!$B:$B)-16),IF($C43=$C41,"Unidade","")))</f>
        <v>UN</v>
      </c>
      <c r="I43" s="84">
        <f>IF($B42="","",IF($C43=$C40,INDEX('MAPA DE PREÇOS'!$M:$M,MATCH($B43,'MAPA DE PREÇOS'!$B:$B)-17),IF($C43=$C41,"Quant.","")))</f>
        <v>4</v>
      </c>
      <c r="J43" s="60">
        <f>IF(J42="Total Mensal","Total Acumulado",IF($B42="","",IF($C43=$C40,INDEX('MAPA DE PREÇOS'!$M:$M,MATCH($B43,'MAPA DE PREÇOS'!$B:$B)-19),IF($C43=$C41,"Valor Unit. (R$)",IF(AND($C43&lt;&gt;$C42,$J42&lt;&gt;""),"Total Mensal","")))))</f>
        <v>142.27000000000001</v>
      </c>
      <c r="K43" s="75">
        <f>IF(J43="","",IF(J43="Total Mensal","-",IF(J43="Total Acumulado",SUM(K$7:K42),I43*J43)))</f>
        <v>569.08000000000004</v>
      </c>
      <c r="L43" s="112" t="e">
        <f>IF(J43="","",IF(J43="Total Mensal","-",IF(J43="Total Acumulado",SUM(L$7:L42),K43/SUMIF(J:J,"Total Acumulado",K:K))))</f>
        <v>#DIV/0!</v>
      </c>
      <c r="M43" s="108"/>
      <c r="N43" s="112">
        <f>IF($J43="","",IF($J43="Total Mensal",SUM(O$7:O42)/VLOOKUP("Total Acumulado",$J:$K,2,FALSE),IF($J43="Total Acumulado",N42+L43+IF(L$7="% Item",-1,0),0%)))</f>
        <v>0</v>
      </c>
      <c r="O43" s="109">
        <f>IF($J43="","",IF($J43="Total Mensal",SUM(O$7:O42),IF($J43="Total Acumulado",SUM(O$7:O41)+M43,IFERROR(N43*$K43,0))))</f>
        <v>0</v>
      </c>
      <c r="P43" s="112">
        <f>IF($J43="","",IF($J43="Total Mensal",SUM(Q$7:Q42)/VLOOKUP("Total Acumulado",$J:$K,2,FALSE),IF($J43="Total Acumulado",P42+N43+IF(N$7="% Item",-1,0),0%)))</f>
        <v>0</v>
      </c>
      <c r="Q43" s="109">
        <f>IF($J43="","",IF($J43="Total Mensal",SUM(Q$7:Q42),IF($J43="Total Acumulado",SUM(Q$7:Q41)+O43,IFERROR(P43*$K43,0))))</f>
        <v>0</v>
      </c>
      <c r="R43" s="112">
        <f>IF($J43="","",IF($J43="Total Mensal",SUM(S$7:S42)/VLOOKUP("Total Acumulado",$J:$K,2,FALSE),IF($J43="Total Acumulado",R42+P43+IF(P$7="% Item",-1,0),0%)))</f>
        <v>0</v>
      </c>
      <c r="S43" s="109">
        <f>IF($J43="","",IF($J43="Total Mensal",SUM(S$7:S42),IF($J43="Total Acumulado",SUM(S$7:S41)+Q43,IFERROR(R43*$K43,0))))</f>
        <v>0</v>
      </c>
      <c r="T43" s="112">
        <f>IF($J43="","",IF($J43="Total Mensal",SUM(U$7:U42)/VLOOKUP("Total Acumulado",$J:$K,2,FALSE),IF($J43="Total Acumulado",T42+R43+IF(R$7="% Item",-1,0),0%)))</f>
        <v>0</v>
      </c>
      <c r="U43" s="109">
        <f>IF($J43="","",IF($J43="Total Mensal",SUM(U$7:U42),IF($J43="Total Acumulado",SUM(U$7:U41)+S43,IFERROR(T43*$K43,0))))</f>
        <v>0</v>
      </c>
      <c r="V43" s="112">
        <f>IF($J43="","",IF($J43="Total Mensal",SUM(W$7:W42)/VLOOKUP("Total Acumulado",$J:$K,2,FALSE),IF($J43="Total Acumulado",V42+T43+IF(T$7="% Item",-1,0),0%)))</f>
        <v>0</v>
      </c>
      <c r="W43" s="109">
        <f>IF($J43="","",IF($J43="Total Mensal",SUM(W$7:W42),IF($J43="Total Acumulado",SUM(W$7:W41)+U43,IFERROR(V43*$K43,0))))</f>
        <v>0</v>
      </c>
      <c r="X43" s="112">
        <f>IF($J43="","",IF($J43="Total Mensal",SUM(Y$7:Y42)/VLOOKUP("Total Acumulado",$J:$K,2,FALSE),IF($J43="Total Acumulado",X42+V43+IF(V$7="% Item",-1,0),0%)))</f>
        <v>0</v>
      </c>
      <c r="Y43" s="109">
        <f>IF($J43="","",IF($J43="Total Mensal",SUM(Y$7:Y42),IF($J43="Total Acumulado",SUM(Y$7:Y41)+W43,IFERROR(X43*$K43,0))))</f>
        <v>0</v>
      </c>
      <c r="Z43" s="112">
        <f>IF($J43="","",IF($J43="Total Mensal",SUM(AA$7:AA42)/VLOOKUP("Total Acumulado",$J:$K,2,FALSE),IF($J43="Total Acumulado",Z42+X43+IF(X$7="% Item",-1,0),0%)))</f>
        <v>0</v>
      </c>
      <c r="AA43" s="109">
        <f>IF($J43="","",IF($J43="Total Mensal",SUM(AA$7:AA42),IF($J43="Total Acumulado",SUM(AA$7:AA41)+Y43,IFERROR(Z43*$K43,0))))</f>
        <v>0</v>
      </c>
      <c r="AB43" s="112">
        <f>IF($J43="","",IF($J43="Total Mensal",SUM(AC$7:AC42)/VLOOKUP("Total Acumulado",$J:$K,2,FALSE),IF($J43="Total Acumulado",AB42+Z43+IF(Z$7="% Item",-1,0),0%)))</f>
        <v>0</v>
      </c>
      <c r="AC43" s="109">
        <f>IF($J43="","",IF($J43="Total Mensal",SUM(AC$7:AC42),IF($J43="Total Acumulado",SUM(AC$7:AC41)+AA43,IFERROR(AB43*$K43,0))))</f>
        <v>0</v>
      </c>
      <c r="AD43" s="112">
        <f>IF($J43="","",IF($J43="Total Mensal",SUM(AE$7:AE42)/VLOOKUP("Total Acumulado",$J:$K,2,FALSE),IF($J43="Total Acumulado",AD42+AB43+IF(AB$7="% Item",-1,0),0%)))</f>
        <v>0</v>
      </c>
      <c r="AE43" s="109">
        <f>IF($J43="","",IF($J43="Total Mensal",SUM(AE$7:AE42),IF($J43="Total Acumulado",SUM(AE$7:AE41)+AC43,IFERROR(AD43*$K43,0))))</f>
        <v>0</v>
      </c>
      <c r="AF43" s="112">
        <f>IF($J43="","",IF($J43="Total Mensal",SUM(AG$7:AG42)/VLOOKUP("Total Acumulado",$J:$K,2,FALSE),IF($J43="Total Acumulado",AF42+AD43+IF(AD$7="% Item",-1,0),0%)))</f>
        <v>0</v>
      </c>
      <c r="AG43" s="109">
        <f>IF($J43="","",IF($J43="Total Mensal",SUM(AG$7:AG42),IF($J43="Total Acumulado",SUM(AG$7:AG41)+AE43,IFERROR(AF43*$K43,0))))</f>
        <v>0</v>
      </c>
      <c r="AH43" s="112">
        <f>IF($J43="","",IF($J43="Total Mensal",SUM(AI$7:AI42)/VLOOKUP("Total Acumulado",$J:$K,2,FALSE),IF($J43="Total Acumulado",AH42+AF43+IF(AF$7="% Item",-1,0),0%)))</f>
        <v>0</v>
      </c>
      <c r="AI43" s="109">
        <f>IF($J43="","",IF($J43="Total Mensal",SUM(AI$7:AI42),IF($J43="Total Acumulado",SUM(AI$7:AI41)+AG43,IFERROR(AH43*$K43,0))))</f>
        <v>0</v>
      </c>
      <c r="AJ43" s="112">
        <f>IF($J43="","",IF($J43="Total Mensal",SUM(AK$7:AK42)/VLOOKUP("Total Acumulado",$J:$K,2,FALSE),IF($J43="Total Acumulado",AJ42+AH43+IF(AH$7="% Item",-1,0),0%)))</f>
        <v>0</v>
      </c>
      <c r="AK43" s="109">
        <f>IF($J43="","",IF($J43="Total Mensal",SUM(AK$7:AK42),IF($J43="Total Acumulado",SUM(AK$7:AK41)+AI43,IFERROR(AJ43*$K43,0))))</f>
        <v>0</v>
      </c>
    </row>
    <row r="44" spans="2:37" x14ac:dyDescent="0.25">
      <c r="B44" s="41">
        <f>IFERROR(IF(C43=C40,IF(B43+1&lt;='MAPA DE PREÇOS'!$H$8,B43+1,""),B43),"")</f>
        <v>37</v>
      </c>
      <c r="C44" s="41">
        <f>IFERROR(VLOOKUP(B44,'MAPA DE PREÇOS'!B:D,2,FALSE),"")</f>
        <v>1</v>
      </c>
      <c r="D44" s="41">
        <f>IFERROR(VLOOKUP(B44,'MAPA DE PREÇOS'!B:D,3,FALSE),"")</f>
        <v>37</v>
      </c>
      <c r="E44" s="82">
        <f t="shared" si="1"/>
        <v>37</v>
      </c>
      <c r="F44" s="82">
        <f>IF($B43="","",IF($C44=$C41,INDEX('MAPA DE PREÇOS'!$H:$H,MATCH($B44,'MAPA DE PREÇOS'!$B:$B)-19),IF($C44=$C42,"Código","")))</f>
        <v>0</v>
      </c>
      <c r="G44" s="83" t="str">
        <f>IF($B43="","",IF($C44=$C41,IF('BASE EDITAL'!$C$2="",INDEX('MAPA DE PREÇOS'!H:H,MATCH(EDITAL!B44,'MAPA DE PREÇOS'!B:B,0)+1),UPPER(INDEX('BASE EDITAL'!$C:$C,EDITAL!B44+1))),IF($C44=$C42,"Especificação do Objeto","")))</f>
        <v>Alicate amperímetro</v>
      </c>
      <c r="H44" s="84" t="str">
        <f>IF($B43="","",IF($C44=$C41,INDEX('MAPA DE PREÇOS'!$M:$M,MATCH($B44,'MAPA DE PREÇOS'!$B:$B)-16),IF($C44=$C42,"Unidade","")))</f>
        <v>UN</v>
      </c>
      <c r="I44" s="84">
        <f>IF($B43="","",IF($C44=$C41,INDEX('MAPA DE PREÇOS'!$M:$M,MATCH($B44,'MAPA DE PREÇOS'!$B:$B)-17),IF($C44=$C42,"Quant.","")))</f>
        <v>4</v>
      </c>
      <c r="J44" s="60">
        <f>IF(J43="Total Mensal","Total Acumulado",IF($B43="","",IF($C44=$C41,INDEX('MAPA DE PREÇOS'!$M:$M,MATCH($B44,'MAPA DE PREÇOS'!$B:$B)-19),IF($C44=$C42,"Valor Unit. (R$)",IF(AND($C44&lt;&gt;$C43,$J43&lt;&gt;""),"Total Mensal","")))))</f>
        <v>98.58</v>
      </c>
      <c r="K44" s="75">
        <f>IF(J44="","",IF(J44="Total Mensal","-",IF(J44="Total Acumulado",SUM(K$7:K43),I44*J44)))</f>
        <v>394.32</v>
      </c>
      <c r="L44" s="112" t="e">
        <f>IF(J44="","",IF(J44="Total Mensal","-",IF(J44="Total Acumulado",SUM(L$7:L43),K44/SUMIF(J:J,"Total Acumulado",K:K))))</f>
        <v>#DIV/0!</v>
      </c>
      <c r="M44" s="108"/>
      <c r="N44" s="112">
        <f>IF($J44="","",IF($J44="Total Mensal",SUM(O$7:O43)/VLOOKUP("Total Acumulado",$J:$K,2,FALSE),IF($J44="Total Acumulado",N43+L44+IF(L$7="% Item",-1,0),0%)))</f>
        <v>0</v>
      </c>
      <c r="O44" s="109">
        <f>IF($J44="","",IF($J44="Total Mensal",SUM(O$7:O43),IF($J44="Total Acumulado",SUM(O$7:O42)+M44,IFERROR(N44*$K44,0))))</f>
        <v>0</v>
      </c>
      <c r="P44" s="112">
        <f>IF($J44="","",IF($J44="Total Mensal",SUM(Q$7:Q43)/VLOOKUP("Total Acumulado",$J:$K,2,FALSE),IF($J44="Total Acumulado",P43+N44+IF(N$7="% Item",-1,0),0%)))</f>
        <v>0</v>
      </c>
      <c r="Q44" s="109">
        <f>IF($J44="","",IF($J44="Total Mensal",SUM(Q$7:Q43),IF($J44="Total Acumulado",SUM(Q$7:Q42)+O44,IFERROR(P44*$K44,0))))</f>
        <v>0</v>
      </c>
      <c r="R44" s="112">
        <f>IF($J44="","",IF($J44="Total Mensal",SUM(S$7:S43)/VLOOKUP("Total Acumulado",$J:$K,2,FALSE),IF($J44="Total Acumulado",R43+P44+IF(P$7="% Item",-1,0),0%)))</f>
        <v>0</v>
      </c>
      <c r="S44" s="109">
        <f>IF($J44="","",IF($J44="Total Mensal",SUM(S$7:S43),IF($J44="Total Acumulado",SUM(S$7:S42)+Q44,IFERROR(R44*$K44,0))))</f>
        <v>0</v>
      </c>
      <c r="T44" s="112">
        <f>IF($J44="","",IF($J44="Total Mensal",SUM(U$7:U43)/VLOOKUP("Total Acumulado",$J:$K,2,FALSE),IF($J44="Total Acumulado",T43+R44+IF(R$7="% Item",-1,0),0%)))</f>
        <v>0</v>
      </c>
      <c r="U44" s="109">
        <f>IF($J44="","",IF($J44="Total Mensal",SUM(U$7:U43),IF($J44="Total Acumulado",SUM(U$7:U42)+S44,IFERROR(T44*$K44,0))))</f>
        <v>0</v>
      </c>
      <c r="V44" s="112">
        <f>IF($J44="","",IF($J44="Total Mensal",SUM(W$7:W43)/VLOOKUP("Total Acumulado",$J:$K,2,FALSE),IF($J44="Total Acumulado",V43+T44+IF(T$7="% Item",-1,0),0%)))</f>
        <v>0</v>
      </c>
      <c r="W44" s="109">
        <f>IF($J44="","",IF($J44="Total Mensal",SUM(W$7:W43),IF($J44="Total Acumulado",SUM(W$7:W42)+U44,IFERROR(V44*$K44,0))))</f>
        <v>0</v>
      </c>
      <c r="X44" s="112">
        <f>IF($J44="","",IF($J44="Total Mensal",SUM(Y$7:Y43)/VLOOKUP("Total Acumulado",$J:$K,2,FALSE),IF($J44="Total Acumulado",X43+V44+IF(V$7="% Item",-1,0),0%)))</f>
        <v>0</v>
      </c>
      <c r="Y44" s="109">
        <f>IF($J44="","",IF($J44="Total Mensal",SUM(Y$7:Y43),IF($J44="Total Acumulado",SUM(Y$7:Y42)+W44,IFERROR(X44*$K44,0))))</f>
        <v>0</v>
      </c>
      <c r="Z44" s="112">
        <f>IF($J44="","",IF($J44="Total Mensal",SUM(AA$7:AA43)/VLOOKUP("Total Acumulado",$J:$K,2,FALSE),IF($J44="Total Acumulado",Z43+X44+IF(X$7="% Item",-1,0),0%)))</f>
        <v>0</v>
      </c>
      <c r="AA44" s="109">
        <f>IF($J44="","",IF($J44="Total Mensal",SUM(AA$7:AA43),IF($J44="Total Acumulado",SUM(AA$7:AA42)+Y44,IFERROR(Z44*$K44,0))))</f>
        <v>0</v>
      </c>
      <c r="AB44" s="112">
        <f>IF($J44="","",IF($J44="Total Mensal",SUM(AC$7:AC43)/VLOOKUP("Total Acumulado",$J:$K,2,FALSE),IF($J44="Total Acumulado",AB43+Z44+IF(Z$7="% Item",-1,0),0%)))</f>
        <v>0</v>
      </c>
      <c r="AC44" s="109">
        <f>IF($J44="","",IF($J44="Total Mensal",SUM(AC$7:AC43),IF($J44="Total Acumulado",SUM(AC$7:AC42)+AA44,IFERROR(AB44*$K44,0))))</f>
        <v>0</v>
      </c>
      <c r="AD44" s="112">
        <f>IF($J44="","",IF($J44="Total Mensal",SUM(AE$7:AE43)/VLOOKUP("Total Acumulado",$J:$K,2,FALSE),IF($J44="Total Acumulado",AD43+AB44+IF(AB$7="% Item",-1,0),0%)))</f>
        <v>0</v>
      </c>
      <c r="AE44" s="109">
        <f>IF($J44="","",IF($J44="Total Mensal",SUM(AE$7:AE43),IF($J44="Total Acumulado",SUM(AE$7:AE42)+AC44,IFERROR(AD44*$K44,0))))</f>
        <v>0</v>
      </c>
      <c r="AF44" s="112">
        <f>IF($J44="","",IF($J44="Total Mensal",SUM(AG$7:AG43)/VLOOKUP("Total Acumulado",$J:$K,2,FALSE),IF($J44="Total Acumulado",AF43+AD44+IF(AD$7="% Item",-1,0),0%)))</f>
        <v>0</v>
      </c>
      <c r="AG44" s="109">
        <f>IF($J44="","",IF($J44="Total Mensal",SUM(AG$7:AG43),IF($J44="Total Acumulado",SUM(AG$7:AG42)+AE44,IFERROR(AF44*$K44,0))))</f>
        <v>0</v>
      </c>
      <c r="AH44" s="112">
        <f>IF($J44="","",IF($J44="Total Mensal",SUM(AI$7:AI43)/VLOOKUP("Total Acumulado",$J:$K,2,FALSE),IF($J44="Total Acumulado",AH43+AF44+IF(AF$7="% Item",-1,0),0%)))</f>
        <v>0</v>
      </c>
      <c r="AI44" s="109">
        <f>IF($J44="","",IF($J44="Total Mensal",SUM(AI$7:AI43),IF($J44="Total Acumulado",SUM(AI$7:AI42)+AG44,IFERROR(AH44*$K44,0))))</f>
        <v>0</v>
      </c>
      <c r="AJ44" s="112">
        <f>IF($J44="","",IF($J44="Total Mensal",SUM(AK$7:AK43)/VLOOKUP("Total Acumulado",$J:$K,2,FALSE),IF($J44="Total Acumulado",AJ43+AH44+IF(AH$7="% Item",-1,0),0%)))</f>
        <v>0</v>
      </c>
      <c r="AK44" s="109">
        <f>IF($J44="","",IF($J44="Total Mensal",SUM(AK$7:AK43),IF($J44="Total Acumulado",SUM(AK$7:AK42)+AI44,IFERROR(AJ44*$K44,0))))</f>
        <v>0</v>
      </c>
    </row>
    <row r="45" spans="2:37" x14ac:dyDescent="0.25">
      <c r="B45" s="41">
        <f>IFERROR(IF(C44=C41,IF(B44+1&lt;='MAPA DE PREÇOS'!$H$8,B44+1,""),B44),"")</f>
        <v>38</v>
      </c>
      <c r="C45" s="41">
        <f>IFERROR(VLOOKUP(B45,'MAPA DE PREÇOS'!B:D,2,FALSE),"")</f>
        <v>1</v>
      </c>
      <c r="D45" s="41">
        <f>IFERROR(VLOOKUP(B45,'MAPA DE PREÇOS'!B:D,3,FALSE),"")</f>
        <v>38</v>
      </c>
      <c r="E45" s="82">
        <f t="shared" si="1"/>
        <v>38</v>
      </c>
      <c r="F45" s="82">
        <f>IF($B44="","",IF($C45=$C42,INDEX('MAPA DE PREÇOS'!$H:$H,MATCH($B45,'MAPA DE PREÇOS'!$B:$B)-19),IF($C45=$C43,"Código","")))</f>
        <v>0</v>
      </c>
      <c r="G45" s="83" t="str">
        <f>IF($B44="","",IF($C45=$C42,IF('BASE EDITAL'!$C$2="",INDEX('MAPA DE PREÇOS'!H:H,MATCH(EDITAL!B45,'MAPA DE PREÇOS'!B:B,0)+1),UPPER(INDEX('BASE EDITAL'!$C:$C,EDITAL!B45+1))),IF($C45=$C43,"Especificação do Objeto","")))</f>
        <v>Detector de tensão</v>
      </c>
      <c r="H45" s="84" t="str">
        <f>IF($B44="","",IF($C45=$C42,INDEX('MAPA DE PREÇOS'!$M:$M,MATCH($B45,'MAPA DE PREÇOS'!$B:$B)-16),IF($C45=$C43,"Unidade","")))</f>
        <v>UN</v>
      </c>
      <c r="I45" s="84">
        <f>IF($B44="","",IF($C45=$C42,INDEX('MAPA DE PREÇOS'!$M:$M,MATCH($B45,'MAPA DE PREÇOS'!$B:$B)-17),IF($C45=$C43,"Quant.","")))</f>
        <v>3</v>
      </c>
      <c r="J45" s="60">
        <f>IF(J44="Total Mensal","Total Acumulado",IF($B44="","",IF($C45=$C42,INDEX('MAPA DE PREÇOS'!$M:$M,MATCH($B45,'MAPA DE PREÇOS'!$B:$B)-19),IF($C45=$C43,"Valor Unit. (R$)",IF(AND($C45&lt;&gt;$C44,$J44&lt;&gt;""),"Total Mensal","")))))</f>
        <v>48.1</v>
      </c>
      <c r="K45" s="75">
        <f>IF(J45="","",IF(J45="Total Mensal","-",IF(J45="Total Acumulado",SUM(K$7:K44),I45*J45)))</f>
        <v>144.30000000000001</v>
      </c>
      <c r="L45" s="112" t="e">
        <f>IF(J45="","",IF(J45="Total Mensal","-",IF(J45="Total Acumulado",SUM(L$7:L44),K45/SUMIF(J:J,"Total Acumulado",K:K))))</f>
        <v>#DIV/0!</v>
      </c>
      <c r="M45" s="108"/>
      <c r="N45" s="112">
        <f>IF($J45="","",IF($J45="Total Mensal",SUM(O$7:O44)/VLOOKUP("Total Acumulado",$J:$K,2,FALSE),IF($J45="Total Acumulado",N44+L45+IF(L$7="% Item",-1,0),0%)))</f>
        <v>0</v>
      </c>
      <c r="O45" s="109">
        <f>IF($J45="","",IF($J45="Total Mensal",SUM(O$7:O44),IF($J45="Total Acumulado",SUM(O$7:O43)+M45,IFERROR(N45*$K45,0))))</f>
        <v>0</v>
      </c>
      <c r="P45" s="112">
        <f>IF($J45="","",IF($J45="Total Mensal",SUM(Q$7:Q44)/VLOOKUP("Total Acumulado",$J:$K,2,FALSE),IF($J45="Total Acumulado",P44+N45+IF(N$7="% Item",-1,0),0%)))</f>
        <v>0</v>
      </c>
      <c r="Q45" s="109">
        <f>IF($J45="","",IF($J45="Total Mensal",SUM(Q$7:Q44),IF($J45="Total Acumulado",SUM(Q$7:Q43)+O45,IFERROR(P45*$K45,0))))</f>
        <v>0</v>
      </c>
      <c r="R45" s="112">
        <f>IF($J45="","",IF($J45="Total Mensal",SUM(S$7:S44)/VLOOKUP("Total Acumulado",$J:$K,2,FALSE),IF($J45="Total Acumulado",R44+P45+IF(P$7="% Item",-1,0),0%)))</f>
        <v>0</v>
      </c>
      <c r="S45" s="109">
        <f>IF($J45="","",IF($J45="Total Mensal",SUM(S$7:S44),IF($J45="Total Acumulado",SUM(S$7:S43)+Q45,IFERROR(R45*$K45,0))))</f>
        <v>0</v>
      </c>
      <c r="T45" s="112">
        <f>IF($J45="","",IF($J45="Total Mensal",SUM(U$7:U44)/VLOOKUP("Total Acumulado",$J:$K,2,FALSE),IF($J45="Total Acumulado",T44+R45+IF(R$7="% Item",-1,0),0%)))</f>
        <v>0</v>
      </c>
      <c r="U45" s="109">
        <f>IF($J45="","",IF($J45="Total Mensal",SUM(U$7:U44),IF($J45="Total Acumulado",SUM(U$7:U43)+S45,IFERROR(T45*$K45,0))))</f>
        <v>0</v>
      </c>
      <c r="V45" s="112">
        <f>IF($J45="","",IF($J45="Total Mensal",SUM(W$7:W44)/VLOOKUP("Total Acumulado",$J:$K,2,FALSE),IF($J45="Total Acumulado",V44+T45+IF(T$7="% Item",-1,0),0%)))</f>
        <v>0</v>
      </c>
      <c r="W45" s="109">
        <f>IF($J45="","",IF($J45="Total Mensal",SUM(W$7:W44),IF($J45="Total Acumulado",SUM(W$7:W43)+U45,IFERROR(V45*$K45,0))))</f>
        <v>0</v>
      </c>
      <c r="X45" s="112">
        <f>IF($J45="","",IF($J45="Total Mensal",SUM(Y$7:Y44)/VLOOKUP("Total Acumulado",$J:$K,2,FALSE),IF($J45="Total Acumulado",X44+V45+IF(V$7="% Item",-1,0),0%)))</f>
        <v>0</v>
      </c>
      <c r="Y45" s="109">
        <f>IF($J45="","",IF($J45="Total Mensal",SUM(Y$7:Y44),IF($J45="Total Acumulado",SUM(Y$7:Y43)+W45,IFERROR(X45*$K45,0))))</f>
        <v>0</v>
      </c>
      <c r="Z45" s="112">
        <f>IF($J45="","",IF($J45="Total Mensal",SUM(AA$7:AA44)/VLOOKUP("Total Acumulado",$J:$K,2,FALSE),IF($J45="Total Acumulado",Z44+X45+IF(X$7="% Item",-1,0),0%)))</f>
        <v>0</v>
      </c>
      <c r="AA45" s="109">
        <f>IF($J45="","",IF($J45="Total Mensal",SUM(AA$7:AA44),IF($J45="Total Acumulado",SUM(AA$7:AA43)+Y45,IFERROR(Z45*$K45,0))))</f>
        <v>0</v>
      </c>
      <c r="AB45" s="112">
        <f>IF($J45="","",IF($J45="Total Mensal",SUM(AC$7:AC44)/VLOOKUP("Total Acumulado",$J:$K,2,FALSE),IF($J45="Total Acumulado",AB44+Z45+IF(Z$7="% Item",-1,0),0%)))</f>
        <v>0</v>
      </c>
      <c r="AC45" s="109">
        <f>IF($J45="","",IF($J45="Total Mensal",SUM(AC$7:AC44),IF($J45="Total Acumulado",SUM(AC$7:AC43)+AA45,IFERROR(AB45*$K45,0))))</f>
        <v>0</v>
      </c>
      <c r="AD45" s="112">
        <f>IF($J45="","",IF($J45="Total Mensal",SUM(AE$7:AE44)/VLOOKUP("Total Acumulado",$J:$K,2,FALSE),IF($J45="Total Acumulado",AD44+AB45+IF(AB$7="% Item",-1,0),0%)))</f>
        <v>0</v>
      </c>
      <c r="AE45" s="109">
        <f>IF($J45="","",IF($J45="Total Mensal",SUM(AE$7:AE44),IF($J45="Total Acumulado",SUM(AE$7:AE43)+AC45,IFERROR(AD45*$K45,0))))</f>
        <v>0</v>
      </c>
      <c r="AF45" s="112">
        <f>IF($J45="","",IF($J45="Total Mensal",SUM(AG$7:AG44)/VLOOKUP("Total Acumulado",$J:$K,2,FALSE),IF($J45="Total Acumulado",AF44+AD45+IF(AD$7="% Item",-1,0),0%)))</f>
        <v>0</v>
      </c>
      <c r="AG45" s="109">
        <f>IF($J45="","",IF($J45="Total Mensal",SUM(AG$7:AG44),IF($J45="Total Acumulado",SUM(AG$7:AG43)+AE45,IFERROR(AF45*$K45,0))))</f>
        <v>0</v>
      </c>
      <c r="AH45" s="112">
        <f>IF($J45="","",IF($J45="Total Mensal",SUM(AI$7:AI44)/VLOOKUP("Total Acumulado",$J:$K,2,FALSE),IF($J45="Total Acumulado",AH44+AF45+IF(AF$7="% Item",-1,0),0%)))</f>
        <v>0</v>
      </c>
      <c r="AI45" s="109">
        <f>IF($J45="","",IF($J45="Total Mensal",SUM(AI$7:AI44),IF($J45="Total Acumulado",SUM(AI$7:AI43)+AG45,IFERROR(AH45*$K45,0))))</f>
        <v>0</v>
      </c>
      <c r="AJ45" s="112">
        <f>IF($J45="","",IF($J45="Total Mensal",SUM(AK$7:AK44)/VLOOKUP("Total Acumulado",$J:$K,2,FALSE),IF($J45="Total Acumulado",AJ44+AH45+IF(AH$7="% Item",-1,0),0%)))</f>
        <v>0</v>
      </c>
      <c r="AK45" s="109">
        <f>IF($J45="","",IF($J45="Total Mensal",SUM(AK$7:AK44),IF($J45="Total Acumulado",SUM(AK$7:AK43)+AI45,IFERROR(AJ45*$K45,0))))</f>
        <v>0</v>
      </c>
    </row>
    <row r="46" spans="2:37" x14ac:dyDescent="0.25">
      <c r="B46" s="41">
        <f>IFERROR(IF(C45=C42,IF(B45+1&lt;='MAPA DE PREÇOS'!$H$8,B45+1,""),B45),"")</f>
        <v>39</v>
      </c>
      <c r="C46" s="41">
        <f>IFERROR(VLOOKUP(B46,'MAPA DE PREÇOS'!B:D,2,FALSE),"")</f>
        <v>1</v>
      </c>
      <c r="D46" s="41">
        <f>IFERROR(VLOOKUP(B46,'MAPA DE PREÇOS'!B:D,3,FALSE),"")</f>
        <v>39</v>
      </c>
      <c r="E46" s="82">
        <f t="shared" si="1"/>
        <v>39</v>
      </c>
      <c r="F46" s="82">
        <f>IF($B45="","",IF($C46=$C43,INDEX('MAPA DE PREÇOS'!$H:$H,MATCH($B46,'MAPA DE PREÇOS'!$B:$B)-19),IF($C46=$C44,"Código","")))</f>
        <v>0</v>
      </c>
      <c r="G46" s="83" t="str">
        <f>IF($B45="","",IF($C46=$C43,IF('BASE EDITAL'!$C$2="",INDEX('MAPA DE PREÇOS'!H:H,MATCH(EDITAL!B46,'MAPA DE PREÇOS'!B:B,0)+1),UPPER(INDEX('BASE EDITAL'!$C:$C,EDITAL!B46+1))),IF($C46=$C44,"Especificação do Objeto","")))</f>
        <v>Localizador de cabos</v>
      </c>
      <c r="H46" s="84" t="str">
        <f>IF($B45="","",IF($C46=$C43,INDEX('MAPA DE PREÇOS'!$M:$M,MATCH($B46,'MAPA DE PREÇOS'!$B:$B)-16),IF($C46=$C44,"Unidade","")))</f>
        <v>UN</v>
      </c>
      <c r="I46" s="84">
        <f>IF($B45="","",IF($C46=$C43,INDEX('MAPA DE PREÇOS'!$M:$M,MATCH($B46,'MAPA DE PREÇOS'!$B:$B)-17),IF($C46=$C44,"Quant.","")))</f>
        <v>3</v>
      </c>
      <c r="J46" s="60">
        <f>IF(J45="Total Mensal","Total Acumulado",IF($B45="","",IF($C46=$C43,INDEX('MAPA DE PREÇOS'!$M:$M,MATCH($B46,'MAPA DE PREÇOS'!$B:$B)-19),IF($C46=$C44,"Valor Unit. (R$)",IF(AND($C46&lt;&gt;$C45,$J45&lt;&gt;""),"Total Mensal","")))))</f>
        <v>330.66</v>
      </c>
      <c r="K46" s="75">
        <f>IF(J46="","",IF(J46="Total Mensal","-",IF(J46="Total Acumulado",SUM(K$7:K45),I46*J46)))</f>
        <v>991.98</v>
      </c>
      <c r="L46" s="112" t="e">
        <f>IF(J46="","",IF(J46="Total Mensal","-",IF(J46="Total Acumulado",SUM(L$7:L45),K46/SUMIF(J:J,"Total Acumulado",K:K))))</f>
        <v>#DIV/0!</v>
      </c>
      <c r="M46" s="108"/>
      <c r="N46" s="112">
        <f>IF($J46="","",IF($J46="Total Mensal",SUM(O$7:O45)/VLOOKUP("Total Acumulado",$J:$K,2,FALSE),IF($J46="Total Acumulado",N45+L46+IF(L$7="% Item",-1,0),0%)))</f>
        <v>0</v>
      </c>
      <c r="O46" s="109">
        <f>IF($J46="","",IF($J46="Total Mensal",SUM(O$7:O45),IF($J46="Total Acumulado",SUM(O$7:O44)+M46,IFERROR(N46*$K46,0))))</f>
        <v>0</v>
      </c>
      <c r="P46" s="112">
        <f>IF($J46="","",IF($J46="Total Mensal",SUM(Q$7:Q45)/VLOOKUP("Total Acumulado",$J:$K,2,FALSE),IF($J46="Total Acumulado",P45+N46+IF(N$7="% Item",-1,0),0%)))</f>
        <v>0</v>
      </c>
      <c r="Q46" s="109">
        <f>IF($J46="","",IF($J46="Total Mensal",SUM(Q$7:Q45),IF($J46="Total Acumulado",SUM(Q$7:Q44)+O46,IFERROR(P46*$K46,0))))</f>
        <v>0</v>
      </c>
      <c r="R46" s="112">
        <f>IF($J46="","",IF($J46="Total Mensal",SUM(S$7:S45)/VLOOKUP("Total Acumulado",$J:$K,2,FALSE),IF($J46="Total Acumulado",R45+P46+IF(P$7="% Item",-1,0),0%)))</f>
        <v>0</v>
      </c>
      <c r="S46" s="109">
        <f>IF($J46="","",IF($J46="Total Mensal",SUM(S$7:S45),IF($J46="Total Acumulado",SUM(S$7:S44)+Q46,IFERROR(R46*$K46,0))))</f>
        <v>0</v>
      </c>
      <c r="T46" s="112">
        <f>IF($J46="","",IF($J46="Total Mensal",SUM(U$7:U45)/VLOOKUP("Total Acumulado",$J:$K,2,FALSE),IF($J46="Total Acumulado",T45+R46+IF(R$7="% Item",-1,0),0%)))</f>
        <v>0</v>
      </c>
      <c r="U46" s="109">
        <f>IF($J46="","",IF($J46="Total Mensal",SUM(U$7:U45),IF($J46="Total Acumulado",SUM(U$7:U44)+S46,IFERROR(T46*$K46,0))))</f>
        <v>0</v>
      </c>
      <c r="V46" s="112">
        <f>IF($J46="","",IF($J46="Total Mensal",SUM(W$7:W45)/VLOOKUP("Total Acumulado",$J:$K,2,FALSE),IF($J46="Total Acumulado",V45+T46+IF(T$7="% Item",-1,0),0%)))</f>
        <v>0</v>
      </c>
      <c r="W46" s="109">
        <f>IF($J46="","",IF($J46="Total Mensal",SUM(W$7:W45),IF($J46="Total Acumulado",SUM(W$7:W44)+U46,IFERROR(V46*$K46,0))))</f>
        <v>0</v>
      </c>
      <c r="X46" s="112">
        <f>IF($J46="","",IF($J46="Total Mensal",SUM(Y$7:Y45)/VLOOKUP("Total Acumulado",$J:$K,2,FALSE),IF($J46="Total Acumulado",X45+V46+IF(V$7="% Item",-1,0),0%)))</f>
        <v>0</v>
      </c>
      <c r="Y46" s="109">
        <f>IF($J46="","",IF($J46="Total Mensal",SUM(Y$7:Y45),IF($J46="Total Acumulado",SUM(Y$7:Y44)+W46,IFERROR(X46*$K46,0))))</f>
        <v>0</v>
      </c>
      <c r="Z46" s="112">
        <f>IF($J46="","",IF($J46="Total Mensal",SUM(AA$7:AA45)/VLOOKUP("Total Acumulado",$J:$K,2,FALSE),IF($J46="Total Acumulado",Z45+X46+IF(X$7="% Item",-1,0),0%)))</f>
        <v>0</v>
      </c>
      <c r="AA46" s="109">
        <f>IF($J46="","",IF($J46="Total Mensal",SUM(AA$7:AA45),IF($J46="Total Acumulado",SUM(AA$7:AA44)+Y46,IFERROR(Z46*$K46,0))))</f>
        <v>0</v>
      </c>
      <c r="AB46" s="112">
        <f>IF($J46="","",IF($J46="Total Mensal",SUM(AC$7:AC45)/VLOOKUP("Total Acumulado",$J:$K,2,FALSE),IF($J46="Total Acumulado",AB45+Z46+IF(Z$7="% Item",-1,0),0%)))</f>
        <v>0</v>
      </c>
      <c r="AC46" s="109">
        <f>IF($J46="","",IF($J46="Total Mensal",SUM(AC$7:AC45),IF($J46="Total Acumulado",SUM(AC$7:AC44)+AA46,IFERROR(AB46*$K46,0))))</f>
        <v>0</v>
      </c>
      <c r="AD46" s="112">
        <f>IF($J46="","",IF($J46="Total Mensal",SUM(AE$7:AE45)/VLOOKUP("Total Acumulado",$J:$K,2,FALSE),IF($J46="Total Acumulado",AD45+AB46+IF(AB$7="% Item",-1,0),0%)))</f>
        <v>0</v>
      </c>
      <c r="AE46" s="109">
        <f>IF($J46="","",IF($J46="Total Mensal",SUM(AE$7:AE45),IF($J46="Total Acumulado",SUM(AE$7:AE44)+AC46,IFERROR(AD46*$K46,0))))</f>
        <v>0</v>
      </c>
      <c r="AF46" s="112">
        <f>IF($J46="","",IF($J46="Total Mensal",SUM(AG$7:AG45)/VLOOKUP("Total Acumulado",$J:$K,2,FALSE),IF($J46="Total Acumulado",AF45+AD46+IF(AD$7="% Item",-1,0),0%)))</f>
        <v>0</v>
      </c>
      <c r="AG46" s="109">
        <f>IF($J46="","",IF($J46="Total Mensal",SUM(AG$7:AG45),IF($J46="Total Acumulado",SUM(AG$7:AG44)+AE46,IFERROR(AF46*$K46,0))))</f>
        <v>0</v>
      </c>
      <c r="AH46" s="112">
        <f>IF($J46="","",IF($J46="Total Mensal",SUM(AI$7:AI45)/VLOOKUP("Total Acumulado",$J:$K,2,FALSE),IF($J46="Total Acumulado",AH45+AF46+IF(AF$7="% Item",-1,0),0%)))</f>
        <v>0</v>
      </c>
      <c r="AI46" s="109">
        <f>IF($J46="","",IF($J46="Total Mensal",SUM(AI$7:AI45),IF($J46="Total Acumulado",SUM(AI$7:AI44)+AG46,IFERROR(AH46*$K46,0))))</f>
        <v>0</v>
      </c>
      <c r="AJ46" s="112">
        <f>IF($J46="","",IF($J46="Total Mensal",SUM(AK$7:AK45)/VLOOKUP("Total Acumulado",$J:$K,2,FALSE),IF($J46="Total Acumulado",AJ45+AH46+IF(AH$7="% Item",-1,0),0%)))</f>
        <v>0</v>
      </c>
      <c r="AK46" s="109">
        <f>IF($J46="","",IF($J46="Total Mensal",SUM(AK$7:AK45),IF($J46="Total Acumulado",SUM(AK$7:AK44)+AI46,IFERROR(AJ46*$K46,0))))</f>
        <v>0</v>
      </c>
    </row>
    <row r="47" spans="2:37" x14ac:dyDescent="0.25">
      <c r="B47" s="41">
        <f>IFERROR(IF(C46=C43,IF(B46+1&lt;='MAPA DE PREÇOS'!$H$8,B46+1,""),B46),"")</f>
        <v>40</v>
      </c>
      <c r="C47" s="41">
        <f>IFERROR(VLOOKUP(B47,'MAPA DE PREÇOS'!B:D,2,FALSE),"")</f>
        <v>1</v>
      </c>
      <c r="D47" s="41">
        <f>IFERROR(VLOOKUP(B47,'MAPA DE PREÇOS'!B:D,3,FALSE),"")</f>
        <v>40</v>
      </c>
      <c r="E47" s="82">
        <f t="shared" si="1"/>
        <v>40</v>
      </c>
      <c r="F47" s="82">
        <f>IF($B46="","",IF($C47=$C44,INDEX('MAPA DE PREÇOS'!$H:$H,MATCH($B47,'MAPA DE PREÇOS'!$B:$B)-19),IF($C47=$C45,"Código","")))</f>
        <v>0</v>
      </c>
      <c r="G47" s="83" t="str">
        <f>IF($B46="","",IF($C47=$C44,IF('BASE EDITAL'!$C$2="",INDEX('MAPA DE PREÇOS'!H:H,MATCH(EDITAL!B47,'MAPA DE PREÇOS'!B:B,0)+1),UPPER(INDEX('BASE EDITAL'!$C:$C,EDITAL!B47+1))),IF($C47=$C45,"Especificação do Objeto","")))</f>
        <v>Trena a laser</v>
      </c>
      <c r="H47" s="84" t="str">
        <f>IF($B46="","",IF($C47=$C44,INDEX('MAPA DE PREÇOS'!$M:$M,MATCH($B47,'MAPA DE PREÇOS'!$B:$B)-16),IF($C47=$C45,"Unidade","")))</f>
        <v>UN</v>
      </c>
      <c r="I47" s="84">
        <f>IF($B46="","",IF($C47=$C44,INDEX('MAPA DE PREÇOS'!$M:$M,MATCH($B47,'MAPA DE PREÇOS'!$B:$B)-17),IF($C47=$C45,"Quant.","")))</f>
        <v>3</v>
      </c>
      <c r="J47" s="60">
        <f>IF(J46="Total Mensal","Total Acumulado",IF($B46="","",IF($C47=$C44,INDEX('MAPA DE PREÇOS'!$M:$M,MATCH($B47,'MAPA DE PREÇOS'!$B:$B)-19),IF($C47=$C45,"Valor Unit. (R$)",IF(AND($C47&lt;&gt;$C46,$J46&lt;&gt;""),"Total Mensal","")))))</f>
        <v>406.66</v>
      </c>
      <c r="K47" s="75">
        <f>IF(J47="","",IF(J47="Total Mensal","-",IF(J47="Total Acumulado",SUM(K$7:K46),I47*J47)))</f>
        <v>1219.98</v>
      </c>
      <c r="L47" s="112" t="e">
        <f>IF(J47="","",IF(J47="Total Mensal","-",IF(J47="Total Acumulado",SUM(L$7:L46),K47/SUMIF(J:J,"Total Acumulado",K:K))))</f>
        <v>#DIV/0!</v>
      </c>
      <c r="M47" s="108"/>
      <c r="N47" s="112">
        <f>IF($J47="","",IF($J47="Total Mensal",SUM(O$7:O46)/VLOOKUP("Total Acumulado",$J:$K,2,FALSE),IF($J47="Total Acumulado",N46+L47+IF(L$7="% Item",-1,0),0%)))</f>
        <v>0</v>
      </c>
      <c r="O47" s="109">
        <f>IF($J47="","",IF($J47="Total Mensal",SUM(O$7:O46),IF($J47="Total Acumulado",SUM(O$7:O45)+M47,IFERROR(N47*$K47,0))))</f>
        <v>0</v>
      </c>
      <c r="P47" s="112">
        <f>IF($J47="","",IF($J47="Total Mensal",SUM(Q$7:Q46)/VLOOKUP("Total Acumulado",$J:$K,2,FALSE),IF($J47="Total Acumulado",P46+N47+IF(N$7="% Item",-1,0),0%)))</f>
        <v>0</v>
      </c>
      <c r="Q47" s="109">
        <f>IF($J47="","",IF($J47="Total Mensal",SUM(Q$7:Q46),IF($J47="Total Acumulado",SUM(Q$7:Q45)+O47,IFERROR(P47*$K47,0))))</f>
        <v>0</v>
      </c>
      <c r="R47" s="112">
        <f>IF($J47="","",IF($J47="Total Mensal",SUM(S$7:S46)/VLOOKUP("Total Acumulado",$J:$K,2,FALSE),IF($J47="Total Acumulado",R46+P47+IF(P$7="% Item",-1,0),0%)))</f>
        <v>0</v>
      </c>
      <c r="S47" s="109">
        <f>IF($J47="","",IF($J47="Total Mensal",SUM(S$7:S46),IF($J47="Total Acumulado",SUM(S$7:S45)+Q47,IFERROR(R47*$K47,0))))</f>
        <v>0</v>
      </c>
      <c r="T47" s="112">
        <f>IF($J47="","",IF($J47="Total Mensal",SUM(U$7:U46)/VLOOKUP("Total Acumulado",$J:$K,2,FALSE),IF($J47="Total Acumulado",T46+R47+IF(R$7="% Item",-1,0),0%)))</f>
        <v>0</v>
      </c>
      <c r="U47" s="109">
        <f>IF($J47="","",IF($J47="Total Mensal",SUM(U$7:U46),IF($J47="Total Acumulado",SUM(U$7:U45)+S47,IFERROR(T47*$K47,0))))</f>
        <v>0</v>
      </c>
      <c r="V47" s="112">
        <f>IF($J47="","",IF($J47="Total Mensal",SUM(W$7:W46)/VLOOKUP("Total Acumulado",$J:$K,2,FALSE),IF($J47="Total Acumulado",V46+T47+IF(T$7="% Item",-1,0),0%)))</f>
        <v>0</v>
      </c>
      <c r="W47" s="109">
        <f>IF($J47="","",IF($J47="Total Mensal",SUM(W$7:W46),IF($J47="Total Acumulado",SUM(W$7:W45)+U47,IFERROR(V47*$K47,0))))</f>
        <v>0</v>
      </c>
      <c r="X47" s="112">
        <f>IF($J47="","",IF($J47="Total Mensal",SUM(Y$7:Y46)/VLOOKUP("Total Acumulado",$J:$K,2,FALSE),IF($J47="Total Acumulado",X46+V47+IF(V$7="% Item",-1,0),0%)))</f>
        <v>0</v>
      </c>
      <c r="Y47" s="109">
        <f>IF($J47="","",IF($J47="Total Mensal",SUM(Y$7:Y46),IF($J47="Total Acumulado",SUM(Y$7:Y45)+W47,IFERROR(X47*$K47,0))))</f>
        <v>0</v>
      </c>
      <c r="Z47" s="112">
        <f>IF($J47="","",IF($J47="Total Mensal",SUM(AA$7:AA46)/VLOOKUP("Total Acumulado",$J:$K,2,FALSE),IF($J47="Total Acumulado",Z46+X47+IF(X$7="% Item",-1,0),0%)))</f>
        <v>0</v>
      </c>
      <c r="AA47" s="109">
        <f>IF($J47="","",IF($J47="Total Mensal",SUM(AA$7:AA46),IF($J47="Total Acumulado",SUM(AA$7:AA45)+Y47,IFERROR(Z47*$K47,0))))</f>
        <v>0</v>
      </c>
      <c r="AB47" s="112">
        <f>IF($J47="","",IF($J47="Total Mensal",SUM(AC$7:AC46)/VLOOKUP("Total Acumulado",$J:$K,2,FALSE),IF($J47="Total Acumulado",AB46+Z47+IF(Z$7="% Item",-1,0),0%)))</f>
        <v>0</v>
      </c>
      <c r="AC47" s="109">
        <f>IF($J47="","",IF($J47="Total Mensal",SUM(AC$7:AC46),IF($J47="Total Acumulado",SUM(AC$7:AC45)+AA47,IFERROR(AB47*$K47,0))))</f>
        <v>0</v>
      </c>
      <c r="AD47" s="112">
        <f>IF($J47="","",IF($J47="Total Mensal",SUM(AE$7:AE46)/VLOOKUP("Total Acumulado",$J:$K,2,FALSE),IF($J47="Total Acumulado",AD46+AB47+IF(AB$7="% Item",-1,0),0%)))</f>
        <v>0</v>
      </c>
      <c r="AE47" s="109">
        <f>IF($J47="","",IF($J47="Total Mensal",SUM(AE$7:AE46),IF($J47="Total Acumulado",SUM(AE$7:AE45)+AC47,IFERROR(AD47*$K47,0))))</f>
        <v>0</v>
      </c>
      <c r="AF47" s="112">
        <f>IF($J47="","",IF($J47="Total Mensal",SUM(AG$7:AG46)/VLOOKUP("Total Acumulado",$J:$K,2,FALSE),IF($J47="Total Acumulado",AF46+AD47+IF(AD$7="% Item",-1,0),0%)))</f>
        <v>0</v>
      </c>
      <c r="AG47" s="109">
        <f>IF($J47="","",IF($J47="Total Mensal",SUM(AG$7:AG46),IF($J47="Total Acumulado",SUM(AG$7:AG45)+AE47,IFERROR(AF47*$K47,0))))</f>
        <v>0</v>
      </c>
      <c r="AH47" s="112">
        <f>IF($J47="","",IF($J47="Total Mensal",SUM(AI$7:AI46)/VLOOKUP("Total Acumulado",$J:$K,2,FALSE),IF($J47="Total Acumulado",AH46+AF47+IF(AF$7="% Item",-1,0),0%)))</f>
        <v>0</v>
      </c>
      <c r="AI47" s="109">
        <f>IF($J47="","",IF($J47="Total Mensal",SUM(AI$7:AI46),IF($J47="Total Acumulado",SUM(AI$7:AI45)+AG47,IFERROR(AH47*$K47,0))))</f>
        <v>0</v>
      </c>
      <c r="AJ47" s="112">
        <f>IF($J47="","",IF($J47="Total Mensal",SUM(AK$7:AK46)/VLOOKUP("Total Acumulado",$J:$K,2,FALSE),IF($J47="Total Acumulado",AJ46+AH47+IF(AH$7="% Item",-1,0),0%)))</f>
        <v>0</v>
      </c>
      <c r="AK47" s="109">
        <f>IF($J47="","",IF($J47="Total Mensal",SUM(AK$7:AK46),IF($J47="Total Acumulado",SUM(AK$7:AK45)+AI47,IFERROR(AJ47*$K47,0))))</f>
        <v>0</v>
      </c>
    </row>
    <row r="48" spans="2:37" x14ac:dyDescent="0.25">
      <c r="B48" s="41">
        <f>IFERROR(IF(C47=C44,IF(B47+1&lt;='MAPA DE PREÇOS'!$H$8,B47+1,""),B47),"")</f>
        <v>41</v>
      </c>
      <c r="C48" s="41">
        <f>IFERROR(VLOOKUP(B48,'MAPA DE PREÇOS'!B:D,2,FALSE),"")</f>
        <v>1</v>
      </c>
      <c r="D48" s="41">
        <f>IFERROR(VLOOKUP(B48,'MAPA DE PREÇOS'!B:D,3,FALSE),"")</f>
        <v>41</v>
      </c>
      <c r="E48" s="82">
        <f t="shared" si="1"/>
        <v>41</v>
      </c>
      <c r="F48" s="82">
        <f>IF($B47="","",IF($C48=$C45,INDEX('MAPA DE PREÇOS'!$H:$H,MATCH($B48,'MAPA DE PREÇOS'!$B:$B)-19),IF($C48=$C46,"Código","")))</f>
        <v>0</v>
      </c>
      <c r="G48" s="83" t="str">
        <f>IF($B47="","",IF($C48=$C45,IF('BASE EDITAL'!$C$2="",INDEX('MAPA DE PREÇOS'!H:H,MATCH(EDITAL!B48,'MAPA DE PREÇOS'!B:B,0)+1),UPPER(INDEX('BASE EDITAL'!$C:$C,EDITAL!B48+1))),IF($C48=$C46,"Especificação do Objeto","")))</f>
        <v>Jogo de chaves fixas 8 peças</v>
      </c>
      <c r="H48" s="84" t="str">
        <f>IF($B47="","",IF($C48=$C45,INDEX('MAPA DE PREÇOS'!$M:$M,MATCH($B48,'MAPA DE PREÇOS'!$B:$B)-16),IF($C48=$C46,"Unidade","")))</f>
        <v>UN</v>
      </c>
      <c r="I48" s="84">
        <f>IF($B47="","",IF($C48=$C45,INDEX('MAPA DE PREÇOS'!$M:$M,MATCH($B48,'MAPA DE PREÇOS'!$B:$B)-17),IF($C48=$C46,"Quant.","")))</f>
        <v>2</v>
      </c>
      <c r="J48" s="60">
        <f>IF(J47="Total Mensal","Total Acumulado",IF($B47="","",IF($C48=$C45,INDEX('MAPA DE PREÇOS'!$M:$M,MATCH($B48,'MAPA DE PREÇOS'!$B:$B)-19),IF($C48=$C46,"Valor Unit. (R$)",IF(AND($C48&lt;&gt;$C47,$J47&lt;&gt;""),"Total Mensal","")))))</f>
        <v>134.80000000000001</v>
      </c>
      <c r="K48" s="75">
        <f>IF(J48="","",IF(J48="Total Mensal","-",IF(J48="Total Acumulado",SUM(K$7:K47),I48*J48)))</f>
        <v>269.60000000000002</v>
      </c>
      <c r="L48" s="112" t="e">
        <f>IF(J48="","",IF(J48="Total Mensal","-",IF(J48="Total Acumulado",SUM(L$7:L47),K48/SUMIF(J:J,"Total Acumulado",K:K))))</f>
        <v>#DIV/0!</v>
      </c>
      <c r="M48" s="108"/>
      <c r="N48" s="112">
        <f>IF($J48="","",IF($J48="Total Mensal",SUM(O$7:O47)/VLOOKUP("Total Acumulado",$J:$K,2,FALSE),IF($J48="Total Acumulado",N47+L48+IF(L$7="% Item",-1,0),0%)))</f>
        <v>0</v>
      </c>
      <c r="O48" s="109">
        <f>IF($J48="","",IF($J48="Total Mensal",SUM(O$7:O47),IF($J48="Total Acumulado",SUM(O$7:O46)+M48,IFERROR(N48*$K48,0))))</f>
        <v>0</v>
      </c>
      <c r="P48" s="112">
        <f>IF($J48="","",IF($J48="Total Mensal",SUM(Q$7:Q47)/VLOOKUP("Total Acumulado",$J:$K,2,FALSE),IF($J48="Total Acumulado",P47+N48+IF(N$7="% Item",-1,0),0%)))</f>
        <v>0</v>
      </c>
      <c r="Q48" s="109">
        <f>IF($J48="","",IF($J48="Total Mensal",SUM(Q$7:Q47),IF($J48="Total Acumulado",SUM(Q$7:Q46)+O48,IFERROR(P48*$K48,0))))</f>
        <v>0</v>
      </c>
      <c r="R48" s="112">
        <f>IF($J48="","",IF($J48="Total Mensal",SUM(S$7:S47)/VLOOKUP("Total Acumulado",$J:$K,2,FALSE),IF($J48="Total Acumulado",R47+P48+IF(P$7="% Item",-1,0),0%)))</f>
        <v>0</v>
      </c>
      <c r="S48" s="109">
        <f>IF($J48="","",IF($J48="Total Mensal",SUM(S$7:S47),IF($J48="Total Acumulado",SUM(S$7:S46)+Q48,IFERROR(R48*$K48,0))))</f>
        <v>0</v>
      </c>
      <c r="T48" s="112">
        <f>IF($J48="","",IF($J48="Total Mensal",SUM(U$7:U47)/VLOOKUP("Total Acumulado",$J:$K,2,FALSE),IF($J48="Total Acumulado",T47+R48+IF(R$7="% Item",-1,0),0%)))</f>
        <v>0</v>
      </c>
      <c r="U48" s="109">
        <f>IF($J48="","",IF($J48="Total Mensal",SUM(U$7:U47),IF($J48="Total Acumulado",SUM(U$7:U46)+S48,IFERROR(T48*$K48,0))))</f>
        <v>0</v>
      </c>
      <c r="V48" s="112">
        <f>IF($J48="","",IF($J48="Total Mensal",SUM(W$7:W47)/VLOOKUP("Total Acumulado",$J:$K,2,FALSE),IF($J48="Total Acumulado",V47+T48+IF(T$7="% Item",-1,0),0%)))</f>
        <v>0</v>
      </c>
      <c r="W48" s="109">
        <f>IF($J48="","",IF($J48="Total Mensal",SUM(W$7:W47),IF($J48="Total Acumulado",SUM(W$7:W46)+U48,IFERROR(V48*$K48,0))))</f>
        <v>0</v>
      </c>
      <c r="X48" s="112">
        <f>IF($J48="","",IF($J48="Total Mensal",SUM(Y$7:Y47)/VLOOKUP("Total Acumulado",$J:$K,2,FALSE),IF($J48="Total Acumulado",X47+V48+IF(V$7="% Item",-1,0),0%)))</f>
        <v>0</v>
      </c>
      <c r="Y48" s="109">
        <f>IF($J48="","",IF($J48="Total Mensal",SUM(Y$7:Y47),IF($J48="Total Acumulado",SUM(Y$7:Y46)+W48,IFERROR(X48*$K48,0))))</f>
        <v>0</v>
      </c>
      <c r="Z48" s="112">
        <f>IF($J48="","",IF($J48="Total Mensal",SUM(AA$7:AA47)/VLOOKUP("Total Acumulado",$J:$K,2,FALSE),IF($J48="Total Acumulado",Z47+X48+IF(X$7="% Item",-1,0),0%)))</f>
        <v>0</v>
      </c>
      <c r="AA48" s="109">
        <f>IF($J48="","",IF($J48="Total Mensal",SUM(AA$7:AA47),IF($J48="Total Acumulado",SUM(AA$7:AA46)+Y48,IFERROR(Z48*$K48,0))))</f>
        <v>0</v>
      </c>
      <c r="AB48" s="112">
        <f>IF($J48="","",IF($J48="Total Mensal",SUM(AC$7:AC47)/VLOOKUP("Total Acumulado",$J:$K,2,FALSE),IF($J48="Total Acumulado",AB47+Z48+IF(Z$7="% Item",-1,0),0%)))</f>
        <v>0</v>
      </c>
      <c r="AC48" s="109">
        <f>IF($J48="","",IF($J48="Total Mensal",SUM(AC$7:AC47),IF($J48="Total Acumulado",SUM(AC$7:AC46)+AA48,IFERROR(AB48*$K48,0))))</f>
        <v>0</v>
      </c>
      <c r="AD48" s="112">
        <f>IF($J48="","",IF($J48="Total Mensal",SUM(AE$7:AE47)/VLOOKUP("Total Acumulado",$J:$K,2,FALSE),IF($J48="Total Acumulado",AD47+AB48+IF(AB$7="% Item",-1,0),0%)))</f>
        <v>0</v>
      </c>
      <c r="AE48" s="109">
        <f>IF($J48="","",IF($J48="Total Mensal",SUM(AE$7:AE47),IF($J48="Total Acumulado",SUM(AE$7:AE46)+AC48,IFERROR(AD48*$K48,0))))</f>
        <v>0</v>
      </c>
      <c r="AF48" s="112">
        <f>IF($J48="","",IF($J48="Total Mensal",SUM(AG$7:AG47)/VLOOKUP("Total Acumulado",$J:$K,2,FALSE),IF($J48="Total Acumulado",AF47+AD48+IF(AD$7="% Item",-1,0),0%)))</f>
        <v>0</v>
      </c>
      <c r="AG48" s="109">
        <f>IF($J48="","",IF($J48="Total Mensal",SUM(AG$7:AG47),IF($J48="Total Acumulado",SUM(AG$7:AG46)+AE48,IFERROR(AF48*$K48,0))))</f>
        <v>0</v>
      </c>
      <c r="AH48" s="112">
        <f>IF($J48="","",IF($J48="Total Mensal",SUM(AI$7:AI47)/VLOOKUP("Total Acumulado",$J:$K,2,FALSE),IF($J48="Total Acumulado",AH47+AF48+IF(AF$7="% Item",-1,0),0%)))</f>
        <v>0</v>
      </c>
      <c r="AI48" s="109">
        <f>IF($J48="","",IF($J48="Total Mensal",SUM(AI$7:AI47),IF($J48="Total Acumulado",SUM(AI$7:AI46)+AG48,IFERROR(AH48*$K48,0))))</f>
        <v>0</v>
      </c>
      <c r="AJ48" s="112">
        <f>IF($J48="","",IF($J48="Total Mensal",SUM(AK$7:AK47)/VLOOKUP("Total Acumulado",$J:$K,2,FALSE),IF($J48="Total Acumulado",AJ47+AH48+IF(AH$7="% Item",-1,0),0%)))</f>
        <v>0</v>
      </c>
      <c r="AK48" s="109">
        <f>IF($J48="","",IF($J48="Total Mensal",SUM(AK$7:AK47),IF($J48="Total Acumulado",SUM(AK$7:AK46)+AI48,IFERROR(AJ48*$K48,0))))</f>
        <v>0</v>
      </c>
    </row>
    <row r="49" spans="2:37" x14ac:dyDescent="0.25">
      <c r="B49" s="41">
        <f>IFERROR(IF(C48=C45,IF(B48+1&lt;='MAPA DE PREÇOS'!$H$8,B48+1,""),B48),"")</f>
        <v>42</v>
      </c>
      <c r="C49" s="41">
        <f>IFERROR(VLOOKUP(B49,'MAPA DE PREÇOS'!B:D,2,FALSE),"")</f>
        <v>1</v>
      </c>
      <c r="D49" s="41">
        <f>IFERROR(VLOOKUP(B49,'MAPA DE PREÇOS'!B:D,3,FALSE),"")</f>
        <v>42</v>
      </c>
      <c r="E49" s="82">
        <f t="shared" si="1"/>
        <v>42</v>
      </c>
      <c r="F49" s="82">
        <f>IF($B48="","",IF($C49=$C46,INDEX('MAPA DE PREÇOS'!$H:$H,MATCH($B49,'MAPA DE PREÇOS'!$B:$B)-19),IF($C49=$C47,"Código","")))</f>
        <v>0</v>
      </c>
      <c r="G49" s="83" t="str">
        <f>IF($B48="","",IF($C49=$C46,IF('BASE EDITAL'!$C$2="",INDEX('MAPA DE PREÇOS'!H:H,MATCH(EDITAL!B49,'MAPA DE PREÇOS'!B:B,0)+1),UPPER(INDEX('BASE EDITAL'!$C:$C,EDITAL!B49+1))),IF($C49=$C47,"Especificação do Objeto","")))</f>
        <v xml:space="preserve">Jogo de chaves combinadas 8 peças </v>
      </c>
      <c r="H49" s="84" t="str">
        <f>IF($B48="","",IF($C49=$C46,INDEX('MAPA DE PREÇOS'!$M:$M,MATCH($B49,'MAPA DE PREÇOS'!$B:$B)-16),IF($C49=$C47,"Unidade","")))</f>
        <v>UN</v>
      </c>
      <c r="I49" s="84">
        <f>IF($B48="","",IF($C49=$C46,INDEX('MAPA DE PREÇOS'!$M:$M,MATCH($B49,'MAPA DE PREÇOS'!$B:$B)-17),IF($C49=$C47,"Quant.","")))</f>
        <v>4</v>
      </c>
      <c r="J49" s="60">
        <f>IF(J48="Total Mensal","Total Acumulado",IF($B48="","",IF($C49=$C46,INDEX('MAPA DE PREÇOS'!$M:$M,MATCH($B49,'MAPA DE PREÇOS'!$B:$B)-19),IF($C49=$C47,"Valor Unit. (R$)",IF(AND($C49&lt;&gt;$C48,$J48&lt;&gt;""),"Total Mensal","")))))</f>
        <v>55.93</v>
      </c>
      <c r="K49" s="75">
        <f>IF(J49="","",IF(J49="Total Mensal","-",IF(J49="Total Acumulado",SUM(K$7:K48),I49*J49)))</f>
        <v>223.72</v>
      </c>
      <c r="L49" s="112" t="e">
        <f>IF(J49="","",IF(J49="Total Mensal","-",IF(J49="Total Acumulado",SUM(L$7:L48),K49/SUMIF(J:J,"Total Acumulado",K:K))))</f>
        <v>#DIV/0!</v>
      </c>
      <c r="M49" s="108"/>
      <c r="N49" s="112">
        <f>IF($J49="","",IF($J49="Total Mensal",SUM(O$7:O48)/VLOOKUP("Total Acumulado",$J:$K,2,FALSE),IF($J49="Total Acumulado",N48+L49+IF(L$7="% Item",-1,0),0%)))</f>
        <v>0</v>
      </c>
      <c r="O49" s="109">
        <f>IF($J49="","",IF($J49="Total Mensal",SUM(O$7:O48),IF($J49="Total Acumulado",SUM(O$7:O47)+M49,IFERROR(N49*$K49,0))))</f>
        <v>0</v>
      </c>
      <c r="P49" s="112">
        <f>IF($J49="","",IF($J49="Total Mensal",SUM(Q$7:Q48)/VLOOKUP("Total Acumulado",$J:$K,2,FALSE),IF($J49="Total Acumulado",P48+N49+IF(N$7="% Item",-1,0),0%)))</f>
        <v>0</v>
      </c>
      <c r="Q49" s="109">
        <f>IF($J49="","",IF($J49="Total Mensal",SUM(Q$7:Q48),IF($J49="Total Acumulado",SUM(Q$7:Q47)+O49,IFERROR(P49*$K49,0))))</f>
        <v>0</v>
      </c>
      <c r="R49" s="112">
        <f>IF($J49="","",IF($J49="Total Mensal",SUM(S$7:S48)/VLOOKUP("Total Acumulado",$J:$K,2,FALSE),IF($J49="Total Acumulado",R48+P49+IF(P$7="% Item",-1,0),0%)))</f>
        <v>0</v>
      </c>
      <c r="S49" s="109">
        <f>IF($J49="","",IF($J49="Total Mensal",SUM(S$7:S48),IF($J49="Total Acumulado",SUM(S$7:S47)+Q49,IFERROR(R49*$K49,0))))</f>
        <v>0</v>
      </c>
      <c r="T49" s="112">
        <f>IF($J49="","",IF($J49="Total Mensal",SUM(U$7:U48)/VLOOKUP("Total Acumulado",$J:$K,2,FALSE),IF($J49="Total Acumulado",T48+R49+IF(R$7="% Item",-1,0),0%)))</f>
        <v>0</v>
      </c>
      <c r="U49" s="109">
        <f>IF($J49="","",IF($J49="Total Mensal",SUM(U$7:U48),IF($J49="Total Acumulado",SUM(U$7:U47)+S49,IFERROR(T49*$K49,0))))</f>
        <v>0</v>
      </c>
      <c r="V49" s="112">
        <f>IF($J49="","",IF($J49="Total Mensal",SUM(W$7:W48)/VLOOKUP("Total Acumulado",$J:$K,2,FALSE),IF($J49="Total Acumulado",V48+T49+IF(T$7="% Item",-1,0),0%)))</f>
        <v>0</v>
      </c>
      <c r="W49" s="109">
        <f>IF($J49="","",IF($J49="Total Mensal",SUM(W$7:W48),IF($J49="Total Acumulado",SUM(W$7:W47)+U49,IFERROR(V49*$K49,0))))</f>
        <v>0</v>
      </c>
      <c r="X49" s="112">
        <f>IF($J49="","",IF($J49="Total Mensal",SUM(Y$7:Y48)/VLOOKUP("Total Acumulado",$J:$K,2,FALSE),IF($J49="Total Acumulado",X48+V49+IF(V$7="% Item",-1,0),0%)))</f>
        <v>0</v>
      </c>
      <c r="Y49" s="109">
        <f>IF($J49="","",IF($J49="Total Mensal",SUM(Y$7:Y48),IF($J49="Total Acumulado",SUM(Y$7:Y47)+W49,IFERROR(X49*$K49,0))))</f>
        <v>0</v>
      </c>
      <c r="Z49" s="112">
        <f>IF($J49="","",IF($J49="Total Mensal",SUM(AA$7:AA48)/VLOOKUP("Total Acumulado",$J:$K,2,FALSE),IF($J49="Total Acumulado",Z48+X49+IF(X$7="% Item",-1,0),0%)))</f>
        <v>0</v>
      </c>
      <c r="AA49" s="109">
        <f>IF($J49="","",IF($J49="Total Mensal",SUM(AA$7:AA48),IF($J49="Total Acumulado",SUM(AA$7:AA47)+Y49,IFERROR(Z49*$K49,0))))</f>
        <v>0</v>
      </c>
      <c r="AB49" s="112">
        <f>IF($J49="","",IF($J49="Total Mensal",SUM(AC$7:AC48)/VLOOKUP("Total Acumulado",$J:$K,2,FALSE),IF($J49="Total Acumulado",AB48+Z49+IF(Z$7="% Item",-1,0),0%)))</f>
        <v>0</v>
      </c>
      <c r="AC49" s="109">
        <f>IF($J49="","",IF($J49="Total Mensal",SUM(AC$7:AC48),IF($J49="Total Acumulado",SUM(AC$7:AC47)+AA49,IFERROR(AB49*$K49,0))))</f>
        <v>0</v>
      </c>
      <c r="AD49" s="112">
        <f>IF($J49="","",IF($J49="Total Mensal",SUM(AE$7:AE48)/VLOOKUP("Total Acumulado",$J:$K,2,FALSE),IF($J49="Total Acumulado",AD48+AB49+IF(AB$7="% Item",-1,0),0%)))</f>
        <v>0</v>
      </c>
      <c r="AE49" s="109">
        <f>IF($J49="","",IF($J49="Total Mensal",SUM(AE$7:AE48),IF($J49="Total Acumulado",SUM(AE$7:AE47)+AC49,IFERROR(AD49*$K49,0))))</f>
        <v>0</v>
      </c>
      <c r="AF49" s="112">
        <f>IF($J49="","",IF($J49="Total Mensal",SUM(AG$7:AG48)/VLOOKUP("Total Acumulado",$J:$K,2,FALSE),IF($J49="Total Acumulado",AF48+AD49+IF(AD$7="% Item",-1,0),0%)))</f>
        <v>0</v>
      </c>
      <c r="AG49" s="109">
        <f>IF($J49="","",IF($J49="Total Mensal",SUM(AG$7:AG48),IF($J49="Total Acumulado",SUM(AG$7:AG47)+AE49,IFERROR(AF49*$K49,0))))</f>
        <v>0</v>
      </c>
      <c r="AH49" s="112">
        <f>IF($J49="","",IF($J49="Total Mensal",SUM(AI$7:AI48)/VLOOKUP("Total Acumulado",$J:$K,2,FALSE),IF($J49="Total Acumulado",AH48+AF49+IF(AF$7="% Item",-1,0),0%)))</f>
        <v>0</v>
      </c>
      <c r="AI49" s="109">
        <f>IF($J49="","",IF($J49="Total Mensal",SUM(AI$7:AI48),IF($J49="Total Acumulado",SUM(AI$7:AI47)+AG49,IFERROR(AH49*$K49,0))))</f>
        <v>0</v>
      </c>
      <c r="AJ49" s="112">
        <f>IF($J49="","",IF($J49="Total Mensal",SUM(AK$7:AK48)/VLOOKUP("Total Acumulado",$J:$K,2,FALSE),IF($J49="Total Acumulado",AJ48+AH49+IF(AH$7="% Item",-1,0),0%)))</f>
        <v>0</v>
      </c>
      <c r="AK49" s="109">
        <f>IF($J49="","",IF($J49="Total Mensal",SUM(AK$7:AK48),IF($J49="Total Acumulado",SUM(AK$7:AK47)+AI49,IFERROR(AJ49*$K49,0))))</f>
        <v>0</v>
      </c>
    </row>
    <row r="50" spans="2:37" x14ac:dyDescent="0.25">
      <c r="B50" s="41">
        <f>IFERROR(IF(C49=C46,IF(B49+1&lt;='MAPA DE PREÇOS'!$H$8,B49+1,""),B49),"")</f>
        <v>43</v>
      </c>
      <c r="C50" s="41">
        <f>IFERROR(VLOOKUP(B50,'MAPA DE PREÇOS'!B:D,2,FALSE),"")</f>
        <v>1</v>
      </c>
      <c r="D50" s="41">
        <f>IFERROR(VLOOKUP(B50,'MAPA DE PREÇOS'!B:D,3,FALSE),"")</f>
        <v>43</v>
      </c>
      <c r="E50" s="82">
        <f t="shared" si="1"/>
        <v>43</v>
      </c>
      <c r="F50" s="82">
        <f>IF($B49="","",IF($C50=$C47,INDEX('MAPA DE PREÇOS'!$H:$H,MATCH($B50,'MAPA DE PREÇOS'!$B:$B)-19),IF($C50=$C48,"Código","")))</f>
        <v>0</v>
      </c>
      <c r="G50" s="83" t="str">
        <f>IF($B49="","",IF($C50=$C47,IF('BASE EDITAL'!$C$2="",INDEX('MAPA DE PREÇOS'!H:H,MATCH(EDITAL!B50,'MAPA DE PREÇOS'!B:B,0)+1),UPPER(INDEX('BASE EDITAL'!$C:$C,EDITAL!B50+1))),IF($C50=$C48,"Especificação do Objeto","")))</f>
        <v xml:space="preserve">Jogo de chaves para tubos 2 peças </v>
      </c>
      <c r="H50" s="84" t="str">
        <f>IF($B49="","",IF($C50=$C47,INDEX('MAPA DE PREÇOS'!$M:$M,MATCH($B50,'MAPA DE PREÇOS'!$B:$B)-16),IF($C50=$C48,"Unidade","")))</f>
        <v>UN</v>
      </c>
      <c r="I50" s="84">
        <f>IF($B49="","",IF($C50=$C47,INDEX('MAPA DE PREÇOS'!$M:$M,MATCH($B50,'MAPA DE PREÇOS'!$B:$B)-17),IF($C50=$C48,"Quant.","")))</f>
        <v>2</v>
      </c>
      <c r="J50" s="60">
        <f>IF(J49="Total Mensal","Total Acumulado",IF($B49="","",IF($C50=$C47,INDEX('MAPA DE PREÇOS'!$M:$M,MATCH($B50,'MAPA DE PREÇOS'!$B:$B)-19),IF($C50=$C48,"Valor Unit. (R$)",IF(AND($C50&lt;&gt;$C49,$J49&lt;&gt;""),"Total Mensal","")))))</f>
        <v>44.28</v>
      </c>
      <c r="K50" s="75">
        <f>IF(J50="","",IF(J50="Total Mensal","-",IF(J50="Total Acumulado",SUM(K$7:K49),I50*J50)))</f>
        <v>88.56</v>
      </c>
      <c r="L50" s="112" t="e">
        <f>IF(J50="","",IF(J50="Total Mensal","-",IF(J50="Total Acumulado",SUM(L$7:L49),K50/SUMIF(J:J,"Total Acumulado",K:K))))</f>
        <v>#DIV/0!</v>
      </c>
      <c r="M50" s="108"/>
      <c r="N50" s="112">
        <f>IF($J50="","",IF($J50="Total Mensal",SUM(O$7:O49)/VLOOKUP("Total Acumulado",$J:$K,2,FALSE),IF($J50="Total Acumulado",N49+L50+IF(L$7="% Item",-1,0),0%)))</f>
        <v>0</v>
      </c>
      <c r="O50" s="109">
        <f>IF($J50="","",IF($J50="Total Mensal",SUM(O$7:O49),IF($J50="Total Acumulado",SUM(O$7:O48)+M50,IFERROR(N50*$K50,0))))</f>
        <v>0</v>
      </c>
      <c r="P50" s="112">
        <f>IF($J50="","",IF($J50="Total Mensal",SUM(Q$7:Q49)/VLOOKUP("Total Acumulado",$J:$K,2,FALSE),IF($J50="Total Acumulado",P49+N50+IF(N$7="% Item",-1,0),0%)))</f>
        <v>0</v>
      </c>
      <c r="Q50" s="109">
        <f>IF($J50="","",IF($J50="Total Mensal",SUM(Q$7:Q49),IF($J50="Total Acumulado",SUM(Q$7:Q48)+O50,IFERROR(P50*$K50,0))))</f>
        <v>0</v>
      </c>
      <c r="R50" s="112">
        <f>IF($J50="","",IF($J50="Total Mensal",SUM(S$7:S49)/VLOOKUP("Total Acumulado",$J:$K,2,FALSE),IF($J50="Total Acumulado",R49+P50+IF(P$7="% Item",-1,0),0%)))</f>
        <v>0</v>
      </c>
      <c r="S50" s="109">
        <f>IF($J50="","",IF($J50="Total Mensal",SUM(S$7:S49),IF($J50="Total Acumulado",SUM(S$7:S48)+Q50,IFERROR(R50*$K50,0))))</f>
        <v>0</v>
      </c>
      <c r="T50" s="112">
        <f>IF($J50="","",IF($J50="Total Mensal",SUM(U$7:U49)/VLOOKUP("Total Acumulado",$J:$K,2,FALSE),IF($J50="Total Acumulado",T49+R50+IF(R$7="% Item",-1,0),0%)))</f>
        <v>0</v>
      </c>
      <c r="U50" s="109">
        <f>IF($J50="","",IF($J50="Total Mensal",SUM(U$7:U49),IF($J50="Total Acumulado",SUM(U$7:U48)+S50,IFERROR(T50*$K50,0))))</f>
        <v>0</v>
      </c>
      <c r="V50" s="112">
        <f>IF($J50="","",IF($J50="Total Mensal",SUM(W$7:W49)/VLOOKUP("Total Acumulado",$J:$K,2,FALSE),IF($J50="Total Acumulado",V49+T50+IF(T$7="% Item",-1,0),0%)))</f>
        <v>0</v>
      </c>
      <c r="W50" s="109">
        <f>IF($J50="","",IF($J50="Total Mensal",SUM(W$7:W49),IF($J50="Total Acumulado",SUM(W$7:W48)+U50,IFERROR(V50*$K50,0))))</f>
        <v>0</v>
      </c>
      <c r="X50" s="112">
        <f>IF($J50="","",IF($J50="Total Mensal",SUM(Y$7:Y49)/VLOOKUP("Total Acumulado",$J:$K,2,FALSE),IF($J50="Total Acumulado",X49+V50+IF(V$7="% Item",-1,0),0%)))</f>
        <v>0</v>
      </c>
      <c r="Y50" s="109">
        <f>IF($J50="","",IF($J50="Total Mensal",SUM(Y$7:Y49),IF($J50="Total Acumulado",SUM(Y$7:Y48)+W50,IFERROR(X50*$K50,0))))</f>
        <v>0</v>
      </c>
      <c r="Z50" s="112">
        <f>IF($J50="","",IF($J50="Total Mensal",SUM(AA$7:AA49)/VLOOKUP("Total Acumulado",$J:$K,2,FALSE),IF($J50="Total Acumulado",Z49+X50+IF(X$7="% Item",-1,0),0%)))</f>
        <v>0</v>
      </c>
      <c r="AA50" s="109">
        <f>IF($J50="","",IF($J50="Total Mensal",SUM(AA$7:AA49),IF($J50="Total Acumulado",SUM(AA$7:AA48)+Y50,IFERROR(Z50*$K50,0))))</f>
        <v>0</v>
      </c>
      <c r="AB50" s="112">
        <f>IF($J50="","",IF($J50="Total Mensal",SUM(AC$7:AC49)/VLOOKUP("Total Acumulado",$J:$K,2,FALSE),IF($J50="Total Acumulado",AB49+Z50+IF(Z$7="% Item",-1,0),0%)))</f>
        <v>0</v>
      </c>
      <c r="AC50" s="109">
        <f>IF($J50="","",IF($J50="Total Mensal",SUM(AC$7:AC49),IF($J50="Total Acumulado",SUM(AC$7:AC48)+AA50,IFERROR(AB50*$K50,0))))</f>
        <v>0</v>
      </c>
      <c r="AD50" s="112">
        <f>IF($J50="","",IF($J50="Total Mensal",SUM(AE$7:AE49)/VLOOKUP("Total Acumulado",$J:$K,2,FALSE),IF($J50="Total Acumulado",AD49+AB50+IF(AB$7="% Item",-1,0),0%)))</f>
        <v>0</v>
      </c>
      <c r="AE50" s="109">
        <f>IF($J50="","",IF($J50="Total Mensal",SUM(AE$7:AE49),IF($J50="Total Acumulado",SUM(AE$7:AE48)+AC50,IFERROR(AD50*$K50,0))))</f>
        <v>0</v>
      </c>
      <c r="AF50" s="112">
        <f>IF($J50="","",IF($J50="Total Mensal",SUM(AG$7:AG49)/VLOOKUP("Total Acumulado",$J:$K,2,FALSE),IF($J50="Total Acumulado",AF49+AD50+IF(AD$7="% Item",-1,0),0%)))</f>
        <v>0</v>
      </c>
      <c r="AG50" s="109">
        <f>IF($J50="","",IF($J50="Total Mensal",SUM(AG$7:AG49),IF($J50="Total Acumulado",SUM(AG$7:AG48)+AE50,IFERROR(AF50*$K50,0))))</f>
        <v>0</v>
      </c>
      <c r="AH50" s="112">
        <f>IF($J50="","",IF($J50="Total Mensal",SUM(AI$7:AI49)/VLOOKUP("Total Acumulado",$J:$K,2,FALSE),IF($J50="Total Acumulado",AH49+AF50+IF(AF$7="% Item",-1,0),0%)))</f>
        <v>0</v>
      </c>
      <c r="AI50" s="109">
        <f>IF($J50="","",IF($J50="Total Mensal",SUM(AI$7:AI49),IF($J50="Total Acumulado",SUM(AI$7:AI48)+AG50,IFERROR(AH50*$K50,0))))</f>
        <v>0</v>
      </c>
      <c r="AJ50" s="112">
        <f>IF($J50="","",IF($J50="Total Mensal",SUM(AK$7:AK49)/VLOOKUP("Total Acumulado",$J:$K,2,FALSE),IF($J50="Total Acumulado",AJ49+AH50+IF(AH$7="% Item",-1,0),0%)))</f>
        <v>0</v>
      </c>
      <c r="AK50" s="109">
        <f>IF($J50="","",IF($J50="Total Mensal",SUM(AK$7:AK49),IF($J50="Total Acumulado",SUM(AK$7:AK48)+AI50,IFERROR(AJ50*$K50,0))))</f>
        <v>0</v>
      </c>
    </row>
    <row r="51" spans="2:37" x14ac:dyDescent="0.25">
      <c r="B51" s="41">
        <f>IFERROR(IF(C50=C47,IF(B50+1&lt;='MAPA DE PREÇOS'!$H$8,B50+1,""),B50),"")</f>
        <v>44</v>
      </c>
      <c r="C51" s="41">
        <f>IFERROR(VLOOKUP(B51,'MAPA DE PREÇOS'!B:D,2,FALSE),"")</f>
        <v>1</v>
      </c>
      <c r="D51" s="41">
        <f>IFERROR(VLOOKUP(B51,'MAPA DE PREÇOS'!B:D,3,FALSE),"")</f>
        <v>44</v>
      </c>
      <c r="E51" s="82">
        <f t="shared" si="1"/>
        <v>44</v>
      </c>
      <c r="F51" s="82">
        <f>IF($B50="","",IF($C51=$C48,INDEX('MAPA DE PREÇOS'!$H:$H,MATCH($B51,'MAPA DE PREÇOS'!$B:$B)-19),IF($C51=$C49,"Código","")))</f>
        <v>0</v>
      </c>
      <c r="G51" s="83" t="str">
        <f>IF($B50="","",IF($C51=$C48,IF('BASE EDITAL'!$C$2="",INDEX('MAPA DE PREÇOS'!H:H,MATCH(EDITAL!B51,'MAPA DE PREÇOS'!B:B,0)+1),UPPER(INDEX('BASE EDITAL'!$C:$C,EDITAL!B51+1))),IF($C51=$C49,"Especificação do Objeto","")))</f>
        <v>Jogo de soquetes 17 peças</v>
      </c>
      <c r="H51" s="84" t="str">
        <f>IF($B50="","",IF($C51=$C48,INDEX('MAPA DE PREÇOS'!$M:$M,MATCH($B51,'MAPA DE PREÇOS'!$B:$B)-16),IF($C51=$C49,"Unidade","")))</f>
        <v>UN</v>
      </c>
      <c r="I51" s="84">
        <f>IF($B50="","",IF($C51=$C48,INDEX('MAPA DE PREÇOS'!$M:$M,MATCH($B51,'MAPA DE PREÇOS'!$B:$B)-17),IF($C51=$C49,"Quant.","")))</f>
        <v>3</v>
      </c>
      <c r="J51" s="60">
        <f>IF(J50="Total Mensal","Total Acumulado",IF($B50="","",IF($C51=$C48,INDEX('MAPA DE PREÇOS'!$M:$M,MATCH($B51,'MAPA DE PREÇOS'!$B:$B)-19),IF($C51=$C49,"Valor Unit. (R$)",IF(AND($C51&lt;&gt;$C50,$J50&lt;&gt;""),"Total Mensal","")))))</f>
        <v>225.1</v>
      </c>
      <c r="K51" s="75">
        <f>IF(J51="","",IF(J51="Total Mensal","-",IF(J51="Total Acumulado",SUM(K$7:K50),I51*J51)))</f>
        <v>675.3</v>
      </c>
      <c r="L51" s="112" t="e">
        <f>IF(J51="","",IF(J51="Total Mensal","-",IF(J51="Total Acumulado",SUM(L$7:L50),K51/SUMIF(J:J,"Total Acumulado",K:K))))</f>
        <v>#DIV/0!</v>
      </c>
      <c r="M51" s="108"/>
      <c r="N51" s="112">
        <f>IF($J51="","",IF($J51="Total Mensal",SUM(O$7:O50)/VLOOKUP("Total Acumulado",$J:$K,2,FALSE),IF($J51="Total Acumulado",N50+L51+IF(L$7="% Item",-1,0),0%)))</f>
        <v>0</v>
      </c>
      <c r="O51" s="109">
        <f>IF($J51="","",IF($J51="Total Mensal",SUM(O$7:O50),IF($J51="Total Acumulado",SUM(O$7:O49)+M51,IFERROR(N51*$K51,0))))</f>
        <v>0</v>
      </c>
      <c r="P51" s="112">
        <f>IF($J51="","",IF($J51="Total Mensal",SUM(Q$7:Q50)/VLOOKUP("Total Acumulado",$J:$K,2,FALSE),IF($J51="Total Acumulado",P50+N51+IF(N$7="% Item",-1,0),0%)))</f>
        <v>0</v>
      </c>
      <c r="Q51" s="109">
        <f>IF($J51="","",IF($J51="Total Mensal",SUM(Q$7:Q50),IF($J51="Total Acumulado",SUM(Q$7:Q49)+O51,IFERROR(P51*$K51,0))))</f>
        <v>0</v>
      </c>
      <c r="R51" s="112">
        <f>IF($J51="","",IF($J51="Total Mensal",SUM(S$7:S50)/VLOOKUP("Total Acumulado",$J:$K,2,FALSE),IF($J51="Total Acumulado",R50+P51+IF(P$7="% Item",-1,0),0%)))</f>
        <v>0</v>
      </c>
      <c r="S51" s="109">
        <f>IF($J51="","",IF($J51="Total Mensal",SUM(S$7:S50),IF($J51="Total Acumulado",SUM(S$7:S49)+Q51,IFERROR(R51*$K51,0))))</f>
        <v>0</v>
      </c>
      <c r="T51" s="112">
        <f>IF($J51="","",IF($J51="Total Mensal",SUM(U$7:U50)/VLOOKUP("Total Acumulado",$J:$K,2,FALSE),IF($J51="Total Acumulado",T50+R51+IF(R$7="% Item",-1,0),0%)))</f>
        <v>0</v>
      </c>
      <c r="U51" s="109">
        <f>IF($J51="","",IF($J51="Total Mensal",SUM(U$7:U50),IF($J51="Total Acumulado",SUM(U$7:U49)+S51,IFERROR(T51*$K51,0))))</f>
        <v>0</v>
      </c>
      <c r="V51" s="112">
        <f>IF($J51="","",IF($J51="Total Mensal",SUM(W$7:W50)/VLOOKUP("Total Acumulado",$J:$K,2,FALSE),IF($J51="Total Acumulado",V50+T51+IF(T$7="% Item",-1,0),0%)))</f>
        <v>0</v>
      </c>
      <c r="W51" s="109">
        <f>IF($J51="","",IF($J51="Total Mensal",SUM(W$7:W50),IF($J51="Total Acumulado",SUM(W$7:W49)+U51,IFERROR(V51*$K51,0))))</f>
        <v>0</v>
      </c>
      <c r="X51" s="112">
        <f>IF($J51="","",IF($J51="Total Mensal",SUM(Y$7:Y50)/VLOOKUP("Total Acumulado",$J:$K,2,FALSE),IF($J51="Total Acumulado",X50+V51+IF(V$7="% Item",-1,0),0%)))</f>
        <v>0</v>
      </c>
      <c r="Y51" s="109">
        <f>IF($J51="","",IF($J51="Total Mensal",SUM(Y$7:Y50),IF($J51="Total Acumulado",SUM(Y$7:Y49)+W51,IFERROR(X51*$K51,0))))</f>
        <v>0</v>
      </c>
      <c r="Z51" s="112">
        <f>IF($J51="","",IF($J51="Total Mensal",SUM(AA$7:AA50)/VLOOKUP("Total Acumulado",$J:$K,2,FALSE),IF($J51="Total Acumulado",Z50+X51+IF(X$7="% Item",-1,0),0%)))</f>
        <v>0</v>
      </c>
      <c r="AA51" s="109">
        <f>IF($J51="","",IF($J51="Total Mensal",SUM(AA$7:AA50),IF($J51="Total Acumulado",SUM(AA$7:AA49)+Y51,IFERROR(Z51*$K51,0))))</f>
        <v>0</v>
      </c>
      <c r="AB51" s="112">
        <f>IF($J51="","",IF($J51="Total Mensal",SUM(AC$7:AC50)/VLOOKUP("Total Acumulado",$J:$K,2,FALSE),IF($J51="Total Acumulado",AB50+Z51+IF(Z$7="% Item",-1,0),0%)))</f>
        <v>0</v>
      </c>
      <c r="AC51" s="109">
        <f>IF($J51="","",IF($J51="Total Mensal",SUM(AC$7:AC50),IF($J51="Total Acumulado",SUM(AC$7:AC49)+AA51,IFERROR(AB51*$K51,0))))</f>
        <v>0</v>
      </c>
      <c r="AD51" s="112">
        <f>IF($J51="","",IF($J51="Total Mensal",SUM(AE$7:AE50)/VLOOKUP("Total Acumulado",$J:$K,2,FALSE),IF($J51="Total Acumulado",AD50+AB51+IF(AB$7="% Item",-1,0),0%)))</f>
        <v>0</v>
      </c>
      <c r="AE51" s="109">
        <f>IF($J51="","",IF($J51="Total Mensal",SUM(AE$7:AE50),IF($J51="Total Acumulado",SUM(AE$7:AE49)+AC51,IFERROR(AD51*$K51,0))))</f>
        <v>0</v>
      </c>
      <c r="AF51" s="112">
        <f>IF($J51="","",IF($J51="Total Mensal",SUM(AG$7:AG50)/VLOOKUP("Total Acumulado",$J:$K,2,FALSE),IF($J51="Total Acumulado",AF50+AD51+IF(AD$7="% Item",-1,0),0%)))</f>
        <v>0</v>
      </c>
      <c r="AG51" s="109">
        <f>IF($J51="","",IF($J51="Total Mensal",SUM(AG$7:AG50),IF($J51="Total Acumulado",SUM(AG$7:AG49)+AE51,IFERROR(AF51*$K51,0))))</f>
        <v>0</v>
      </c>
      <c r="AH51" s="112">
        <f>IF($J51="","",IF($J51="Total Mensal",SUM(AI$7:AI50)/VLOOKUP("Total Acumulado",$J:$K,2,FALSE),IF($J51="Total Acumulado",AH50+AF51+IF(AF$7="% Item",-1,0),0%)))</f>
        <v>0</v>
      </c>
      <c r="AI51" s="109">
        <f>IF($J51="","",IF($J51="Total Mensal",SUM(AI$7:AI50),IF($J51="Total Acumulado",SUM(AI$7:AI49)+AG51,IFERROR(AH51*$K51,0))))</f>
        <v>0</v>
      </c>
      <c r="AJ51" s="112">
        <f>IF($J51="","",IF($J51="Total Mensal",SUM(AK$7:AK50)/VLOOKUP("Total Acumulado",$J:$K,2,FALSE),IF($J51="Total Acumulado",AJ50+AH51+IF(AH$7="% Item",-1,0),0%)))</f>
        <v>0</v>
      </c>
      <c r="AK51" s="109">
        <f>IF($J51="","",IF($J51="Total Mensal",SUM(AK$7:AK50),IF($J51="Total Acumulado",SUM(AK$7:AK49)+AI51,IFERROR(AJ51*$K51,0))))</f>
        <v>0</v>
      </c>
    </row>
    <row r="52" spans="2:37" x14ac:dyDescent="0.25">
      <c r="B52" s="41">
        <f>IFERROR(IF(C51=C48,IF(B51+1&lt;='MAPA DE PREÇOS'!$H$8,B51+1,""),B51),"")</f>
        <v>45</v>
      </c>
      <c r="C52" s="41">
        <f>IFERROR(VLOOKUP(B52,'MAPA DE PREÇOS'!B:D,2,FALSE),"")</f>
        <v>1</v>
      </c>
      <c r="D52" s="41">
        <f>IFERROR(VLOOKUP(B52,'MAPA DE PREÇOS'!B:D,3,FALSE),"")</f>
        <v>45</v>
      </c>
      <c r="E52" s="82">
        <f t="shared" si="1"/>
        <v>45</v>
      </c>
      <c r="F52" s="82">
        <f>IF($B51="","",IF($C52=$C49,INDEX('MAPA DE PREÇOS'!$H:$H,MATCH($B52,'MAPA DE PREÇOS'!$B:$B)-19),IF($C52=$C50,"Código","")))</f>
        <v>0</v>
      </c>
      <c r="G52" s="83" t="str">
        <f>IF($B51="","",IF($C52=$C49,IF('BASE EDITAL'!$C$2="",INDEX('MAPA DE PREÇOS'!H:H,MATCH(EDITAL!B52,'MAPA DE PREÇOS'!B:B,0)+1),UPPER(INDEX('BASE EDITAL'!$C:$C,EDITAL!B52+1))),IF($C52=$C50,"Especificação do Objeto","")))</f>
        <v>Alicate crimpador de tubos</v>
      </c>
      <c r="H52" s="84" t="str">
        <f>IF($B51="","",IF($C52=$C49,INDEX('MAPA DE PREÇOS'!$M:$M,MATCH($B52,'MAPA DE PREÇOS'!$B:$B)-16),IF($C52=$C50,"Unidade","")))</f>
        <v>UN</v>
      </c>
      <c r="I52" s="84">
        <f>IF($B51="","",IF($C52=$C49,INDEX('MAPA DE PREÇOS'!$M:$M,MATCH($B52,'MAPA DE PREÇOS'!$B:$B)-17),IF($C52=$C50,"Quant.","")))</f>
        <v>2</v>
      </c>
      <c r="J52" s="60">
        <f>IF(J51="Total Mensal","Total Acumulado",IF($B51="","",IF($C52=$C49,INDEX('MAPA DE PREÇOS'!$M:$M,MATCH($B52,'MAPA DE PREÇOS'!$B:$B)-19),IF($C52=$C50,"Valor Unit. (R$)",IF(AND($C52&lt;&gt;$C51,$J51&lt;&gt;""),"Total Mensal","")))))</f>
        <v>1254.58</v>
      </c>
      <c r="K52" s="75">
        <f>IF(J52="","",IF(J52="Total Mensal","-",IF(J52="Total Acumulado",SUM(K$7:K51),I52*J52)))</f>
        <v>2509.16</v>
      </c>
      <c r="L52" s="112" t="e">
        <f>IF(J52="","",IF(J52="Total Mensal","-",IF(J52="Total Acumulado",SUM(L$7:L51),K52/SUMIF(J:J,"Total Acumulado",K:K))))</f>
        <v>#DIV/0!</v>
      </c>
      <c r="M52" s="108"/>
      <c r="N52" s="112">
        <f>IF($J52="","",IF($J52="Total Mensal",SUM(O$7:O51)/VLOOKUP("Total Acumulado",$J:$K,2,FALSE),IF($J52="Total Acumulado",N51+L52+IF(L$7="% Item",-1,0),0%)))</f>
        <v>0</v>
      </c>
      <c r="O52" s="109">
        <f>IF($J52="","",IF($J52="Total Mensal",SUM(O$7:O51),IF($J52="Total Acumulado",SUM(O$7:O50)+M52,IFERROR(N52*$K52,0))))</f>
        <v>0</v>
      </c>
      <c r="P52" s="112">
        <f>IF($J52="","",IF($J52="Total Mensal",SUM(Q$7:Q51)/VLOOKUP("Total Acumulado",$J:$K,2,FALSE),IF($J52="Total Acumulado",P51+N52+IF(N$7="% Item",-1,0),0%)))</f>
        <v>0</v>
      </c>
      <c r="Q52" s="109">
        <f>IF($J52="","",IF($J52="Total Mensal",SUM(Q$7:Q51),IF($J52="Total Acumulado",SUM(Q$7:Q50)+O52,IFERROR(P52*$K52,0))))</f>
        <v>0</v>
      </c>
      <c r="R52" s="112">
        <f>IF($J52="","",IF($J52="Total Mensal",SUM(S$7:S51)/VLOOKUP("Total Acumulado",$J:$K,2,FALSE),IF($J52="Total Acumulado",R51+P52+IF(P$7="% Item",-1,0),0%)))</f>
        <v>0</v>
      </c>
      <c r="S52" s="109">
        <f>IF($J52="","",IF($J52="Total Mensal",SUM(S$7:S51),IF($J52="Total Acumulado",SUM(S$7:S50)+Q52,IFERROR(R52*$K52,0))))</f>
        <v>0</v>
      </c>
      <c r="T52" s="112">
        <f>IF($J52="","",IF($J52="Total Mensal",SUM(U$7:U51)/VLOOKUP("Total Acumulado",$J:$K,2,FALSE),IF($J52="Total Acumulado",T51+R52+IF(R$7="% Item",-1,0),0%)))</f>
        <v>0</v>
      </c>
      <c r="U52" s="109">
        <f>IF($J52="","",IF($J52="Total Mensal",SUM(U$7:U51),IF($J52="Total Acumulado",SUM(U$7:U50)+S52,IFERROR(T52*$K52,0))))</f>
        <v>0</v>
      </c>
      <c r="V52" s="112">
        <f>IF($J52="","",IF($J52="Total Mensal",SUM(W$7:W51)/VLOOKUP("Total Acumulado",$J:$K,2,FALSE),IF($J52="Total Acumulado",V51+T52+IF(T$7="% Item",-1,0),0%)))</f>
        <v>0</v>
      </c>
      <c r="W52" s="109">
        <f>IF($J52="","",IF($J52="Total Mensal",SUM(W$7:W51),IF($J52="Total Acumulado",SUM(W$7:W50)+U52,IFERROR(V52*$K52,0))))</f>
        <v>0</v>
      </c>
      <c r="X52" s="112">
        <f>IF($J52="","",IF($J52="Total Mensal",SUM(Y$7:Y51)/VLOOKUP("Total Acumulado",$J:$K,2,FALSE),IF($J52="Total Acumulado",X51+V52+IF(V$7="% Item",-1,0),0%)))</f>
        <v>0</v>
      </c>
      <c r="Y52" s="109">
        <f>IF($J52="","",IF($J52="Total Mensal",SUM(Y$7:Y51),IF($J52="Total Acumulado",SUM(Y$7:Y50)+W52,IFERROR(X52*$K52,0))))</f>
        <v>0</v>
      </c>
      <c r="Z52" s="112">
        <f>IF($J52="","",IF($J52="Total Mensal",SUM(AA$7:AA51)/VLOOKUP("Total Acumulado",$J:$K,2,FALSE),IF($J52="Total Acumulado",Z51+X52+IF(X$7="% Item",-1,0),0%)))</f>
        <v>0</v>
      </c>
      <c r="AA52" s="109">
        <f>IF($J52="","",IF($J52="Total Mensal",SUM(AA$7:AA51),IF($J52="Total Acumulado",SUM(AA$7:AA50)+Y52,IFERROR(Z52*$K52,0))))</f>
        <v>0</v>
      </c>
      <c r="AB52" s="112">
        <f>IF($J52="","",IF($J52="Total Mensal",SUM(AC$7:AC51)/VLOOKUP("Total Acumulado",$J:$K,2,FALSE),IF($J52="Total Acumulado",AB51+Z52+IF(Z$7="% Item",-1,0),0%)))</f>
        <v>0</v>
      </c>
      <c r="AC52" s="109">
        <f>IF($J52="","",IF($J52="Total Mensal",SUM(AC$7:AC51),IF($J52="Total Acumulado",SUM(AC$7:AC50)+AA52,IFERROR(AB52*$K52,0))))</f>
        <v>0</v>
      </c>
      <c r="AD52" s="112">
        <f>IF($J52="","",IF($J52="Total Mensal",SUM(AE$7:AE51)/VLOOKUP("Total Acumulado",$J:$K,2,FALSE),IF($J52="Total Acumulado",AD51+AB52+IF(AB$7="% Item",-1,0),0%)))</f>
        <v>0</v>
      </c>
      <c r="AE52" s="109">
        <f>IF($J52="","",IF($J52="Total Mensal",SUM(AE$7:AE51),IF($J52="Total Acumulado",SUM(AE$7:AE50)+AC52,IFERROR(AD52*$K52,0))))</f>
        <v>0</v>
      </c>
      <c r="AF52" s="112">
        <f>IF($J52="","",IF($J52="Total Mensal",SUM(AG$7:AG51)/VLOOKUP("Total Acumulado",$J:$K,2,FALSE),IF($J52="Total Acumulado",AF51+AD52+IF(AD$7="% Item",-1,0),0%)))</f>
        <v>0</v>
      </c>
      <c r="AG52" s="109">
        <f>IF($J52="","",IF($J52="Total Mensal",SUM(AG$7:AG51),IF($J52="Total Acumulado",SUM(AG$7:AG50)+AE52,IFERROR(AF52*$K52,0))))</f>
        <v>0</v>
      </c>
      <c r="AH52" s="112">
        <f>IF($J52="","",IF($J52="Total Mensal",SUM(AI$7:AI51)/VLOOKUP("Total Acumulado",$J:$K,2,FALSE),IF($J52="Total Acumulado",AH51+AF52+IF(AF$7="% Item",-1,0),0%)))</f>
        <v>0</v>
      </c>
      <c r="AI52" s="109">
        <f>IF($J52="","",IF($J52="Total Mensal",SUM(AI$7:AI51),IF($J52="Total Acumulado",SUM(AI$7:AI50)+AG52,IFERROR(AH52*$K52,0))))</f>
        <v>0</v>
      </c>
      <c r="AJ52" s="112">
        <f>IF($J52="","",IF($J52="Total Mensal",SUM(AK$7:AK51)/VLOOKUP("Total Acumulado",$J:$K,2,FALSE),IF($J52="Total Acumulado",AJ51+AH52+IF(AH$7="% Item",-1,0),0%)))</f>
        <v>0</v>
      </c>
      <c r="AK52" s="109">
        <f>IF($J52="","",IF($J52="Total Mensal",SUM(AK$7:AK51),IF($J52="Total Acumulado",SUM(AK$7:AK50)+AI52,IFERROR(AJ52*$K52,0))))</f>
        <v>0</v>
      </c>
    </row>
    <row r="53" spans="2:37" x14ac:dyDescent="0.25">
      <c r="B53" s="41">
        <f>IFERROR(IF(C52=C49,IF(B52+1&lt;='MAPA DE PREÇOS'!$H$8,B52+1,""),B52),"")</f>
        <v>46</v>
      </c>
      <c r="C53" s="41">
        <f>IFERROR(VLOOKUP(B53,'MAPA DE PREÇOS'!B:D,2,FALSE),"")</f>
        <v>1</v>
      </c>
      <c r="D53" s="41">
        <f>IFERROR(VLOOKUP(B53,'MAPA DE PREÇOS'!B:D,3,FALSE),"")</f>
        <v>46</v>
      </c>
      <c r="E53" s="82">
        <f t="shared" si="1"/>
        <v>46</v>
      </c>
      <c r="F53" s="82">
        <f>IF($B52="","",IF($C53=$C50,INDEX('MAPA DE PREÇOS'!$H:$H,MATCH($B53,'MAPA DE PREÇOS'!$B:$B)-19),IF($C53=$C51,"Código","")))</f>
        <v>0</v>
      </c>
      <c r="G53" s="83" t="str">
        <f>IF($B52="","",IF($C53=$C50,IF('BASE EDITAL'!$C$2="",INDEX('MAPA DE PREÇOS'!H:H,MATCH(EDITAL!B53,'MAPA DE PREÇOS'!B:B,0)+1),UPPER(INDEX('BASE EDITAL'!$C:$C,EDITAL!B53+1))),IF($C53=$C51,"Especificação do Objeto","")))</f>
        <v>Cortador de tubo</v>
      </c>
      <c r="H53" s="84" t="str">
        <f>IF($B52="","",IF($C53=$C50,INDEX('MAPA DE PREÇOS'!$M:$M,MATCH($B53,'MAPA DE PREÇOS'!$B:$B)-16),IF($C53=$C51,"Unidade","")))</f>
        <v>UN</v>
      </c>
      <c r="I53" s="84">
        <f>IF($B52="","",IF($C53=$C50,INDEX('MAPA DE PREÇOS'!$M:$M,MATCH($B53,'MAPA DE PREÇOS'!$B:$B)-17),IF($C53=$C51,"Quant.","")))</f>
        <v>2</v>
      </c>
      <c r="J53" s="60">
        <f>IF(J52="Total Mensal","Total Acumulado",IF($B52="","",IF($C53=$C50,INDEX('MAPA DE PREÇOS'!$M:$M,MATCH($B53,'MAPA DE PREÇOS'!$B:$B)-19),IF($C53=$C51,"Valor Unit. (R$)",IF(AND($C53&lt;&gt;$C52,$J52&lt;&gt;""),"Total Mensal","")))))</f>
        <v>44.15</v>
      </c>
      <c r="K53" s="75">
        <f>IF(J53="","",IF(J53="Total Mensal","-",IF(J53="Total Acumulado",SUM(K$7:K52),I53*J53)))</f>
        <v>88.3</v>
      </c>
      <c r="L53" s="112" t="e">
        <f>IF(J53="","",IF(J53="Total Mensal","-",IF(J53="Total Acumulado",SUM(L$7:L52),K53/SUMIF(J:J,"Total Acumulado",K:K))))</f>
        <v>#DIV/0!</v>
      </c>
      <c r="M53" s="108"/>
      <c r="N53" s="112">
        <f>IF($J53="","",IF($J53="Total Mensal",SUM(O$7:O52)/VLOOKUP("Total Acumulado",$J:$K,2,FALSE),IF($J53="Total Acumulado",N52+L53+IF(L$7="% Item",-1,0),0%)))</f>
        <v>0</v>
      </c>
      <c r="O53" s="109">
        <f>IF($J53="","",IF($J53="Total Mensal",SUM(O$7:O52),IF($J53="Total Acumulado",SUM(O$7:O51)+M53,IFERROR(N53*$K53,0))))</f>
        <v>0</v>
      </c>
      <c r="P53" s="112">
        <f>IF($J53="","",IF($J53="Total Mensal",SUM(Q$7:Q52)/VLOOKUP("Total Acumulado",$J:$K,2,FALSE),IF($J53="Total Acumulado",P52+N53+IF(N$7="% Item",-1,0),0%)))</f>
        <v>0</v>
      </c>
      <c r="Q53" s="109">
        <f>IF($J53="","",IF($J53="Total Mensal",SUM(Q$7:Q52),IF($J53="Total Acumulado",SUM(Q$7:Q51)+O53,IFERROR(P53*$K53,0))))</f>
        <v>0</v>
      </c>
      <c r="R53" s="112">
        <f>IF($J53="","",IF($J53="Total Mensal",SUM(S$7:S52)/VLOOKUP("Total Acumulado",$J:$K,2,FALSE),IF($J53="Total Acumulado",R52+P53+IF(P$7="% Item",-1,0),0%)))</f>
        <v>0</v>
      </c>
      <c r="S53" s="109">
        <f>IF($J53="","",IF($J53="Total Mensal",SUM(S$7:S52),IF($J53="Total Acumulado",SUM(S$7:S51)+Q53,IFERROR(R53*$K53,0))))</f>
        <v>0</v>
      </c>
      <c r="T53" s="112">
        <f>IF($J53="","",IF($J53="Total Mensal",SUM(U$7:U52)/VLOOKUP("Total Acumulado",$J:$K,2,FALSE),IF($J53="Total Acumulado",T52+R53+IF(R$7="% Item",-1,0),0%)))</f>
        <v>0</v>
      </c>
      <c r="U53" s="109">
        <f>IF($J53="","",IF($J53="Total Mensal",SUM(U$7:U52),IF($J53="Total Acumulado",SUM(U$7:U51)+S53,IFERROR(T53*$K53,0))))</f>
        <v>0</v>
      </c>
      <c r="V53" s="112">
        <f>IF($J53="","",IF($J53="Total Mensal",SUM(W$7:W52)/VLOOKUP("Total Acumulado",$J:$K,2,FALSE),IF($J53="Total Acumulado",V52+T53+IF(T$7="% Item",-1,0),0%)))</f>
        <v>0</v>
      </c>
      <c r="W53" s="109">
        <f>IF($J53="","",IF($J53="Total Mensal",SUM(W$7:W52),IF($J53="Total Acumulado",SUM(W$7:W51)+U53,IFERROR(V53*$K53,0))))</f>
        <v>0</v>
      </c>
      <c r="X53" s="112">
        <f>IF($J53="","",IF($J53="Total Mensal",SUM(Y$7:Y52)/VLOOKUP("Total Acumulado",$J:$K,2,FALSE),IF($J53="Total Acumulado",X52+V53+IF(V$7="% Item",-1,0),0%)))</f>
        <v>0</v>
      </c>
      <c r="Y53" s="109">
        <f>IF($J53="","",IF($J53="Total Mensal",SUM(Y$7:Y52),IF($J53="Total Acumulado",SUM(Y$7:Y51)+W53,IFERROR(X53*$K53,0))))</f>
        <v>0</v>
      </c>
      <c r="Z53" s="112">
        <f>IF($J53="","",IF($J53="Total Mensal",SUM(AA$7:AA52)/VLOOKUP("Total Acumulado",$J:$K,2,FALSE),IF($J53="Total Acumulado",Z52+X53+IF(X$7="% Item",-1,0),0%)))</f>
        <v>0</v>
      </c>
      <c r="AA53" s="109">
        <f>IF($J53="","",IF($J53="Total Mensal",SUM(AA$7:AA52),IF($J53="Total Acumulado",SUM(AA$7:AA51)+Y53,IFERROR(Z53*$K53,0))))</f>
        <v>0</v>
      </c>
      <c r="AB53" s="112">
        <f>IF($J53="","",IF($J53="Total Mensal",SUM(AC$7:AC52)/VLOOKUP("Total Acumulado",$J:$K,2,FALSE),IF($J53="Total Acumulado",AB52+Z53+IF(Z$7="% Item",-1,0),0%)))</f>
        <v>0</v>
      </c>
      <c r="AC53" s="109">
        <f>IF($J53="","",IF($J53="Total Mensal",SUM(AC$7:AC52),IF($J53="Total Acumulado",SUM(AC$7:AC51)+AA53,IFERROR(AB53*$K53,0))))</f>
        <v>0</v>
      </c>
      <c r="AD53" s="112">
        <f>IF($J53="","",IF($J53="Total Mensal",SUM(AE$7:AE52)/VLOOKUP("Total Acumulado",$J:$K,2,FALSE),IF($J53="Total Acumulado",AD52+AB53+IF(AB$7="% Item",-1,0),0%)))</f>
        <v>0</v>
      </c>
      <c r="AE53" s="109">
        <f>IF($J53="","",IF($J53="Total Mensal",SUM(AE$7:AE52),IF($J53="Total Acumulado",SUM(AE$7:AE51)+AC53,IFERROR(AD53*$K53,0))))</f>
        <v>0</v>
      </c>
      <c r="AF53" s="112">
        <f>IF($J53="","",IF($J53="Total Mensal",SUM(AG$7:AG52)/VLOOKUP("Total Acumulado",$J:$K,2,FALSE),IF($J53="Total Acumulado",AF52+AD53+IF(AD$7="% Item",-1,0),0%)))</f>
        <v>0</v>
      </c>
      <c r="AG53" s="109">
        <f>IF($J53="","",IF($J53="Total Mensal",SUM(AG$7:AG52),IF($J53="Total Acumulado",SUM(AG$7:AG51)+AE53,IFERROR(AF53*$K53,0))))</f>
        <v>0</v>
      </c>
      <c r="AH53" s="112">
        <f>IF($J53="","",IF($J53="Total Mensal",SUM(AI$7:AI52)/VLOOKUP("Total Acumulado",$J:$K,2,FALSE),IF($J53="Total Acumulado",AH52+AF53+IF(AF$7="% Item",-1,0),0%)))</f>
        <v>0</v>
      </c>
      <c r="AI53" s="109">
        <f>IF($J53="","",IF($J53="Total Mensal",SUM(AI$7:AI52),IF($J53="Total Acumulado",SUM(AI$7:AI51)+AG53,IFERROR(AH53*$K53,0))))</f>
        <v>0</v>
      </c>
      <c r="AJ53" s="112">
        <f>IF($J53="","",IF($J53="Total Mensal",SUM(AK$7:AK52)/VLOOKUP("Total Acumulado",$J:$K,2,FALSE),IF($J53="Total Acumulado",AJ52+AH53+IF(AH$7="% Item",-1,0),0%)))</f>
        <v>0</v>
      </c>
      <c r="AK53" s="109">
        <f>IF($J53="","",IF($J53="Total Mensal",SUM(AK$7:AK52),IF($J53="Total Acumulado",SUM(AK$7:AK51)+AI53,IFERROR(AJ53*$K53,0))))</f>
        <v>0</v>
      </c>
    </row>
    <row r="54" spans="2:37" x14ac:dyDescent="0.25">
      <c r="B54" s="41">
        <f>IFERROR(IF(C53=C50,IF(B53+1&lt;='MAPA DE PREÇOS'!$H$8,B53+1,""),B53),"")</f>
        <v>47</v>
      </c>
      <c r="C54" s="41">
        <f>IFERROR(VLOOKUP(B54,'MAPA DE PREÇOS'!B:D,2,FALSE),"")</f>
        <v>1</v>
      </c>
      <c r="D54" s="41">
        <f>IFERROR(VLOOKUP(B54,'MAPA DE PREÇOS'!B:D,3,FALSE),"")</f>
        <v>47</v>
      </c>
      <c r="E54" s="82">
        <f t="shared" si="1"/>
        <v>47</v>
      </c>
      <c r="F54" s="82">
        <f>IF($B53="","",IF($C54=$C51,INDEX('MAPA DE PREÇOS'!$H:$H,MATCH($B54,'MAPA DE PREÇOS'!$B:$B)-19),IF($C54=$C52,"Código","")))</f>
        <v>0</v>
      </c>
      <c r="G54" s="83" t="str">
        <f>IF($B53="","",IF($C54=$C51,IF('BASE EDITAL'!$C$2="",INDEX('MAPA DE PREÇOS'!H:H,MATCH(EDITAL!B54,'MAPA DE PREÇOS'!B:B,0)+1),UPPER(INDEX('BASE EDITAL'!$C:$C,EDITAL!B54+1))),IF($C54=$C52,"Especificação do Objeto","")))</f>
        <v>Arco de serra</v>
      </c>
      <c r="H54" s="84" t="str">
        <f>IF($B53="","",IF($C54=$C51,INDEX('MAPA DE PREÇOS'!$M:$M,MATCH($B54,'MAPA DE PREÇOS'!$B:$B)-16),IF($C54=$C52,"Unidade","")))</f>
        <v>UN</v>
      </c>
      <c r="I54" s="84">
        <f>IF($B53="","",IF($C54=$C51,INDEX('MAPA DE PREÇOS'!$M:$M,MATCH($B54,'MAPA DE PREÇOS'!$B:$B)-17),IF($C54=$C52,"Quant.","")))</f>
        <v>2</v>
      </c>
      <c r="J54" s="60">
        <f>IF(J53="Total Mensal","Total Acumulado",IF($B53="","",IF($C54=$C51,INDEX('MAPA DE PREÇOS'!$M:$M,MATCH($B54,'MAPA DE PREÇOS'!$B:$B)-19),IF($C54=$C52,"Valor Unit. (R$)",IF(AND($C54&lt;&gt;$C53,$J53&lt;&gt;""),"Total Mensal","")))))</f>
        <v>57</v>
      </c>
      <c r="K54" s="75">
        <f>IF(J54="","",IF(J54="Total Mensal","-",IF(J54="Total Acumulado",SUM(K$7:K53),I54*J54)))</f>
        <v>114</v>
      </c>
      <c r="L54" s="112" t="e">
        <f>IF(J54="","",IF(J54="Total Mensal","-",IF(J54="Total Acumulado",SUM(L$7:L53),K54/SUMIF(J:J,"Total Acumulado",K:K))))</f>
        <v>#DIV/0!</v>
      </c>
      <c r="M54" s="108"/>
      <c r="N54" s="112">
        <f>IF($J54="","",IF($J54="Total Mensal",SUM(O$7:O53)/VLOOKUP("Total Acumulado",$J:$K,2,FALSE),IF($J54="Total Acumulado",N53+L54+IF(L$7="% Item",-1,0),0%)))</f>
        <v>0</v>
      </c>
      <c r="O54" s="109">
        <f>IF($J54="","",IF($J54="Total Mensal",SUM(O$7:O53),IF($J54="Total Acumulado",SUM(O$7:O52)+M54,IFERROR(N54*$K54,0))))</f>
        <v>0</v>
      </c>
      <c r="P54" s="112">
        <f>IF($J54="","",IF($J54="Total Mensal",SUM(Q$7:Q53)/VLOOKUP("Total Acumulado",$J:$K,2,FALSE),IF($J54="Total Acumulado",P53+N54+IF(N$7="% Item",-1,0),0%)))</f>
        <v>0</v>
      </c>
      <c r="Q54" s="109">
        <f>IF($J54="","",IF($J54="Total Mensal",SUM(Q$7:Q53),IF($J54="Total Acumulado",SUM(Q$7:Q52)+O54,IFERROR(P54*$K54,0))))</f>
        <v>0</v>
      </c>
      <c r="R54" s="112">
        <f>IF($J54="","",IF($J54="Total Mensal",SUM(S$7:S53)/VLOOKUP("Total Acumulado",$J:$K,2,FALSE),IF($J54="Total Acumulado",R53+P54+IF(P$7="% Item",-1,0),0%)))</f>
        <v>0</v>
      </c>
      <c r="S54" s="109">
        <f>IF($J54="","",IF($J54="Total Mensal",SUM(S$7:S53),IF($J54="Total Acumulado",SUM(S$7:S52)+Q54,IFERROR(R54*$K54,0))))</f>
        <v>0</v>
      </c>
      <c r="T54" s="112">
        <f>IF($J54="","",IF($J54="Total Mensal",SUM(U$7:U53)/VLOOKUP("Total Acumulado",$J:$K,2,FALSE),IF($J54="Total Acumulado",T53+R54+IF(R$7="% Item",-1,0),0%)))</f>
        <v>0</v>
      </c>
      <c r="U54" s="109">
        <f>IF($J54="","",IF($J54="Total Mensal",SUM(U$7:U53),IF($J54="Total Acumulado",SUM(U$7:U52)+S54,IFERROR(T54*$K54,0))))</f>
        <v>0</v>
      </c>
      <c r="V54" s="112">
        <f>IF($J54="","",IF($J54="Total Mensal",SUM(W$7:W53)/VLOOKUP("Total Acumulado",$J:$K,2,FALSE),IF($J54="Total Acumulado",V53+T54+IF(T$7="% Item",-1,0),0%)))</f>
        <v>0</v>
      </c>
      <c r="W54" s="109">
        <f>IF($J54="","",IF($J54="Total Mensal",SUM(W$7:W53),IF($J54="Total Acumulado",SUM(W$7:W52)+U54,IFERROR(V54*$K54,0))))</f>
        <v>0</v>
      </c>
      <c r="X54" s="112">
        <f>IF($J54="","",IF($J54="Total Mensal",SUM(Y$7:Y53)/VLOOKUP("Total Acumulado",$J:$K,2,FALSE),IF($J54="Total Acumulado",X53+V54+IF(V$7="% Item",-1,0),0%)))</f>
        <v>0</v>
      </c>
      <c r="Y54" s="109">
        <f>IF($J54="","",IF($J54="Total Mensal",SUM(Y$7:Y53),IF($J54="Total Acumulado",SUM(Y$7:Y52)+W54,IFERROR(X54*$K54,0))))</f>
        <v>0</v>
      </c>
      <c r="Z54" s="112">
        <f>IF($J54="","",IF($J54="Total Mensal",SUM(AA$7:AA53)/VLOOKUP("Total Acumulado",$J:$K,2,FALSE),IF($J54="Total Acumulado",Z53+X54+IF(X$7="% Item",-1,0),0%)))</f>
        <v>0</v>
      </c>
      <c r="AA54" s="109">
        <f>IF($J54="","",IF($J54="Total Mensal",SUM(AA$7:AA53),IF($J54="Total Acumulado",SUM(AA$7:AA52)+Y54,IFERROR(Z54*$K54,0))))</f>
        <v>0</v>
      </c>
      <c r="AB54" s="112">
        <f>IF($J54="","",IF($J54="Total Mensal",SUM(AC$7:AC53)/VLOOKUP("Total Acumulado",$J:$K,2,FALSE),IF($J54="Total Acumulado",AB53+Z54+IF(Z$7="% Item",-1,0),0%)))</f>
        <v>0</v>
      </c>
      <c r="AC54" s="109">
        <f>IF($J54="","",IF($J54="Total Mensal",SUM(AC$7:AC53),IF($J54="Total Acumulado",SUM(AC$7:AC52)+AA54,IFERROR(AB54*$K54,0))))</f>
        <v>0</v>
      </c>
      <c r="AD54" s="112">
        <f>IF($J54="","",IF($J54="Total Mensal",SUM(AE$7:AE53)/VLOOKUP("Total Acumulado",$J:$K,2,FALSE),IF($J54="Total Acumulado",AD53+AB54+IF(AB$7="% Item",-1,0),0%)))</f>
        <v>0</v>
      </c>
      <c r="AE54" s="109">
        <f>IF($J54="","",IF($J54="Total Mensal",SUM(AE$7:AE53),IF($J54="Total Acumulado",SUM(AE$7:AE52)+AC54,IFERROR(AD54*$K54,0))))</f>
        <v>0</v>
      </c>
      <c r="AF54" s="112">
        <f>IF($J54="","",IF($J54="Total Mensal",SUM(AG$7:AG53)/VLOOKUP("Total Acumulado",$J:$K,2,FALSE),IF($J54="Total Acumulado",AF53+AD54+IF(AD$7="% Item",-1,0),0%)))</f>
        <v>0</v>
      </c>
      <c r="AG54" s="109">
        <f>IF($J54="","",IF($J54="Total Mensal",SUM(AG$7:AG53),IF($J54="Total Acumulado",SUM(AG$7:AG52)+AE54,IFERROR(AF54*$K54,0))))</f>
        <v>0</v>
      </c>
      <c r="AH54" s="112">
        <f>IF($J54="","",IF($J54="Total Mensal",SUM(AI$7:AI53)/VLOOKUP("Total Acumulado",$J:$K,2,FALSE),IF($J54="Total Acumulado",AH53+AF54+IF(AF$7="% Item",-1,0),0%)))</f>
        <v>0</v>
      </c>
      <c r="AI54" s="109">
        <f>IF($J54="","",IF($J54="Total Mensal",SUM(AI$7:AI53),IF($J54="Total Acumulado",SUM(AI$7:AI52)+AG54,IFERROR(AH54*$K54,0))))</f>
        <v>0</v>
      </c>
      <c r="AJ54" s="112">
        <f>IF($J54="","",IF($J54="Total Mensal",SUM(AK$7:AK53)/VLOOKUP("Total Acumulado",$J:$K,2,FALSE),IF($J54="Total Acumulado",AJ53+AH54+IF(AH$7="% Item",-1,0),0%)))</f>
        <v>0</v>
      </c>
      <c r="AK54" s="109">
        <f>IF($J54="","",IF($J54="Total Mensal",SUM(AK$7:AK53),IF($J54="Total Acumulado",SUM(AK$7:AK52)+AI54,IFERROR(AJ54*$K54,0))))</f>
        <v>0</v>
      </c>
    </row>
    <row r="55" spans="2:37" x14ac:dyDescent="0.25">
      <c r="B55" s="41">
        <f>IFERROR(IF(C54=C51,IF(B54+1&lt;='MAPA DE PREÇOS'!$H$8,B54+1,""),B54),"")</f>
        <v>48</v>
      </c>
      <c r="C55" s="41">
        <f>IFERROR(VLOOKUP(B55,'MAPA DE PREÇOS'!B:D,2,FALSE),"")</f>
        <v>1</v>
      </c>
      <c r="D55" s="41">
        <f>IFERROR(VLOOKUP(B55,'MAPA DE PREÇOS'!B:D,3,FALSE),"")</f>
        <v>48</v>
      </c>
      <c r="E55" s="82">
        <f t="shared" si="1"/>
        <v>48</v>
      </c>
      <c r="F55" s="82">
        <f>IF($B54="","",IF($C55=$C52,INDEX('MAPA DE PREÇOS'!$H:$H,MATCH($B55,'MAPA DE PREÇOS'!$B:$B)-19),IF($C55=$C53,"Código","")))</f>
        <v>0</v>
      </c>
      <c r="G55" s="83" t="str">
        <f>IF($B54="","",IF($C55=$C52,IF('BASE EDITAL'!$C$2="",INDEX('MAPA DE PREÇOS'!H:H,MATCH(EDITAL!B55,'MAPA DE PREÇOS'!B:B,0)+1),UPPER(INDEX('BASE EDITAL'!$C:$C,EDITAL!B55+1))),IF($C55=$C53,"Especificação do Objeto","")))</f>
        <v>Paquímetro Universal Analógico em Aço 150mm</v>
      </c>
      <c r="H55" s="84" t="str">
        <f>IF($B54="","",IF($C55=$C52,INDEX('MAPA DE PREÇOS'!$M:$M,MATCH($B55,'MAPA DE PREÇOS'!$B:$B)-16),IF($C55=$C53,"Unidade","")))</f>
        <v>UN</v>
      </c>
      <c r="I55" s="84">
        <f>IF($B54="","",IF($C55=$C52,INDEX('MAPA DE PREÇOS'!$M:$M,MATCH($B55,'MAPA DE PREÇOS'!$B:$B)-17),IF($C55=$C53,"Quant.","")))</f>
        <v>2</v>
      </c>
      <c r="J55" s="60">
        <f>IF(J54="Total Mensal","Total Acumulado",IF($B54="","",IF($C55=$C52,INDEX('MAPA DE PREÇOS'!$M:$M,MATCH($B55,'MAPA DE PREÇOS'!$B:$B)-19),IF($C55=$C53,"Valor Unit. (R$)",IF(AND($C55&lt;&gt;$C54,$J54&lt;&gt;""),"Total Mensal","")))))</f>
        <v>58.23</v>
      </c>
      <c r="K55" s="75">
        <f>IF(J55="","",IF(J55="Total Mensal","-",IF(J55="Total Acumulado",SUM(K$7:K54),I55*J55)))</f>
        <v>116.46</v>
      </c>
      <c r="L55" s="112" t="e">
        <f>IF(J55="","",IF(J55="Total Mensal","-",IF(J55="Total Acumulado",SUM(L$7:L54),K55/SUMIF(J:J,"Total Acumulado",K:K))))</f>
        <v>#DIV/0!</v>
      </c>
      <c r="M55" s="108"/>
      <c r="N55" s="112">
        <f>IF($J55="","",IF($J55="Total Mensal",SUM(O$7:O54)/VLOOKUP("Total Acumulado",$J:$K,2,FALSE),IF($J55="Total Acumulado",N54+L55+IF(L$7="% Item",-1,0),0%)))</f>
        <v>0</v>
      </c>
      <c r="O55" s="109">
        <f>IF($J55="","",IF($J55="Total Mensal",SUM(O$7:O54),IF($J55="Total Acumulado",SUM(O$7:O53)+M55,IFERROR(N55*$K55,0))))</f>
        <v>0</v>
      </c>
      <c r="P55" s="112">
        <f>IF($J55="","",IF($J55="Total Mensal",SUM(Q$7:Q54)/VLOOKUP("Total Acumulado",$J:$K,2,FALSE),IF($J55="Total Acumulado",P54+N55+IF(N$7="% Item",-1,0),0%)))</f>
        <v>0</v>
      </c>
      <c r="Q55" s="109">
        <f>IF($J55="","",IF($J55="Total Mensal",SUM(Q$7:Q54),IF($J55="Total Acumulado",SUM(Q$7:Q53)+O55,IFERROR(P55*$K55,0))))</f>
        <v>0</v>
      </c>
      <c r="R55" s="112">
        <f>IF($J55="","",IF($J55="Total Mensal",SUM(S$7:S54)/VLOOKUP("Total Acumulado",$J:$K,2,FALSE),IF($J55="Total Acumulado",R54+P55+IF(P$7="% Item",-1,0),0%)))</f>
        <v>0</v>
      </c>
      <c r="S55" s="109">
        <f>IF($J55="","",IF($J55="Total Mensal",SUM(S$7:S54),IF($J55="Total Acumulado",SUM(S$7:S53)+Q55,IFERROR(R55*$K55,0))))</f>
        <v>0</v>
      </c>
      <c r="T55" s="112">
        <f>IF($J55="","",IF($J55="Total Mensal",SUM(U$7:U54)/VLOOKUP("Total Acumulado",$J:$K,2,FALSE),IF($J55="Total Acumulado",T54+R55+IF(R$7="% Item",-1,0),0%)))</f>
        <v>0</v>
      </c>
      <c r="U55" s="109">
        <f>IF($J55="","",IF($J55="Total Mensal",SUM(U$7:U54),IF($J55="Total Acumulado",SUM(U$7:U53)+S55,IFERROR(T55*$K55,0))))</f>
        <v>0</v>
      </c>
      <c r="V55" s="112">
        <f>IF($J55="","",IF($J55="Total Mensal",SUM(W$7:W54)/VLOOKUP("Total Acumulado",$J:$K,2,FALSE),IF($J55="Total Acumulado",V54+T55+IF(T$7="% Item",-1,0),0%)))</f>
        <v>0</v>
      </c>
      <c r="W55" s="109">
        <f>IF($J55="","",IF($J55="Total Mensal",SUM(W$7:W54),IF($J55="Total Acumulado",SUM(W$7:W53)+U55,IFERROR(V55*$K55,0))))</f>
        <v>0</v>
      </c>
      <c r="X55" s="112">
        <f>IF($J55="","",IF($J55="Total Mensal",SUM(Y$7:Y54)/VLOOKUP("Total Acumulado",$J:$K,2,FALSE),IF($J55="Total Acumulado",X54+V55+IF(V$7="% Item",-1,0),0%)))</f>
        <v>0</v>
      </c>
      <c r="Y55" s="109">
        <f>IF($J55="","",IF($J55="Total Mensal",SUM(Y$7:Y54),IF($J55="Total Acumulado",SUM(Y$7:Y53)+W55,IFERROR(X55*$K55,0))))</f>
        <v>0</v>
      </c>
      <c r="Z55" s="112">
        <f>IF($J55="","",IF($J55="Total Mensal",SUM(AA$7:AA54)/VLOOKUP("Total Acumulado",$J:$K,2,FALSE),IF($J55="Total Acumulado",Z54+X55+IF(X$7="% Item",-1,0),0%)))</f>
        <v>0</v>
      </c>
      <c r="AA55" s="109">
        <f>IF($J55="","",IF($J55="Total Mensal",SUM(AA$7:AA54),IF($J55="Total Acumulado",SUM(AA$7:AA53)+Y55,IFERROR(Z55*$K55,0))))</f>
        <v>0</v>
      </c>
      <c r="AB55" s="112">
        <f>IF($J55="","",IF($J55="Total Mensal",SUM(AC$7:AC54)/VLOOKUP("Total Acumulado",$J:$K,2,FALSE),IF($J55="Total Acumulado",AB54+Z55+IF(Z$7="% Item",-1,0),0%)))</f>
        <v>0</v>
      </c>
      <c r="AC55" s="109">
        <f>IF($J55="","",IF($J55="Total Mensal",SUM(AC$7:AC54),IF($J55="Total Acumulado",SUM(AC$7:AC53)+AA55,IFERROR(AB55*$K55,0))))</f>
        <v>0</v>
      </c>
      <c r="AD55" s="112">
        <f>IF($J55="","",IF($J55="Total Mensal",SUM(AE$7:AE54)/VLOOKUP("Total Acumulado",$J:$K,2,FALSE),IF($J55="Total Acumulado",AD54+AB55+IF(AB$7="% Item",-1,0),0%)))</f>
        <v>0</v>
      </c>
      <c r="AE55" s="109">
        <f>IF($J55="","",IF($J55="Total Mensal",SUM(AE$7:AE54),IF($J55="Total Acumulado",SUM(AE$7:AE53)+AC55,IFERROR(AD55*$K55,0))))</f>
        <v>0</v>
      </c>
      <c r="AF55" s="112">
        <f>IF($J55="","",IF($J55="Total Mensal",SUM(AG$7:AG54)/VLOOKUP("Total Acumulado",$J:$K,2,FALSE),IF($J55="Total Acumulado",AF54+AD55+IF(AD$7="% Item",-1,0),0%)))</f>
        <v>0</v>
      </c>
      <c r="AG55" s="109">
        <f>IF($J55="","",IF($J55="Total Mensal",SUM(AG$7:AG54),IF($J55="Total Acumulado",SUM(AG$7:AG53)+AE55,IFERROR(AF55*$K55,0))))</f>
        <v>0</v>
      </c>
      <c r="AH55" s="112">
        <f>IF($J55="","",IF($J55="Total Mensal",SUM(AI$7:AI54)/VLOOKUP("Total Acumulado",$J:$K,2,FALSE),IF($J55="Total Acumulado",AH54+AF55+IF(AF$7="% Item",-1,0),0%)))</f>
        <v>0</v>
      </c>
      <c r="AI55" s="109">
        <f>IF($J55="","",IF($J55="Total Mensal",SUM(AI$7:AI54),IF($J55="Total Acumulado",SUM(AI$7:AI53)+AG55,IFERROR(AH55*$K55,0))))</f>
        <v>0</v>
      </c>
      <c r="AJ55" s="112">
        <f>IF($J55="","",IF($J55="Total Mensal",SUM(AK$7:AK54)/VLOOKUP("Total Acumulado",$J:$K,2,FALSE),IF($J55="Total Acumulado",AJ54+AH55+IF(AH$7="% Item",-1,0),0%)))</f>
        <v>0</v>
      </c>
      <c r="AK55" s="109">
        <f>IF($J55="","",IF($J55="Total Mensal",SUM(AK$7:AK54),IF($J55="Total Acumulado",SUM(AK$7:AK53)+AI55,IFERROR(AJ55*$K55,0))))</f>
        <v>0</v>
      </c>
    </row>
    <row r="56" spans="2:37" x14ac:dyDescent="0.25">
      <c r="B56" s="41">
        <f>IFERROR(IF(C55=C52,IF(B55+1&lt;='MAPA DE PREÇOS'!$H$8,B55+1,""),B55),"")</f>
        <v>49</v>
      </c>
      <c r="C56" s="41">
        <f>IFERROR(VLOOKUP(B56,'MAPA DE PREÇOS'!B:D,2,FALSE),"")</f>
        <v>1</v>
      </c>
      <c r="D56" s="41">
        <f>IFERROR(VLOOKUP(B56,'MAPA DE PREÇOS'!B:D,3,FALSE),"")</f>
        <v>49</v>
      </c>
      <c r="E56" s="82">
        <f t="shared" si="1"/>
        <v>49</v>
      </c>
      <c r="F56" s="82">
        <f>IF($B55="","",IF($C56=$C53,INDEX('MAPA DE PREÇOS'!$H:$H,MATCH($B56,'MAPA DE PREÇOS'!$B:$B)-19),IF($C56=$C54,"Código","")))</f>
        <v>0</v>
      </c>
      <c r="G56" s="83" t="str">
        <f>IF($B55="","",IF($C56=$C53,IF('BASE EDITAL'!$C$2="",INDEX('MAPA DE PREÇOS'!H:H,MATCH(EDITAL!B56,'MAPA DE PREÇOS'!B:B,0)+1),UPPER(INDEX('BASE EDITAL'!$C:$C,EDITAL!B56+1))),IF($C56=$C54,"Especificação do Objeto","")))</f>
        <v xml:space="preserve">Alicate flangeador </v>
      </c>
      <c r="H56" s="84" t="str">
        <f>IF($B55="","",IF($C56=$C53,INDEX('MAPA DE PREÇOS'!$M:$M,MATCH($B56,'MAPA DE PREÇOS'!$B:$B)-16),IF($C56=$C54,"Unidade","")))</f>
        <v>UN</v>
      </c>
      <c r="I56" s="84">
        <f>IF($B55="","",IF($C56=$C53,INDEX('MAPA DE PREÇOS'!$M:$M,MATCH($B56,'MAPA DE PREÇOS'!$B:$B)-17),IF($C56=$C54,"Quant.","")))</f>
        <v>1</v>
      </c>
      <c r="J56" s="60">
        <f>IF(J55="Total Mensal","Total Acumulado",IF($B55="","",IF($C56=$C53,INDEX('MAPA DE PREÇOS'!$M:$M,MATCH($B56,'MAPA DE PREÇOS'!$B:$B)-19),IF($C56=$C54,"Valor Unit. (R$)",IF(AND($C56&lt;&gt;$C55,$J55&lt;&gt;""),"Total Mensal","")))))</f>
        <v>70.09</v>
      </c>
      <c r="K56" s="75">
        <f>IF(J56="","",IF(J56="Total Mensal","-",IF(J56="Total Acumulado",SUM(K$7:K55),I56*J56)))</f>
        <v>70.09</v>
      </c>
      <c r="L56" s="112" t="e">
        <f>IF(J56="","",IF(J56="Total Mensal","-",IF(J56="Total Acumulado",SUM(L$7:L55),K56/SUMIF(J:J,"Total Acumulado",K:K))))</f>
        <v>#DIV/0!</v>
      </c>
      <c r="M56" s="108"/>
      <c r="N56" s="112">
        <f>IF($J56="","",IF($J56="Total Mensal",SUM(O$7:O55)/VLOOKUP("Total Acumulado",$J:$K,2,FALSE),IF($J56="Total Acumulado",N55+L56+IF(L$7="% Item",-1,0),0%)))</f>
        <v>0</v>
      </c>
      <c r="O56" s="109">
        <f>IF($J56="","",IF($J56="Total Mensal",SUM(O$7:O55),IF($J56="Total Acumulado",SUM(O$7:O54)+M56,IFERROR(N56*$K56,0))))</f>
        <v>0</v>
      </c>
      <c r="P56" s="112">
        <f>IF($J56="","",IF($J56="Total Mensal",SUM(Q$7:Q55)/VLOOKUP("Total Acumulado",$J:$K,2,FALSE),IF($J56="Total Acumulado",P55+N56+IF(N$7="% Item",-1,0),0%)))</f>
        <v>0</v>
      </c>
      <c r="Q56" s="109">
        <f>IF($J56="","",IF($J56="Total Mensal",SUM(Q$7:Q55),IF($J56="Total Acumulado",SUM(Q$7:Q54)+O56,IFERROR(P56*$K56,0))))</f>
        <v>0</v>
      </c>
      <c r="R56" s="112">
        <f>IF($J56="","",IF($J56="Total Mensal",SUM(S$7:S55)/VLOOKUP("Total Acumulado",$J:$K,2,FALSE),IF($J56="Total Acumulado",R55+P56+IF(P$7="% Item",-1,0),0%)))</f>
        <v>0</v>
      </c>
      <c r="S56" s="109">
        <f>IF($J56="","",IF($J56="Total Mensal",SUM(S$7:S55),IF($J56="Total Acumulado",SUM(S$7:S54)+Q56,IFERROR(R56*$K56,0))))</f>
        <v>0</v>
      </c>
      <c r="T56" s="112">
        <f>IF($J56="","",IF($J56="Total Mensal",SUM(U$7:U55)/VLOOKUP("Total Acumulado",$J:$K,2,FALSE),IF($J56="Total Acumulado",T55+R56+IF(R$7="% Item",-1,0),0%)))</f>
        <v>0</v>
      </c>
      <c r="U56" s="109">
        <f>IF($J56="","",IF($J56="Total Mensal",SUM(U$7:U55),IF($J56="Total Acumulado",SUM(U$7:U54)+S56,IFERROR(T56*$K56,0))))</f>
        <v>0</v>
      </c>
      <c r="V56" s="112">
        <f>IF($J56="","",IF($J56="Total Mensal",SUM(W$7:W55)/VLOOKUP("Total Acumulado",$J:$K,2,FALSE),IF($J56="Total Acumulado",V55+T56+IF(T$7="% Item",-1,0),0%)))</f>
        <v>0</v>
      </c>
      <c r="W56" s="109">
        <f>IF($J56="","",IF($J56="Total Mensal",SUM(W$7:W55),IF($J56="Total Acumulado",SUM(W$7:W54)+U56,IFERROR(V56*$K56,0))))</f>
        <v>0</v>
      </c>
      <c r="X56" s="112">
        <f>IF($J56="","",IF($J56="Total Mensal",SUM(Y$7:Y55)/VLOOKUP("Total Acumulado",$J:$K,2,FALSE),IF($J56="Total Acumulado",X55+V56+IF(V$7="% Item",-1,0),0%)))</f>
        <v>0</v>
      </c>
      <c r="Y56" s="109">
        <f>IF($J56="","",IF($J56="Total Mensal",SUM(Y$7:Y55),IF($J56="Total Acumulado",SUM(Y$7:Y54)+W56,IFERROR(X56*$K56,0))))</f>
        <v>0</v>
      </c>
      <c r="Z56" s="112">
        <f>IF($J56="","",IF($J56="Total Mensal",SUM(AA$7:AA55)/VLOOKUP("Total Acumulado",$J:$K,2,FALSE),IF($J56="Total Acumulado",Z55+X56+IF(X$7="% Item",-1,0),0%)))</f>
        <v>0</v>
      </c>
      <c r="AA56" s="109">
        <f>IF($J56="","",IF($J56="Total Mensal",SUM(AA$7:AA55),IF($J56="Total Acumulado",SUM(AA$7:AA54)+Y56,IFERROR(Z56*$K56,0))))</f>
        <v>0</v>
      </c>
      <c r="AB56" s="112">
        <f>IF($J56="","",IF($J56="Total Mensal",SUM(AC$7:AC55)/VLOOKUP("Total Acumulado",$J:$K,2,FALSE),IF($J56="Total Acumulado",AB55+Z56+IF(Z$7="% Item",-1,0),0%)))</f>
        <v>0</v>
      </c>
      <c r="AC56" s="109">
        <f>IF($J56="","",IF($J56="Total Mensal",SUM(AC$7:AC55),IF($J56="Total Acumulado",SUM(AC$7:AC54)+AA56,IFERROR(AB56*$K56,0))))</f>
        <v>0</v>
      </c>
      <c r="AD56" s="112">
        <f>IF($J56="","",IF($J56="Total Mensal",SUM(AE$7:AE55)/VLOOKUP("Total Acumulado",$J:$K,2,FALSE),IF($J56="Total Acumulado",AD55+AB56+IF(AB$7="% Item",-1,0),0%)))</f>
        <v>0</v>
      </c>
      <c r="AE56" s="109">
        <f>IF($J56="","",IF($J56="Total Mensal",SUM(AE$7:AE55),IF($J56="Total Acumulado",SUM(AE$7:AE54)+AC56,IFERROR(AD56*$K56,0))))</f>
        <v>0</v>
      </c>
      <c r="AF56" s="112">
        <f>IF($J56="","",IF($J56="Total Mensal",SUM(AG$7:AG55)/VLOOKUP("Total Acumulado",$J:$K,2,FALSE),IF($J56="Total Acumulado",AF55+AD56+IF(AD$7="% Item",-1,0),0%)))</f>
        <v>0</v>
      </c>
      <c r="AG56" s="109">
        <f>IF($J56="","",IF($J56="Total Mensal",SUM(AG$7:AG55),IF($J56="Total Acumulado",SUM(AG$7:AG54)+AE56,IFERROR(AF56*$K56,0))))</f>
        <v>0</v>
      </c>
      <c r="AH56" s="112">
        <f>IF($J56="","",IF($J56="Total Mensal",SUM(AI$7:AI55)/VLOOKUP("Total Acumulado",$J:$K,2,FALSE),IF($J56="Total Acumulado",AH55+AF56+IF(AF$7="% Item",-1,0),0%)))</f>
        <v>0</v>
      </c>
      <c r="AI56" s="109">
        <f>IF($J56="","",IF($J56="Total Mensal",SUM(AI$7:AI55),IF($J56="Total Acumulado",SUM(AI$7:AI54)+AG56,IFERROR(AH56*$K56,0))))</f>
        <v>0</v>
      </c>
      <c r="AJ56" s="112">
        <f>IF($J56="","",IF($J56="Total Mensal",SUM(AK$7:AK55)/VLOOKUP("Total Acumulado",$J:$K,2,FALSE),IF($J56="Total Acumulado",AJ55+AH56+IF(AH$7="% Item",-1,0),0%)))</f>
        <v>0</v>
      </c>
      <c r="AK56" s="109">
        <f>IF($J56="","",IF($J56="Total Mensal",SUM(AK$7:AK55),IF($J56="Total Acumulado",SUM(AK$7:AK54)+AI56,IFERROR(AJ56*$K56,0))))</f>
        <v>0</v>
      </c>
    </row>
    <row r="57" spans="2:37" x14ac:dyDescent="0.25">
      <c r="B57" s="41">
        <f>IFERROR(IF(C56=C53,IF(B56+1&lt;='MAPA DE PREÇOS'!$H$8,B56+1,""),B56),"")</f>
        <v>50</v>
      </c>
      <c r="C57" s="41">
        <f>IFERROR(VLOOKUP(B57,'MAPA DE PREÇOS'!B:D,2,FALSE),"")</f>
        <v>1</v>
      </c>
      <c r="D57" s="41">
        <f>IFERROR(VLOOKUP(B57,'MAPA DE PREÇOS'!B:D,3,FALSE),"")</f>
        <v>50</v>
      </c>
      <c r="E57" s="82">
        <f t="shared" si="1"/>
        <v>50</v>
      </c>
      <c r="F57" s="82">
        <f>IF($B56="","",IF($C57=$C54,INDEX('MAPA DE PREÇOS'!$H:$H,MATCH($B57,'MAPA DE PREÇOS'!$B:$B)-19),IF($C57=$C55,"Código","")))</f>
        <v>0</v>
      </c>
      <c r="G57" s="83" t="str">
        <f>IF($B56="","",IF($C57=$C54,IF('BASE EDITAL'!$C$2="",INDEX('MAPA DE PREÇOS'!H:H,MATCH(EDITAL!B57,'MAPA DE PREÇOS'!B:B,0)+1),UPPER(INDEX('BASE EDITAL'!$C:$C,EDITAL!B57+1))),IF($C57=$C55,"Especificação do Objeto","")))</f>
        <v>Alicate expansor de tubos</v>
      </c>
      <c r="H57" s="84" t="str">
        <f>IF($B56="","",IF($C57=$C54,INDEX('MAPA DE PREÇOS'!$M:$M,MATCH($B57,'MAPA DE PREÇOS'!$B:$B)-16),IF($C57=$C55,"Unidade","")))</f>
        <v>UN</v>
      </c>
      <c r="I57" s="84">
        <f>IF($B56="","",IF($C57=$C54,INDEX('MAPA DE PREÇOS'!$M:$M,MATCH($B57,'MAPA DE PREÇOS'!$B:$B)-17),IF($C57=$C55,"Quant.","")))</f>
        <v>1</v>
      </c>
      <c r="J57" s="60">
        <f>IF(J56="Total Mensal","Total Acumulado",IF($B56="","",IF($C57=$C54,INDEX('MAPA DE PREÇOS'!$M:$M,MATCH($B57,'MAPA DE PREÇOS'!$B:$B)-19),IF($C57=$C55,"Valor Unit. (R$)",IF(AND($C57&lt;&gt;$C56,$J56&lt;&gt;""),"Total Mensal","")))))</f>
        <v>108.23</v>
      </c>
      <c r="K57" s="75">
        <f>IF(J57="","",IF(J57="Total Mensal","-",IF(J57="Total Acumulado",SUM(K$7:K56),I57*J57)))</f>
        <v>108.23</v>
      </c>
      <c r="L57" s="112" t="e">
        <f>IF(J57="","",IF(J57="Total Mensal","-",IF(J57="Total Acumulado",SUM(L$7:L56),K57/SUMIF(J:J,"Total Acumulado",K:K))))</f>
        <v>#DIV/0!</v>
      </c>
      <c r="M57" s="108"/>
      <c r="N57" s="112">
        <f>IF($J57="","",IF($J57="Total Mensal",SUM(O$7:O56)/VLOOKUP("Total Acumulado",$J:$K,2,FALSE),IF($J57="Total Acumulado",N56+L57+IF(L$7="% Item",-1,0),0%)))</f>
        <v>0</v>
      </c>
      <c r="O57" s="109">
        <f>IF($J57="","",IF($J57="Total Mensal",SUM(O$7:O56),IF($J57="Total Acumulado",SUM(O$7:O55)+M57,IFERROR(N57*$K57,0))))</f>
        <v>0</v>
      </c>
      <c r="P57" s="112">
        <f>IF($J57="","",IF($J57="Total Mensal",SUM(Q$7:Q56)/VLOOKUP("Total Acumulado",$J:$K,2,FALSE),IF($J57="Total Acumulado",P56+N57+IF(N$7="% Item",-1,0),0%)))</f>
        <v>0</v>
      </c>
      <c r="Q57" s="109">
        <f>IF($J57="","",IF($J57="Total Mensal",SUM(Q$7:Q56),IF($J57="Total Acumulado",SUM(Q$7:Q55)+O57,IFERROR(P57*$K57,0))))</f>
        <v>0</v>
      </c>
      <c r="R57" s="112">
        <f>IF($J57="","",IF($J57="Total Mensal",SUM(S$7:S56)/VLOOKUP("Total Acumulado",$J:$K,2,FALSE),IF($J57="Total Acumulado",R56+P57+IF(P$7="% Item",-1,0),0%)))</f>
        <v>0</v>
      </c>
      <c r="S57" s="109">
        <f>IF($J57="","",IF($J57="Total Mensal",SUM(S$7:S56),IF($J57="Total Acumulado",SUM(S$7:S55)+Q57,IFERROR(R57*$K57,0))))</f>
        <v>0</v>
      </c>
      <c r="T57" s="112">
        <f>IF($J57="","",IF($J57="Total Mensal",SUM(U$7:U56)/VLOOKUP("Total Acumulado",$J:$K,2,FALSE),IF($J57="Total Acumulado",T56+R57+IF(R$7="% Item",-1,0),0%)))</f>
        <v>0</v>
      </c>
      <c r="U57" s="109">
        <f>IF($J57="","",IF($J57="Total Mensal",SUM(U$7:U56),IF($J57="Total Acumulado",SUM(U$7:U55)+S57,IFERROR(T57*$K57,0))))</f>
        <v>0</v>
      </c>
      <c r="V57" s="112">
        <f>IF($J57="","",IF($J57="Total Mensal",SUM(W$7:W56)/VLOOKUP("Total Acumulado",$J:$K,2,FALSE),IF($J57="Total Acumulado",V56+T57+IF(T$7="% Item",-1,0),0%)))</f>
        <v>0</v>
      </c>
      <c r="W57" s="109">
        <f>IF($J57="","",IF($J57="Total Mensal",SUM(W$7:W56),IF($J57="Total Acumulado",SUM(W$7:W55)+U57,IFERROR(V57*$K57,0))))</f>
        <v>0</v>
      </c>
      <c r="X57" s="112">
        <f>IF($J57="","",IF($J57="Total Mensal",SUM(Y$7:Y56)/VLOOKUP("Total Acumulado",$J:$K,2,FALSE),IF($J57="Total Acumulado",X56+V57+IF(V$7="% Item",-1,0),0%)))</f>
        <v>0</v>
      </c>
      <c r="Y57" s="109">
        <f>IF($J57="","",IF($J57="Total Mensal",SUM(Y$7:Y56),IF($J57="Total Acumulado",SUM(Y$7:Y55)+W57,IFERROR(X57*$K57,0))))</f>
        <v>0</v>
      </c>
      <c r="Z57" s="112">
        <f>IF($J57="","",IF($J57="Total Mensal",SUM(AA$7:AA56)/VLOOKUP("Total Acumulado",$J:$K,2,FALSE),IF($J57="Total Acumulado",Z56+X57+IF(X$7="% Item",-1,0),0%)))</f>
        <v>0</v>
      </c>
      <c r="AA57" s="109">
        <f>IF($J57="","",IF($J57="Total Mensal",SUM(AA$7:AA56),IF($J57="Total Acumulado",SUM(AA$7:AA55)+Y57,IFERROR(Z57*$K57,0))))</f>
        <v>0</v>
      </c>
      <c r="AB57" s="112">
        <f>IF($J57="","",IF($J57="Total Mensal",SUM(AC$7:AC56)/VLOOKUP("Total Acumulado",$J:$K,2,FALSE),IF($J57="Total Acumulado",AB56+Z57+IF(Z$7="% Item",-1,0),0%)))</f>
        <v>0</v>
      </c>
      <c r="AC57" s="109">
        <f>IF($J57="","",IF($J57="Total Mensal",SUM(AC$7:AC56),IF($J57="Total Acumulado",SUM(AC$7:AC55)+AA57,IFERROR(AB57*$K57,0))))</f>
        <v>0</v>
      </c>
      <c r="AD57" s="112">
        <f>IF($J57="","",IF($J57="Total Mensal",SUM(AE$7:AE56)/VLOOKUP("Total Acumulado",$J:$K,2,FALSE),IF($J57="Total Acumulado",AD56+AB57+IF(AB$7="% Item",-1,0),0%)))</f>
        <v>0</v>
      </c>
      <c r="AE57" s="109">
        <f>IF($J57="","",IF($J57="Total Mensal",SUM(AE$7:AE56),IF($J57="Total Acumulado",SUM(AE$7:AE55)+AC57,IFERROR(AD57*$K57,0))))</f>
        <v>0</v>
      </c>
      <c r="AF57" s="112">
        <f>IF($J57="","",IF($J57="Total Mensal",SUM(AG$7:AG56)/VLOOKUP("Total Acumulado",$J:$K,2,FALSE),IF($J57="Total Acumulado",AF56+AD57+IF(AD$7="% Item",-1,0),0%)))</f>
        <v>0</v>
      </c>
      <c r="AG57" s="109">
        <f>IF($J57="","",IF($J57="Total Mensal",SUM(AG$7:AG56),IF($J57="Total Acumulado",SUM(AG$7:AG55)+AE57,IFERROR(AF57*$K57,0))))</f>
        <v>0</v>
      </c>
      <c r="AH57" s="112">
        <f>IF($J57="","",IF($J57="Total Mensal",SUM(AI$7:AI56)/VLOOKUP("Total Acumulado",$J:$K,2,FALSE),IF($J57="Total Acumulado",AH56+AF57+IF(AF$7="% Item",-1,0),0%)))</f>
        <v>0</v>
      </c>
      <c r="AI57" s="109">
        <f>IF($J57="","",IF($J57="Total Mensal",SUM(AI$7:AI56),IF($J57="Total Acumulado",SUM(AI$7:AI55)+AG57,IFERROR(AH57*$K57,0))))</f>
        <v>0</v>
      </c>
      <c r="AJ57" s="112">
        <f>IF($J57="","",IF($J57="Total Mensal",SUM(AK$7:AK56)/VLOOKUP("Total Acumulado",$J:$K,2,FALSE),IF($J57="Total Acumulado",AJ56+AH57+IF(AH$7="% Item",-1,0),0%)))</f>
        <v>0</v>
      </c>
      <c r="AK57" s="109">
        <f>IF($J57="","",IF($J57="Total Mensal",SUM(AK$7:AK56),IF($J57="Total Acumulado",SUM(AK$7:AK55)+AI57,IFERROR(AJ57*$K57,0))))</f>
        <v>0</v>
      </c>
    </row>
    <row r="58" spans="2:37" x14ac:dyDescent="0.25">
      <c r="B58" s="41">
        <f>IFERROR(IF(C57=C54,IF(B57+1&lt;='MAPA DE PREÇOS'!$H$8,B57+1,""),B57),"")</f>
        <v>51</v>
      </c>
      <c r="C58" s="41">
        <f>IFERROR(VLOOKUP(B58,'MAPA DE PREÇOS'!B:D,2,FALSE),"")</f>
        <v>1</v>
      </c>
      <c r="D58" s="41">
        <f>IFERROR(VLOOKUP(B58,'MAPA DE PREÇOS'!B:D,3,FALSE),"")</f>
        <v>51</v>
      </c>
      <c r="E58" s="82">
        <f t="shared" si="1"/>
        <v>51</v>
      </c>
      <c r="F58" s="82">
        <f>IF($B57="","",IF($C58=$C55,INDEX('MAPA DE PREÇOS'!$H:$H,MATCH($B58,'MAPA DE PREÇOS'!$B:$B)-19),IF($C58=$C56,"Código","")))</f>
        <v>0</v>
      </c>
      <c r="G58" s="83" t="str">
        <f>IF($B57="","",IF($C58=$C55,IF('BASE EDITAL'!$C$2="",INDEX('MAPA DE PREÇOS'!H:H,MATCH(EDITAL!B58,'MAPA DE PREÇOS'!B:B,0)+1),UPPER(INDEX('BASE EDITAL'!$C:$C,EDITAL!B58+1))),IF($C58=$C56,"Especificação do Objeto","")))</f>
        <v>Alicate dobrador de tubos</v>
      </c>
      <c r="H58" s="84" t="str">
        <f>IF($B57="","",IF($C58=$C55,INDEX('MAPA DE PREÇOS'!$M:$M,MATCH($B58,'MAPA DE PREÇOS'!$B:$B)-16),IF($C58=$C56,"Unidade","")))</f>
        <v>UN</v>
      </c>
      <c r="I58" s="84">
        <f>IF($B57="","",IF($C58=$C55,INDEX('MAPA DE PREÇOS'!$M:$M,MATCH($B58,'MAPA DE PREÇOS'!$B:$B)-17),IF($C58=$C56,"Quant.","")))</f>
        <v>1</v>
      </c>
      <c r="J58" s="60">
        <f>IF(J57="Total Mensal","Total Acumulado",IF($B57="","",IF($C58=$C55,INDEX('MAPA DE PREÇOS'!$M:$M,MATCH($B58,'MAPA DE PREÇOS'!$B:$B)-19),IF($C58=$C56,"Valor Unit. (R$)",IF(AND($C58&lt;&gt;$C57,$J57&lt;&gt;""),"Total Mensal","")))))</f>
        <v>119.94</v>
      </c>
      <c r="K58" s="75">
        <f>IF(J58="","",IF(J58="Total Mensal","-",IF(J58="Total Acumulado",SUM(K$7:K57),I58*J58)))</f>
        <v>119.94</v>
      </c>
      <c r="L58" s="112" t="e">
        <f>IF(J58="","",IF(J58="Total Mensal","-",IF(J58="Total Acumulado",SUM(L$7:L57),K58/SUMIF(J:J,"Total Acumulado",K:K))))</f>
        <v>#DIV/0!</v>
      </c>
      <c r="M58" s="108"/>
      <c r="N58" s="112">
        <f>IF($J58="","",IF($J58="Total Mensal",SUM(O$7:O57)/VLOOKUP("Total Acumulado",$J:$K,2,FALSE),IF($J58="Total Acumulado",N57+L58+IF(L$7="% Item",-1,0),0%)))</f>
        <v>0</v>
      </c>
      <c r="O58" s="109">
        <f>IF($J58="","",IF($J58="Total Mensal",SUM(O$7:O57),IF($J58="Total Acumulado",SUM(O$7:O56)+M58,IFERROR(N58*$K58,0))))</f>
        <v>0</v>
      </c>
      <c r="P58" s="112">
        <f>IF($J58="","",IF($J58="Total Mensal",SUM(Q$7:Q57)/VLOOKUP("Total Acumulado",$J:$K,2,FALSE),IF($J58="Total Acumulado",P57+N58+IF(N$7="% Item",-1,0),0%)))</f>
        <v>0</v>
      </c>
      <c r="Q58" s="109">
        <f>IF($J58="","",IF($J58="Total Mensal",SUM(Q$7:Q57),IF($J58="Total Acumulado",SUM(Q$7:Q56)+O58,IFERROR(P58*$K58,0))))</f>
        <v>0</v>
      </c>
      <c r="R58" s="112">
        <f>IF($J58="","",IF($J58="Total Mensal",SUM(S$7:S57)/VLOOKUP("Total Acumulado",$J:$K,2,FALSE),IF($J58="Total Acumulado",R57+P58+IF(P$7="% Item",-1,0),0%)))</f>
        <v>0</v>
      </c>
      <c r="S58" s="109">
        <f>IF($J58="","",IF($J58="Total Mensal",SUM(S$7:S57),IF($J58="Total Acumulado",SUM(S$7:S56)+Q58,IFERROR(R58*$K58,0))))</f>
        <v>0</v>
      </c>
      <c r="T58" s="112">
        <f>IF($J58="","",IF($J58="Total Mensal",SUM(U$7:U57)/VLOOKUP("Total Acumulado",$J:$K,2,FALSE),IF($J58="Total Acumulado",T57+R58+IF(R$7="% Item",-1,0),0%)))</f>
        <v>0</v>
      </c>
      <c r="U58" s="109">
        <f>IF($J58="","",IF($J58="Total Mensal",SUM(U$7:U57),IF($J58="Total Acumulado",SUM(U$7:U56)+S58,IFERROR(T58*$K58,0))))</f>
        <v>0</v>
      </c>
      <c r="V58" s="112">
        <f>IF($J58="","",IF($J58="Total Mensal",SUM(W$7:W57)/VLOOKUP("Total Acumulado",$J:$K,2,FALSE),IF($J58="Total Acumulado",V57+T58+IF(T$7="% Item",-1,0),0%)))</f>
        <v>0</v>
      </c>
      <c r="W58" s="109">
        <f>IF($J58="","",IF($J58="Total Mensal",SUM(W$7:W57),IF($J58="Total Acumulado",SUM(W$7:W56)+U58,IFERROR(V58*$K58,0))))</f>
        <v>0</v>
      </c>
      <c r="X58" s="112">
        <f>IF($J58="","",IF($J58="Total Mensal",SUM(Y$7:Y57)/VLOOKUP("Total Acumulado",$J:$K,2,FALSE),IF($J58="Total Acumulado",X57+V58+IF(V$7="% Item",-1,0),0%)))</f>
        <v>0</v>
      </c>
      <c r="Y58" s="109">
        <f>IF($J58="","",IF($J58="Total Mensal",SUM(Y$7:Y57),IF($J58="Total Acumulado",SUM(Y$7:Y56)+W58,IFERROR(X58*$K58,0))))</f>
        <v>0</v>
      </c>
      <c r="Z58" s="112">
        <f>IF($J58="","",IF($J58="Total Mensal",SUM(AA$7:AA57)/VLOOKUP("Total Acumulado",$J:$K,2,FALSE),IF($J58="Total Acumulado",Z57+X58+IF(X$7="% Item",-1,0),0%)))</f>
        <v>0</v>
      </c>
      <c r="AA58" s="109">
        <f>IF($J58="","",IF($J58="Total Mensal",SUM(AA$7:AA57),IF($J58="Total Acumulado",SUM(AA$7:AA56)+Y58,IFERROR(Z58*$K58,0))))</f>
        <v>0</v>
      </c>
      <c r="AB58" s="112">
        <f>IF($J58="","",IF($J58="Total Mensal",SUM(AC$7:AC57)/VLOOKUP("Total Acumulado",$J:$K,2,FALSE),IF($J58="Total Acumulado",AB57+Z58+IF(Z$7="% Item",-1,0),0%)))</f>
        <v>0</v>
      </c>
      <c r="AC58" s="109">
        <f>IF($J58="","",IF($J58="Total Mensal",SUM(AC$7:AC57),IF($J58="Total Acumulado",SUM(AC$7:AC56)+AA58,IFERROR(AB58*$K58,0))))</f>
        <v>0</v>
      </c>
      <c r="AD58" s="112">
        <f>IF($J58="","",IF($J58="Total Mensal",SUM(AE$7:AE57)/VLOOKUP("Total Acumulado",$J:$K,2,FALSE),IF($J58="Total Acumulado",AD57+AB58+IF(AB$7="% Item",-1,0),0%)))</f>
        <v>0</v>
      </c>
      <c r="AE58" s="109">
        <f>IF($J58="","",IF($J58="Total Mensal",SUM(AE$7:AE57),IF($J58="Total Acumulado",SUM(AE$7:AE56)+AC58,IFERROR(AD58*$K58,0))))</f>
        <v>0</v>
      </c>
      <c r="AF58" s="112">
        <f>IF($J58="","",IF($J58="Total Mensal",SUM(AG$7:AG57)/VLOOKUP("Total Acumulado",$J:$K,2,FALSE),IF($J58="Total Acumulado",AF57+AD58+IF(AD$7="% Item",-1,0),0%)))</f>
        <v>0</v>
      </c>
      <c r="AG58" s="109">
        <f>IF($J58="","",IF($J58="Total Mensal",SUM(AG$7:AG57),IF($J58="Total Acumulado",SUM(AG$7:AG56)+AE58,IFERROR(AF58*$K58,0))))</f>
        <v>0</v>
      </c>
      <c r="AH58" s="112">
        <f>IF($J58="","",IF($J58="Total Mensal",SUM(AI$7:AI57)/VLOOKUP("Total Acumulado",$J:$K,2,FALSE),IF($J58="Total Acumulado",AH57+AF58+IF(AF$7="% Item",-1,0),0%)))</f>
        <v>0</v>
      </c>
      <c r="AI58" s="109">
        <f>IF($J58="","",IF($J58="Total Mensal",SUM(AI$7:AI57),IF($J58="Total Acumulado",SUM(AI$7:AI56)+AG58,IFERROR(AH58*$K58,0))))</f>
        <v>0</v>
      </c>
      <c r="AJ58" s="112">
        <f>IF($J58="","",IF($J58="Total Mensal",SUM(AK$7:AK57)/VLOOKUP("Total Acumulado",$J:$K,2,FALSE),IF($J58="Total Acumulado",AJ57+AH58+IF(AH$7="% Item",-1,0),0%)))</f>
        <v>0</v>
      </c>
      <c r="AK58" s="109">
        <f>IF($J58="","",IF($J58="Total Mensal",SUM(AK$7:AK57),IF($J58="Total Acumulado",SUM(AK$7:AK56)+AI58,IFERROR(AJ58*$K58,0))))</f>
        <v>0</v>
      </c>
    </row>
    <row r="59" spans="2:37" x14ac:dyDescent="0.25">
      <c r="B59" s="41">
        <f>IFERROR(IF(C58=C55,IF(B58+1&lt;='MAPA DE PREÇOS'!$H$8,B58+1,""),B58),"")</f>
        <v>52</v>
      </c>
      <c r="C59" s="41">
        <f>IFERROR(VLOOKUP(B59,'MAPA DE PREÇOS'!B:D,2,FALSE),"")</f>
        <v>1</v>
      </c>
      <c r="D59" s="41">
        <f>IFERROR(VLOOKUP(B59,'MAPA DE PREÇOS'!B:D,3,FALSE),"")</f>
        <v>52</v>
      </c>
      <c r="E59" s="82">
        <f t="shared" si="1"/>
        <v>52</v>
      </c>
      <c r="F59" s="82">
        <f>IF($B58="","",IF($C59=$C56,INDEX('MAPA DE PREÇOS'!$H:$H,MATCH($B59,'MAPA DE PREÇOS'!$B:$B)-19),IF($C59=$C57,"Código","")))</f>
        <v>0</v>
      </c>
      <c r="G59" s="83" t="str">
        <f>IF($B58="","",IF($C59=$C56,IF('BASE EDITAL'!$C$2="",INDEX('MAPA DE PREÇOS'!H:H,MATCH(EDITAL!B59,'MAPA DE PREÇOS'!B:B,0)+1),UPPER(INDEX('BASE EDITAL'!$C:$C,EDITAL!B59+1))),IF($C59=$C57,"Especificação do Objeto","")))</f>
        <v>Cortador de tubo de cobre</v>
      </c>
      <c r="H59" s="84" t="str">
        <f>IF($B58="","",IF($C59=$C56,INDEX('MAPA DE PREÇOS'!$M:$M,MATCH($B59,'MAPA DE PREÇOS'!$B:$B)-16),IF($C59=$C57,"Unidade","")))</f>
        <v>UN</v>
      </c>
      <c r="I59" s="84">
        <f>IF($B58="","",IF($C59=$C56,INDEX('MAPA DE PREÇOS'!$M:$M,MATCH($B59,'MAPA DE PREÇOS'!$B:$B)-17),IF($C59=$C57,"Quant.","")))</f>
        <v>1</v>
      </c>
      <c r="J59" s="60">
        <f>IF(J58="Total Mensal","Total Acumulado",IF($B58="","",IF($C59=$C56,INDEX('MAPA DE PREÇOS'!$M:$M,MATCH($B59,'MAPA DE PREÇOS'!$B:$B)-19),IF($C59=$C57,"Valor Unit. (R$)",IF(AND($C59&lt;&gt;$C58,$J58&lt;&gt;""),"Total Mensal","")))))</f>
        <v>67.239999999999995</v>
      </c>
      <c r="K59" s="75">
        <f>IF(J59="","",IF(J59="Total Mensal","-",IF(J59="Total Acumulado",SUM(K$7:K58),I59*J59)))</f>
        <v>67.239999999999995</v>
      </c>
      <c r="L59" s="112" t="e">
        <f>IF(J59="","",IF(J59="Total Mensal","-",IF(J59="Total Acumulado",SUM(L$7:L58),K59/SUMIF(J:J,"Total Acumulado",K:K))))</f>
        <v>#DIV/0!</v>
      </c>
      <c r="M59" s="108"/>
      <c r="N59" s="112">
        <f>IF($J59="","",IF($J59="Total Mensal",SUM(O$7:O58)/VLOOKUP("Total Acumulado",$J:$K,2,FALSE),IF($J59="Total Acumulado",N58+L59+IF(L$7="% Item",-1,0),0%)))</f>
        <v>0</v>
      </c>
      <c r="O59" s="109">
        <f>IF($J59="","",IF($J59="Total Mensal",SUM(O$7:O58),IF($J59="Total Acumulado",SUM(O$7:O57)+M59,IFERROR(N59*$K59,0))))</f>
        <v>0</v>
      </c>
      <c r="P59" s="112">
        <f>IF($J59="","",IF($J59="Total Mensal",SUM(Q$7:Q58)/VLOOKUP("Total Acumulado",$J:$K,2,FALSE),IF($J59="Total Acumulado",P58+N59+IF(N$7="% Item",-1,0),0%)))</f>
        <v>0</v>
      </c>
      <c r="Q59" s="109">
        <f>IF($J59="","",IF($J59="Total Mensal",SUM(Q$7:Q58),IF($J59="Total Acumulado",SUM(Q$7:Q57)+O59,IFERROR(P59*$K59,0))))</f>
        <v>0</v>
      </c>
      <c r="R59" s="112">
        <f>IF($J59="","",IF($J59="Total Mensal",SUM(S$7:S58)/VLOOKUP("Total Acumulado",$J:$K,2,FALSE),IF($J59="Total Acumulado",R58+P59+IF(P$7="% Item",-1,0),0%)))</f>
        <v>0</v>
      </c>
      <c r="S59" s="109">
        <f>IF($J59="","",IF($J59="Total Mensal",SUM(S$7:S58),IF($J59="Total Acumulado",SUM(S$7:S57)+Q59,IFERROR(R59*$K59,0))))</f>
        <v>0</v>
      </c>
      <c r="T59" s="112">
        <f>IF($J59="","",IF($J59="Total Mensal",SUM(U$7:U58)/VLOOKUP("Total Acumulado",$J:$K,2,FALSE),IF($J59="Total Acumulado",T58+R59+IF(R$7="% Item",-1,0),0%)))</f>
        <v>0</v>
      </c>
      <c r="U59" s="109">
        <f>IF($J59="","",IF($J59="Total Mensal",SUM(U$7:U58),IF($J59="Total Acumulado",SUM(U$7:U57)+S59,IFERROR(T59*$K59,0))))</f>
        <v>0</v>
      </c>
      <c r="V59" s="112">
        <f>IF($J59="","",IF($J59="Total Mensal",SUM(W$7:W58)/VLOOKUP("Total Acumulado",$J:$K,2,FALSE),IF($J59="Total Acumulado",V58+T59+IF(T$7="% Item",-1,0),0%)))</f>
        <v>0</v>
      </c>
      <c r="W59" s="109">
        <f>IF($J59="","",IF($J59="Total Mensal",SUM(W$7:W58),IF($J59="Total Acumulado",SUM(W$7:W57)+U59,IFERROR(V59*$K59,0))))</f>
        <v>0</v>
      </c>
      <c r="X59" s="112">
        <f>IF($J59="","",IF($J59="Total Mensal",SUM(Y$7:Y58)/VLOOKUP("Total Acumulado",$J:$K,2,FALSE),IF($J59="Total Acumulado",X58+V59+IF(V$7="% Item",-1,0),0%)))</f>
        <v>0</v>
      </c>
      <c r="Y59" s="109">
        <f>IF($J59="","",IF($J59="Total Mensal",SUM(Y$7:Y58),IF($J59="Total Acumulado",SUM(Y$7:Y57)+W59,IFERROR(X59*$K59,0))))</f>
        <v>0</v>
      </c>
      <c r="Z59" s="112">
        <f>IF($J59="","",IF($J59="Total Mensal",SUM(AA$7:AA58)/VLOOKUP("Total Acumulado",$J:$K,2,FALSE),IF($J59="Total Acumulado",Z58+X59+IF(X$7="% Item",-1,0),0%)))</f>
        <v>0</v>
      </c>
      <c r="AA59" s="109">
        <f>IF($J59="","",IF($J59="Total Mensal",SUM(AA$7:AA58),IF($J59="Total Acumulado",SUM(AA$7:AA57)+Y59,IFERROR(Z59*$K59,0))))</f>
        <v>0</v>
      </c>
      <c r="AB59" s="112">
        <f>IF($J59="","",IF($J59="Total Mensal",SUM(AC$7:AC58)/VLOOKUP("Total Acumulado",$J:$K,2,FALSE),IF($J59="Total Acumulado",AB58+Z59+IF(Z$7="% Item",-1,0),0%)))</f>
        <v>0</v>
      </c>
      <c r="AC59" s="109">
        <f>IF($J59="","",IF($J59="Total Mensal",SUM(AC$7:AC58),IF($J59="Total Acumulado",SUM(AC$7:AC57)+AA59,IFERROR(AB59*$K59,0))))</f>
        <v>0</v>
      </c>
      <c r="AD59" s="112">
        <f>IF($J59="","",IF($J59="Total Mensal",SUM(AE$7:AE58)/VLOOKUP("Total Acumulado",$J:$K,2,FALSE),IF($J59="Total Acumulado",AD58+AB59+IF(AB$7="% Item",-1,0),0%)))</f>
        <v>0</v>
      </c>
      <c r="AE59" s="109">
        <f>IF($J59="","",IF($J59="Total Mensal",SUM(AE$7:AE58),IF($J59="Total Acumulado",SUM(AE$7:AE57)+AC59,IFERROR(AD59*$K59,0))))</f>
        <v>0</v>
      </c>
      <c r="AF59" s="112">
        <f>IF($J59="","",IF($J59="Total Mensal",SUM(AG$7:AG58)/VLOOKUP("Total Acumulado",$J:$K,2,FALSE),IF($J59="Total Acumulado",AF58+AD59+IF(AD$7="% Item",-1,0),0%)))</f>
        <v>0</v>
      </c>
      <c r="AG59" s="109">
        <f>IF($J59="","",IF($J59="Total Mensal",SUM(AG$7:AG58),IF($J59="Total Acumulado",SUM(AG$7:AG57)+AE59,IFERROR(AF59*$K59,0))))</f>
        <v>0</v>
      </c>
      <c r="AH59" s="112">
        <f>IF($J59="","",IF($J59="Total Mensal",SUM(AI$7:AI58)/VLOOKUP("Total Acumulado",$J:$K,2,FALSE),IF($J59="Total Acumulado",AH58+AF59+IF(AF$7="% Item",-1,0),0%)))</f>
        <v>0</v>
      </c>
      <c r="AI59" s="109">
        <f>IF($J59="","",IF($J59="Total Mensal",SUM(AI$7:AI58),IF($J59="Total Acumulado",SUM(AI$7:AI57)+AG59,IFERROR(AH59*$K59,0))))</f>
        <v>0</v>
      </c>
      <c r="AJ59" s="112">
        <f>IF($J59="","",IF($J59="Total Mensal",SUM(AK$7:AK58)/VLOOKUP("Total Acumulado",$J:$K,2,FALSE),IF($J59="Total Acumulado",AJ58+AH59+IF(AH$7="% Item",-1,0),0%)))</f>
        <v>0</v>
      </c>
      <c r="AK59" s="109">
        <f>IF($J59="","",IF($J59="Total Mensal",SUM(AK$7:AK58),IF($J59="Total Acumulado",SUM(AK$7:AK57)+AI59,IFERROR(AJ59*$K59,0))))</f>
        <v>0</v>
      </c>
    </row>
    <row r="60" spans="2:37" x14ac:dyDescent="0.25">
      <c r="B60" s="41">
        <f>IFERROR(IF(C59=C56,IF(B59+1&lt;='MAPA DE PREÇOS'!$H$8,B59+1,""),B59),"")</f>
        <v>53</v>
      </c>
      <c r="C60" s="41">
        <f>IFERROR(VLOOKUP(B60,'MAPA DE PREÇOS'!B:D,2,FALSE),"")</f>
        <v>1</v>
      </c>
      <c r="D60" s="41">
        <f>IFERROR(VLOOKUP(B60,'MAPA DE PREÇOS'!B:D,3,FALSE),"")</f>
        <v>53</v>
      </c>
      <c r="E60" s="82">
        <f t="shared" si="1"/>
        <v>53</v>
      </c>
      <c r="F60" s="82">
        <f>IF($B59="","",IF($C60=$C57,INDEX('MAPA DE PREÇOS'!$H:$H,MATCH($B60,'MAPA DE PREÇOS'!$B:$B)-19),IF($C60=$C58,"Código","")))</f>
        <v>0</v>
      </c>
      <c r="G60" s="83" t="str">
        <f>IF($B59="","",IF($C60=$C57,IF('BASE EDITAL'!$C$2="",INDEX('MAPA DE PREÇOS'!H:H,MATCH(EDITAL!B60,'MAPA DE PREÇOS'!B:B,0)+1),UPPER(INDEX('BASE EDITAL'!$C:$C,EDITAL!B60+1))),IF($C60=$C58,"Especificação do Objeto","")))</f>
        <v>Manifold digital profissional</v>
      </c>
      <c r="H60" s="84" t="str">
        <f>IF($B59="","",IF($C60=$C57,INDEX('MAPA DE PREÇOS'!$M:$M,MATCH($B60,'MAPA DE PREÇOS'!$B:$B)-16),IF($C60=$C58,"Unidade","")))</f>
        <v>UN</v>
      </c>
      <c r="I60" s="84">
        <f>IF($B59="","",IF($C60=$C57,INDEX('MAPA DE PREÇOS'!$M:$M,MATCH($B60,'MAPA DE PREÇOS'!$B:$B)-17),IF($C60=$C58,"Quant.","")))</f>
        <v>1</v>
      </c>
      <c r="J60" s="60">
        <f>IF(J59="Total Mensal","Total Acumulado",IF($B59="","",IF($C60=$C57,INDEX('MAPA DE PREÇOS'!$M:$M,MATCH($B60,'MAPA DE PREÇOS'!$B:$B)-19),IF($C60=$C58,"Valor Unit. (R$)",IF(AND($C60&lt;&gt;$C59,$J59&lt;&gt;""),"Total Mensal","")))))</f>
        <v>654.89</v>
      </c>
      <c r="K60" s="75">
        <f>IF(J60="","",IF(J60="Total Mensal","-",IF(J60="Total Acumulado",SUM(K$7:K59),I60*J60)))</f>
        <v>654.89</v>
      </c>
      <c r="L60" s="112" t="e">
        <f>IF(J60="","",IF(J60="Total Mensal","-",IF(J60="Total Acumulado",SUM(L$7:L59),K60/SUMIF(J:J,"Total Acumulado",K:K))))</f>
        <v>#DIV/0!</v>
      </c>
      <c r="M60" s="108"/>
      <c r="N60" s="112">
        <f>IF($J60="","",IF($J60="Total Mensal",SUM(O$7:O59)/VLOOKUP("Total Acumulado",$J:$K,2,FALSE),IF($J60="Total Acumulado",N59+L60+IF(L$7="% Item",-1,0),0%)))</f>
        <v>0</v>
      </c>
      <c r="O60" s="109">
        <f>IF($J60="","",IF($J60="Total Mensal",SUM(O$7:O59),IF($J60="Total Acumulado",SUM(O$7:O58)+M60,IFERROR(N60*$K60,0))))</f>
        <v>0</v>
      </c>
      <c r="P60" s="112">
        <f>IF($J60="","",IF($J60="Total Mensal",SUM(Q$7:Q59)/VLOOKUP("Total Acumulado",$J:$K,2,FALSE),IF($J60="Total Acumulado",P59+N60+IF(N$7="% Item",-1,0),0%)))</f>
        <v>0</v>
      </c>
      <c r="Q60" s="109">
        <f>IF($J60="","",IF($J60="Total Mensal",SUM(Q$7:Q59),IF($J60="Total Acumulado",SUM(Q$7:Q58)+O60,IFERROR(P60*$K60,0))))</f>
        <v>0</v>
      </c>
      <c r="R60" s="112">
        <f>IF($J60="","",IF($J60="Total Mensal",SUM(S$7:S59)/VLOOKUP("Total Acumulado",$J:$K,2,FALSE),IF($J60="Total Acumulado",R59+P60+IF(P$7="% Item",-1,0),0%)))</f>
        <v>0</v>
      </c>
      <c r="S60" s="109">
        <f>IF($J60="","",IF($J60="Total Mensal",SUM(S$7:S59),IF($J60="Total Acumulado",SUM(S$7:S58)+Q60,IFERROR(R60*$K60,0))))</f>
        <v>0</v>
      </c>
      <c r="T60" s="112">
        <f>IF($J60="","",IF($J60="Total Mensal",SUM(U$7:U59)/VLOOKUP("Total Acumulado",$J:$K,2,FALSE),IF($J60="Total Acumulado",T59+R60+IF(R$7="% Item",-1,0),0%)))</f>
        <v>0</v>
      </c>
      <c r="U60" s="109">
        <f>IF($J60="","",IF($J60="Total Mensal",SUM(U$7:U59),IF($J60="Total Acumulado",SUM(U$7:U58)+S60,IFERROR(T60*$K60,0))))</f>
        <v>0</v>
      </c>
      <c r="V60" s="112">
        <f>IF($J60="","",IF($J60="Total Mensal",SUM(W$7:W59)/VLOOKUP("Total Acumulado",$J:$K,2,FALSE),IF($J60="Total Acumulado",V59+T60+IF(T$7="% Item",-1,0),0%)))</f>
        <v>0</v>
      </c>
      <c r="W60" s="109">
        <f>IF($J60="","",IF($J60="Total Mensal",SUM(W$7:W59),IF($J60="Total Acumulado",SUM(W$7:W58)+U60,IFERROR(V60*$K60,0))))</f>
        <v>0</v>
      </c>
      <c r="X60" s="112">
        <f>IF($J60="","",IF($J60="Total Mensal",SUM(Y$7:Y59)/VLOOKUP("Total Acumulado",$J:$K,2,FALSE),IF($J60="Total Acumulado",X59+V60+IF(V$7="% Item",-1,0),0%)))</f>
        <v>0</v>
      </c>
      <c r="Y60" s="109">
        <f>IF($J60="","",IF($J60="Total Mensal",SUM(Y$7:Y59),IF($J60="Total Acumulado",SUM(Y$7:Y58)+W60,IFERROR(X60*$K60,0))))</f>
        <v>0</v>
      </c>
      <c r="Z60" s="112">
        <f>IF($J60="","",IF($J60="Total Mensal",SUM(AA$7:AA59)/VLOOKUP("Total Acumulado",$J:$K,2,FALSE),IF($J60="Total Acumulado",Z59+X60+IF(X$7="% Item",-1,0),0%)))</f>
        <v>0</v>
      </c>
      <c r="AA60" s="109">
        <f>IF($J60="","",IF($J60="Total Mensal",SUM(AA$7:AA59),IF($J60="Total Acumulado",SUM(AA$7:AA58)+Y60,IFERROR(Z60*$K60,0))))</f>
        <v>0</v>
      </c>
      <c r="AB60" s="112">
        <f>IF($J60="","",IF($J60="Total Mensal",SUM(AC$7:AC59)/VLOOKUP("Total Acumulado",$J:$K,2,FALSE),IF($J60="Total Acumulado",AB59+Z60+IF(Z$7="% Item",-1,0),0%)))</f>
        <v>0</v>
      </c>
      <c r="AC60" s="109">
        <f>IF($J60="","",IF($J60="Total Mensal",SUM(AC$7:AC59),IF($J60="Total Acumulado",SUM(AC$7:AC58)+AA60,IFERROR(AB60*$K60,0))))</f>
        <v>0</v>
      </c>
      <c r="AD60" s="112">
        <f>IF($J60="","",IF($J60="Total Mensal",SUM(AE$7:AE59)/VLOOKUP("Total Acumulado",$J:$K,2,FALSE),IF($J60="Total Acumulado",AD59+AB60+IF(AB$7="% Item",-1,0),0%)))</f>
        <v>0</v>
      </c>
      <c r="AE60" s="109">
        <f>IF($J60="","",IF($J60="Total Mensal",SUM(AE$7:AE59),IF($J60="Total Acumulado",SUM(AE$7:AE58)+AC60,IFERROR(AD60*$K60,0))))</f>
        <v>0</v>
      </c>
      <c r="AF60" s="112">
        <f>IF($J60="","",IF($J60="Total Mensal",SUM(AG$7:AG59)/VLOOKUP("Total Acumulado",$J:$K,2,FALSE),IF($J60="Total Acumulado",AF59+AD60+IF(AD$7="% Item",-1,0),0%)))</f>
        <v>0</v>
      </c>
      <c r="AG60" s="109">
        <f>IF($J60="","",IF($J60="Total Mensal",SUM(AG$7:AG59),IF($J60="Total Acumulado",SUM(AG$7:AG58)+AE60,IFERROR(AF60*$K60,0))))</f>
        <v>0</v>
      </c>
      <c r="AH60" s="112">
        <f>IF($J60="","",IF($J60="Total Mensal",SUM(AI$7:AI59)/VLOOKUP("Total Acumulado",$J:$K,2,FALSE),IF($J60="Total Acumulado",AH59+AF60+IF(AF$7="% Item",-1,0),0%)))</f>
        <v>0</v>
      </c>
      <c r="AI60" s="109">
        <f>IF($J60="","",IF($J60="Total Mensal",SUM(AI$7:AI59),IF($J60="Total Acumulado",SUM(AI$7:AI58)+AG60,IFERROR(AH60*$K60,0))))</f>
        <v>0</v>
      </c>
      <c r="AJ60" s="112">
        <f>IF($J60="","",IF($J60="Total Mensal",SUM(AK$7:AK59)/VLOOKUP("Total Acumulado",$J:$K,2,FALSE),IF($J60="Total Acumulado",AJ59+AH60+IF(AH$7="% Item",-1,0),0%)))</f>
        <v>0</v>
      </c>
      <c r="AK60" s="109">
        <f>IF($J60="","",IF($J60="Total Mensal",SUM(AK$7:AK59),IF($J60="Total Acumulado",SUM(AK$7:AK58)+AI60,IFERROR(AJ60*$K60,0))))</f>
        <v>0</v>
      </c>
    </row>
    <row r="61" spans="2:37" x14ac:dyDescent="0.25">
      <c r="B61" s="41">
        <f>IFERROR(IF(C60=C57,IF(B60+1&lt;='MAPA DE PREÇOS'!$H$8,B60+1,""),B60),"")</f>
        <v>54</v>
      </c>
      <c r="C61" s="41">
        <f>IFERROR(VLOOKUP(B61,'MAPA DE PREÇOS'!B:D,2,FALSE),"")</f>
        <v>1</v>
      </c>
      <c r="D61" s="41">
        <f>IFERROR(VLOOKUP(B61,'MAPA DE PREÇOS'!B:D,3,FALSE),"")</f>
        <v>54</v>
      </c>
      <c r="E61" s="82">
        <f t="shared" si="1"/>
        <v>54</v>
      </c>
      <c r="F61" s="82">
        <f>IF($B60="","",IF($C61=$C58,INDEX('MAPA DE PREÇOS'!$H:$H,MATCH($B61,'MAPA DE PREÇOS'!$B:$B)-19),IF($C61=$C59,"Código","")))</f>
        <v>0</v>
      </c>
      <c r="G61" s="83" t="str">
        <f>IF($B60="","",IF($C61=$C58,IF('BASE EDITAL'!$C$2="",INDEX('MAPA DE PREÇOS'!H:H,MATCH(EDITAL!B61,'MAPA DE PREÇOS'!B:B,0)+1),UPPER(INDEX('BASE EDITAL'!$C:$C,EDITAL!B61+1))),IF($C61=$C59,"Especificação do Objeto","")))</f>
        <v>Vacuômetro digital</v>
      </c>
      <c r="H61" s="84" t="str">
        <f>IF($B60="","",IF($C61=$C58,INDEX('MAPA DE PREÇOS'!$M:$M,MATCH($B61,'MAPA DE PREÇOS'!$B:$B)-16),IF($C61=$C59,"Unidade","")))</f>
        <v>UN</v>
      </c>
      <c r="I61" s="84">
        <f>IF($B60="","",IF($C61=$C58,INDEX('MAPA DE PREÇOS'!$M:$M,MATCH($B61,'MAPA DE PREÇOS'!$B:$B)-17),IF($C61=$C59,"Quant.","")))</f>
        <v>1</v>
      </c>
      <c r="J61" s="60">
        <f>IF(J60="Total Mensal","Total Acumulado",IF($B60="","",IF($C61=$C58,INDEX('MAPA DE PREÇOS'!$M:$M,MATCH($B61,'MAPA DE PREÇOS'!$B:$B)-19),IF($C61=$C59,"Valor Unit. (R$)",IF(AND($C61&lt;&gt;$C60,$J60&lt;&gt;""),"Total Mensal","")))))</f>
        <v>1567.63</v>
      </c>
      <c r="K61" s="75">
        <f>IF(J61="","",IF(J61="Total Mensal","-",IF(J61="Total Acumulado",SUM(K$7:K60),I61*J61)))</f>
        <v>1567.63</v>
      </c>
      <c r="L61" s="112" t="e">
        <f>IF(J61="","",IF(J61="Total Mensal","-",IF(J61="Total Acumulado",SUM(L$7:L60),K61/SUMIF(J:J,"Total Acumulado",K:K))))</f>
        <v>#DIV/0!</v>
      </c>
      <c r="M61" s="108"/>
      <c r="N61" s="112">
        <f>IF($J61="","",IF($J61="Total Mensal",SUM(O$7:O60)/VLOOKUP("Total Acumulado",$J:$K,2,FALSE),IF($J61="Total Acumulado",N60+L61+IF(L$7="% Item",-1,0),0%)))</f>
        <v>0</v>
      </c>
      <c r="O61" s="109">
        <f>IF($J61="","",IF($J61="Total Mensal",SUM(O$7:O60),IF($J61="Total Acumulado",SUM(O$7:O59)+M61,IFERROR(N61*$K61,0))))</f>
        <v>0</v>
      </c>
      <c r="P61" s="112">
        <f>IF($J61="","",IF($J61="Total Mensal",SUM(Q$7:Q60)/VLOOKUP("Total Acumulado",$J:$K,2,FALSE),IF($J61="Total Acumulado",P60+N61+IF(N$7="% Item",-1,0),0%)))</f>
        <v>0</v>
      </c>
      <c r="Q61" s="109">
        <f>IF($J61="","",IF($J61="Total Mensal",SUM(Q$7:Q60),IF($J61="Total Acumulado",SUM(Q$7:Q59)+O61,IFERROR(P61*$K61,0))))</f>
        <v>0</v>
      </c>
      <c r="R61" s="112">
        <f>IF($J61="","",IF($J61="Total Mensal",SUM(S$7:S60)/VLOOKUP("Total Acumulado",$J:$K,2,FALSE),IF($J61="Total Acumulado",R60+P61+IF(P$7="% Item",-1,0),0%)))</f>
        <v>0</v>
      </c>
      <c r="S61" s="109">
        <f>IF($J61="","",IF($J61="Total Mensal",SUM(S$7:S60),IF($J61="Total Acumulado",SUM(S$7:S59)+Q61,IFERROR(R61*$K61,0))))</f>
        <v>0</v>
      </c>
      <c r="T61" s="112">
        <f>IF($J61="","",IF($J61="Total Mensal",SUM(U$7:U60)/VLOOKUP("Total Acumulado",$J:$K,2,FALSE),IF($J61="Total Acumulado",T60+R61+IF(R$7="% Item",-1,0),0%)))</f>
        <v>0</v>
      </c>
      <c r="U61" s="109">
        <f>IF($J61="","",IF($J61="Total Mensal",SUM(U$7:U60),IF($J61="Total Acumulado",SUM(U$7:U59)+S61,IFERROR(T61*$K61,0))))</f>
        <v>0</v>
      </c>
      <c r="V61" s="112">
        <f>IF($J61="","",IF($J61="Total Mensal",SUM(W$7:W60)/VLOOKUP("Total Acumulado",$J:$K,2,FALSE),IF($J61="Total Acumulado",V60+T61+IF(T$7="% Item",-1,0),0%)))</f>
        <v>0</v>
      </c>
      <c r="W61" s="109">
        <f>IF($J61="","",IF($J61="Total Mensal",SUM(W$7:W60),IF($J61="Total Acumulado",SUM(W$7:W59)+U61,IFERROR(V61*$K61,0))))</f>
        <v>0</v>
      </c>
      <c r="X61" s="112">
        <f>IF($J61="","",IF($J61="Total Mensal",SUM(Y$7:Y60)/VLOOKUP("Total Acumulado",$J:$K,2,FALSE),IF($J61="Total Acumulado",X60+V61+IF(V$7="% Item",-1,0),0%)))</f>
        <v>0</v>
      </c>
      <c r="Y61" s="109">
        <f>IF($J61="","",IF($J61="Total Mensal",SUM(Y$7:Y60),IF($J61="Total Acumulado",SUM(Y$7:Y59)+W61,IFERROR(X61*$K61,0))))</f>
        <v>0</v>
      </c>
      <c r="Z61" s="112">
        <f>IF($J61="","",IF($J61="Total Mensal",SUM(AA$7:AA60)/VLOOKUP("Total Acumulado",$J:$K,2,FALSE),IF($J61="Total Acumulado",Z60+X61+IF(X$7="% Item",-1,0),0%)))</f>
        <v>0</v>
      </c>
      <c r="AA61" s="109">
        <f>IF($J61="","",IF($J61="Total Mensal",SUM(AA$7:AA60),IF($J61="Total Acumulado",SUM(AA$7:AA59)+Y61,IFERROR(Z61*$K61,0))))</f>
        <v>0</v>
      </c>
      <c r="AB61" s="112">
        <f>IF($J61="","",IF($J61="Total Mensal",SUM(AC$7:AC60)/VLOOKUP("Total Acumulado",$J:$K,2,FALSE),IF($J61="Total Acumulado",AB60+Z61+IF(Z$7="% Item",-1,0),0%)))</f>
        <v>0</v>
      </c>
      <c r="AC61" s="109">
        <f>IF($J61="","",IF($J61="Total Mensal",SUM(AC$7:AC60),IF($J61="Total Acumulado",SUM(AC$7:AC59)+AA61,IFERROR(AB61*$K61,0))))</f>
        <v>0</v>
      </c>
      <c r="AD61" s="112">
        <f>IF($J61="","",IF($J61="Total Mensal",SUM(AE$7:AE60)/VLOOKUP("Total Acumulado",$J:$K,2,FALSE),IF($J61="Total Acumulado",AD60+AB61+IF(AB$7="% Item",-1,0),0%)))</f>
        <v>0</v>
      </c>
      <c r="AE61" s="109">
        <f>IF($J61="","",IF($J61="Total Mensal",SUM(AE$7:AE60),IF($J61="Total Acumulado",SUM(AE$7:AE59)+AC61,IFERROR(AD61*$K61,0))))</f>
        <v>0</v>
      </c>
      <c r="AF61" s="112">
        <f>IF($J61="","",IF($J61="Total Mensal",SUM(AG$7:AG60)/VLOOKUP("Total Acumulado",$J:$K,2,FALSE),IF($J61="Total Acumulado",AF60+AD61+IF(AD$7="% Item",-1,0),0%)))</f>
        <v>0</v>
      </c>
      <c r="AG61" s="109">
        <f>IF($J61="","",IF($J61="Total Mensal",SUM(AG$7:AG60),IF($J61="Total Acumulado",SUM(AG$7:AG59)+AE61,IFERROR(AF61*$K61,0))))</f>
        <v>0</v>
      </c>
      <c r="AH61" s="112">
        <f>IF($J61="","",IF($J61="Total Mensal",SUM(AI$7:AI60)/VLOOKUP("Total Acumulado",$J:$K,2,FALSE),IF($J61="Total Acumulado",AH60+AF61+IF(AF$7="% Item",-1,0),0%)))</f>
        <v>0</v>
      </c>
      <c r="AI61" s="109">
        <f>IF($J61="","",IF($J61="Total Mensal",SUM(AI$7:AI60),IF($J61="Total Acumulado",SUM(AI$7:AI59)+AG61,IFERROR(AH61*$K61,0))))</f>
        <v>0</v>
      </c>
      <c r="AJ61" s="112">
        <f>IF($J61="","",IF($J61="Total Mensal",SUM(AK$7:AK60)/VLOOKUP("Total Acumulado",$J:$K,2,FALSE),IF($J61="Total Acumulado",AJ60+AH61+IF(AH$7="% Item",-1,0),0%)))</f>
        <v>0</v>
      </c>
      <c r="AK61" s="109">
        <f>IF($J61="","",IF($J61="Total Mensal",SUM(AK$7:AK60),IF($J61="Total Acumulado",SUM(AK$7:AK59)+AI61,IFERROR(AJ61*$K61,0))))</f>
        <v>0</v>
      </c>
    </row>
    <row r="62" spans="2:37" x14ac:dyDescent="0.25">
      <c r="B62" s="41">
        <f>IFERROR(IF(C61=C58,IF(B61+1&lt;='MAPA DE PREÇOS'!$H$8,B61+1,""),B61),"")</f>
        <v>55</v>
      </c>
      <c r="C62" s="41">
        <f>IFERROR(VLOOKUP(B62,'MAPA DE PREÇOS'!B:D,2,FALSE),"")</f>
        <v>1</v>
      </c>
      <c r="D62" s="41">
        <f>IFERROR(VLOOKUP(B62,'MAPA DE PREÇOS'!B:D,3,FALSE),"")</f>
        <v>55</v>
      </c>
      <c r="E62" s="82">
        <f t="shared" si="1"/>
        <v>55</v>
      </c>
      <c r="F62" s="82">
        <f>IF($B61="","",IF($C62=$C59,INDEX('MAPA DE PREÇOS'!$H:$H,MATCH($B62,'MAPA DE PREÇOS'!$B:$B)-19),IF($C62=$C60,"Código","")))</f>
        <v>0</v>
      </c>
      <c r="G62" s="83" t="str">
        <f>IF($B61="","",IF($C62=$C59,IF('BASE EDITAL'!$C$2="",INDEX('MAPA DE PREÇOS'!H:H,MATCH(EDITAL!B62,'MAPA DE PREÇOS'!B:B,0)+1),UPPER(INDEX('BASE EDITAL'!$C:$C,EDITAL!B62+1))),IF($C62=$C60,"Especificação do Objeto","")))</f>
        <v xml:space="preserve">Detector eletrônico de vazamentos </v>
      </c>
      <c r="H62" s="84" t="str">
        <f>IF($B61="","",IF($C62=$C59,INDEX('MAPA DE PREÇOS'!$M:$M,MATCH($B62,'MAPA DE PREÇOS'!$B:$B)-16),IF($C62=$C60,"Unidade","")))</f>
        <v>UN</v>
      </c>
      <c r="I62" s="84">
        <f>IF($B61="","",IF($C62=$C59,INDEX('MAPA DE PREÇOS'!$M:$M,MATCH($B62,'MAPA DE PREÇOS'!$B:$B)-17),IF($C62=$C60,"Quant.","")))</f>
        <v>1</v>
      </c>
      <c r="J62" s="60">
        <f>IF(J61="Total Mensal","Total Acumulado",IF($B61="","",IF($C62=$C59,INDEX('MAPA DE PREÇOS'!$M:$M,MATCH($B62,'MAPA DE PREÇOS'!$B:$B)-19),IF($C62=$C60,"Valor Unit. (R$)",IF(AND($C62&lt;&gt;$C61,$J61&lt;&gt;""),"Total Mensal","")))))</f>
        <v>438.47</v>
      </c>
      <c r="K62" s="75">
        <f>IF(J62="","",IF(J62="Total Mensal","-",IF(J62="Total Acumulado",SUM(K$7:K61),I62*J62)))</f>
        <v>438.47</v>
      </c>
      <c r="L62" s="112" t="e">
        <f>IF(J62="","",IF(J62="Total Mensal","-",IF(J62="Total Acumulado",SUM(L$7:L61),K62/SUMIF(J:J,"Total Acumulado",K:K))))</f>
        <v>#DIV/0!</v>
      </c>
      <c r="M62" s="108"/>
      <c r="N62" s="112">
        <f>IF($J62="","",IF($J62="Total Mensal",SUM(O$7:O61)/VLOOKUP("Total Acumulado",$J:$K,2,FALSE),IF($J62="Total Acumulado",N61+L62+IF(L$7="% Item",-1,0),0%)))</f>
        <v>0</v>
      </c>
      <c r="O62" s="109">
        <f>IF($J62="","",IF($J62="Total Mensal",SUM(O$7:O61),IF($J62="Total Acumulado",SUM(O$7:O60)+M62,IFERROR(N62*$K62,0))))</f>
        <v>0</v>
      </c>
      <c r="P62" s="112">
        <f>IF($J62="","",IF($J62="Total Mensal",SUM(Q$7:Q61)/VLOOKUP("Total Acumulado",$J:$K,2,FALSE),IF($J62="Total Acumulado",P61+N62+IF(N$7="% Item",-1,0),0%)))</f>
        <v>0</v>
      </c>
      <c r="Q62" s="109">
        <f>IF($J62="","",IF($J62="Total Mensal",SUM(Q$7:Q61),IF($J62="Total Acumulado",SUM(Q$7:Q60)+O62,IFERROR(P62*$K62,0))))</f>
        <v>0</v>
      </c>
      <c r="R62" s="112">
        <f>IF($J62="","",IF($J62="Total Mensal",SUM(S$7:S61)/VLOOKUP("Total Acumulado",$J:$K,2,FALSE),IF($J62="Total Acumulado",R61+P62+IF(P$7="% Item",-1,0),0%)))</f>
        <v>0</v>
      </c>
      <c r="S62" s="109">
        <f>IF($J62="","",IF($J62="Total Mensal",SUM(S$7:S61),IF($J62="Total Acumulado",SUM(S$7:S60)+Q62,IFERROR(R62*$K62,0))))</f>
        <v>0</v>
      </c>
      <c r="T62" s="112">
        <f>IF($J62="","",IF($J62="Total Mensal",SUM(U$7:U61)/VLOOKUP("Total Acumulado",$J:$K,2,FALSE),IF($J62="Total Acumulado",T61+R62+IF(R$7="% Item",-1,0),0%)))</f>
        <v>0</v>
      </c>
      <c r="U62" s="109">
        <f>IF($J62="","",IF($J62="Total Mensal",SUM(U$7:U61),IF($J62="Total Acumulado",SUM(U$7:U60)+S62,IFERROR(T62*$K62,0))))</f>
        <v>0</v>
      </c>
      <c r="V62" s="112">
        <f>IF($J62="","",IF($J62="Total Mensal",SUM(W$7:W61)/VLOOKUP("Total Acumulado",$J:$K,2,FALSE),IF($J62="Total Acumulado",V61+T62+IF(T$7="% Item",-1,0),0%)))</f>
        <v>0</v>
      </c>
      <c r="W62" s="109">
        <f>IF($J62="","",IF($J62="Total Mensal",SUM(W$7:W61),IF($J62="Total Acumulado",SUM(W$7:W60)+U62,IFERROR(V62*$K62,0))))</f>
        <v>0</v>
      </c>
      <c r="X62" s="112">
        <f>IF($J62="","",IF($J62="Total Mensal",SUM(Y$7:Y61)/VLOOKUP("Total Acumulado",$J:$K,2,FALSE),IF($J62="Total Acumulado",X61+V62+IF(V$7="% Item",-1,0),0%)))</f>
        <v>0</v>
      </c>
      <c r="Y62" s="109">
        <f>IF($J62="","",IF($J62="Total Mensal",SUM(Y$7:Y61),IF($J62="Total Acumulado",SUM(Y$7:Y60)+W62,IFERROR(X62*$K62,0))))</f>
        <v>0</v>
      </c>
      <c r="Z62" s="112">
        <f>IF($J62="","",IF($J62="Total Mensal",SUM(AA$7:AA61)/VLOOKUP("Total Acumulado",$J:$K,2,FALSE),IF($J62="Total Acumulado",Z61+X62+IF(X$7="% Item",-1,0),0%)))</f>
        <v>0</v>
      </c>
      <c r="AA62" s="109">
        <f>IF($J62="","",IF($J62="Total Mensal",SUM(AA$7:AA61),IF($J62="Total Acumulado",SUM(AA$7:AA60)+Y62,IFERROR(Z62*$K62,0))))</f>
        <v>0</v>
      </c>
      <c r="AB62" s="112">
        <f>IF($J62="","",IF($J62="Total Mensal",SUM(AC$7:AC61)/VLOOKUP("Total Acumulado",$J:$K,2,FALSE),IF($J62="Total Acumulado",AB61+Z62+IF(Z$7="% Item",-1,0),0%)))</f>
        <v>0</v>
      </c>
      <c r="AC62" s="109">
        <f>IF($J62="","",IF($J62="Total Mensal",SUM(AC$7:AC61),IF($J62="Total Acumulado",SUM(AC$7:AC60)+AA62,IFERROR(AB62*$K62,0))))</f>
        <v>0</v>
      </c>
      <c r="AD62" s="112">
        <f>IF($J62="","",IF($J62="Total Mensal",SUM(AE$7:AE61)/VLOOKUP("Total Acumulado",$J:$K,2,FALSE),IF($J62="Total Acumulado",AD61+AB62+IF(AB$7="% Item",-1,0),0%)))</f>
        <v>0</v>
      </c>
      <c r="AE62" s="109">
        <f>IF($J62="","",IF($J62="Total Mensal",SUM(AE$7:AE61),IF($J62="Total Acumulado",SUM(AE$7:AE60)+AC62,IFERROR(AD62*$K62,0))))</f>
        <v>0</v>
      </c>
      <c r="AF62" s="112">
        <f>IF($J62="","",IF($J62="Total Mensal",SUM(AG$7:AG61)/VLOOKUP("Total Acumulado",$J:$K,2,FALSE),IF($J62="Total Acumulado",AF61+AD62+IF(AD$7="% Item",-1,0),0%)))</f>
        <v>0</v>
      </c>
      <c r="AG62" s="109">
        <f>IF($J62="","",IF($J62="Total Mensal",SUM(AG$7:AG61),IF($J62="Total Acumulado",SUM(AG$7:AG60)+AE62,IFERROR(AF62*$K62,0))))</f>
        <v>0</v>
      </c>
      <c r="AH62" s="112">
        <f>IF($J62="","",IF($J62="Total Mensal",SUM(AI$7:AI61)/VLOOKUP("Total Acumulado",$J:$K,2,FALSE),IF($J62="Total Acumulado",AH61+AF62+IF(AF$7="% Item",-1,0),0%)))</f>
        <v>0</v>
      </c>
      <c r="AI62" s="109">
        <f>IF($J62="","",IF($J62="Total Mensal",SUM(AI$7:AI61),IF($J62="Total Acumulado",SUM(AI$7:AI60)+AG62,IFERROR(AH62*$K62,0))))</f>
        <v>0</v>
      </c>
      <c r="AJ62" s="112">
        <f>IF($J62="","",IF($J62="Total Mensal",SUM(AK$7:AK61)/VLOOKUP("Total Acumulado",$J:$K,2,FALSE),IF($J62="Total Acumulado",AJ61+AH62+IF(AH$7="% Item",-1,0),0%)))</f>
        <v>0</v>
      </c>
      <c r="AK62" s="109">
        <f>IF($J62="","",IF($J62="Total Mensal",SUM(AK$7:AK61),IF($J62="Total Acumulado",SUM(AK$7:AK60)+AI62,IFERROR(AJ62*$K62,0))))</f>
        <v>0</v>
      </c>
    </row>
    <row r="63" spans="2:37" x14ac:dyDescent="0.25">
      <c r="B63" s="41">
        <f>IFERROR(IF(C62=C59,IF(B62+1&lt;='MAPA DE PREÇOS'!$H$8,B62+1,""),B62),"")</f>
        <v>56</v>
      </c>
      <c r="C63" s="41">
        <f>IFERROR(VLOOKUP(B63,'MAPA DE PREÇOS'!B:D,2,FALSE),"")</f>
        <v>1</v>
      </c>
      <c r="D63" s="41">
        <f>IFERROR(VLOOKUP(B63,'MAPA DE PREÇOS'!B:D,3,FALSE),"")</f>
        <v>56</v>
      </c>
      <c r="E63" s="82">
        <f t="shared" si="1"/>
        <v>56</v>
      </c>
      <c r="F63" s="82">
        <f>IF($B62="","",IF($C63=$C60,INDEX('MAPA DE PREÇOS'!$H:$H,MATCH($B63,'MAPA DE PREÇOS'!$B:$B)-19),IF($C63=$C61,"Código","")))</f>
        <v>0</v>
      </c>
      <c r="G63" s="83" t="str">
        <f>IF($B62="","",IF($C63=$C60,IF('BASE EDITAL'!$C$2="",INDEX('MAPA DE PREÇOS'!H:H,MATCH(EDITAL!B63,'MAPA DE PREÇOS'!B:B,0)+1),UPPER(INDEX('BASE EDITAL'!$C:$C,EDITAL!B63+1))),IF($C63=$C61,"Especificação do Objeto","")))</f>
        <v>Termômetro infravermelho</v>
      </c>
      <c r="H63" s="84" t="str">
        <f>IF($B62="","",IF($C63=$C60,INDEX('MAPA DE PREÇOS'!$M:$M,MATCH($B63,'MAPA DE PREÇOS'!$B:$B)-16),IF($C63=$C61,"Unidade","")))</f>
        <v>UN</v>
      </c>
      <c r="I63" s="84">
        <f>IF($B62="","",IF($C63=$C60,INDEX('MAPA DE PREÇOS'!$M:$M,MATCH($B63,'MAPA DE PREÇOS'!$B:$B)-17),IF($C63=$C61,"Quant.","")))</f>
        <v>1</v>
      </c>
      <c r="J63" s="60">
        <f>IF(J62="Total Mensal","Total Acumulado",IF($B62="","",IF($C63=$C60,INDEX('MAPA DE PREÇOS'!$M:$M,MATCH($B63,'MAPA DE PREÇOS'!$B:$B)-19),IF($C63=$C61,"Valor Unit. (R$)",IF(AND($C63&lt;&gt;$C62,$J62&lt;&gt;""),"Total Mensal","")))))</f>
        <v>181.19</v>
      </c>
      <c r="K63" s="75">
        <f>IF(J63="","",IF(J63="Total Mensal","-",IF(J63="Total Acumulado",SUM(K$7:K62),I63*J63)))</f>
        <v>181.19</v>
      </c>
      <c r="L63" s="112" t="e">
        <f>IF(J63="","",IF(J63="Total Mensal","-",IF(J63="Total Acumulado",SUM(L$7:L62),K63/SUMIF(J:J,"Total Acumulado",K:K))))</f>
        <v>#DIV/0!</v>
      </c>
      <c r="M63" s="108"/>
      <c r="N63" s="112">
        <f>IF($J63="","",IF($J63="Total Mensal",SUM(O$7:O62)/VLOOKUP("Total Acumulado",$J:$K,2,FALSE),IF($J63="Total Acumulado",N62+L63+IF(L$7="% Item",-1,0),0%)))</f>
        <v>0</v>
      </c>
      <c r="O63" s="109">
        <f>IF($J63="","",IF($J63="Total Mensal",SUM(O$7:O62),IF($J63="Total Acumulado",SUM(O$7:O61)+M63,IFERROR(N63*$K63,0))))</f>
        <v>0</v>
      </c>
      <c r="P63" s="112">
        <f>IF($J63="","",IF($J63="Total Mensal",SUM(Q$7:Q62)/VLOOKUP("Total Acumulado",$J:$K,2,FALSE),IF($J63="Total Acumulado",P62+N63+IF(N$7="% Item",-1,0),0%)))</f>
        <v>0</v>
      </c>
      <c r="Q63" s="109">
        <f>IF($J63="","",IF($J63="Total Mensal",SUM(Q$7:Q62),IF($J63="Total Acumulado",SUM(Q$7:Q61)+O63,IFERROR(P63*$K63,0))))</f>
        <v>0</v>
      </c>
      <c r="R63" s="112">
        <f>IF($J63="","",IF($J63="Total Mensal",SUM(S$7:S62)/VLOOKUP("Total Acumulado",$J:$K,2,FALSE),IF($J63="Total Acumulado",R62+P63+IF(P$7="% Item",-1,0),0%)))</f>
        <v>0</v>
      </c>
      <c r="S63" s="109">
        <f>IF($J63="","",IF($J63="Total Mensal",SUM(S$7:S62),IF($J63="Total Acumulado",SUM(S$7:S61)+Q63,IFERROR(R63*$K63,0))))</f>
        <v>0</v>
      </c>
      <c r="T63" s="112">
        <f>IF($J63="","",IF($J63="Total Mensal",SUM(U$7:U62)/VLOOKUP("Total Acumulado",$J:$K,2,FALSE),IF($J63="Total Acumulado",T62+R63+IF(R$7="% Item",-1,0),0%)))</f>
        <v>0</v>
      </c>
      <c r="U63" s="109">
        <f>IF($J63="","",IF($J63="Total Mensal",SUM(U$7:U62),IF($J63="Total Acumulado",SUM(U$7:U61)+S63,IFERROR(T63*$K63,0))))</f>
        <v>0</v>
      </c>
      <c r="V63" s="112">
        <f>IF($J63="","",IF($J63="Total Mensal",SUM(W$7:W62)/VLOOKUP("Total Acumulado",$J:$K,2,FALSE),IF($J63="Total Acumulado",V62+T63+IF(T$7="% Item",-1,0),0%)))</f>
        <v>0</v>
      </c>
      <c r="W63" s="109">
        <f>IF($J63="","",IF($J63="Total Mensal",SUM(W$7:W62),IF($J63="Total Acumulado",SUM(W$7:W61)+U63,IFERROR(V63*$K63,0))))</f>
        <v>0</v>
      </c>
      <c r="X63" s="112">
        <f>IF($J63="","",IF($J63="Total Mensal",SUM(Y$7:Y62)/VLOOKUP("Total Acumulado",$J:$K,2,FALSE),IF($J63="Total Acumulado",X62+V63+IF(V$7="% Item",-1,0),0%)))</f>
        <v>0</v>
      </c>
      <c r="Y63" s="109">
        <f>IF($J63="","",IF($J63="Total Mensal",SUM(Y$7:Y62),IF($J63="Total Acumulado",SUM(Y$7:Y61)+W63,IFERROR(X63*$K63,0))))</f>
        <v>0</v>
      </c>
      <c r="Z63" s="112">
        <f>IF($J63="","",IF($J63="Total Mensal",SUM(AA$7:AA62)/VLOOKUP("Total Acumulado",$J:$K,2,FALSE),IF($J63="Total Acumulado",Z62+X63+IF(X$7="% Item",-1,0),0%)))</f>
        <v>0</v>
      </c>
      <c r="AA63" s="109">
        <f>IF($J63="","",IF($J63="Total Mensal",SUM(AA$7:AA62),IF($J63="Total Acumulado",SUM(AA$7:AA61)+Y63,IFERROR(Z63*$K63,0))))</f>
        <v>0</v>
      </c>
      <c r="AB63" s="112">
        <f>IF($J63="","",IF($J63="Total Mensal",SUM(AC$7:AC62)/VLOOKUP("Total Acumulado",$J:$K,2,FALSE),IF($J63="Total Acumulado",AB62+Z63+IF(Z$7="% Item",-1,0),0%)))</f>
        <v>0</v>
      </c>
      <c r="AC63" s="109">
        <f>IF($J63="","",IF($J63="Total Mensal",SUM(AC$7:AC62),IF($J63="Total Acumulado",SUM(AC$7:AC61)+AA63,IFERROR(AB63*$K63,0))))</f>
        <v>0</v>
      </c>
      <c r="AD63" s="112">
        <f>IF($J63="","",IF($J63="Total Mensal",SUM(AE$7:AE62)/VLOOKUP("Total Acumulado",$J:$K,2,FALSE),IF($J63="Total Acumulado",AD62+AB63+IF(AB$7="% Item",-1,0),0%)))</f>
        <v>0</v>
      </c>
      <c r="AE63" s="109">
        <f>IF($J63="","",IF($J63="Total Mensal",SUM(AE$7:AE62),IF($J63="Total Acumulado",SUM(AE$7:AE61)+AC63,IFERROR(AD63*$K63,0))))</f>
        <v>0</v>
      </c>
      <c r="AF63" s="112">
        <f>IF($J63="","",IF($J63="Total Mensal",SUM(AG$7:AG62)/VLOOKUP("Total Acumulado",$J:$K,2,FALSE),IF($J63="Total Acumulado",AF62+AD63+IF(AD$7="% Item",-1,0),0%)))</f>
        <v>0</v>
      </c>
      <c r="AG63" s="109">
        <f>IF($J63="","",IF($J63="Total Mensal",SUM(AG$7:AG62),IF($J63="Total Acumulado",SUM(AG$7:AG61)+AE63,IFERROR(AF63*$K63,0))))</f>
        <v>0</v>
      </c>
      <c r="AH63" s="112">
        <f>IF($J63="","",IF($J63="Total Mensal",SUM(AI$7:AI62)/VLOOKUP("Total Acumulado",$J:$K,2,FALSE),IF($J63="Total Acumulado",AH62+AF63+IF(AF$7="% Item",-1,0),0%)))</f>
        <v>0</v>
      </c>
      <c r="AI63" s="109">
        <f>IF($J63="","",IF($J63="Total Mensal",SUM(AI$7:AI62),IF($J63="Total Acumulado",SUM(AI$7:AI61)+AG63,IFERROR(AH63*$K63,0))))</f>
        <v>0</v>
      </c>
      <c r="AJ63" s="112">
        <f>IF($J63="","",IF($J63="Total Mensal",SUM(AK$7:AK62)/VLOOKUP("Total Acumulado",$J:$K,2,FALSE),IF($J63="Total Acumulado",AJ62+AH63+IF(AH$7="% Item",-1,0),0%)))</f>
        <v>0</v>
      </c>
      <c r="AK63" s="109">
        <f>IF($J63="","",IF($J63="Total Mensal",SUM(AK$7:AK62),IF($J63="Total Acumulado",SUM(AK$7:AK61)+AI63,IFERROR(AJ63*$K63,0))))</f>
        <v>0</v>
      </c>
    </row>
    <row r="64" spans="2:37" x14ac:dyDescent="0.25">
      <c r="B64" s="41">
        <f>IFERROR(IF(C63=C60,IF(B63+1&lt;='MAPA DE PREÇOS'!$H$8,B63+1,""),B63),"")</f>
        <v>57</v>
      </c>
      <c r="C64" s="41">
        <f>IFERROR(VLOOKUP(B64,'MAPA DE PREÇOS'!B:D,2,FALSE),"")</f>
        <v>1</v>
      </c>
      <c r="D64" s="41">
        <f>IFERROR(VLOOKUP(B64,'MAPA DE PREÇOS'!B:D,3,FALSE),"")</f>
        <v>57</v>
      </c>
      <c r="E64" s="82">
        <f t="shared" si="1"/>
        <v>57</v>
      </c>
      <c r="F64" s="82">
        <f>IF($B63="","",IF($C64=$C61,INDEX('MAPA DE PREÇOS'!$H:$H,MATCH($B64,'MAPA DE PREÇOS'!$B:$B)-19),IF($C64=$C62,"Código","")))</f>
        <v>0</v>
      </c>
      <c r="G64" s="83" t="str">
        <f>IF($B63="","",IF($C64=$C61,IF('BASE EDITAL'!$C$2="",INDEX('MAPA DE PREÇOS'!H:H,MATCH(EDITAL!B64,'MAPA DE PREÇOS'!B:B,0)+1),UPPER(INDEX('BASE EDITAL'!$C:$C,EDITAL!B64+1))),IF($C64=$C62,"Especificação do Objeto","")))</f>
        <v xml:space="preserve">Medidor de temperatura e umidade </v>
      </c>
      <c r="H64" s="84" t="str">
        <f>IF($B63="","",IF($C64=$C61,INDEX('MAPA DE PREÇOS'!$M:$M,MATCH($B64,'MAPA DE PREÇOS'!$B:$B)-16),IF($C64=$C62,"Unidade","")))</f>
        <v>UN</v>
      </c>
      <c r="I64" s="84">
        <f>IF($B63="","",IF($C64=$C61,INDEX('MAPA DE PREÇOS'!$M:$M,MATCH($B64,'MAPA DE PREÇOS'!$B:$B)-17),IF($C64=$C62,"Quant.","")))</f>
        <v>1</v>
      </c>
      <c r="J64" s="60">
        <f>IF(J63="Total Mensal","Total Acumulado",IF($B63="","",IF($C64=$C61,INDEX('MAPA DE PREÇOS'!$M:$M,MATCH($B64,'MAPA DE PREÇOS'!$B:$B)-19),IF($C64=$C62,"Valor Unit. (R$)",IF(AND($C64&lt;&gt;$C63,$J63&lt;&gt;""),"Total Mensal","")))))</f>
        <v>209.18</v>
      </c>
      <c r="K64" s="75">
        <f>IF(J64="","",IF(J64="Total Mensal","-",IF(J64="Total Acumulado",SUM(K$7:K63),I64*J64)))</f>
        <v>209.18</v>
      </c>
      <c r="L64" s="112" t="e">
        <f>IF(J64="","",IF(J64="Total Mensal","-",IF(J64="Total Acumulado",SUM(L$7:L63),K64/SUMIF(J:J,"Total Acumulado",K:K))))</f>
        <v>#DIV/0!</v>
      </c>
      <c r="M64" s="108"/>
      <c r="N64" s="112">
        <f>IF($J64="","",IF($J64="Total Mensal",SUM(O$7:O63)/VLOOKUP("Total Acumulado",$J:$K,2,FALSE),IF($J64="Total Acumulado",N63+L64+IF(L$7="% Item",-1,0),0%)))</f>
        <v>0</v>
      </c>
      <c r="O64" s="109">
        <f>IF($J64="","",IF($J64="Total Mensal",SUM(O$7:O63),IF($J64="Total Acumulado",SUM(O$7:O62)+M64,IFERROR(N64*$K64,0))))</f>
        <v>0</v>
      </c>
      <c r="P64" s="112">
        <f>IF($J64="","",IF($J64="Total Mensal",SUM(Q$7:Q63)/VLOOKUP("Total Acumulado",$J:$K,2,FALSE),IF($J64="Total Acumulado",P63+N64+IF(N$7="% Item",-1,0),0%)))</f>
        <v>0</v>
      </c>
      <c r="Q64" s="109">
        <f>IF($J64="","",IF($J64="Total Mensal",SUM(Q$7:Q63),IF($J64="Total Acumulado",SUM(Q$7:Q62)+O64,IFERROR(P64*$K64,0))))</f>
        <v>0</v>
      </c>
      <c r="R64" s="112">
        <f>IF($J64="","",IF($J64="Total Mensal",SUM(S$7:S63)/VLOOKUP("Total Acumulado",$J:$K,2,FALSE),IF($J64="Total Acumulado",R63+P64+IF(P$7="% Item",-1,0),0%)))</f>
        <v>0</v>
      </c>
      <c r="S64" s="109">
        <f>IF($J64="","",IF($J64="Total Mensal",SUM(S$7:S63),IF($J64="Total Acumulado",SUM(S$7:S62)+Q64,IFERROR(R64*$K64,0))))</f>
        <v>0</v>
      </c>
      <c r="T64" s="112">
        <f>IF($J64="","",IF($J64="Total Mensal",SUM(U$7:U63)/VLOOKUP("Total Acumulado",$J:$K,2,FALSE),IF($J64="Total Acumulado",T63+R64+IF(R$7="% Item",-1,0),0%)))</f>
        <v>0</v>
      </c>
      <c r="U64" s="109">
        <f>IF($J64="","",IF($J64="Total Mensal",SUM(U$7:U63),IF($J64="Total Acumulado",SUM(U$7:U62)+S64,IFERROR(T64*$K64,0))))</f>
        <v>0</v>
      </c>
      <c r="V64" s="112">
        <f>IF($J64="","",IF($J64="Total Mensal",SUM(W$7:W63)/VLOOKUP("Total Acumulado",$J:$K,2,FALSE),IF($J64="Total Acumulado",V63+T64+IF(T$7="% Item",-1,0),0%)))</f>
        <v>0</v>
      </c>
      <c r="W64" s="109">
        <f>IF($J64="","",IF($J64="Total Mensal",SUM(W$7:W63),IF($J64="Total Acumulado",SUM(W$7:W62)+U64,IFERROR(V64*$K64,0))))</f>
        <v>0</v>
      </c>
      <c r="X64" s="112">
        <f>IF($J64="","",IF($J64="Total Mensal",SUM(Y$7:Y63)/VLOOKUP("Total Acumulado",$J:$K,2,FALSE),IF($J64="Total Acumulado",X63+V64+IF(V$7="% Item",-1,0),0%)))</f>
        <v>0</v>
      </c>
      <c r="Y64" s="109">
        <f>IF($J64="","",IF($J64="Total Mensal",SUM(Y$7:Y63),IF($J64="Total Acumulado",SUM(Y$7:Y62)+W64,IFERROR(X64*$K64,0))))</f>
        <v>0</v>
      </c>
      <c r="Z64" s="112">
        <f>IF($J64="","",IF($J64="Total Mensal",SUM(AA$7:AA63)/VLOOKUP("Total Acumulado",$J:$K,2,FALSE),IF($J64="Total Acumulado",Z63+X64+IF(X$7="% Item",-1,0),0%)))</f>
        <v>0</v>
      </c>
      <c r="AA64" s="109">
        <f>IF($J64="","",IF($J64="Total Mensal",SUM(AA$7:AA63),IF($J64="Total Acumulado",SUM(AA$7:AA62)+Y64,IFERROR(Z64*$K64,0))))</f>
        <v>0</v>
      </c>
      <c r="AB64" s="112">
        <f>IF($J64="","",IF($J64="Total Mensal",SUM(AC$7:AC63)/VLOOKUP("Total Acumulado",$J:$K,2,FALSE),IF($J64="Total Acumulado",AB63+Z64+IF(Z$7="% Item",-1,0),0%)))</f>
        <v>0</v>
      </c>
      <c r="AC64" s="109">
        <f>IF($J64="","",IF($J64="Total Mensal",SUM(AC$7:AC63),IF($J64="Total Acumulado",SUM(AC$7:AC62)+AA64,IFERROR(AB64*$K64,0))))</f>
        <v>0</v>
      </c>
      <c r="AD64" s="112">
        <f>IF($J64="","",IF($J64="Total Mensal",SUM(AE$7:AE63)/VLOOKUP("Total Acumulado",$J:$K,2,FALSE),IF($J64="Total Acumulado",AD63+AB64+IF(AB$7="% Item",-1,0),0%)))</f>
        <v>0</v>
      </c>
      <c r="AE64" s="109">
        <f>IF($J64="","",IF($J64="Total Mensal",SUM(AE$7:AE63),IF($J64="Total Acumulado",SUM(AE$7:AE62)+AC64,IFERROR(AD64*$K64,0))))</f>
        <v>0</v>
      </c>
      <c r="AF64" s="112">
        <f>IF($J64="","",IF($J64="Total Mensal",SUM(AG$7:AG63)/VLOOKUP("Total Acumulado",$J:$K,2,FALSE),IF($J64="Total Acumulado",AF63+AD64+IF(AD$7="% Item",-1,0),0%)))</f>
        <v>0</v>
      </c>
      <c r="AG64" s="109">
        <f>IF($J64="","",IF($J64="Total Mensal",SUM(AG$7:AG63),IF($J64="Total Acumulado",SUM(AG$7:AG62)+AE64,IFERROR(AF64*$K64,0))))</f>
        <v>0</v>
      </c>
      <c r="AH64" s="112">
        <f>IF($J64="","",IF($J64="Total Mensal",SUM(AI$7:AI63)/VLOOKUP("Total Acumulado",$J:$K,2,FALSE),IF($J64="Total Acumulado",AH63+AF64+IF(AF$7="% Item",-1,0),0%)))</f>
        <v>0</v>
      </c>
      <c r="AI64" s="109">
        <f>IF($J64="","",IF($J64="Total Mensal",SUM(AI$7:AI63),IF($J64="Total Acumulado",SUM(AI$7:AI62)+AG64,IFERROR(AH64*$K64,0))))</f>
        <v>0</v>
      </c>
      <c r="AJ64" s="112">
        <f>IF($J64="","",IF($J64="Total Mensal",SUM(AK$7:AK63)/VLOOKUP("Total Acumulado",$J:$K,2,FALSE),IF($J64="Total Acumulado",AJ63+AH64+IF(AH$7="% Item",-1,0),0%)))</f>
        <v>0</v>
      </c>
      <c r="AK64" s="109">
        <f>IF($J64="","",IF($J64="Total Mensal",SUM(AK$7:AK63),IF($J64="Total Acumulado",SUM(AK$7:AK62)+AI64,IFERROR(AJ64*$K64,0))))</f>
        <v>0</v>
      </c>
    </row>
    <row r="65" spans="2:37" x14ac:dyDescent="0.25">
      <c r="B65" s="41">
        <f>IFERROR(IF(C64=C61,IF(B64+1&lt;='MAPA DE PREÇOS'!$H$8,B64+1,""),B64),"")</f>
        <v>58</v>
      </c>
      <c r="C65" s="41">
        <f>IFERROR(VLOOKUP(B65,'MAPA DE PREÇOS'!B:D,2,FALSE),"")</f>
        <v>1</v>
      </c>
      <c r="D65" s="41">
        <f>IFERROR(VLOOKUP(B65,'MAPA DE PREÇOS'!B:D,3,FALSE),"")</f>
        <v>58</v>
      </c>
      <c r="E65" s="82">
        <f t="shared" si="1"/>
        <v>58</v>
      </c>
      <c r="F65" s="82">
        <f>IF($B64="","",IF($C65=$C62,INDEX('MAPA DE PREÇOS'!$H:$H,MATCH($B65,'MAPA DE PREÇOS'!$B:$B)-19),IF($C65=$C63,"Código","")))</f>
        <v>0</v>
      </c>
      <c r="G65" s="83" t="str">
        <f>IF($B64="","",IF($C65=$C62,IF('BASE EDITAL'!$C$2="",INDEX('MAPA DE PREÇOS'!H:H,MATCH(EDITAL!B65,'MAPA DE PREÇOS'!B:B,0)+1),UPPER(INDEX('BASE EDITAL'!$C:$C,EDITAL!B65+1))),IF($C65=$C63,"Especificação do Objeto","")))</f>
        <v>Cortador profissional de vidro</v>
      </c>
      <c r="H65" s="84" t="str">
        <f>IF($B64="","",IF($C65=$C62,INDEX('MAPA DE PREÇOS'!$M:$M,MATCH($B65,'MAPA DE PREÇOS'!$B:$B)-16),IF($C65=$C63,"Unidade","")))</f>
        <v>UN</v>
      </c>
      <c r="I65" s="84">
        <f>IF($B64="","",IF($C65=$C62,INDEX('MAPA DE PREÇOS'!$M:$M,MATCH($B65,'MAPA DE PREÇOS'!$B:$B)-17),IF($C65=$C63,"Quant.","")))</f>
        <v>1</v>
      </c>
      <c r="J65" s="60">
        <f>IF(J64="Total Mensal","Total Acumulado",IF($B64="","",IF($C65=$C62,INDEX('MAPA DE PREÇOS'!$M:$M,MATCH($B65,'MAPA DE PREÇOS'!$B:$B)-19),IF($C65=$C63,"Valor Unit. (R$)",IF(AND($C65&lt;&gt;$C64,$J64&lt;&gt;""),"Total Mensal","")))))</f>
        <v>99.11</v>
      </c>
      <c r="K65" s="75">
        <f>IF(J65="","",IF(J65="Total Mensal","-",IF(J65="Total Acumulado",SUM(K$7:K64),I65*J65)))</f>
        <v>99.11</v>
      </c>
      <c r="L65" s="112" t="e">
        <f>IF(J65="","",IF(J65="Total Mensal","-",IF(J65="Total Acumulado",SUM(L$7:L64),K65/SUMIF(J:J,"Total Acumulado",K:K))))</f>
        <v>#DIV/0!</v>
      </c>
      <c r="M65" s="108"/>
      <c r="N65" s="112">
        <f>IF($J65="","",IF($J65="Total Mensal",SUM(O$7:O64)/VLOOKUP("Total Acumulado",$J:$K,2,FALSE),IF($J65="Total Acumulado",N64+L65+IF(L$7="% Item",-1,0),0%)))</f>
        <v>0</v>
      </c>
      <c r="O65" s="109">
        <f>IF($J65="","",IF($J65="Total Mensal",SUM(O$7:O64),IF($J65="Total Acumulado",SUM(O$7:O63)+M65,IFERROR(N65*$K65,0))))</f>
        <v>0</v>
      </c>
      <c r="P65" s="112">
        <f>IF($J65="","",IF($J65="Total Mensal",SUM(Q$7:Q64)/VLOOKUP("Total Acumulado",$J:$K,2,FALSE),IF($J65="Total Acumulado",P64+N65+IF(N$7="% Item",-1,0),0%)))</f>
        <v>0</v>
      </c>
      <c r="Q65" s="109">
        <f>IF($J65="","",IF($J65="Total Mensal",SUM(Q$7:Q64),IF($J65="Total Acumulado",SUM(Q$7:Q63)+O65,IFERROR(P65*$K65,0))))</f>
        <v>0</v>
      </c>
      <c r="R65" s="112">
        <f>IF($J65="","",IF($J65="Total Mensal",SUM(S$7:S64)/VLOOKUP("Total Acumulado",$J:$K,2,FALSE),IF($J65="Total Acumulado",R64+P65+IF(P$7="% Item",-1,0),0%)))</f>
        <v>0</v>
      </c>
      <c r="S65" s="109">
        <f>IF($J65="","",IF($J65="Total Mensal",SUM(S$7:S64),IF($J65="Total Acumulado",SUM(S$7:S63)+Q65,IFERROR(R65*$K65,0))))</f>
        <v>0</v>
      </c>
      <c r="T65" s="112">
        <f>IF($J65="","",IF($J65="Total Mensal",SUM(U$7:U64)/VLOOKUP("Total Acumulado",$J:$K,2,FALSE),IF($J65="Total Acumulado",T64+R65+IF(R$7="% Item",-1,0),0%)))</f>
        <v>0</v>
      </c>
      <c r="U65" s="109">
        <f>IF($J65="","",IF($J65="Total Mensal",SUM(U$7:U64),IF($J65="Total Acumulado",SUM(U$7:U63)+S65,IFERROR(T65*$K65,0))))</f>
        <v>0</v>
      </c>
      <c r="V65" s="112">
        <f>IF($J65="","",IF($J65="Total Mensal",SUM(W$7:W64)/VLOOKUP("Total Acumulado",$J:$K,2,FALSE),IF($J65="Total Acumulado",V64+T65+IF(T$7="% Item",-1,0),0%)))</f>
        <v>0</v>
      </c>
      <c r="W65" s="109">
        <f>IF($J65="","",IF($J65="Total Mensal",SUM(W$7:W64),IF($J65="Total Acumulado",SUM(W$7:W63)+U65,IFERROR(V65*$K65,0))))</f>
        <v>0</v>
      </c>
      <c r="X65" s="112">
        <f>IF($J65="","",IF($J65="Total Mensal",SUM(Y$7:Y64)/VLOOKUP("Total Acumulado",$J:$K,2,FALSE),IF($J65="Total Acumulado",X64+V65+IF(V$7="% Item",-1,0),0%)))</f>
        <v>0</v>
      </c>
      <c r="Y65" s="109">
        <f>IF($J65="","",IF($J65="Total Mensal",SUM(Y$7:Y64),IF($J65="Total Acumulado",SUM(Y$7:Y63)+W65,IFERROR(X65*$K65,0))))</f>
        <v>0</v>
      </c>
      <c r="Z65" s="112">
        <f>IF($J65="","",IF($J65="Total Mensal",SUM(AA$7:AA64)/VLOOKUP("Total Acumulado",$J:$K,2,FALSE),IF($J65="Total Acumulado",Z64+X65+IF(X$7="% Item",-1,0),0%)))</f>
        <v>0</v>
      </c>
      <c r="AA65" s="109">
        <f>IF($J65="","",IF($J65="Total Mensal",SUM(AA$7:AA64),IF($J65="Total Acumulado",SUM(AA$7:AA63)+Y65,IFERROR(Z65*$K65,0))))</f>
        <v>0</v>
      </c>
      <c r="AB65" s="112">
        <f>IF($J65="","",IF($J65="Total Mensal",SUM(AC$7:AC64)/VLOOKUP("Total Acumulado",$J:$K,2,FALSE),IF($J65="Total Acumulado",AB64+Z65+IF(Z$7="% Item",-1,0),0%)))</f>
        <v>0</v>
      </c>
      <c r="AC65" s="109">
        <f>IF($J65="","",IF($J65="Total Mensal",SUM(AC$7:AC64),IF($J65="Total Acumulado",SUM(AC$7:AC63)+AA65,IFERROR(AB65*$K65,0))))</f>
        <v>0</v>
      </c>
      <c r="AD65" s="112">
        <f>IF($J65="","",IF($J65="Total Mensal",SUM(AE$7:AE64)/VLOOKUP("Total Acumulado",$J:$K,2,FALSE),IF($J65="Total Acumulado",AD64+AB65+IF(AB$7="% Item",-1,0),0%)))</f>
        <v>0</v>
      </c>
      <c r="AE65" s="109">
        <f>IF($J65="","",IF($J65="Total Mensal",SUM(AE$7:AE64),IF($J65="Total Acumulado",SUM(AE$7:AE63)+AC65,IFERROR(AD65*$K65,0))))</f>
        <v>0</v>
      </c>
      <c r="AF65" s="112">
        <f>IF($J65="","",IF($J65="Total Mensal",SUM(AG$7:AG64)/VLOOKUP("Total Acumulado",$J:$K,2,FALSE),IF($J65="Total Acumulado",AF64+AD65+IF(AD$7="% Item",-1,0),0%)))</f>
        <v>0</v>
      </c>
      <c r="AG65" s="109">
        <f>IF($J65="","",IF($J65="Total Mensal",SUM(AG$7:AG64),IF($J65="Total Acumulado",SUM(AG$7:AG63)+AE65,IFERROR(AF65*$K65,0))))</f>
        <v>0</v>
      </c>
      <c r="AH65" s="112">
        <f>IF($J65="","",IF($J65="Total Mensal",SUM(AI$7:AI64)/VLOOKUP("Total Acumulado",$J:$K,2,FALSE),IF($J65="Total Acumulado",AH64+AF65+IF(AF$7="% Item",-1,0),0%)))</f>
        <v>0</v>
      </c>
      <c r="AI65" s="109">
        <f>IF($J65="","",IF($J65="Total Mensal",SUM(AI$7:AI64),IF($J65="Total Acumulado",SUM(AI$7:AI63)+AG65,IFERROR(AH65*$K65,0))))</f>
        <v>0</v>
      </c>
      <c r="AJ65" s="112">
        <f>IF($J65="","",IF($J65="Total Mensal",SUM(AK$7:AK64)/VLOOKUP("Total Acumulado",$J:$K,2,FALSE),IF($J65="Total Acumulado",AJ64+AH65+IF(AH$7="% Item",-1,0),0%)))</f>
        <v>0</v>
      </c>
      <c r="AK65" s="109">
        <f>IF($J65="","",IF($J65="Total Mensal",SUM(AK$7:AK64),IF($J65="Total Acumulado",SUM(AK$7:AK63)+AI65,IFERROR(AJ65*$K65,0))))</f>
        <v>0</v>
      </c>
    </row>
    <row r="66" spans="2:37" x14ac:dyDescent="0.25">
      <c r="B66" s="41">
        <f>IFERROR(IF(C65=C62,IF(B65+1&lt;='MAPA DE PREÇOS'!$H$8,B65+1,""),B65),"")</f>
        <v>59</v>
      </c>
      <c r="C66" s="41">
        <f>IFERROR(VLOOKUP(B66,'MAPA DE PREÇOS'!B:D,2,FALSE),"")</f>
        <v>1</v>
      </c>
      <c r="D66" s="41">
        <f>IFERROR(VLOOKUP(B66,'MAPA DE PREÇOS'!B:D,3,FALSE),"")</f>
        <v>59</v>
      </c>
      <c r="E66" s="82">
        <f t="shared" si="1"/>
        <v>59</v>
      </c>
      <c r="F66" s="82">
        <f>IF($B65="","",IF($C66=$C63,INDEX('MAPA DE PREÇOS'!$H:$H,MATCH($B66,'MAPA DE PREÇOS'!$B:$B)-19),IF($C66=$C64,"Código","")))</f>
        <v>0</v>
      </c>
      <c r="G66" s="83" t="str">
        <f>IF($B65="","",IF($C66=$C63,IF('BASE EDITAL'!$C$2="",INDEX('MAPA DE PREÇOS'!H:H,MATCH(EDITAL!B66,'MAPA DE PREÇOS'!B:B,0)+1),UPPER(INDEX('BASE EDITAL'!$C:$C,EDITAL!B66+1))),IF($C66=$C64,"Especificação do Objeto","")))</f>
        <v>Ventosa para vidro</v>
      </c>
      <c r="H66" s="84" t="str">
        <f>IF($B65="","",IF($C66=$C63,INDEX('MAPA DE PREÇOS'!$M:$M,MATCH($B66,'MAPA DE PREÇOS'!$B:$B)-16),IF($C66=$C64,"Unidade","")))</f>
        <v>UN</v>
      </c>
      <c r="I66" s="84">
        <f>IF($B65="","",IF($C66=$C63,INDEX('MAPA DE PREÇOS'!$M:$M,MATCH($B66,'MAPA DE PREÇOS'!$B:$B)-17),IF($C66=$C64,"Quant.","")))</f>
        <v>2</v>
      </c>
      <c r="J66" s="60">
        <f>IF(J65="Total Mensal","Total Acumulado",IF($B65="","",IF($C66=$C63,INDEX('MAPA DE PREÇOS'!$M:$M,MATCH($B66,'MAPA DE PREÇOS'!$B:$B)-19),IF($C66=$C64,"Valor Unit. (R$)",IF(AND($C66&lt;&gt;$C65,$J65&lt;&gt;""),"Total Mensal","")))))</f>
        <v>31.63</v>
      </c>
      <c r="K66" s="75">
        <f>IF(J66="","",IF(J66="Total Mensal","-",IF(J66="Total Acumulado",SUM(K$7:K65),I66*J66)))</f>
        <v>63.26</v>
      </c>
      <c r="L66" s="112" t="e">
        <f>IF(J66="","",IF(J66="Total Mensal","-",IF(J66="Total Acumulado",SUM(L$7:L65),K66/SUMIF(J:J,"Total Acumulado",K:K))))</f>
        <v>#DIV/0!</v>
      </c>
      <c r="M66" s="108"/>
      <c r="N66" s="112">
        <f>IF($J66="","",IF($J66="Total Mensal",SUM(O$7:O65)/VLOOKUP("Total Acumulado",$J:$K,2,FALSE),IF($J66="Total Acumulado",N65+L66+IF(L$7="% Item",-1,0),0%)))</f>
        <v>0</v>
      </c>
      <c r="O66" s="109">
        <f>IF($J66="","",IF($J66="Total Mensal",SUM(O$7:O65),IF($J66="Total Acumulado",SUM(O$7:O64)+M66,IFERROR(N66*$K66,0))))</f>
        <v>0</v>
      </c>
      <c r="P66" s="112">
        <f>IF($J66="","",IF($J66="Total Mensal",SUM(Q$7:Q65)/VLOOKUP("Total Acumulado",$J:$K,2,FALSE),IF($J66="Total Acumulado",P65+N66+IF(N$7="% Item",-1,0),0%)))</f>
        <v>0</v>
      </c>
      <c r="Q66" s="109">
        <f>IF($J66="","",IF($J66="Total Mensal",SUM(Q$7:Q65),IF($J66="Total Acumulado",SUM(Q$7:Q64)+O66,IFERROR(P66*$K66,0))))</f>
        <v>0</v>
      </c>
      <c r="R66" s="112">
        <f>IF($J66="","",IF($J66="Total Mensal",SUM(S$7:S65)/VLOOKUP("Total Acumulado",$J:$K,2,FALSE),IF($J66="Total Acumulado",R65+P66+IF(P$7="% Item",-1,0),0%)))</f>
        <v>0</v>
      </c>
      <c r="S66" s="109">
        <f>IF($J66="","",IF($J66="Total Mensal",SUM(S$7:S65),IF($J66="Total Acumulado",SUM(S$7:S64)+Q66,IFERROR(R66*$K66,0))))</f>
        <v>0</v>
      </c>
      <c r="T66" s="112">
        <f>IF($J66="","",IF($J66="Total Mensal",SUM(U$7:U65)/VLOOKUP("Total Acumulado",$J:$K,2,FALSE),IF($J66="Total Acumulado",T65+R66+IF(R$7="% Item",-1,0),0%)))</f>
        <v>0</v>
      </c>
      <c r="U66" s="109">
        <f>IF($J66="","",IF($J66="Total Mensal",SUM(U$7:U65),IF($J66="Total Acumulado",SUM(U$7:U64)+S66,IFERROR(T66*$K66,0))))</f>
        <v>0</v>
      </c>
      <c r="V66" s="112">
        <f>IF($J66="","",IF($J66="Total Mensal",SUM(W$7:W65)/VLOOKUP("Total Acumulado",$J:$K,2,FALSE),IF($J66="Total Acumulado",V65+T66+IF(T$7="% Item",-1,0),0%)))</f>
        <v>0</v>
      </c>
      <c r="W66" s="109">
        <f>IF($J66="","",IF($J66="Total Mensal",SUM(W$7:W65),IF($J66="Total Acumulado",SUM(W$7:W64)+U66,IFERROR(V66*$K66,0))))</f>
        <v>0</v>
      </c>
      <c r="X66" s="112">
        <f>IF($J66="","",IF($J66="Total Mensal",SUM(Y$7:Y65)/VLOOKUP("Total Acumulado",$J:$K,2,FALSE),IF($J66="Total Acumulado",X65+V66+IF(V$7="% Item",-1,0),0%)))</f>
        <v>0</v>
      </c>
      <c r="Y66" s="109">
        <f>IF($J66="","",IF($J66="Total Mensal",SUM(Y$7:Y65),IF($J66="Total Acumulado",SUM(Y$7:Y64)+W66,IFERROR(X66*$K66,0))))</f>
        <v>0</v>
      </c>
      <c r="Z66" s="112">
        <f>IF($J66="","",IF($J66="Total Mensal",SUM(AA$7:AA65)/VLOOKUP("Total Acumulado",$J:$K,2,FALSE),IF($J66="Total Acumulado",Z65+X66+IF(X$7="% Item",-1,0),0%)))</f>
        <v>0</v>
      </c>
      <c r="AA66" s="109">
        <f>IF($J66="","",IF($J66="Total Mensal",SUM(AA$7:AA65),IF($J66="Total Acumulado",SUM(AA$7:AA64)+Y66,IFERROR(Z66*$K66,0))))</f>
        <v>0</v>
      </c>
      <c r="AB66" s="112">
        <f>IF($J66="","",IF($J66="Total Mensal",SUM(AC$7:AC65)/VLOOKUP("Total Acumulado",$J:$K,2,FALSE),IF($J66="Total Acumulado",AB65+Z66+IF(Z$7="% Item",-1,0),0%)))</f>
        <v>0</v>
      </c>
      <c r="AC66" s="109">
        <f>IF($J66="","",IF($J66="Total Mensal",SUM(AC$7:AC65),IF($J66="Total Acumulado",SUM(AC$7:AC64)+AA66,IFERROR(AB66*$K66,0))))</f>
        <v>0</v>
      </c>
      <c r="AD66" s="112">
        <f>IF($J66="","",IF($J66="Total Mensal",SUM(AE$7:AE65)/VLOOKUP("Total Acumulado",$J:$K,2,FALSE),IF($J66="Total Acumulado",AD65+AB66+IF(AB$7="% Item",-1,0),0%)))</f>
        <v>0</v>
      </c>
      <c r="AE66" s="109">
        <f>IF($J66="","",IF($J66="Total Mensal",SUM(AE$7:AE65),IF($J66="Total Acumulado",SUM(AE$7:AE64)+AC66,IFERROR(AD66*$K66,0))))</f>
        <v>0</v>
      </c>
      <c r="AF66" s="112">
        <f>IF($J66="","",IF($J66="Total Mensal",SUM(AG$7:AG65)/VLOOKUP("Total Acumulado",$J:$K,2,FALSE),IF($J66="Total Acumulado",AF65+AD66+IF(AD$7="% Item",-1,0),0%)))</f>
        <v>0</v>
      </c>
      <c r="AG66" s="109">
        <f>IF($J66="","",IF($J66="Total Mensal",SUM(AG$7:AG65),IF($J66="Total Acumulado",SUM(AG$7:AG64)+AE66,IFERROR(AF66*$K66,0))))</f>
        <v>0</v>
      </c>
      <c r="AH66" s="112">
        <f>IF($J66="","",IF($J66="Total Mensal",SUM(AI$7:AI65)/VLOOKUP("Total Acumulado",$J:$K,2,FALSE),IF($J66="Total Acumulado",AH65+AF66+IF(AF$7="% Item",-1,0),0%)))</f>
        <v>0</v>
      </c>
      <c r="AI66" s="109">
        <f>IF($J66="","",IF($J66="Total Mensal",SUM(AI$7:AI65),IF($J66="Total Acumulado",SUM(AI$7:AI64)+AG66,IFERROR(AH66*$K66,0))))</f>
        <v>0</v>
      </c>
      <c r="AJ66" s="112">
        <f>IF($J66="","",IF($J66="Total Mensal",SUM(AK$7:AK65)/VLOOKUP("Total Acumulado",$J:$K,2,FALSE),IF($J66="Total Acumulado",AJ65+AH66+IF(AH$7="% Item",-1,0),0%)))</f>
        <v>0</v>
      </c>
      <c r="AK66" s="109">
        <f>IF($J66="","",IF($J66="Total Mensal",SUM(AK$7:AK65),IF($J66="Total Acumulado",SUM(AK$7:AK64)+AI66,IFERROR(AJ66*$K66,0))))</f>
        <v>0</v>
      </c>
    </row>
    <row r="67" spans="2:37" x14ac:dyDescent="0.25">
      <c r="B67" s="41">
        <f>IFERROR(IF(C66=C63,IF(B66+1&lt;='MAPA DE PREÇOS'!$H$8,B66+1,""),B66),"")</f>
        <v>60</v>
      </c>
      <c r="C67" s="41">
        <f>IFERROR(VLOOKUP(B67,'MAPA DE PREÇOS'!B:D,2,FALSE),"")</f>
        <v>1</v>
      </c>
      <c r="D67" s="41">
        <f>IFERROR(VLOOKUP(B67,'MAPA DE PREÇOS'!B:D,3,FALSE),"")</f>
        <v>60</v>
      </c>
      <c r="E67" s="82">
        <f t="shared" si="1"/>
        <v>60</v>
      </c>
      <c r="F67" s="82">
        <f>IF($B66="","",IF($C67=$C64,INDEX('MAPA DE PREÇOS'!$H:$H,MATCH($B67,'MAPA DE PREÇOS'!$B:$B)-19),IF($C67=$C65,"Código","")))</f>
        <v>0</v>
      </c>
      <c r="G67" s="83" t="str">
        <f>IF($B66="","",IF($C67=$C64,IF('BASE EDITAL'!$C$2="",INDEX('MAPA DE PREÇOS'!H:H,MATCH(EDITAL!B67,'MAPA DE PREÇOS'!B:B,0)+1),UPPER(INDEX('BASE EDITAL'!$C:$C,EDITAL!B67+1))),IF($C67=$C65,"Especificação do Objeto","")))</f>
        <v>Alicate para vidro</v>
      </c>
      <c r="H67" s="84" t="str">
        <f>IF($B66="","",IF($C67=$C64,INDEX('MAPA DE PREÇOS'!$M:$M,MATCH($B67,'MAPA DE PREÇOS'!$B:$B)-16),IF($C67=$C65,"Unidade","")))</f>
        <v>UN</v>
      </c>
      <c r="I67" s="84">
        <f>IF($B66="","",IF($C67=$C64,INDEX('MAPA DE PREÇOS'!$M:$M,MATCH($B67,'MAPA DE PREÇOS'!$B:$B)-17),IF($C67=$C65,"Quant.","")))</f>
        <v>1</v>
      </c>
      <c r="J67" s="60">
        <f>IF(J66="Total Mensal","Total Acumulado",IF($B66="","",IF($C67=$C64,INDEX('MAPA DE PREÇOS'!$M:$M,MATCH($B67,'MAPA DE PREÇOS'!$B:$B)-19),IF($C67=$C65,"Valor Unit. (R$)",IF(AND($C67&lt;&gt;$C66,$J66&lt;&gt;""),"Total Mensal","")))))</f>
        <v>68.97</v>
      </c>
      <c r="K67" s="75">
        <f>IF(J67="","",IF(J67="Total Mensal","-",IF(J67="Total Acumulado",SUM(K$7:K66),I67*J67)))</f>
        <v>68.97</v>
      </c>
      <c r="L67" s="112" t="e">
        <f>IF(J67="","",IF(J67="Total Mensal","-",IF(J67="Total Acumulado",SUM(L$7:L66),K67/SUMIF(J:J,"Total Acumulado",K:K))))</f>
        <v>#DIV/0!</v>
      </c>
      <c r="M67" s="108"/>
      <c r="N67" s="112">
        <f>IF($J67="","",IF($J67="Total Mensal",SUM(O$7:O66)/VLOOKUP("Total Acumulado",$J:$K,2,FALSE),IF($J67="Total Acumulado",N66+L67+IF(L$7="% Item",-1,0),0%)))</f>
        <v>0</v>
      </c>
      <c r="O67" s="109">
        <f>IF($J67="","",IF($J67="Total Mensal",SUM(O$7:O66),IF($J67="Total Acumulado",SUM(O$7:O65)+M67,IFERROR(N67*$K67,0))))</f>
        <v>0</v>
      </c>
      <c r="P67" s="112">
        <f>IF($J67="","",IF($J67="Total Mensal",SUM(Q$7:Q66)/VLOOKUP("Total Acumulado",$J:$K,2,FALSE),IF($J67="Total Acumulado",P66+N67+IF(N$7="% Item",-1,0),0%)))</f>
        <v>0</v>
      </c>
      <c r="Q67" s="109">
        <f>IF($J67="","",IF($J67="Total Mensal",SUM(Q$7:Q66),IF($J67="Total Acumulado",SUM(Q$7:Q65)+O67,IFERROR(P67*$K67,0))))</f>
        <v>0</v>
      </c>
      <c r="R67" s="112">
        <f>IF($J67="","",IF($J67="Total Mensal",SUM(S$7:S66)/VLOOKUP("Total Acumulado",$J:$K,2,FALSE),IF($J67="Total Acumulado",R66+P67+IF(P$7="% Item",-1,0),0%)))</f>
        <v>0</v>
      </c>
      <c r="S67" s="109">
        <f>IF($J67="","",IF($J67="Total Mensal",SUM(S$7:S66),IF($J67="Total Acumulado",SUM(S$7:S65)+Q67,IFERROR(R67*$K67,0))))</f>
        <v>0</v>
      </c>
      <c r="T67" s="112">
        <f>IF($J67="","",IF($J67="Total Mensal",SUM(U$7:U66)/VLOOKUP("Total Acumulado",$J:$K,2,FALSE),IF($J67="Total Acumulado",T66+R67+IF(R$7="% Item",-1,0),0%)))</f>
        <v>0</v>
      </c>
      <c r="U67" s="109">
        <f>IF($J67="","",IF($J67="Total Mensal",SUM(U$7:U66),IF($J67="Total Acumulado",SUM(U$7:U65)+S67,IFERROR(T67*$K67,0))))</f>
        <v>0</v>
      </c>
      <c r="V67" s="112">
        <f>IF($J67="","",IF($J67="Total Mensal",SUM(W$7:W66)/VLOOKUP("Total Acumulado",$J:$K,2,FALSE),IF($J67="Total Acumulado",V66+T67+IF(T$7="% Item",-1,0),0%)))</f>
        <v>0</v>
      </c>
      <c r="W67" s="109">
        <f>IF($J67="","",IF($J67="Total Mensal",SUM(W$7:W66),IF($J67="Total Acumulado",SUM(W$7:W65)+U67,IFERROR(V67*$K67,0))))</f>
        <v>0</v>
      </c>
      <c r="X67" s="112">
        <f>IF($J67="","",IF($J67="Total Mensal",SUM(Y$7:Y66)/VLOOKUP("Total Acumulado",$J:$K,2,FALSE),IF($J67="Total Acumulado",X66+V67+IF(V$7="% Item",-1,0),0%)))</f>
        <v>0</v>
      </c>
      <c r="Y67" s="109">
        <f>IF($J67="","",IF($J67="Total Mensal",SUM(Y$7:Y66),IF($J67="Total Acumulado",SUM(Y$7:Y65)+W67,IFERROR(X67*$K67,0))))</f>
        <v>0</v>
      </c>
      <c r="Z67" s="112">
        <f>IF($J67="","",IF($J67="Total Mensal",SUM(AA$7:AA66)/VLOOKUP("Total Acumulado",$J:$K,2,FALSE),IF($J67="Total Acumulado",Z66+X67+IF(X$7="% Item",-1,0),0%)))</f>
        <v>0</v>
      </c>
      <c r="AA67" s="109">
        <f>IF($J67="","",IF($J67="Total Mensal",SUM(AA$7:AA66),IF($J67="Total Acumulado",SUM(AA$7:AA65)+Y67,IFERROR(Z67*$K67,0))))</f>
        <v>0</v>
      </c>
      <c r="AB67" s="112">
        <f>IF($J67="","",IF($J67="Total Mensal",SUM(AC$7:AC66)/VLOOKUP("Total Acumulado",$J:$K,2,FALSE),IF($J67="Total Acumulado",AB66+Z67+IF(Z$7="% Item",-1,0),0%)))</f>
        <v>0</v>
      </c>
      <c r="AC67" s="109">
        <f>IF($J67="","",IF($J67="Total Mensal",SUM(AC$7:AC66),IF($J67="Total Acumulado",SUM(AC$7:AC65)+AA67,IFERROR(AB67*$K67,0))))</f>
        <v>0</v>
      </c>
      <c r="AD67" s="112">
        <f>IF($J67="","",IF($J67="Total Mensal",SUM(AE$7:AE66)/VLOOKUP("Total Acumulado",$J:$K,2,FALSE),IF($J67="Total Acumulado",AD66+AB67+IF(AB$7="% Item",-1,0),0%)))</f>
        <v>0</v>
      </c>
      <c r="AE67" s="109">
        <f>IF($J67="","",IF($J67="Total Mensal",SUM(AE$7:AE66),IF($J67="Total Acumulado",SUM(AE$7:AE65)+AC67,IFERROR(AD67*$K67,0))))</f>
        <v>0</v>
      </c>
      <c r="AF67" s="112">
        <f>IF($J67="","",IF($J67="Total Mensal",SUM(AG$7:AG66)/VLOOKUP("Total Acumulado",$J:$K,2,FALSE),IF($J67="Total Acumulado",AF66+AD67+IF(AD$7="% Item",-1,0),0%)))</f>
        <v>0</v>
      </c>
      <c r="AG67" s="109">
        <f>IF($J67="","",IF($J67="Total Mensal",SUM(AG$7:AG66),IF($J67="Total Acumulado",SUM(AG$7:AG65)+AE67,IFERROR(AF67*$K67,0))))</f>
        <v>0</v>
      </c>
      <c r="AH67" s="112">
        <f>IF($J67="","",IF($J67="Total Mensal",SUM(AI$7:AI66)/VLOOKUP("Total Acumulado",$J:$K,2,FALSE),IF($J67="Total Acumulado",AH66+AF67+IF(AF$7="% Item",-1,0),0%)))</f>
        <v>0</v>
      </c>
      <c r="AI67" s="109">
        <f>IF($J67="","",IF($J67="Total Mensal",SUM(AI$7:AI66),IF($J67="Total Acumulado",SUM(AI$7:AI65)+AG67,IFERROR(AH67*$K67,0))))</f>
        <v>0</v>
      </c>
      <c r="AJ67" s="112">
        <f>IF($J67="","",IF($J67="Total Mensal",SUM(AK$7:AK66)/VLOOKUP("Total Acumulado",$J:$K,2,FALSE),IF($J67="Total Acumulado",AJ66+AH67+IF(AH$7="% Item",-1,0),0%)))</f>
        <v>0</v>
      </c>
      <c r="AK67" s="109">
        <f>IF($J67="","",IF($J67="Total Mensal",SUM(AK$7:AK66),IF($J67="Total Acumulado",SUM(AK$7:AK65)+AI67,IFERROR(AJ67*$K67,0))))</f>
        <v>0</v>
      </c>
    </row>
    <row r="68" spans="2:37" x14ac:dyDescent="0.25">
      <c r="B68" s="41">
        <f>IFERROR(IF(C67=C64,IF(B67+1&lt;='MAPA DE PREÇOS'!$H$8,B67+1,""),B67),"")</f>
        <v>61</v>
      </c>
      <c r="C68" s="41">
        <f>IFERROR(VLOOKUP(B68,'MAPA DE PREÇOS'!B:D,2,FALSE),"")</f>
        <v>1</v>
      </c>
      <c r="D68" s="41">
        <f>IFERROR(VLOOKUP(B68,'MAPA DE PREÇOS'!B:D,3,FALSE),"")</f>
        <v>61</v>
      </c>
      <c r="E68" s="82">
        <f t="shared" si="1"/>
        <v>61</v>
      </c>
      <c r="F68" s="82">
        <f>IF($B67="","",IF($C68=$C65,INDEX('MAPA DE PREÇOS'!$H:$H,MATCH($B68,'MAPA DE PREÇOS'!$B:$B)-19),IF($C68=$C66,"Código","")))</f>
        <v>0</v>
      </c>
      <c r="G68" s="83" t="str">
        <f t="array" ref="G68">IF($B67="","",IF($C68=$C65,UPPER(INDEX('BASE EDITAL'!$C:$C,CRONOGRAMA!B68+1)),IF($C68=$C66,"Especificação do Objeto","")))</f>
        <v/>
      </c>
      <c r="H68" s="84" t="str">
        <f>IF($B67="","",IF($C68=$C65,INDEX('MAPA DE PREÇOS'!$M:$M,MATCH($B68,'MAPA DE PREÇOS'!$B:$B)-16),IF($C68=$C66,"Unidade","")))</f>
        <v>UN</v>
      </c>
      <c r="I68" s="84">
        <f>IF($B67="","",IF($C68=$C65,INDEX('MAPA DE PREÇOS'!$M:$M,MATCH($B68,'MAPA DE PREÇOS'!$B:$B)-17),IF($C68=$C66,"Quant.","")))</f>
        <v>1</v>
      </c>
      <c r="J68" s="60">
        <f>IF(J67="Mensal","Total Acumulado",IF($B67="","",IF($C68=$C65,INDEX('MAPA DE PREÇOS'!$M:$M,MATCH($B68,'MAPA DE PREÇOS'!$B:$B)-19),IF($C68=$C66,"Valor Unit. (R$)",IF(AND($C68&lt;&gt;$C67,$J67&lt;&gt;""),"Mensal","")))))</f>
        <v>16.5</v>
      </c>
      <c r="K68" s="75">
        <f>IF(J68="","",IF(J68="Mensal","-",IF(J68="Total Acumulado",SUM(K$7:K67),I68*J68)))</f>
        <v>16.5</v>
      </c>
      <c r="L68" s="108" t="e">
        <f>IF(J68="","",IF(J68="Mensal","-",IF(J68="Total Acumulado",SUM(L$7:L67),K68/SUMIF(J:J,"Total Acumulado",K:K))))</f>
        <v>#DIV/0!</v>
      </c>
      <c r="M68" s="108"/>
      <c r="N68" s="108" t="str">
        <f>IF($J68="","",IF($J68="Mensal",SUM(O$7:O67)/VLOOKUP("Total Acumulado",$J:$K,2,FALSE),IF($J68="Total Acumulado",N67+L68+IF(L$7="% Item",-1,0),"%")))</f>
        <v>%</v>
      </c>
      <c r="O68" s="109" t="str">
        <f>IF($J68="","",IF($J68="Mensal",SUM(O$7:O67),IF($J68="Total Acumulado",SUM(O$7:O66)+M68,IFERROR(N68*$K68,"Inf % ao lado"))))</f>
        <v>Inf % ao lado</v>
      </c>
      <c r="P68" s="108" t="str">
        <f>IF($J68="","",IF($J68="Mensal",SUM(Q$7:Q67)/VLOOKUP("Total Acumulado",$J:$K,2,FALSE),IF($J68="Total Acumulado",P67+N68+IF(N$7="% Item",-1,0),"%")))</f>
        <v>%</v>
      </c>
      <c r="Q68" s="109" t="str">
        <f>IF($J68="","",IF($J68="Mensal",SUM(Q$7:Q67),IF($J68="Total Acumulado",SUM(Q$7:Q66)+O68,IFERROR(P68*$K68,"Inf % ao lado"))))</f>
        <v>Inf % ao lado</v>
      </c>
      <c r="R68" s="108" t="str">
        <f>IF($J68="","",IF($J68="Mensal",SUM(S$7:S67)/VLOOKUP("Total Acumulado",$J:$K,2,FALSE),IF($J68="Total Acumulado",R67+P68+IF(P$7="% Item",-1,0),"%")))</f>
        <v>%</v>
      </c>
      <c r="S68" s="109" t="str">
        <f>IF($J68="","",IF($J68="Mensal",SUM(S$7:S67),IF($J68="Total Acumulado",SUM(S$7:S66)+Q68,IFERROR(R68*$K68,"Inf % ao lado"))))</f>
        <v>Inf % ao lado</v>
      </c>
      <c r="T68" s="108" t="str">
        <f>IF($J68="","",IF($J68="Mensal",SUM(U$7:U67)/VLOOKUP("Total Acumulado",$J:$K,2,FALSE),IF($J68="Total Acumulado",T67+R68+IF(R$7="% Item",-1,0),"%")))</f>
        <v>%</v>
      </c>
      <c r="U68" s="109" t="str">
        <f>IF($J68="","",IF($J68="Mensal",SUM(U$7:U67),IF($J68="Total Acumulado",SUM(U$7:U66)+S68,IFERROR(T68*$K68,"Inf % ao lado"))))</f>
        <v>Inf % ao lado</v>
      </c>
      <c r="V68" s="108" t="str">
        <f>IF($J68="","",IF($J68="Mensal",SUM(W$7:W67)/VLOOKUP("Total Acumulado",$J:$K,2,FALSE),IF($J68="Total Acumulado",V67+T68+IF(T$7="% Item",-1,0),"%")))</f>
        <v>%</v>
      </c>
      <c r="W68" s="109" t="str">
        <f>IF($J68="","",IF($J68="Mensal",SUM(W$7:W67),IF($J68="Total Acumulado",SUM(W$7:W66)+U68,IFERROR(V68*$K68,"Inf % ao lado"))))</f>
        <v>Inf % ao lado</v>
      </c>
      <c r="X68" s="108" t="str">
        <f>IF($J68="","",IF($J68="Mensal",SUM(Y$7:Y67)/VLOOKUP("Total Acumulado",$J:$K,2,FALSE),IF($J68="Total Acumulado",X67+V68+IF(V$7="% Item",-1,0),"%")))</f>
        <v>%</v>
      </c>
      <c r="Y68" s="109" t="str">
        <f>IF($J68="","",IF($J68="Mensal",SUM(Y$7:Y67),IF($J68="Total Acumulado",SUM(Y$7:Y66)+W68,IFERROR(X68*$K68,"Inf % ao lado"))))</f>
        <v>Inf % ao lado</v>
      </c>
      <c r="Z68" s="108" t="str">
        <f>IF($J68="","",IF($J68="Mensal",SUM(AA$7:AA67)/VLOOKUP("Total Acumulado",$J:$K,2,FALSE),IF($J68="Total Acumulado",Z67+X68+IF(X$7="% Item",-1,0),"%")))</f>
        <v>%</v>
      </c>
      <c r="AA68" s="109" t="str">
        <f>IF($J68="","",IF($J68="Mensal",SUM(AA$7:AA67),IF($J68="Total Acumulado",SUM(AA$7:AA66)+Y68,IFERROR(Z68*$K68,"Inf % ao lado"))))</f>
        <v>Inf % ao lado</v>
      </c>
      <c r="AB68" s="108" t="str">
        <f>IF($J68="","",IF($J68="Mensal",SUM(AC$7:AC67)/VLOOKUP("Total Acumulado",$J:$K,2,FALSE),IF($J68="Total Acumulado",AB67+Z68+IF(Z$7="% Item",-1,0),"%")))</f>
        <v>%</v>
      </c>
      <c r="AC68" s="109" t="str">
        <f>IF($J68="","",IF($J68="Mensal",SUM(AC$7:AC67),IF($J68="Total Acumulado",SUM(AC$7:AC66)+AA68,IFERROR(AB68*$K68,"Inf % ao lado"))))</f>
        <v>Inf % ao lado</v>
      </c>
      <c r="AD68" s="108" t="str">
        <f>IF($J68="","",IF($J68="Mensal",SUM(AE$7:AE67)/VLOOKUP("Total Acumulado",$J:$K,2,FALSE),IF($J68="Total Acumulado",AD67+AB68+IF(AB$7="% Item",-1,0),"%")))</f>
        <v>%</v>
      </c>
      <c r="AE68" s="109" t="str">
        <f>IF($J68="","",IF($J68="Mensal",SUM(AE$7:AE67),IF($J68="Total Acumulado",SUM(AE$7:AE66)+AC68,IFERROR(AD68*$K68,"Inf % ao lado"))))</f>
        <v>Inf % ao lado</v>
      </c>
      <c r="AF68" s="108" t="str">
        <f>IF($J68="","",IF($J68="Mensal",SUM(AG$7:AG67)/VLOOKUP("Total Acumulado",$J:$K,2,FALSE),IF($J68="Total Acumulado",AF67+AD68+IF(AD$7="% Item",-1,0),"%")))</f>
        <v>%</v>
      </c>
      <c r="AG68" s="109" t="str">
        <f>IF($J68="","",IF($J68="Mensal",SUM(AG$7:AG67),IF($J68="Total Acumulado",SUM(AG$7:AG66)+AE68,IFERROR(AF68*$K68,"Inf % ao lado"))))</f>
        <v>Inf % ao lado</v>
      </c>
      <c r="AH68" s="108" t="str">
        <f>IF($J68="","",IF($J68="Mensal",SUM(AI$7:AI67)/VLOOKUP("Total Acumulado",$J:$K,2,FALSE),IF($J68="Total Acumulado",AH67+AF68+IF(AF$7="% Item",-1,0),"%")))</f>
        <v>%</v>
      </c>
      <c r="AI68" s="109" t="str">
        <f>IF($J68="","",IF($J68="Mensal",SUM(AI$7:AI67),IF($J68="Total Acumulado",SUM(AI$7:AI66)+AG68,IFERROR(AH68*$K68,"Inf % ao lado"))))</f>
        <v>Inf % ao lado</v>
      </c>
      <c r="AJ68" s="108" t="str">
        <f>IF($J68="","",IF($J68="Mensal",SUM(AK$7:AK67)/VLOOKUP("Total Acumulado",$J:$K,2,FALSE),IF($J68="Total Acumulado",AJ67+AH68+IF(AH$7="% Item",-1,0),"%")))</f>
        <v>%</v>
      </c>
      <c r="AK68" s="109" t="str">
        <f>IF($J68="","",IF($J68="Mensal",SUM(AK$7:AK67),IF($J68="Total Acumulado",SUM(AK$7:AK66)+AI68,IFERROR(AJ68*$K68,"Inf % ao lado"))))</f>
        <v>Inf % ao lado</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0" t="s">
        <v>305</v>
      </c>
      <c r="F2" s="251"/>
      <c r="G2" s="251"/>
      <c r="H2" s="251"/>
      <c r="I2" s="251"/>
      <c r="J2" s="251"/>
      <c r="K2" s="251"/>
      <c r="L2" s="251"/>
      <c r="M2" s="251"/>
      <c r="N2" s="251"/>
      <c r="O2" s="251"/>
      <c r="P2" s="252"/>
    </row>
    <row r="3" spans="1:21" ht="21" x14ac:dyDescent="0.35">
      <c r="A3" s="138"/>
      <c r="E3" s="253" t="str">
        <f>IFERROR('MAPA DE PREÇOS'!H5:J5,"")</f>
        <v/>
      </c>
      <c r="F3" s="254"/>
      <c r="G3" s="254"/>
      <c r="H3" s="254"/>
      <c r="I3" s="254"/>
      <c r="J3" s="254"/>
      <c r="K3" s="254"/>
      <c r="L3" s="254"/>
      <c r="M3" s="254"/>
      <c r="N3" s="254"/>
      <c r="O3" s="254"/>
      <c r="P3" s="255"/>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2.1966865807307719E-2</v>
      </c>
      <c r="D6" s="42">
        <f>IFERROR(IF(C6=C5,IF(D5="","",D5+0.000000001),C6),"")</f>
        <v>2.1966865807307719E-2</v>
      </c>
      <c r="E6" s="41">
        <f t="shared" ref="E6:E37" si="0">IFERROR(INDEX(B:B,MATCH(LARGE(D:D,ROW()-5),D:D,0)),"")</f>
        <v>45</v>
      </c>
      <c r="F6" s="41">
        <f>IFERROR(VLOOKUP($E6,'MAPA DE PREÇOS'!$B:$D,2,FALSE),"")</f>
        <v>1</v>
      </c>
      <c r="G6" s="41">
        <f>IFERROR(VLOOKUP($E6,'MAPA DE PREÇOS'!$B:$D,3,FALSE),"")</f>
        <v>45</v>
      </c>
      <c r="H6" s="41">
        <f t="array" ref="H6">IFERROR(IF(E6="","",INDEX('MAPA DE PREÇOS'!H:H,0+MATCH(ABC!E6,'MAPA DE PREÇOS'!B:B,0))),"")</f>
        <v>0</v>
      </c>
      <c r="I6" t="str">
        <f>IF(E6="","",INDEX('MAPA DE PREÇOS'!H:H,MATCH(ABC!E6,'MAPA DE PREÇOS'!B:B,0)+1))</f>
        <v>Alicate crimpador de tubos</v>
      </c>
      <c r="J6" s="41" t="str">
        <f>IFERROR(IF(E6="","",INDEX('MAPA DE PREÇOS'!M:M,3+MATCH(ABC!E6,'MAPA DE PREÇOS'!B:B,0))),"")</f>
        <v>UN</v>
      </c>
      <c r="K6" s="52">
        <f t="array" ref="K6">IFERROR(IF(E6="","",INDEX('MAPA DE PREÇOS'!M:M,2+MATCH(ABC!E6,'MAPA DE PREÇOS'!B:B,0))),"")</f>
        <v>2</v>
      </c>
      <c r="L6" s="53">
        <f t="array" ref="L6">IFERROR(IF(AND(E5&lt;&gt;"",E6=""),"TOTAL ESTIMADO",INDEX('MAPA DE PREÇOS'!M:M,0+MATCH(ABC!E6,'MAPA DE PREÇOS'!B:B,0))),"")</f>
        <v>1254.58</v>
      </c>
      <c r="M6" s="54">
        <f>IFERROR(IF(AND(E5&lt;&gt;"",E6=""),SUM($M$5:M5),INDEX('MAPA DE PREÇOS'!M:M,19+MATCH(ABC!E6,'MAPA DE PREÇOS'!B:B,0))),"")</f>
        <v>2509.16</v>
      </c>
      <c r="N6" s="90">
        <f t="shared" ref="N6:N37" si="1">IFERROR(VLOOKUP(E6,$B:$C,2),"")</f>
        <v>7.3241178124088757E-2</v>
      </c>
      <c r="O6" s="90">
        <f>N6</f>
        <v>7.3241178124088757E-2</v>
      </c>
      <c r="P6" s="54" t="str">
        <f>IF(O6="","",IF(OR(N6&gt;=$S$6,O6&lt;=$S$6),"A",IF(O6&lt;=SUM($S$6:$S$7),"B","C")))</f>
        <v>A</v>
      </c>
      <c r="R6" s="156" t="s">
        <v>310</v>
      </c>
      <c r="S6" s="157">
        <v>0.8</v>
      </c>
      <c r="T6" s="156">
        <f>COUNTIF($P$6:$P$107,$R6)</f>
        <v>39</v>
      </c>
      <c r="U6" s="158">
        <f>SUMIFS($M$6:$M$107,$P$6:$P$107,$R6)</f>
        <v>27297.509999999995</v>
      </c>
    </row>
    <row r="7" spans="1:21" x14ac:dyDescent="0.25">
      <c r="B7" s="41">
        <v>2</v>
      </c>
      <c r="C7" s="42">
        <f>IFERROR(INDEX('MAPA DE PREÇOS'!M:M,MATCH(B7,'MAPA DE PREÇOS'!B:B,0)+19)/(SUMPRODUCT(EDITAL!I:I,EDITAL!J:J)),"")</f>
        <v>8.1100164716466153E-3</v>
      </c>
      <c r="D7" s="42">
        <f t="shared" ref="D7:D70" si="2">IFERROR(IF(C7=C6,IF(D6="","",D6+0.000000001),C7),"")</f>
        <v>8.1100164716466153E-3</v>
      </c>
      <c r="E7" s="41">
        <f t="shared" si="0"/>
        <v>4</v>
      </c>
      <c r="F7" s="41">
        <f>IFERROR(VLOOKUP($E7,'MAPA DE PREÇOS'!$B:$D,2,FALSE),"")</f>
        <v>1</v>
      </c>
      <c r="G7" s="41">
        <f>IFERROR(VLOOKUP($E7,'MAPA DE PREÇOS'!$B:$D,3,FALSE),"")</f>
        <v>4</v>
      </c>
      <c r="H7" s="41">
        <f t="array" ref="H7">IFERROR(IF(E7="","",INDEX('MAPA DE PREÇOS'!H:H,0+MATCH(ABC!E7,'MAPA DE PREÇOS'!B:B,0))),"")</f>
        <v>0</v>
      </c>
      <c r="I7" t="str">
        <f>IF(E7="","",INDEX('MAPA DE PREÇOS'!H:H,MATCH(ABC!E7,'MAPA DE PREÇOS'!B:B,0)+1))</f>
        <v>Chapéu com proteção de nuca</v>
      </c>
      <c r="J7" s="41" t="str">
        <f>IFERROR(IF(E7="","",INDEX('MAPA DE PREÇOS'!M:M,3+MATCH(ABC!E7,'MAPA DE PREÇOS'!B:B,0))),"")</f>
        <v>UN</v>
      </c>
      <c r="K7" s="52">
        <f t="array" ref="K7">IFERROR(IF(E7="","",INDEX('MAPA DE PREÇOS'!M:M,2+MATCH(ABC!E7,'MAPA DE PREÇOS'!B:B,0))),"")</f>
        <v>92</v>
      </c>
      <c r="L7" s="53">
        <f t="array" ref="L7">IFERROR(IF(AND(E6&lt;&gt;"",E7=""),"TOTAL ESTIMADO",INDEX('MAPA DE PREÇOS'!M:M,0+MATCH(ABC!E7,'MAPA DE PREÇOS'!B:B,0))),"")</f>
        <v>20.18</v>
      </c>
      <c r="M7" s="54">
        <f>IFERROR(IF(AND(E6&lt;&gt;"",E7=""),SUM($M$5:M6),INDEX('MAPA DE PREÇOS'!M:M,19+MATCH(ABC!E7,'MAPA DE PREÇOS'!B:B,0))),"")</f>
        <v>1856.56</v>
      </c>
      <c r="N7" s="90">
        <f t="shared" si="1"/>
        <v>5.419209682047308E-2</v>
      </c>
      <c r="O7" s="90">
        <f>IFERROR(N7+O6,"")</f>
        <v>0.12743327494456183</v>
      </c>
      <c r="P7" s="54" t="str">
        <f t="shared" ref="P7:P70" si="3">IF(O7="","",IF(OR(N7&gt;=$S$6,O7&lt;=$S$6),"A",IF(O7&lt;=SUM($S$6:$S$7),"B","C")))</f>
        <v>A</v>
      </c>
      <c r="R7" s="159" t="s">
        <v>311</v>
      </c>
      <c r="S7" s="160">
        <v>0.15</v>
      </c>
      <c r="T7" s="159">
        <f>COUNTIF($P$6:$P$107,$R7)</f>
        <v>32</v>
      </c>
      <c r="U7" s="161">
        <f>SUMIFS($M$6:$M$107,$P$6:$P$107,$R7)</f>
        <v>5207.8799999999992</v>
      </c>
    </row>
    <row r="8" spans="1:21" x14ac:dyDescent="0.25">
      <c r="B8" s="41">
        <v>3</v>
      </c>
      <c r="C8" s="42">
        <f>IFERROR(INDEX('MAPA DE PREÇOS'!M:M,MATCH(B8,'MAPA DE PREÇOS'!B:B,0)+19)/(SUMPRODUCT(EDITAL!I:I,EDITAL!J:J)),"")</f>
        <v>2.0709965039710891E-2</v>
      </c>
      <c r="D8" s="42">
        <f t="shared" si="2"/>
        <v>2.0709965039710891E-2</v>
      </c>
      <c r="E8" s="41">
        <f t="shared" si="0"/>
        <v>54</v>
      </c>
      <c r="F8" s="41">
        <f>IFERROR(VLOOKUP($E8,'MAPA DE PREÇOS'!$B:$D,2,FALSE),"")</f>
        <v>1</v>
      </c>
      <c r="G8" s="41">
        <f>IFERROR(VLOOKUP($E8,'MAPA DE PREÇOS'!$B:$D,3,FALSE),"")</f>
        <v>54</v>
      </c>
      <c r="H8" s="41">
        <f t="array" ref="H8">IFERROR(IF(E8="","",INDEX('MAPA DE PREÇOS'!H:H,0+MATCH(ABC!E8,'MAPA DE PREÇOS'!B:B,0))),"")</f>
        <v>0</v>
      </c>
      <c r="I8" t="str">
        <f>IF(E8="","",INDEX('MAPA DE PREÇOS'!H:H,MATCH(ABC!E8,'MAPA DE PREÇOS'!B:B,0)+1))</f>
        <v>Vacuômetro digital</v>
      </c>
      <c r="J8" s="41" t="str">
        <f>IFERROR(IF(E8="","",INDEX('MAPA DE PREÇOS'!M:M,3+MATCH(ABC!E8,'MAPA DE PREÇOS'!B:B,0))),"")</f>
        <v>UN</v>
      </c>
      <c r="K8" s="52">
        <f t="array" ref="K8">IFERROR(IF(E8="","",INDEX('MAPA DE PREÇOS'!M:M,2+MATCH(ABC!E8,'MAPA DE PREÇOS'!B:B,0))),"")</f>
        <v>1</v>
      </c>
      <c r="L8" s="53">
        <f t="array" ref="L8">IFERROR(IF(AND(E7&lt;&gt;"",E8=""),"TOTAL ESTIMADO",INDEX('MAPA DE PREÇOS'!M:M,0+MATCH(ABC!E8,'MAPA DE PREÇOS'!B:B,0))),"")</f>
        <v>1567.63</v>
      </c>
      <c r="M8" s="54">
        <f>IFERROR(IF(AND(E7&lt;&gt;"",E8=""),SUM($M$5:M7),INDEX('MAPA DE PREÇOS'!M:M,19+MATCH(ABC!E8,'MAPA DE PREÇOS'!B:B,0))),"")</f>
        <v>1567.63</v>
      </c>
      <c r="N8" s="90">
        <f t="shared" si="1"/>
        <v>4.575836856265255E-2</v>
      </c>
      <c r="O8" s="90">
        <f t="shared" ref="O8:O71" si="4">IFERROR(N8+O7,"")</f>
        <v>0.17319164350721439</v>
      </c>
      <c r="P8" s="54" t="str">
        <f t="shared" si="3"/>
        <v>A</v>
      </c>
      <c r="R8" s="153" t="s">
        <v>312</v>
      </c>
      <c r="S8" s="154">
        <v>0.05</v>
      </c>
      <c r="T8" s="153">
        <f>COUNTIF($P$6:$P$107,$R8)</f>
        <v>27</v>
      </c>
      <c r="U8" s="155">
        <f>SUMIFS($M$6:$M$107,$P$6:$P$107,$R8)</f>
        <v>1722.58</v>
      </c>
    </row>
    <row r="9" spans="1:21" x14ac:dyDescent="0.25">
      <c r="B9" s="41">
        <v>4</v>
      </c>
      <c r="C9" s="42">
        <f>IFERROR(INDEX('MAPA DE PREÇOS'!M:M,MATCH(B9,'MAPA DE PREÇOS'!B:B,0)+19)/(SUMPRODUCT(EDITAL!I:I,EDITAL!J:J)),"")</f>
        <v>5.419209682047308E-2</v>
      </c>
      <c r="D9" s="42">
        <f t="shared" si="2"/>
        <v>5.419209682047308E-2</v>
      </c>
      <c r="E9" s="41">
        <f t="shared" si="0"/>
        <v>90</v>
      </c>
      <c r="F9" s="41">
        <f>IFERROR(VLOOKUP($E9,'MAPA DE PREÇOS'!$B:$D,2,FALSE),"")</f>
        <v>1</v>
      </c>
      <c r="G9" s="41">
        <f>IFERROR(VLOOKUP($E9,'MAPA DE PREÇOS'!$B:$D,3,FALSE),"")</f>
        <v>90</v>
      </c>
      <c r="H9" s="41">
        <f t="array" ref="H9">IFERROR(IF(E9="","",INDEX('MAPA DE PREÇOS'!H:H,0+MATCH(ABC!E9,'MAPA DE PREÇOS'!B:B,0))),"")</f>
        <v>0</v>
      </c>
      <c r="I9" t="str">
        <f>IF(E9="","",INDEX('MAPA DE PREÇOS'!H:H,MATCH(ABC!E9,'MAPA DE PREÇOS'!B:B,0)+1))</f>
        <v xml:space="preserve">Inversora de solda </v>
      </c>
      <c r="J9" s="41" t="str">
        <f>IFERROR(IF(E9="","",INDEX('MAPA DE PREÇOS'!M:M,3+MATCH(ABC!E9,'MAPA DE PREÇOS'!B:B,0))),"")</f>
        <v>UN</v>
      </c>
      <c r="K9" s="52">
        <f t="array" ref="K9">IFERROR(IF(E9="","",INDEX('MAPA DE PREÇOS'!M:M,2+MATCH(ABC!E9,'MAPA DE PREÇOS'!B:B,0))),"")</f>
        <v>2</v>
      </c>
      <c r="L9" s="53">
        <f t="array" ref="L9">IFERROR(IF(AND(E8&lt;&gt;"",E9=""),"TOTAL ESTIMADO",INDEX('MAPA DE PREÇOS'!M:M,0+MATCH(ABC!E9,'MAPA DE PREÇOS'!B:B,0))),"")</f>
        <v>624.20000000000005</v>
      </c>
      <c r="M9" s="54">
        <f>IFERROR(IF(AND(E8&lt;&gt;"",E9=""),SUM($M$5:M8),INDEX('MAPA DE PREÇOS'!M:M,19+MATCH(ABC!E9,'MAPA DE PREÇOS'!B:B,0))),"")</f>
        <v>1248.4000000000001</v>
      </c>
      <c r="N9" s="90">
        <f t="shared" si="1"/>
        <v>3.6440197823220687E-2</v>
      </c>
      <c r="O9" s="90">
        <f t="shared" si="4"/>
        <v>0.20963184133043508</v>
      </c>
      <c r="P9" s="54" t="str">
        <f t="shared" si="3"/>
        <v>A</v>
      </c>
    </row>
    <row r="10" spans="1:21" x14ac:dyDescent="0.25">
      <c r="B10" s="41">
        <v>5</v>
      </c>
      <c r="C10" s="42">
        <f>IFERROR(INDEX('MAPA DE PREÇOS'!M:M,MATCH(B10,'MAPA DE PREÇOS'!B:B,0)+19)/(SUMPRODUCT(EDITAL!I:I,EDITAL!J:J)),"")</f>
        <v>2.5768509002194184E-3</v>
      </c>
      <c r="D10" s="42">
        <f t="shared" si="2"/>
        <v>2.5768509002194184E-3</v>
      </c>
      <c r="E10" s="41">
        <f t="shared" si="0"/>
        <v>40</v>
      </c>
      <c r="F10" s="41">
        <f>IFERROR(VLOOKUP($E10,'MAPA DE PREÇOS'!$B:$D,2,FALSE),"")</f>
        <v>1</v>
      </c>
      <c r="G10" s="41">
        <f>IFERROR(VLOOKUP($E10,'MAPA DE PREÇOS'!$B:$D,3,FALSE),"")</f>
        <v>40</v>
      </c>
      <c r="H10" s="41">
        <f t="array" ref="H10">IFERROR(IF(E10="","",INDEX('MAPA DE PREÇOS'!H:H,0+MATCH(ABC!E10,'MAPA DE PREÇOS'!B:B,0))),"")</f>
        <v>0</v>
      </c>
      <c r="I10" t="str">
        <f>IF(E10="","",INDEX('MAPA DE PREÇOS'!H:H,MATCH(ABC!E10,'MAPA DE PREÇOS'!B:B,0)+1))</f>
        <v>Trena a laser</v>
      </c>
      <c r="J10" s="41" t="str">
        <f>IFERROR(IF(E10="","",INDEX('MAPA DE PREÇOS'!M:M,3+MATCH(ABC!E10,'MAPA DE PREÇOS'!B:B,0))),"")</f>
        <v>UN</v>
      </c>
      <c r="K10" s="52">
        <f t="array" ref="K10">IFERROR(IF(E10="","",INDEX('MAPA DE PREÇOS'!M:M,2+MATCH(ABC!E10,'MAPA DE PREÇOS'!B:B,0))),"")</f>
        <v>3</v>
      </c>
      <c r="L10" s="53">
        <f t="array" ref="L10">IFERROR(IF(AND(E9&lt;&gt;"",E10=""),"TOTAL ESTIMADO",INDEX('MAPA DE PREÇOS'!M:M,0+MATCH(ABC!E10,'MAPA DE PREÇOS'!B:B,0))),"")</f>
        <v>406.66</v>
      </c>
      <c r="M10" s="54">
        <f>IFERROR(IF(AND(E9&lt;&gt;"",E10=""),SUM($M$5:M9),INDEX('MAPA DE PREÇOS'!M:M,19+MATCH(ABC!E10,'MAPA DE PREÇOS'!B:B,0))),"")</f>
        <v>1219.98</v>
      </c>
      <c r="N10" s="90">
        <f t="shared" si="1"/>
        <v>3.5610631640798439E-2</v>
      </c>
      <c r="O10" s="90">
        <f t="shared" si="4"/>
        <v>0.24524247297123353</v>
      </c>
      <c r="P10" s="54" t="str">
        <f t="shared" si="3"/>
        <v>A</v>
      </c>
    </row>
    <row r="11" spans="1:21" x14ac:dyDescent="0.25">
      <c r="B11" s="41">
        <v>6</v>
      </c>
      <c r="C11" s="42">
        <f>IFERROR(INDEX('MAPA DE PREÇOS'!M:M,MATCH(B11,'MAPA DE PREÇOS'!B:B,0)+19)/(SUMPRODUCT(EDITAL!I:I,EDITAL!J:J)),"")</f>
        <v>1.7093383406983366E-3</v>
      </c>
      <c r="D11" s="42">
        <f t="shared" si="2"/>
        <v>1.7093383406983366E-3</v>
      </c>
      <c r="E11" s="41">
        <f t="shared" si="0"/>
        <v>81</v>
      </c>
      <c r="F11" s="41">
        <f>IFERROR(VLOOKUP($E11,'MAPA DE PREÇOS'!$B:$D,2,FALSE),"")</f>
        <v>1</v>
      </c>
      <c r="G11" s="41">
        <f>IFERROR(VLOOKUP($E11,'MAPA DE PREÇOS'!$B:$D,3,FALSE),"")</f>
        <v>81</v>
      </c>
      <c r="H11" s="41">
        <f t="array" ref="H11">IFERROR(IF(E11="","",INDEX('MAPA DE PREÇOS'!H:H,0+MATCH(ABC!E11,'MAPA DE PREÇOS'!B:B,0))),"")</f>
        <v>0</v>
      </c>
      <c r="I11" t="str">
        <f>IF(E11="","",INDEX('MAPA DE PREÇOS'!H:H,MATCH(ABC!E11,'MAPA DE PREÇOS'!B:B,0)+1))</f>
        <v>Jogo de formões 4 peças</v>
      </c>
      <c r="J11" s="41" t="str">
        <f>IFERROR(IF(E11="","",INDEX('MAPA DE PREÇOS'!M:M,3+MATCH(ABC!E11,'MAPA DE PREÇOS'!B:B,0))),"")</f>
        <v>UN</v>
      </c>
      <c r="K11" s="52">
        <f t="array" ref="K11">IFERROR(IF(E11="","",INDEX('MAPA DE PREÇOS'!M:M,2+MATCH(ABC!E11,'MAPA DE PREÇOS'!B:B,0))),"")</f>
        <v>6</v>
      </c>
      <c r="L11" s="53">
        <f t="array" ref="L11">IFERROR(IF(AND(E10&lt;&gt;"",E11=""),"TOTAL ESTIMADO",INDEX('MAPA DE PREÇOS'!M:M,0+MATCH(ABC!E11,'MAPA DE PREÇOS'!B:B,0))),"")</f>
        <v>178.3</v>
      </c>
      <c r="M11" s="54">
        <f>IFERROR(IF(AND(E10&lt;&gt;"",E11=""),SUM($M$5:M10),INDEX('MAPA DE PREÇOS'!M:M,19+MATCH(ABC!E11,'MAPA DE PREÇOS'!B:B,0))),"")</f>
        <v>1069.8</v>
      </c>
      <c r="N11" s="90">
        <f t="shared" si="1"/>
        <v>3.1226949400257518E-2</v>
      </c>
      <c r="O11" s="90">
        <f t="shared" si="4"/>
        <v>0.27646942237149102</v>
      </c>
      <c r="P11" s="54" t="str">
        <f t="shared" si="3"/>
        <v>A</v>
      </c>
    </row>
    <row r="12" spans="1:21" x14ac:dyDescent="0.25">
      <c r="B12" s="41">
        <v>7</v>
      </c>
      <c r="C12" s="42">
        <f>IFERROR(INDEX('MAPA DE PREÇOS'!M:M,MATCH(B12,'MAPA DE PREÇOS'!B:B,0)+19)/(SUMPRODUCT(EDITAL!I:I,EDITAL!J:J)),"")</f>
        <v>1.4314541022514757E-3</v>
      </c>
      <c r="D12" s="42">
        <f t="shared" si="2"/>
        <v>1.4314541022514757E-3</v>
      </c>
      <c r="E12" s="41">
        <f t="shared" si="0"/>
        <v>39</v>
      </c>
      <c r="F12" s="41">
        <f>IFERROR(VLOOKUP($E12,'MAPA DE PREÇOS'!$B:$D,2,FALSE),"")</f>
        <v>1</v>
      </c>
      <c r="G12" s="41">
        <f>IFERROR(VLOOKUP($E12,'MAPA DE PREÇOS'!$B:$D,3,FALSE),"")</f>
        <v>39</v>
      </c>
      <c r="H12" s="41">
        <f t="array" ref="H12">IFERROR(IF(E12="","",INDEX('MAPA DE PREÇOS'!H:H,0+MATCH(ABC!E12,'MAPA DE PREÇOS'!B:B,0))),"")</f>
        <v>0</v>
      </c>
      <c r="I12" t="str">
        <f>IF(E12="","",INDEX('MAPA DE PREÇOS'!H:H,MATCH(ABC!E12,'MAPA DE PREÇOS'!B:B,0)+1))</f>
        <v>Localizador de cabos</v>
      </c>
      <c r="J12" s="41" t="str">
        <f>IFERROR(IF(E12="","",INDEX('MAPA DE PREÇOS'!M:M,3+MATCH(ABC!E12,'MAPA DE PREÇOS'!B:B,0))),"")</f>
        <v>UN</v>
      </c>
      <c r="K12" s="52">
        <f t="array" ref="K12">IFERROR(IF(E12="","",INDEX('MAPA DE PREÇOS'!M:M,2+MATCH(ABC!E12,'MAPA DE PREÇOS'!B:B,0))),"")</f>
        <v>3</v>
      </c>
      <c r="L12" s="53">
        <f t="array" ref="L12">IFERROR(IF(AND(E11&lt;&gt;"",E12=""),"TOTAL ESTIMADO",INDEX('MAPA DE PREÇOS'!M:M,0+MATCH(ABC!E12,'MAPA DE PREÇOS'!B:B,0))),"")</f>
        <v>330.66</v>
      </c>
      <c r="M12" s="54">
        <f>IFERROR(IF(AND(E11&lt;&gt;"",E12=""),SUM($M$5:M11),INDEX('MAPA DE PREÇOS'!M:M,19+MATCH(ABC!E12,'MAPA DE PREÇOS'!B:B,0))),"")</f>
        <v>991.98</v>
      </c>
      <c r="N12" s="90">
        <f t="shared" si="1"/>
        <v>2.8955420888079505E-2</v>
      </c>
      <c r="O12" s="90">
        <f t="shared" si="4"/>
        <v>0.30542484325957053</v>
      </c>
      <c r="P12" s="54" t="str">
        <f t="shared" si="3"/>
        <v>A</v>
      </c>
    </row>
    <row r="13" spans="1:21" x14ac:dyDescent="0.25">
      <c r="B13" s="41">
        <v>8</v>
      </c>
      <c r="C13" s="42">
        <f>IFERROR(INDEX('MAPA DE PREÇOS'!M:M,MATCH(B13,'MAPA DE PREÇOS'!B:B,0)+19)/(SUMPRODUCT(EDITAL!I:I,EDITAL!J:J)),"")</f>
        <v>2.346837475958782E-3</v>
      </c>
      <c r="D13" s="42">
        <f t="shared" si="2"/>
        <v>2.346837475958782E-3</v>
      </c>
      <c r="E13" s="41">
        <f t="shared" si="0"/>
        <v>77</v>
      </c>
      <c r="F13" s="41">
        <f>IFERROR(VLOOKUP($E13,'MAPA DE PREÇOS'!$B:$D,2,FALSE),"")</f>
        <v>1</v>
      </c>
      <c r="G13" s="41">
        <f>IFERROR(VLOOKUP($E13,'MAPA DE PREÇOS'!$B:$D,3,FALSE),"")</f>
        <v>77</v>
      </c>
      <c r="H13" s="41">
        <f t="array" ref="H13">IFERROR(IF(E13="","",INDEX('MAPA DE PREÇOS'!H:H,0+MATCH(ABC!E13,'MAPA DE PREÇOS'!B:B,0))),"")</f>
        <v>0</v>
      </c>
      <c r="I13" t="str">
        <f>IF(E13="","",INDEX('MAPA DE PREÇOS'!H:H,MATCH(ABC!E13,'MAPA DE PREÇOS'!B:B,0)+1))</f>
        <v>Cavadeira articulada</v>
      </c>
      <c r="J13" s="41" t="str">
        <f>IFERROR(IF(E13="","",INDEX('MAPA DE PREÇOS'!M:M,3+MATCH(ABC!E13,'MAPA DE PREÇOS'!B:B,0))),"")</f>
        <v>UN</v>
      </c>
      <c r="K13" s="52">
        <f t="array" ref="K13">IFERROR(IF(E13="","",INDEX('MAPA DE PREÇOS'!M:M,2+MATCH(ABC!E13,'MAPA DE PREÇOS'!B:B,0))),"")</f>
        <v>12</v>
      </c>
      <c r="L13" s="53">
        <f t="array" ref="L13">IFERROR(IF(AND(E12&lt;&gt;"",E13=""),"TOTAL ESTIMADO",INDEX('MAPA DE PREÇOS'!M:M,0+MATCH(ABC!E13,'MAPA DE PREÇOS'!B:B,0))),"")</f>
        <v>82</v>
      </c>
      <c r="M13" s="54">
        <f>IFERROR(IF(AND(E12&lt;&gt;"",E13=""),SUM($M$5:M12),INDEX('MAPA DE PREÇOS'!M:M,19+MATCH(ABC!E13,'MAPA DE PREÇOS'!B:B,0))),"")</f>
        <v>984</v>
      </c>
      <c r="N13" s="90">
        <f t="shared" si="1"/>
        <v>2.8722488511734343E-2</v>
      </c>
      <c r="O13" s="90">
        <f t="shared" si="4"/>
        <v>0.3341473317713049</v>
      </c>
      <c r="P13" s="54" t="str">
        <f t="shared" si="3"/>
        <v>A</v>
      </c>
    </row>
    <row r="14" spans="1:21" x14ac:dyDescent="0.25">
      <c r="B14" s="41">
        <v>9</v>
      </c>
      <c r="C14" s="42">
        <f>IFERROR(INDEX('MAPA DE PREÇOS'!M:M,MATCH(B14,'MAPA DE PREÇOS'!B:B,0)+19)/(SUMPRODUCT(EDITAL!I:I,EDITAL!J:J)),"")</f>
        <v>2.4017137751478675E-3</v>
      </c>
      <c r="D14" s="42">
        <f t="shared" si="2"/>
        <v>2.4017137751478675E-3</v>
      </c>
      <c r="E14" s="41">
        <f t="shared" si="0"/>
        <v>63</v>
      </c>
      <c r="F14" s="41">
        <f>IFERROR(VLOOKUP($E14,'MAPA DE PREÇOS'!$B:$D,2,FALSE),"")</f>
        <v>1</v>
      </c>
      <c r="G14" s="41">
        <f>IFERROR(VLOOKUP($E14,'MAPA DE PREÇOS'!$B:$D,3,FALSE),"")</f>
        <v>63</v>
      </c>
      <c r="H14" s="41">
        <f t="array" ref="H14">IFERROR(IF(E14="","",INDEX('MAPA DE PREÇOS'!H:H,0+MATCH(ABC!E14,'MAPA DE PREÇOS'!B:B,0))),"")</f>
        <v>0</v>
      </c>
      <c r="I14" t="str">
        <f>IF(E14="","",INDEX('MAPA DE PREÇOS'!H:H,MATCH(ABC!E14,'MAPA DE PREÇOS'!B:B,0)+1))</f>
        <v>Esquadro metálico</v>
      </c>
      <c r="J14" s="41" t="str">
        <f>IFERROR(IF(E14="","",INDEX('MAPA DE PREÇOS'!M:M,3+MATCH(ABC!E14,'MAPA DE PREÇOS'!B:B,0))),"")</f>
        <v>UN</v>
      </c>
      <c r="K14" s="52">
        <f t="array" ref="K14">IFERROR(IF(E14="","",INDEX('MAPA DE PREÇOS'!M:M,2+MATCH(ABC!E14,'MAPA DE PREÇOS'!B:B,0))),"")</f>
        <v>12</v>
      </c>
      <c r="L14" s="53">
        <f t="array" ref="L14">IFERROR(IF(AND(E13&lt;&gt;"",E14=""),"TOTAL ESTIMADO",INDEX('MAPA DE PREÇOS'!M:M,0+MATCH(ABC!E14,'MAPA DE PREÇOS'!B:B,0))),"")</f>
        <v>80.569999999999993</v>
      </c>
      <c r="M14" s="54">
        <f>IFERROR(IF(AND(E13&lt;&gt;"",E14=""),SUM($M$5:M13),INDEX('MAPA DE PREÇOS'!M:M,19+MATCH(ABC!E14,'MAPA DE PREÇOS'!B:B,0))),"")</f>
        <v>966.84</v>
      </c>
      <c r="N14" s="90">
        <f t="shared" si="1"/>
        <v>2.8221596334029708E-2</v>
      </c>
      <c r="O14" s="90">
        <f t="shared" si="4"/>
        <v>0.36236892810533461</v>
      </c>
      <c r="P14" s="54" t="str">
        <f t="shared" si="3"/>
        <v>A</v>
      </c>
    </row>
    <row r="15" spans="1:21" x14ac:dyDescent="0.25">
      <c r="B15" s="41">
        <v>10</v>
      </c>
      <c r="C15" s="42">
        <f>IFERROR(INDEX('MAPA DE PREÇOS'!M:M,MATCH(B15,'MAPA DE PREÇOS'!B:B,0)+19)/(SUMPRODUCT(EDITAL!I:I,EDITAL!J:J)),"")</f>
        <v>1.3310421505437866E-3</v>
      </c>
      <c r="D15" s="42">
        <f t="shared" si="2"/>
        <v>1.3310421505437866E-3</v>
      </c>
      <c r="E15" s="41">
        <f t="shared" si="0"/>
        <v>30</v>
      </c>
      <c r="F15" s="41">
        <f>IFERROR(VLOOKUP($E15,'MAPA DE PREÇOS'!$B:$D,2,FALSE),"")</f>
        <v>1</v>
      </c>
      <c r="G15" s="41">
        <f>IFERROR(VLOOKUP($E15,'MAPA DE PREÇOS'!$B:$D,3,FALSE),"")</f>
        <v>30</v>
      </c>
      <c r="H15" s="41">
        <f t="array" ref="H15">IFERROR(IF(E15="","",INDEX('MAPA DE PREÇOS'!H:H,0+MATCH(ABC!E15,'MAPA DE PREÇOS'!B:B,0))),"")</f>
        <v>0</v>
      </c>
      <c r="I15" t="str">
        <f>IF(E15="","",INDEX('MAPA DE PREÇOS'!H:H,MATCH(ABC!E15,'MAPA DE PREÇOS'!B:B,0)+1))</f>
        <v>Jogos de chaves canhão 12 peças</v>
      </c>
      <c r="J15" s="41" t="str">
        <f>IFERROR(IF(E15="","",INDEX('MAPA DE PREÇOS'!M:M,3+MATCH(ABC!E15,'MAPA DE PREÇOS'!B:B,0))),"")</f>
        <v>UN</v>
      </c>
      <c r="K15" s="52">
        <f t="array" ref="K15">IFERROR(IF(E15="","",INDEX('MAPA DE PREÇOS'!M:M,2+MATCH(ABC!E15,'MAPA DE PREÇOS'!B:B,0))),"")</f>
        <v>3</v>
      </c>
      <c r="L15" s="53">
        <f t="array" ref="L15">IFERROR(IF(AND(E14&lt;&gt;"",E15=""),"TOTAL ESTIMADO",INDEX('MAPA DE PREÇOS'!M:M,0+MATCH(ABC!E15,'MAPA DE PREÇOS'!B:B,0))),"")</f>
        <v>284.12</v>
      </c>
      <c r="M15" s="54">
        <f>IFERROR(IF(AND(E14&lt;&gt;"",E15=""),SUM($M$5:M14),INDEX('MAPA DE PREÇOS'!M:M,19+MATCH(ABC!E15,'MAPA DE PREÇOS'!B:B,0))),"")</f>
        <v>852.36</v>
      </c>
      <c r="N15" s="90">
        <f t="shared" si="1"/>
        <v>2.4879979987664516E-2</v>
      </c>
      <c r="O15" s="90">
        <f t="shared" si="4"/>
        <v>0.38724890809299911</v>
      </c>
      <c r="P15" s="54" t="str">
        <f t="shared" si="3"/>
        <v>A</v>
      </c>
    </row>
    <row r="16" spans="1:21" x14ac:dyDescent="0.25">
      <c r="B16" s="41">
        <v>11</v>
      </c>
      <c r="C16" s="42">
        <f>IFERROR(INDEX('MAPA DE PREÇOS'!M:M,MATCH(B16,'MAPA DE PREÇOS'!B:B,0)+19)/(SUMPRODUCT(EDITAL!I:I,EDITAL!J:J)),"")</f>
        <v>1.2703279471856491E-3</v>
      </c>
      <c r="D16" s="42">
        <f t="shared" si="2"/>
        <v>1.2703279471856491E-3</v>
      </c>
      <c r="E16" s="41">
        <f t="shared" si="0"/>
        <v>17</v>
      </c>
      <c r="F16" s="41">
        <f>IFERROR(VLOOKUP($E16,'MAPA DE PREÇOS'!$B:$D,2,FALSE),"")</f>
        <v>1</v>
      </c>
      <c r="G16" s="41">
        <f>IFERROR(VLOOKUP($E16,'MAPA DE PREÇOS'!$B:$D,3,FALSE),"")</f>
        <v>17</v>
      </c>
      <c r="H16" s="41">
        <f t="array" ref="H16">IFERROR(IF(E16="","",INDEX('MAPA DE PREÇOS'!H:H,0+MATCH(ABC!E16,'MAPA DE PREÇOS'!B:B,0))),"")</f>
        <v>0</v>
      </c>
      <c r="I16" t="str">
        <f>IF(E16="","",INDEX('MAPA DE PREÇOS'!H:H,MATCH(ABC!E16,'MAPA DE PREÇOS'!B:B,0)+1))</f>
        <v xml:space="preserve">Trena 10 m </v>
      </c>
      <c r="J16" s="41" t="str">
        <f>IFERROR(IF(E16="","",INDEX('MAPA DE PREÇOS'!M:M,3+MATCH(ABC!E16,'MAPA DE PREÇOS'!B:B,0))),"")</f>
        <v>UN</v>
      </c>
      <c r="K16" s="52">
        <f t="array" ref="K16">IFERROR(IF(E16="","",INDEX('MAPA DE PREÇOS'!M:M,2+MATCH(ABC!E16,'MAPA DE PREÇOS'!B:B,0))),"")</f>
        <v>17</v>
      </c>
      <c r="L16" s="53">
        <f t="array" ref="L16">IFERROR(IF(AND(E15&lt;&gt;"",E16=""),"TOTAL ESTIMADO",INDEX('MAPA DE PREÇOS'!M:M,0+MATCH(ABC!E16,'MAPA DE PREÇOS'!B:B,0))),"")</f>
        <v>47.99</v>
      </c>
      <c r="M16" s="54">
        <f>IFERROR(IF(AND(E15&lt;&gt;"",E16=""),SUM($M$5:M15),INDEX('MAPA DE PREÇOS'!M:M,19+MATCH(ABC!E16,'MAPA DE PREÇOS'!B:B,0))),"")</f>
        <v>815.83</v>
      </c>
      <c r="N16" s="90">
        <f t="shared" si="1"/>
        <v>2.3813686791187227E-2</v>
      </c>
      <c r="O16" s="90">
        <f t="shared" si="4"/>
        <v>0.41106259488418634</v>
      </c>
      <c r="P16" s="54" t="str">
        <f t="shared" si="3"/>
        <v>A</v>
      </c>
    </row>
    <row r="17" spans="2:16" x14ac:dyDescent="0.25">
      <c r="B17" s="41">
        <v>12</v>
      </c>
      <c r="C17" s="42">
        <f>IFERROR(INDEX('MAPA DE PREÇOS'!M:M,MATCH(B17,'MAPA DE PREÇOS'!B:B,0)+19)/(SUMPRODUCT(EDITAL!I:I,EDITAL!J:J)),"")</f>
        <v>3.0368777487406922E-3</v>
      </c>
      <c r="D17" s="42">
        <f t="shared" si="2"/>
        <v>3.0368777487406922E-3</v>
      </c>
      <c r="E17" s="41">
        <f t="shared" si="0"/>
        <v>75</v>
      </c>
      <c r="F17" s="41">
        <f>IFERROR(VLOOKUP($E17,'MAPA DE PREÇOS'!$B:$D,2,FALSE),"")</f>
        <v>1</v>
      </c>
      <c r="G17" s="41">
        <f>IFERROR(VLOOKUP($E17,'MAPA DE PREÇOS'!$B:$D,3,FALSE),"")</f>
        <v>75</v>
      </c>
      <c r="H17" s="41">
        <f t="array" ref="H17">IFERROR(IF(E17="","",INDEX('MAPA DE PREÇOS'!H:H,0+MATCH(ABC!E17,'MAPA DE PREÇOS'!B:B,0))),"")</f>
        <v>0</v>
      </c>
      <c r="I17" t="str">
        <f>IF(E17="","",INDEX('MAPA DE PREÇOS'!H:H,MATCH(ABC!E17,'MAPA DE PREÇOS'!B:B,0)+1))</f>
        <v>Enxada</v>
      </c>
      <c r="J17" s="41">
        <f>IFERROR(IF(E17="","",INDEX('MAPA DE PREÇOS'!M:M,3+MATCH(ABC!E17,'MAPA DE PREÇOS'!B:B,0))),"")</f>
        <v>0</v>
      </c>
      <c r="K17" s="52">
        <f t="array" ref="K17">IFERROR(IF(E17="","",INDEX('MAPA DE PREÇOS'!M:M,2+MATCH(ABC!E17,'MAPA DE PREÇOS'!B:B,0))),"")</f>
        <v>12</v>
      </c>
      <c r="L17" s="53">
        <f t="array" ref="L17">IFERROR(IF(AND(E16&lt;&gt;"",E17=""),"TOTAL ESTIMADO",INDEX('MAPA DE PREÇOS'!M:M,0+MATCH(ABC!E17,'MAPA DE PREÇOS'!B:B,0))),"")</f>
        <v>66.900000000000006</v>
      </c>
      <c r="M17" s="54">
        <f>IFERROR(IF(AND(E16&lt;&gt;"",E17=""),SUM($M$5:M16),INDEX('MAPA DE PREÇOS'!M:M,19+MATCH(ABC!E17,'MAPA DE PREÇOS'!B:B,0))),"")</f>
        <v>802.8</v>
      </c>
      <c r="N17" s="90">
        <f t="shared" si="1"/>
        <v>2.3433347334573505E-2</v>
      </c>
      <c r="O17" s="90">
        <f t="shared" si="4"/>
        <v>0.43449594221875987</v>
      </c>
      <c r="P17" s="54" t="str">
        <f t="shared" si="3"/>
        <v>A</v>
      </c>
    </row>
    <row r="18" spans="2:16" x14ac:dyDescent="0.25">
      <c r="B18" s="41">
        <v>13</v>
      </c>
      <c r="C18" s="42">
        <f>IFERROR(INDEX('MAPA DE PREÇOS'!M:M,MATCH(B18,'MAPA DE PREÇOS'!B:B,0)+19)/(SUMPRODUCT(EDITAL!I:I,EDITAL!J:J)),"")</f>
        <v>7.7293851198244454E-4</v>
      </c>
      <c r="D18" s="42">
        <f t="shared" si="2"/>
        <v>7.7293851198244454E-4</v>
      </c>
      <c r="E18" s="41">
        <f t="shared" si="0"/>
        <v>1</v>
      </c>
      <c r="F18" s="41">
        <f>IFERROR(VLOOKUP($E18,'MAPA DE PREÇOS'!$B:$D,2,FALSE),"")</f>
        <v>1</v>
      </c>
      <c r="G18" s="41">
        <f>IFERROR(VLOOKUP($E18,'MAPA DE PREÇOS'!$B:$D,3,FALSE),"")</f>
        <v>1</v>
      </c>
      <c r="H18" s="41">
        <f t="array" ref="H18">IFERROR(IF(E18="","",INDEX('MAPA DE PREÇOS'!H:H,0+MATCH(ABC!E18,'MAPA DE PREÇOS'!B:B,0))),"")</f>
        <v>0</v>
      </c>
      <c r="I18" t="str">
        <f>IF(E18="","",INDEX('MAPA DE PREÇOS'!H:H,MATCH(ABC!E18,'MAPA DE PREÇOS'!B:B,0)+1))</f>
        <v>Capacete de segurança classe B</v>
      </c>
      <c r="J18" s="41" t="str">
        <f>IFERROR(IF(E18="","",INDEX('MAPA DE PREÇOS'!M:M,3+MATCH(ABC!E18,'MAPA DE PREÇOS'!B:B,0))),"")</f>
        <v>UN</v>
      </c>
      <c r="K18" s="52">
        <f t="array" ref="K18">IFERROR(IF(E18="","",INDEX('MAPA DE PREÇOS'!M:M,2+MATCH(ABC!E18,'MAPA DE PREÇOS'!B:B,0))),"")</f>
        <v>46</v>
      </c>
      <c r="L18" s="53">
        <f t="array" ref="L18">IFERROR(IF(AND(E17&lt;&gt;"",E18=""),"TOTAL ESTIMADO",INDEX('MAPA DE PREÇOS'!M:M,0+MATCH(ABC!E18,'MAPA DE PREÇOS'!B:B,0))),"")</f>
        <v>16.36</v>
      </c>
      <c r="M18" s="54">
        <f>IFERROR(IF(AND(E17&lt;&gt;"",E18=""),SUM($M$5:M17),INDEX('MAPA DE PREÇOS'!M:M,19+MATCH(ABC!E18,'MAPA DE PREÇOS'!B:B,0))),"")</f>
        <v>752.56</v>
      </c>
      <c r="N18" s="90">
        <f t="shared" si="1"/>
        <v>2.1966865807307719E-2</v>
      </c>
      <c r="O18" s="90">
        <f t="shared" si="4"/>
        <v>0.45646280802606759</v>
      </c>
      <c r="P18" s="54" t="str">
        <f t="shared" si="3"/>
        <v>A</v>
      </c>
    </row>
    <row r="19" spans="2:16" x14ac:dyDescent="0.25">
      <c r="B19" s="41">
        <v>14</v>
      </c>
      <c r="C19" s="42">
        <f>IFERROR(INDEX('MAPA DE PREÇOS'!M:M,MATCH(B19,'MAPA DE PREÇOS'!B:B,0)+19)/(SUMPRODUCT(EDITAL!I:I,EDITAL!J:J)),"")</f>
        <v>1.4702177859339791E-2</v>
      </c>
      <c r="D19" s="42">
        <f t="shared" si="2"/>
        <v>1.4702177859339791E-2</v>
      </c>
      <c r="E19" s="41">
        <f t="shared" si="0"/>
        <v>3</v>
      </c>
      <c r="F19" s="41">
        <f>IFERROR(VLOOKUP($E19,'MAPA DE PREÇOS'!$B:$D,2,FALSE),"")</f>
        <v>1</v>
      </c>
      <c r="G19" s="41">
        <f>IFERROR(VLOOKUP($E19,'MAPA DE PREÇOS'!$B:$D,3,FALSE),"")</f>
        <v>3</v>
      </c>
      <c r="H19" s="41">
        <f t="array" ref="H19">IFERROR(IF(E19="","",INDEX('MAPA DE PREÇOS'!H:H,0+MATCH(ABC!E19,'MAPA DE PREÇOS'!B:B,0))),"")</f>
        <v>0</v>
      </c>
      <c r="I19" t="str">
        <f>IF(E19="","",INDEX('MAPA DE PREÇOS'!H:H,MATCH(ABC!E19,'MAPA DE PREÇOS'!B:B,0)+1))</f>
        <v>Luva de malha pigmentada</v>
      </c>
      <c r="J19" s="41" t="str">
        <f>IFERROR(IF(E19="","",INDEX('MAPA DE PREÇOS'!M:M,3+MATCH(ABC!E19,'MAPA DE PREÇOS'!B:B,0))),"")</f>
        <v>UN</v>
      </c>
      <c r="K19" s="52">
        <f t="array" ref="K19">IFERROR(IF(E19="","",INDEX('MAPA DE PREÇOS'!M:M,2+MATCH(ABC!E19,'MAPA DE PREÇOS'!B:B,0))),"")</f>
        <v>258</v>
      </c>
      <c r="L19" s="53">
        <f t="array" ref="L19">IFERROR(IF(AND(E18&lt;&gt;"",E19=""),"TOTAL ESTIMADO",INDEX('MAPA DE PREÇOS'!M:M,0+MATCH(ABC!E19,'MAPA DE PREÇOS'!B:B,0))),"")</f>
        <v>2.75</v>
      </c>
      <c r="M19" s="54">
        <f>IFERROR(IF(AND(E18&lt;&gt;"",E19=""),SUM($M$5:M18),INDEX('MAPA DE PREÇOS'!M:M,19+MATCH(ABC!E19,'MAPA DE PREÇOS'!B:B,0))),"")</f>
        <v>709.5</v>
      </c>
      <c r="N19" s="90">
        <f t="shared" si="1"/>
        <v>2.0709965039710891E-2</v>
      </c>
      <c r="O19" s="90">
        <f t="shared" si="4"/>
        <v>0.47717277306577849</v>
      </c>
      <c r="P19" s="54" t="str">
        <f t="shared" si="3"/>
        <v>A</v>
      </c>
    </row>
    <row r="20" spans="2:16" x14ac:dyDescent="0.25">
      <c r="B20" s="41">
        <v>15</v>
      </c>
      <c r="C20" s="42">
        <f>IFERROR(INDEX('MAPA DE PREÇOS'!M:M,MATCH(B20,'MAPA DE PREÇOS'!B:B,0)+19)/(SUMPRODUCT(EDITAL!I:I,EDITAL!J:J)),"")</f>
        <v>3.7269180215226028E-3</v>
      </c>
      <c r="D20" s="42">
        <f t="shared" si="2"/>
        <v>3.7269180215226028E-3</v>
      </c>
      <c r="E20" s="41">
        <f t="shared" si="0"/>
        <v>22</v>
      </c>
      <c r="F20" s="41">
        <f>IFERROR(VLOOKUP($E20,'MAPA DE PREÇOS'!$B:$D,2,FALSE),"")</f>
        <v>1</v>
      </c>
      <c r="G20" s="41">
        <f>IFERROR(VLOOKUP($E20,'MAPA DE PREÇOS'!$B:$D,3,FALSE),"")</f>
        <v>22</v>
      </c>
      <c r="H20" s="41">
        <f t="array" ref="H20">IFERROR(IF(E20="","",INDEX('MAPA DE PREÇOS'!H:H,0+MATCH(ABC!E20,'MAPA DE PREÇOS'!B:B,0))),"")</f>
        <v>0</v>
      </c>
      <c r="I20" t="str">
        <f>IF(E20="","",INDEX('MAPA DE PREÇOS'!H:H,MATCH(ABC!E20,'MAPA DE PREÇOS'!B:B,0)+1))</f>
        <v>Alicate prensa terminal</v>
      </c>
      <c r="J20" s="41" t="str">
        <f>IFERROR(IF(E20="","",INDEX('MAPA DE PREÇOS'!M:M,3+MATCH(ABC!E20,'MAPA DE PREÇOS'!B:B,0))),"")</f>
        <v>UN</v>
      </c>
      <c r="K20" s="52">
        <f t="array" ref="K20">IFERROR(IF(E20="","",INDEX('MAPA DE PREÇOS'!M:M,2+MATCH(ABC!E20,'MAPA DE PREÇOS'!B:B,0))),"")</f>
        <v>3</v>
      </c>
      <c r="L20" s="53">
        <f t="array" ref="L20">IFERROR(IF(AND(E19&lt;&gt;"",E20=""),"TOTAL ESTIMADO",INDEX('MAPA DE PREÇOS'!M:M,0+MATCH(ABC!E20,'MAPA DE PREÇOS'!B:B,0))),"")</f>
        <v>234.35</v>
      </c>
      <c r="M20" s="54">
        <f>IFERROR(IF(AND(E19&lt;&gt;"",E20=""),SUM($M$5:M19),INDEX('MAPA DE PREÇOS'!M:M,19+MATCH(ABC!E20,'MAPA DE PREÇOS'!B:B,0))),"")</f>
        <v>703.05</v>
      </c>
      <c r="N20" s="90">
        <f t="shared" si="1"/>
        <v>2.0521692630258971E-2</v>
      </c>
      <c r="O20" s="90">
        <f t="shared" si="4"/>
        <v>0.49769446569603748</v>
      </c>
      <c r="P20" s="54" t="str">
        <f t="shared" si="3"/>
        <v>A</v>
      </c>
    </row>
    <row r="21" spans="2:16" x14ac:dyDescent="0.25">
      <c r="B21" s="41">
        <v>16</v>
      </c>
      <c r="C21" s="42">
        <f>IFERROR(INDEX('MAPA DE PREÇOS'!M:M,MATCH(B21,'MAPA DE PREÇOS'!B:B,0)+19)/(SUMPRODUCT(EDITAL!I:I,EDITAL!J:J)),"")</f>
        <v>3.3205998913566049E-3</v>
      </c>
      <c r="D21" s="42">
        <f t="shared" si="2"/>
        <v>3.3205998913566049E-3</v>
      </c>
      <c r="E21" s="41">
        <f t="shared" si="0"/>
        <v>44</v>
      </c>
      <c r="F21" s="41">
        <f>IFERROR(VLOOKUP($E21,'MAPA DE PREÇOS'!$B:$D,2,FALSE),"")</f>
        <v>1</v>
      </c>
      <c r="G21" s="41">
        <f>IFERROR(VLOOKUP($E21,'MAPA DE PREÇOS'!$B:$D,3,FALSE),"")</f>
        <v>44</v>
      </c>
      <c r="H21" s="41">
        <f t="array" ref="H21">IFERROR(IF(E21="","",INDEX('MAPA DE PREÇOS'!H:H,0+MATCH(ABC!E21,'MAPA DE PREÇOS'!B:B,0))),"")</f>
        <v>0</v>
      </c>
      <c r="I21" t="str">
        <f>IF(E21="","",INDEX('MAPA DE PREÇOS'!H:H,MATCH(ABC!E21,'MAPA DE PREÇOS'!B:B,0)+1))</f>
        <v>Jogo de soquetes 17 peças</v>
      </c>
      <c r="J21" s="41" t="str">
        <f>IFERROR(IF(E21="","",INDEX('MAPA DE PREÇOS'!M:M,3+MATCH(ABC!E21,'MAPA DE PREÇOS'!B:B,0))),"")</f>
        <v>UN</v>
      </c>
      <c r="K21" s="52">
        <f t="array" ref="K21">IFERROR(IF(E21="","",INDEX('MAPA DE PREÇOS'!M:M,2+MATCH(ABC!E21,'MAPA DE PREÇOS'!B:B,0))),"")</f>
        <v>3</v>
      </c>
      <c r="L21" s="53">
        <f t="array" ref="L21">IFERROR(IF(AND(E20&lt;&gt;"",E21=""),"TOTAL ESTIMADO",INDEX('MAPA DE PREÇOS'!M:M,0+MATCH(ABC!E21,'MAPA DE PREÇOS'!B:B,0))),"")</f>
        <v>225.1</v>
      </c>
      <c r="M21" s="54">
        <f>IFERROR(IF(AND(E20&lt;&gt;"",E21=""),SUM($M$5:M20),INDEX('MAPA DE PREÇOS'!M:M,19+MATCH(ABC!E21,'MAPA DE PREÇOS'!B:B,0))),"")</f>
        <v>675.3</v>
      </c>
      <c r="N21" s="90">
        <f t="shared" si="1"/>
        <v>1.9711683426803048E-2</v>
      </c>
      <c r="O21" s="90">
        <f t="shared" si="4"/>
        <v>0.51740614912284055</v>
      </c>
      <c r="P21" s="54" t="str">
        <f t="shared" si="3"/>
        <v>A</v>
      </c>
    </row>
    <row r="22" spans="2:16" x14ac:dyDescent="0.25">
      <c r="B22" s="41">
        <v>17</v>
      </c>
      <c r="C22" s="42">
        <f>IFERROR(INDEX('MAPA DE PREÇOS'!M:M,MATCH(B22,'MAPA DE PREÇOS'!B:B,0)+19)/(SUMPRODUCT(EDITAL!I:I,EDITAL!J:J)),"")</f>
        <v>2.3813686791187227E-2</v>
      </c>
      <c r="D22" s="42">
        <f t="shared" si="2"/>
        <v>2.3813686791187227E-2</v>
      </c>
      <c r="E22" s="41">
        <f t="shared" si="0"/>
        <v>53</v>
      </c>
      <c r="F22" s="41">
        <f>IFERROR(VLOOKUP($E22,'MAPA DE PREÇOS'!$B:$D,2,FALSE),"")</f>
        <v>1</v>
      </c>
      <c r="G22" s="41">
        <f>IFERROR(VLOOKUP($E22,'MAPA DE PREÇOS'!$B:$D,3,FALSE),"")</f>
        <v>53</v>
      </c>
      <c r="H22" s="41">
        <f t="array" ref="H22">IFERROR(IF(E22="","",INDEX('MAPA DE PREÇOS'!H:H,0+MATCH(ABC!E22,'MAPA DE PREÇOS'!B:B,0))),"")</f>
        <v>0</v>
      </c>
      <c r="I22" t="str">
        <f>IF(E22="","",INDEX('MAPA DE PREÇOS'!H:H,MATCH(ABC!E22,'MAPA DE PREÇOS'!B:B,0)+1))</f>
        <v>Manifold digital profissional</v>
      </c>
      <c r="J22" s="41" t="str">
        <f>IFERROR(IF(E22="","",INDEX('MAPA DE PREÇOS'!M:M,3+MATCH(ABC!E22,'MAPA DE PREÇOS'!B:B,0))),"")</f>
        <v>UN</v>
      </c>
      <c r="K22" s="52">
        <f t="array" ref="K22">IFERROR(IF(E22="","",INDEX('MAPA DE PREÇOS'!M:M,2+MATCH(ABC!E22,'MAPA DE PREÇOS'!B:B,0))),"")</f>
        <v>1</v>
      </c>
      <c r="L22" s="53">
        <f t="array" ref="L22">IFERROR(IF(AND(E21&lt;&gt;"",E22=""),"TOTAL ESTIMADO",INDEX('MAPA DE PREÇOS'!M:M,0+MATCH(ABC!E22,'MAPA DE PREÇOS'!B:B,0))),"")</f>
        <v>654.89</v>
      </c>
      <c r="M22" s="54">
        <f>IFERROR(IF(AND(E21&lt;&gt;"",E22=""),SUM($M$5:M21),INDEX('MAPA DE PREÇOS'!M:M,19+MATCH(ABC!E22,'MAPA DE PREÇOS'!B:B,0))),"")</f>
        <v>654.89</v>
      </c>
      <c r="N22" s="90">
        <f t="shared" si="1"/>
        <v>1.9115925306351325E-2</v>
      </c>
      <c r="O22" s="90">
        <f t="shared" si="4"/>
        <v>0.53652207442919186</v>
      </c>
      <c r="P22" s="54" t="str">
        <f t="shared" si="3"/>
        <v>A</v>
      </c>
    </row>
    <row r="23" spans="2:16" x14ac:dyDescent="0.25">
      <c r="B23" s="41">
        <v>18</v>
      </c>
      <c r="C23" s="42">
        <f>IFERROR(INDEX('MAPA DE PREÇOS'!M:M,MATCH(B23,'MAPA DE PREÇOS'!B:B,0)+19)/(SUMPRODUCT(EDITAL!I:I,EDITAL!J:J)),"")</f>
        <v>4.4718345934935989E-3</v>
      </c>
      <c r="D23" s="42">
        <f t="shared" si="2"/>
        <v>4.4718345934935989E-3</v>
      </c>
      <c r="E23" s="41">
        <f t="shared" si="0"/>
        <v>25</v>
      </c>
      <c r="F23" s="41">
        <f>IFERROR(VLOOKUP($E23,'MAPA DE PREÇOS'!$B:$D,2,FALSE),"")</f>
        <v>1</v>
      </c>
      <c r="G23" s="41">
        <f>IFERROR(VLOOKUP($E23,'MAPA DE PREÇOS'!$B:$D,3,FALSE),"")</f>
        <v>25</v>
      </c>
      <c r="H23" s="41">
        <f t="array" ref="H23">IFERROR(IF(E23="","",INDEX('MAPA DE PREÇOS'!H:H,0+MATCH(ABC!E23,'MAPA DE PREÇOS'!B:B,0))),"")</f>
        <v>0</v>
      </c>
      <c r="I23" t="str">
        <f>IF(E23="","",INDEX('MAPA DE PREÇOS'!H:H,MATCH(ABC!E23,'MAPA DE PREÇOS'!B:B,0)+1))</f>
        <v xml:space="preserve">Alicate de pressão </v>
      </c>
      <c r="J23" s="41" t="str">
        <f>IFERROR(IF(E23="","",INDEX('MAPA DE PREÇOS'!M:M,3+MATCH(ABC!E23,'MAPA DE PREÇOS'!B:B,0))),"")</f>
        <v>UN</v>
      </c>
      <c r="K23" s="52">
        <f t="array" ref="K23">IFERROR(IF(E23="","",INDEX('MAPA DE PREÇOS'!M:M,2+MATCH(ABC!E23,'MAPA DE PREÇOS'!B:B,0))),"")</f>
        <v>10</v>
      </c>
      <c r="L23" s="53">
        <f t="array" ref="L23">IFERROR(IF(AND(E22&lt;&gt;"",E23=""),"TOTAL ESTIMADO",INDEX('MAPA DE PREÇOS'!M:M,0+MATCH(ABC!E23,'MAPA DE PREÇOS'!B:B,0))),"")</f>
        <v>57.36</v>
      </c>
      <c r="M23" s="54">
        <f>IFERROR(IF(AND(E22&lt;&gt;"",E23=""),SUM($M$5:M22),INDEX('MAPA DE PREÇOS'!M:M,19+MATCH(ABC!E23,'MAPA DE PREÇOS'!B:B,0))),"")</f>
        <v>573.6</v>
      </c>
      <c r="N23" s="90">
        <f t="shared" si="1"/>
        <v>1.6743109156840266E-2</v>
      </c>
      <c r="O23" s="90">
        <f t="shared" si="4"/>
        <v>0.55326518358603216</v>
      </c>
      <c r="P23" s="54" t="str">
        <f t="shared" si="3"/>
        <v>A</v>
      </c>
    </row>
    <row r="24" spans="2:16" x14ac:dyDescent="0.25">
      <c r="B24" s="41">
        <v>19</v>
      </c>
      <c r="C24" s="42">
        <f>IFERROR(INDEX('MAPA DE PREÇOS'!M:M,MATCH(B24,'MAPA DE PREÇOS'!B:B,0)+19)/(SUMPRODUCT(EDITAL!I:I,EDITAL!J:J)),"")</f>
        <v>9.6996777768793927E-3</v>
      </c>
      <c r="D24" s="42">
        <f t="shared" si="2"/>
        <v>9.6996777768793927E-3</v>
      </c>
      <c r="E24" s="41">
        <f t="shared" si="0"/>
        <v>36</v>
      </c>
      <c r="F24" s="41">
        <f>IFERROR(VLOOKUP($E24,'MAPA DE PREÇOS'!$B:$D,2,FALSE),"")</f>
        <v>1</v>
      </c>
      <c r="G24" s="41">
        <f>IFERROR(VLOOKUP($E24,'MAPA DE PREÇOS'!$B:$D,3,FALSE),"")</f>
        <v>36</v>
      </c>
      <c r="H24" s="41">
        <f t="array" ref="H24">IFERROR(IF(E24="","",INDEX('MAPA DE PREÇOS'!H:H,0+MATCH(ABC!E24,'MAPA DE PREÇOS'!B:B,0))),"")</f>
        <v>0</v>
      </c>
      <c r="I24" t="str">
        <f>IF(E24="","",INDEX('MAPA DE PREÇOS'!H:H,MATCH(ABC!E24,'MAPA DE PREÇOS'!B:B,0)+1))</f>
        <v>Multímetro digital</v>
      </c>
      <c r="J24" s="41" t="str">
        <f>IFERROR(IF(E24="","",INDEX('MAPA DE PREÇOS'!M:M,3+MATCH(ABC!E24,'MAPA DE PREÇOS'!B:B,0))),"")</f>
        <v>UN</v>
      </c>
      <c r="K24" s="52">
        <f t="array" ref="K24">IFERROR(IF(E24="","",INDEX('MAPA DE PREÇOS'!M:M,2+MATCH(ABC!E24,'MAPA DE PREÇOS'!B:B,0))),"")</f>
        <v>4</v>
      </c>
      <c r="L24" s="53">
        <f t="array" ref="L24">IFERROR(IF(AND(E23&lt;&gt;"",E24=""),"TOTAL ESTIMADO",INDEX('MAPA DE PREÇOS'!M:M,0+MATCH(ABC!E24,'MAPA DE PREÇOS'!B:B,0))),"")</f>
        <v>142.27000000000001</v>
      </c>
      <c r="M24" s="54">
        <f>IFERROR(IF(AND(E23&lt;&gt;"",E24=""),SUM($M$5:M23),INDEX('MAPA DE PREÇOS'!M:M,19+MATCH(ABC!E24,'MAPA DE PREÇOS'!B:B,0))),"")</f>
        <v>569.08000000000004</v>
      </c>
      <c r="N24" s="90">
        <f t="shared" si="1"/>
        <v>1.6611172522619698E-2</v>
      </c>
      <c r="O24" s="90">
        <f t="shared" si="4"/>
        <v>0.56987635610865184</v>
      </c>
      <c r="P24" s="54" t="str">
        <f t="shared" si="3"/>
        <v>A</v>
      </c>
    </row>
    <row r="25" spans="2:16" x14ac:dyDescent="0.25">
      <c r="B25" s="41">
        <v>20</v>
      </c>
      <c r="C25" s="42">
        <f>IFERROR(INDEX('MAPA DE PREÇOS'!M:M,MATCH(B25,'MAPA DE PREÇOS'!B:B,0)+19)/(SUMPRODUCT(EDITAL!I:I,EDITAL!J:J)),"")</f>
        <v>9.0067185520129565E-3</v>
      </c>
      <c r="D25" s="42">
        <f t="shared" si="2"/>
        <v>9.0067185520129565E-3</v>
      </c>
      <c r="E25" s="41">
        <f t="shared" si="0"/>
        <v>32</v>
      </c>
      <c r="F25" s="41">
        <f>IFERROR(VLOOKUP($E25,'MAPA DE PREÇOS'!$B:$D,2,FALSE),"")</f>
        <v>1</v>
      </c>
      <c r="G25" s="41">
        <f>IFERROR(VLOOKUP($E25,'MAPA DE PREÇOS'!$B:$D,3,FALSE),"")</f>
        <v>32</v>
      </c>
      <c r="H25" s="41">
        <f t="array" ref="H25">IFERROR(IF(E25="","",INDEX('MAPA DE PREÇOS'!H:H,0+MATCH(ABC!E25,'MAPA DE PREÇOS'!B:B,0))),"")</f>
        <v>0</v>
      </c>
      <c r="I25" t="str">
        <f>IF(E25="","",INDEX('MAPA DE PREÇOS'!H:H,MATCH(ABC!E25,'MAPA DE PREÇOS'!B:B,0)+1))</f>
        <v>Chave de grifo</v>
      </c>
      <c r="J25" s="41" t="str">
        <f>IFERROR(IF(E25="","",INDEX('MAPA DE PREÇOS'!M:M,3+MATCH(ABC!E25,'MAPA DE PREÇOS'!B:B,0))),"")</f>
        <v>UN</v>
      </c>
      <c r="K25" s="52">
        <f t="array" ref="K25">IFERROR(IF(E25="","",INDEX('MAPA DE PREÇOS'!M:M,2+MATCH(ABC!E25,'MAPA DE PREÇOS'!B:B,0))),"")</f>
        <v>6</v>
      </c>
      <c r="L25" s="53">
        <f t="array" ref="L25">IFERROR(IF(AND(E24&lt;&gt;"",E25=""),"TOTAL ESTIMADO",INDEX('MAPA DE PREÇOS'!M:M,0+MATCH(ABC!E25,'MAPA DE PREÇOS'!B:B,0))),"")</f>
        <v>93.9</v>
      </c>
      <c r="M25" s="54">
        <f>IFERROR(IF(AND(E24&lt;&gt;"",E25=""),SUM($M$5:M24),INDEX('MAPA DE PREÇOS'!M:M,19+MATCH(ABC!E25,'MAPA DE PREÇOS'!B:B,0))),"")</f>
        <v>563.4</v>
      </c>
      <c r="N25" s="90">
        <f t="shared" si="1"/>
        <v>1.6445376044218626E-2</v>
      </c>
      <c r="O25" s="90">
        <f t="shared" si="4"/>
        <v>0.58632173215287042</v>
      </c>
      <c r="P25" s="54" t="str">
        <f t="shared" si="3"/>
        <v>A</v>
      </c>
    </row>
    <row r="26" spans="2:16" x14ac:dyDescent="0.25">
      <c r="B26" s="41">
        <v>21</v>
      </c>
      <c r="C26" s="42">
        <f>IFERROR(INDEX('MAPA DE PREÇOS'!M:M,MATCH(B26,'MAPA DE PREÇOS'!B:B,0)+19)/(SUMPRODUCT(EDITAL!I:I,EDITAL!J:J)),"")</f>
        <v>3.6130788902260947E-3</v>
      </c>
      <c r="D26" s="42">
        <f t="shared" si="2"/>
        <v>3.6130788902260947E-3</v>
      </c>
      <c r="E26" s="41">
        <f t="shared" si="0"/>
        <v>78</v>
      </c>
      <c r="F26" s="41">
        <f>IFERROR(VLOOKUP($E26,'MAPA DE PREÇOS'!$B:$D,2,FALSE),"")</f>
        <v>1</v>
      </c>
      <c r="G26" s="41">
        <f>IFERROR(VLOOKUP($E26,'MAPA DE PREÇOS'!$B:$D,3,FALSE),"")</f>
        <v>78</v>
      </c>
      <c r="H26" s="41">
        <f t="array" ref="H26">IFERROR(IF(E26="","",INDEX('MAPA DE PREÇOS'!H:H,0+MATCH(ABC!E26,'MAPA DE PREÇOS'!B:B,0))),"")</f>
        <v>0</v>
      </c>
      <c r="I26" t="str">
        <f>IF(E26="","",INDEX('MAPA DE PREÇOS'!H:H,MATCH(ABC!E26,'MAPA DE PREÇOS'!B:B,0)+1))</f>
        <v>Pá reta</v>
      </c>
      <c r="J26" s="41" t="str">
        <f>IFERROR(IF(E26="","",INDEX('MAPA DE PREÇOS'!M:M,3+MATCH(ABC!E26,'MAPA DE PREÇOS'!B:B,0))),"")</f>
        <v>UN</v>
      </c>
      <c r="K26" s="52">
        <f t="array" ref="K26">IFERROR(IF(E26="","",INDEX('MAPA DE PREÇOS'!M:M,2+MATCH(ABC!E26,'MAPA DE PREÇOS'!B:B,0))),"")</f>
        <v>12</v>
      </c>
      <c r="L26" s="53">
        <f t="array" ref="L26">IFERROR(IF(AND(E25&lt;&gt;"",E26=""),"TOTAL ESTIMADO",INDEX('MAPA DE PREÇOS'!M:M,0+MATCH(ABC!E26,'MAPA DE PREÇOS'!B:B,0))),"")</f>
        <v>44.75</v>
      </c>
      <c r="M26" s="54">
        <f>IFERROR(IF(AND(E25&lt;&gt;"",E26=""),SUM($M$5:M25),INDEX('MAPA DE PREÇOS'!M:M,19+MATCH(ABC!E26,'MAPA DE PREÇOS'!B:B,0))),"")</f>
        <v>537</v>
      </c>
      <c r="N26" s="90">
        <f t="shared" si="1"/>
        <v>1.5674772693903802E-2</v>
      </c>
      <c r="O26" s="90">
        <f t="shared" si="4"/>
        <v>0.60199650484677425</v>
      </c>
      <c r="P26" s="54" t="str">
        <f t="shared" si="3"/>
        <v>A</v>
      </c>
    </row>
    <row r="27" spans="2:16" x14ac:dyDescent="0.25">
      <c r="B27" s="41">
        <v>22</v>
      </c>
      <c r="C27" s="42">
        <f>IFERROR(INDEX('MAPA DE PREÇOS'!M:M,MATCH(B27,'MAPA DE PREÇOS'!B:B,0)+19)/(SUMPRODUCT(EDITAL!I:I,EDITAL!J:J)),"")</f>
        <v>2.0521692630258971E-2</v>
      </c>
      <c r="D27" s="42">
        <f t="shared" si="2"/>
        <v>2.0521692630258971E-2</v>
      </c>
      <c r="E27" s="41">
        <f t="shared" si="0"/>
        <v>24</v>
      </c>
      <c r="F27" s="41">
        <f>IFERROR(VLOOKUP($E27,'MAPA DE PREÇOS'!$B:$D,2,FALSE),"")</f>
        <v>1</v>
      </c>
      <c r="G27" s="41">
        <f>IFERROR(VLOOKUP($E27,'MAPA DE PREÇOS'!$B:$D,3,FALSE),"")</f>
        <v>24</v>
      </c>
      <c r="H27" s="41">
        <f t="array" ref="H27">IFERROR(IF(E27="","",INDEX('MAPA DE PREÇOS'!H:H,0+MATCH(ABC!E27,'MAPA DE PREÇOS'!B:B,0))),"")</f>
        <v>0</v>
      </c>
      <c r="I27" t="str">
        <f>IF(E27="","",INDEX('MAPA DE PREÇOS'!H:H,MATCH(ABC!E27,'MAPA DE PREÇOS'!B:B,0)+1))</f>
        <v>Alicate bomba d'água 12 polegadas</v>
      </c>
      <c r="J27" s="41" t="str">
        <f>IFERROR(IF(E27="","",INDEX('MAPA DE PREÇOS'!M:M,3+MATCH(ABC!E27,'MAPA DE PREÇOS'!B:B,0))),"")</f>
        <v>UN</v>
      </c>
      <c r="K27" s="52">
        <f t="array" ref="K27">IFERROR(IF(E27="","",INDEX('MAPA DE PREÇOS'!M:M,2+MATCH(ABC!E27,'MAPA DE PREÇOS'!B:B,0))),"")</f>
        <v>5</v>
      </c>
      <c r="L27" s="53">
        <f t="array" ref="L27">IFERROR(IF(AND(E26&lt;&gt;"",E27=""),"TOTAL ESTIMADO",INDEX('MAPA DE PREÇOS'!M:M,0+MATCH(ABC!E27,'MAPA DE PREÇOS'!B:B,0))),"")</f>
        <v>104.85</v>
      </c>
      <c r="M27" s="54">
        <f>IFERROR(IF(AND(E26&lt;&gt;"",E27=""),SUM($M$5:M26),INDEX('MAPA DE PREÇOS'!M:M,19+MATCH(ABC!E27,'MAPA DE PREÇOS'!B:B,0))),"")</f>
        <v>524.25</v>
      </c>
      <c r="N27" s="90">
        <f t="shared" si="1"/>
        <v>1.5302606303126758E-2</v>
      </c>
      <c r="O27" s="90">
        <f t="shared" si="4"/>
        <v>0.61729911114990099</v>
      </c>
      <c r="P27" s="54" t="str">
        <f t="shared" si="3"/>
        <v>A</v>
      </c>
    </row>
    <row r="28" spans="2:16" x14ac:dyDescent="0.25">
      <c r="B28" s="41">
        <v>23</v>
      </c>
      <c r="C28" s="42">
        <f>IFERROR(INDEX('MAPA DE PREÇOS'!M:M,MATCH(B28,'MAPA DE PREÇOS'!B:B,0)+19)/(SUMPRODUCT(EDITAL!I:I,EDITAL!J:J)),"")</f>
        <v>6.9030297846951784E-3</v>
      </c>
      <c r="D28" s="42">
        <f t="shared" si="2"/>
        <v>6.9030297846951784E-3</v>
      </c>
      <c r="E28" s="41">
        <f t="shared" si="0"/>
        <v>14</v>
      </c>
      <c r="F28" s="41">
        <f>IFERROR(VLOOKUP($E28,'MAPA DE PREÇOS'!$B:$D,2,FALSE),"")</f>
        <v>1</v>
      </c>
      <c r="G28" s="41">
        <f>IFERROR(VLOOKUP($E28,'MAPA DE PREÇOS'!$B:$D,3,FALSE),"")</f>
        <v>14</v>
      </c>
      <c r="H28" s="41">
        <f t="array" ref="H28">IFERROR(IF(E28="","",INDEX('MAPA DE PREÇOS'!H:H,0+MATCH(ABC!E28,'MAPA DE PREÇOS'!B:B,0))),"")</f>
        <v>0</v>
      </c>
      <c r="I28" t="str">
        <f>IF(E28="","",INDEX('MAPA DE PREÇOS'!H:H,MATCH(ABC!E28,'MAPA DE PREÇOS'!B:B,0)+1))</f>
        <v>Desempenadeira metálica</v>
      </c>
      <c r="J28" s="41" t="str">
        <f>IFERROR(IF(E28="","",INDEX('MAPA DE PREÇOS'!M:M,3+MATCH(ABC!E28,'MAPA DE PREÇOS'!B:B,0))),"")</f>
        <v>UN</v>
      </c>
      <c r="K28" s="52">
        <f t="array" ref="K28">IFERROR(IF(E28="","",INDEX('MAPA DE PREÇOS'!M:M,2+MATCH(ABC!E28,'MAPA DE PREÇOS'!B:B,0))),"")</f>
        <v>8</v>
      </c>
      <c r="L28" s="53">
        <f t="array" ref="L28">IFERROR(IF(AND(E27&lt;&gt;"",E28=""),"TOTAL ESTIMADO",INDEX('MAPA DE PREÇOS'!M:M,0+MATCH(ABC!E28,'MAPA DE PREÇOS'!B:B,0))),"")</f>
        <v>62.96</v>
      </c>
      <c r="M28" s="54">
        <f>IFERROR(IF(AND(E27&lt;&gt;"",E28=""),SUM($M$5:M27),INDEX('MAPA DE PREÇOS'!M:M,19+MATCH(ABC!E28,'MAPA DE PREÇOS'!B:B,0))),"")</f>
        <v>503.68</v>
      </c>
      <c r="N28" s="90">
        <f t="shared" si="1"/>
        <v>1.4702177859339791E-2</v>
      </c>
      <c r="O28" s="90">
        <f t="shared" si="4"/>
        <v>0.6320012890092408</v>
      </c>
      <c r="P28" s="54" t="str">
        <f t="shared" si="3"/>
        <v>A</v>
      </c>
    </row>
    <row r="29" spans="2:16" x14ac:dyDescent="0.25">
      <c r="B29" s="41">
        <v>24</v>
      </c>
      <c r="C29" s="42">
        <f>IFERROR(INDEX('MAPA DE PREÇOS'!M:M,MATCH(B29,'MAPA DE PREÇOS'!B:B,0)+19)/(SUMPRODUCT(EDITAL!I:I,EDITAL!J:J)),"")</f>
        <v>1.5302606303126758E-2</v>
      </c>
      <c r="D29" s="42">
        <f t="shared" si="2"/>
        <v>1.5302606303126758E-2</v>
      </c>
      <c r="E29" s="41">
        <f t="shared" si="0"/>
        <v>99</v>
      </c>
      <c r="F29" s="41">
        <f>IFERROR(VLOOKUP($E29,'MAPA DE PREÇOS'!$B:$D,2,FALSE),"")</f>
        <v>1</v>
      </c>
      <c r="G29" s="41">
        <f>IFERROR(VLOOKUP($E29,'MAPA DE PREÇOS'!$B:$D,3,FALSE),"")</f>
        <v>99</v>
      </c>
      <c r="H29" s="41">
        <f t="array" ref="H29">IFERROR(IF(E29="","",INDEX('MAPA DE PREÇOS'!H:H,0+MATCH(ABC!E29,'MAPA DE PREÇOS'!B:B,0))),"")</f>
        <v>0</v>
      </c>
      <c r="I29" t="str">
        <f>IF(E29="","",INDEX('MAPA DE PREÇOS'!H:H,MATCH(ABC!E29,'MAPA DE PREÇOS'!B:B,0)+1))</f>
        <v>Rastelo de aço com cabo</v>
      </c>
      <c r="J29" s="41" t="str">
        <f>IFERROR(IF(E29="","",INDEX('MAPA DE PREÇOS'!M:M,3+MATCH(ABC!E29,'MAPA DE PREÇOS'!B:B,0))),"")</f>
        <v>UN</v>
      </c>
      <c r="K29" s="52">
        <f t="array" ref="K29">IFERROR(IF(E29="","",INDEX('MAPA DE PREÇOS'!M:M,2+MATCH(ABC!E29,'MAPA DE PREÇOS'!B:B,0))),"")</f>
        <v>8</v>
      </c>
      <c r="L29" s="53">
        <f t="array" ref="L29">IFERROR(IF(AND(E28&lt;&gt;"",E29=""),"TOTAL ESTIMADO",INDEX('MAPA DE PREÇOS'!M:M,0+MATCH(ABC!E29,'MAPA DE PREÇOS'!B:B,0))),"")</f>
        <v>57.36</v>
      </c>
      <c r="M29" s="54">
        <f>IFERROR(IF(AND(E28&lt;&gt;"",E29=""),SUM($M$5:M28),INDEX('MAPA DE PREÇOS'!M:M,19+MATCH(ABC!E29,'MAPA DE PREÇOS'!B:B,0))),"")</f>
        <v>458.88</v>
      </c>
      <c r="N29" s="90">
        <f t="shared" si="1"/>
        <v>1.339448732547221E-2</v>
      </c>
      <c r="O29" s="90">
        <f t="shared" si="4"/>
        <v>0.64539577633471301</v>
      </c>
      <c r="P29" s="54" t="str">
        <f t="shared" si="3"/>
        <v>A</v>
      </c>
    </row>
    <row r="30" spans="2:16" x14ac:dyDescent="0.25">
      <c r="B30" s="41">
        <v>25</v>
      </c>
      <c r="C30" s="42">
        <f>IFERROR(INDEX('MAPA DE PREÇOS'!M:M,MATCH(B30,'MAPA DE PREÇOS'!B:B,0)+19)/(SUMPRODUCT(EDITAL!I:I,EDITAL!J:J)),"")</f>
        <v>1.6743109156840266E-2</v>
      </c>
      <c r="D30" s="42">
        <f t="shared" si="2"/>
        <v>1.6743109156840266E-2</v>
      </c>
      <c r="E30" s="41">
        <f t="shared" si="0"/>
        <v>55</v>
      </c>
      <c r="F30" s="41">
        <f>IFERROR(VLOOKUP($E30,'MAPA DE PREÇOS'!$B:$D,2,FALSE),"")</f>
        <v>1</v>
      </c>
      <c r="G30" s="41">
        <f>IFERROR(VLOOKUP($E30,'MAPA DE PREÇOS'!$B:$D,3,FALSE),"")</f>
        <v>55</v>
      </c>
      <c r="H30" s="41">
        <f t="array" ref="H30">IFERROR(IF(E30="","",INDEX('MAPA DE PREÇOS'!H:H,0+MATCH(ABC!E30,'MAPA DE PREÇOS'!B:B,0))),"")</f>
        <v>0</v>
      </c>
      <c r="I30" t="str">
        <f>IF(E30="","",INDEX('MAPA DE PREÇOS'!H:H,MATCH(ABC!E30,'MAPA DE PREÇOS'!B:B,0)+1))</f>
        <v xml:space="preserve">Detector eletrônico de vazamentos </v>
      </c>
      <c r="J30" s="41" t="str">
        <f>IFERROR(IF(E30="","",INDEX('MAPA DE PREÇOS'!M:M,3+MATCH(ABC!E30,'MAPA DE PREÇOS'!B:B,0))),"")</f>
        <v>UN</v>
      </c>
      <c r="K30" s="52">
        <f t="array" ref="K30">IFERROR(IF(E30="","",INDEX('MAPA DE PREÇOS'!M:M,2+MATCH(ABC!E30,'MAPA DE PREÇOS'!B:B,0))),"")</f>
        <v>1</v>
      </c>
      <c r="L30" s="53">
        <f t="array" ref="L30">IFERROR(IF(AND(E29&lt;&gt;"",E30=""),"TOTAL ESTIMADO",INDEX('MAPA DE PREÇOS'!M:M,0+MATCH(ABC!E30,'MAPA DE PREÇOS'!B:B,0))),"")</f>
        <v>438.47</v>
      </c>
      <c r="M30" s="54">
        <f>IFERROR(IF(AND(E29&lt;&gt;"",E30=""),SUM($M$5:M29),INDEX('MAPA DE PREÇOS'!M:M,19+MATCH(ABC!E30,'MAPA DE PREÇOS'!B:B,0))),"")</f>
        <v>438.47</v>
      </c>
      <c r="N30" s="90">
        <f t="shared" si="1"/>
        <v>1.2798729205020487E-2</v>
      </c>
      <c r="O30" s="90">
        <f t="shared" si="4"/>
        <v>0.65819450553973347</v>
      </c>
      <c r="P30" s="54" t="str">
        <f t="shared" si="3"/>
        <v>A</v>
      </c>
    </row>
    <row r="31" spans="2:16" x14ac:dyDescent="0.25">
      <c r="B31" s="41">
        <v>26</v>
      </c>
      <c r="C31" s="42">
        <f>IFERROR(INDEX('MAPA DE PREÇOS'!M:M,MATCH(B31,'MAPA DE PREÇOS'!B:B,0)+19)/(SUMPRODUCT(EDITAL!I:I,EDITAL!J:J)),"")</f>
        <v>7.8519811073745303E-3</v>
      </c>
      <c r="D31" s="42">
        <f t="shared" si="2"/>
        <v>7.8519811073745303E-3</v>
      </c>
      <c r="E31" s="41">
        <f t="shared" si="0"/>
        <v>76</v>
      </c>
      <c r="F31" s="41">
        <f>IFERROR(VLOOKUP($E31,'MAPA DE PREÇOS'!$B:$D,2,FALSE),"")</f>
        <v>1</v>
      </c>
      <c r="G31" s="41">
        <f>IFERROR(VLOOKUP($E31,'MAPA DE PREÇOS'!$B:$D,3,FALSE),"")</f>
        <v>76</v>
      </c>
      <c r="H31" s="41">
        <f t="array" ref="H31">IFERROR(IF(E31="","",INDEX('MAPA DE PREÇOS'!H:H,0+MATCH(ABC!E31,'MAPA DE PREÇOS'!B:B,0))),"")</f>
        <v>0</v>
      </c>
      <c r="I31" t="str">
        <f>IF(E31="","",INDEX('MAPA DE PREÇOS'!H:H,MATCH(ABC!E31,'MAPA DE PREÇOS'!B:B,0)+1))</f>
        <v>Picareta</v>
      </c>
      <c r="J31" s="41" t="str">
        <f>IFERROR(IF(E31="","",INDEX('MAPA DE PREÇOS'!M:M,3+MATCH(ABC!E31,'MAPA DE PREÇOS'!B:B,0))),"")</f>
        <v>UN</v>
      </c>
      <c r="K31" s="52">
        <f t="array" ref="K31">IFERROR(IF(E31="","",INDEX('MAPA DE PREÇOS'!M:M,2+MATCH(ABC!E31,'MAPA DE PREÇOS'!B:B,0))),"")</f>
        <v>4</v>
      </c>
      <c r="L31" s="53">
        <f t="array" ref="L31">IFERROR(IF(AND(E30&lt;&gt;"",E31=""),"TOTAL ESTIMADO",INDEX('MAPA DE PREÇOS'!M:M,0+MATCH(ABC!E31,'MAPA DE PREÇOS'!B:B,0))),"")</f>
        <v>106.85</v>
      </c>
      <c r="M31" s="54">
        <f>IFERROR(IF(AND(E30&lt;&gt;"",E31=""),SUM($M$5:M30),INDEX('MAPA DE PREÇOS'!M:M,19+MATCH(ABC!E31,'MAPA DE PREÇOS'!B:B,0))),"")</f>
        <v>427.4</v>
      </c>
      <c r="N31" s="90">
        <f t="shared" si="1"/>
        <v>1.2475601209263474E-2</v>
      </c>
      <c r="O31" s="90">
        <f t="shared" si="4"/>
        <v>0.67067010674899696</v>
      </c>
      <c r="P31" s="54" t="str">
        <f t="shared" si="3"/>
        <v>A</v>
      </c>
    </row>
    <row r="32" spans="2:16" x14ac:dyDescent="0.25">
      <c r="B32" s="41">
        <v>27</v>
      </c>
      <c r="C32" s="42">
        <f>IFERROR(INDEX('MAPA DE PREÇOS'!M:M,MATCH(B32,'MAPA DE PREÇOS'!B:B,0)+19)/(SUMPRODUCT(EDITAL!I:I,EDITAL!J:J)),"")</f>
        <v>5.0205975853844587E-3</v>
      </c>
      <c r="D32" s="42">
        <f t="shared" si="2"/>
        <v>5.0205975853844587E-3</v>
      </c>
      <c r="E32" s="41">
        <f t="shared" si="0"/>
        <v>79</v>
      </c>
      <c r="F32" s="41">
        <f>IFERROR(VLOOKUP($E32,'MAPA DE PREÇOS'!$B:$D,2,FALSE),"")</f>
        <v>1</v>
      </c>
      <c r="G32" s="41">
        <f>IFERROR(VLOOKUP($E32,'MAPA DE PREÇOS'!$B:$D,3,FALSE),"")</f>
        <v>79</v>
      </c>
      <c r="H32" s="41">
        <f t="array" ref="H32">IFERROR(IF(E32="","",INDEX('MAPA DE PREÇOS'!H:H,0+MATCH(ABC!E32,'MAPA DE PREÇOS'!B:B,0))),"")</f>
        <v>0</v>
      </c>
      <c r="I32" t="str">
        <f>IF(E32="","",INDEX('MAPA DE PREÇOS'!H:H,MATCH(ABC!E32,'MAPA DE PREÇOS'!B:B,0)+1))</f>
        <v>Pá de concha</v>
      </c>
      <c r="J32" s="41" t="str">
        <f>IFERROR(IF(E32="","",INDEX('MAPA DE PREÇOS'!M:M,3+MATCH(ABC!E32,'MAPA DE PREÇOS'!B:B,0))),"")</f>
        <v>UN</v>
      </c>
      <c r="K32" s="52">
        <f t="array" ref="K32">IFERROR(IF(E32="","",INDEX('MAPA DE PREÇOS'!M:M,2+MATCH(ABC!E32,'MAPA DE PREÇOS'!B:B,0))),"")</f>
        <v>12</v>
      </c>
      <c r="L32" s="53">
        <f t="array" ref="L32">IFERROR(IF(AND(E31&lt;&gt;"",E32=""),"TOTAL ESTIMADO",INDEX('MAPA DE PREÇOS'!M:M,0+MATCH(ABC!E32,'MAPA DE PREÇOS'!B:B,0))),"")</f>
        <v>33.26</v>
      </c>
      <c r="M32" s="54">
        <f>IFERROR(IF(AND(E31&lt;&gt;"",E32=""),SUM($M$5:M31),INDEX('MAPA DE PREÇOS'!M:M,19+MATCH(ABC!E32,'MAPA DE PREÇOS'!B:B,0))),"")</f>
        <v>399.12</v>
      </c>
      <c r="N32" s="90">
        <f t="shared" si="1"/>
        <v>1.1650121559759564E-2</v>
      </c>
      <c r="O32" s="90">
        <f t="shared" si="4"/>
        <v>0.68232022830875649</v>
      </c>
      <c r="P32" s="54" t="str">
        <f t="shared" si="3"/>
        <v>A</v>
      </c>
    </row>
    <row r="33" spans="2:16" x14ac:dyDescent="0.25">
      <c r="B33" s="41">
        <v>28</v>
      </c>
      <c r="C33" s="42">
        <f>IFERROR(INDEX('MAPA DE PREÇOS'!M:M,MATCH(B33,'MAPA DE PREÇOS'!B:B,0)+19)/(SUMPRODUCT(EDITAL!I:I,EDITAL!J:J)),"")</f>
        <v>2.8932653061820206E-3</v>
      </c>
      <c r="D33" s="42">
        <f t="shared" si="2"/>
        <v>2.8932653061820206E-3</v>
      </c>
      <c r="E33" s="41">
        <f t="shared" si="0"/>
        <v>37</v>
      </c>
      <c r="F33" s="41">
        <f>IFERROR(VLOOKUP($E33,'MAPA DE PREÇOS'!$B:$D,2,FALSE),"")</f>
        <v>1</v>
      </c>
      <c r="G33" s="41">
        <f>IFERROR(VLOOKUP($E33,'MAPA DE PREÇOS'!$B:$D,3,FALSE),"")</f>
        <v>37</v>
      </c>
      <c r="H33" s="41">
        <f t="array" ref="H33">IFERROR(IF(E33="","",INDEX('MAPA DE PREÇOS'!H:H,0+MATCH(ABC!E33,'MAPA DE PREÇOS'!B:B,0))),"")</f>
        <v>0</v>
      </c>
      <c r="I33" t="str">
        <f>IF(E33="","",INDEX('MAPA DE PREÇOS'!H:H,MATCH(ABC!E33,'MAPA DE PREÇOS'!B:B,0)+1))</f>
        <v>Alicate amperímetro</v>
      </c>
      <c r="J33" s="41" t="str">
        <f>IFERROR(IF(E33="","",INDEX('MAPA DE PREÇOS'!M:M,3+MATCH(ABC!E33,'MAPA DE PREÇOS'!B:B,0))),"")</f>
        <v>UN</v>
      </c>
      <c r="K33" s="52">
        <f t="array" ref="K33">IFERROR(IF(E33="","",INDEX('MAPA DE PREÇOS'!M:M,2+MATCH(ABC!E33,'MAPA DE PREÇOS'!B:B,0))),"")</f>
        <v>4</v>
      </c>
      <c r="L33" s="53">
        <f t="array" ref="L33">IFERROR(IF(AND(E32&lt;&gt;"",E33=""),"TOTAL ESTIMADO",INDEX('MAPA DE PREÇOS'!M:M,0+MATCH(ABC!E33,'MAPA DE PREÇOS'!B:B,0))),"")</f>
        <v>98.58</v>
      </c>
      <c r="M33" s="54">
        <f>IFERROR(IF(AND(E32&lt;&gt;"",E33=""),SUM($M$5:M32),INDEX('MAPA DE PREÇOS'!M:M,19+MATCH(ABC!E33,'MAPA DE PREÇOS'!B:B,0))),"")</f>
        <v>394.32</v>
      </c>
      <c r="N33" s="90">
        <f t="shared" si="1"/>
        <v>1.1510011859702324E-2</v>
      </c>
      <c r="O33" s="90">
        <f t="shared" si="4"/>
        <v>0.69383024016845884</v>
      </c>
      <c r="P33" s="54" t="str">
        <f t="shared" si="3"/>
        <v>A</v>
      </c>
    </row>
    <row r="34" spans="2:16" x14ac:dyDescent="0.25">
      <c r="B34" s="41">
        <v>29</v>
      </c>
      <c r="C34" s="42">
        <f>IFERROR(INDEX('MAPA DE PREÇOS'!M:M,MATCH(B34,'MAPA DE PREÇOS'!B:B,0)+19)/(SUMPRODUCT(EDITAL!I:I,EDITAL!J:J)),"")</f>
        <v>1.0174007490614843E-2</v>
      </c>
      <c r="D34" s="42">
        <f t="shared" si="2"/>
        <v>1.0174007490614843E-2</v>
      </c>
      <c r="E34" s="41">
        <f t="shared" si="0"/>
        <v>85</v>
      </c>
      <c r="F34" s="41">
        <f>IFERROR(VLOOKUP($E34,'MAPA DE PREÇOS'!$B:$D,2,FALSE),"")</f>
        <v>1</v>
      </c>
      <c r="G34" s="41">
        <f>IFERROR(VLOOKUP($E34,'MAPA DE PREÇOS'!$B:$D,3,FALSE),"")</f>
        <v>85</v>
      </c>
      <c r="H34" s="41">
        <f t="array" ref="H34">IFERROR(IF(E34="","",INDEX('MAPA DE PREÇOS'!H:H,0+MATCH(ABC!E34,'MAPA DE PREÇOS'!B:B,0))),"")</f>
        <v>0</v>
      </c>
      <c r="I34" t="str">
        <f>IF(E34="","",INDEX('MAPA DE PREÇOS'!H:H,MATCH(ABC!E34,'MAPA DE PREÇOS'!B:B,0)+1))</f>
        <v>Pé de cabra</v>
      </c>
      <c r="J34" s="41" t="str">
        <f>IFERROR(IF(E34="","",INDEX('MAPA DE PREÇOS'!M:M,3+MATCH(ABC!E34,'MAPA DE PREÇOS'!B:B,0))),"")</f>
        <v>UN</v>
      </c>
      <c r="K34" s="52">
        <f t="array" ref="K34">IFERROR(IF(E34="","",INDEX('MAPA DE PREÇOS'!M:M,2+MATCH(ABC!E34,'MAPA DE PREÇOS'!B:B,0))),"")</f>
        <v>4</v>
      </c>
      <c r="L34" s="53">
        <f t="array" ref="L34">IFERROR(IF(AND(E33&lt;&gt;"",E34=""),"TOTAL ESTIMADO",INDEX('MAPA DE PREÇOS'!M:M,0+MATCH(ABC!E34,'MAPA DE PREÇOS'!B:B,0))),"")</f>
        <v>94.94</v>
      </c>
      <c r="M34" s="54">
        <f>IFERROR(IF(AND(E33&lt;&gt;"",E34=""),SUM($M$5:M33),INDEX('MAPA DE PREÇOS'!M:M,19+MATCH(ABC!E34,'MAPA DE PREÇOS'!B:B,0))),"")</f>
        <v>379.76</v>
      </c>
      <c r="N34" s="90">
        <f t="shared" si="1"/>
        <v>1.1085012436195359E-2</v>
      </c>
      <c r="O34" s="90">
        <f t="shared" si="4"/>
        <v>0.70491525260465415</v>
      </c>
      <c r="P34" s="54" t="str">
        <f t="shared" si="3"/>
        <v>A</v>
      </c>
    </row>
    <row r="35" spans="2:16" x14ac:dyDescent="0.25">
      <c r="B35" s="41">
        <v>30</v>
      </c>
      <c r="C35" s="42">
        <f>IFERROR(INDEX('MAPA DE PREÇOS'!M:M,MATCH(B35,'MAPA DE PREÇOS'!B:B,0)+19)/(SUMPRODUCT(EDITAL!I:I,EDITAL!J:J)),"")</f>
        <v>2.4879979987664516E-2</v>
      </c>
      <c r="D35" s="42">
        <f t="shared" si="2"/>
        <v>2.4879979987664516E-2</v>
      </c>
      <c r="E35" s="41">
        <f t="shared" si="0"/>
        <v>69</v>
      </c>
      <c r="F35" s="41">
        <f>IFERROR(VLOOKUP($E35,'MAPA DE PREÇOS'!$B:$D,2,FALSE),"")</f>
        <v>1</v>
      </c>
      <c r="G35" s="41">
        <f>IFERROR(VLOOKUP($E35,'MAPA DE PREÇOS'!$B:$D,3,FALSE),"")</f>
        <v>69</v>
      </c>
      <c r="H35" s="41">
        <f t="array" ref="H35">IFERROR(IF(E35="","",INDEX('MAPA DE PREÇOS'!H:H,0+MATCH(ABC!E35,'MAPA DE PREÇOS'!B:B,0))),"")</f>
        <v>0</v>
      </c>
      <c r="I35" t="str">
        <f>IF(E35="","",INDEX('MAPA DE PREÇOS'!H:H,MATCH(ABC!E35,'MAPA DE PREÇOS'!B:B,0)+1))</f>
        <v>Martelo de pedreiro</v>
      </c>
      <c r="J35" s="41" t="str">
        <f>IFERROR(IF(E35="","",INDEX('MAPA DE PREÇOS'!M:M,3+MATCH(ABC!E35,'MAPA DE PREÇOS'!B:B,0))),"")</f>
        <v>UN</v>
      </c>
      <c r="K35" s="52">
        <f t="array" ref="K35">IFERROR(IF(E35="","",INDEX('MAPA DE PREÇOS'!M:M,2+MATCH(ABC!E35,'MAPA DE PREÇOS'!B:B,0))),"")</f>
        <v>4</v>
      </c>
      <c r="L35" s="53">
        <f t="array" ref="L35">IFERROR(IF(AND(E34&lt;&gt;"",E35=""),"TOTAL ESTIMADO",INDEX('MAPA DE PREÇOS'!M:M,0+MATCH(ABC!E35,'MAPA DE PREÇOS'!B:B,0))),"")</f>
        <v>94.24</v>
      </c>
      <c r="M35" s="54">
        <f>IFERROR(IF(AND(E34&lt;&gt;"",E35=""),SUM($M$5:M34),INDEX('MAPA DE PREÇOS'!M:M,19+MATCH(ABC!E35,'MAPA DE PREÇOS'!B:B,0))),"")</f>
        <v>376.96</v>
      </c>
      <c r="N35" s="90">
        <f t="shared" si="1"/>
        <v>1.1003281777828635E-2</v>
      </c>
      <c r="O35" s="90">
        <f t="shared" si="4"/>
        <v>0.71591853438248276</v>
      </c>
      <c r="P35" s="54" t="str">
        <f t="shared" si="3"/>
        <v>A</v>
      </c>
    </row>
    <row r="36" spans="2:16" x14ac:dyDescent="0.25">
      <c r="B36" s="41">
        <v>31</v>
      </c>
      <c r="C36" s="42">
        <f>IFERROR(INDEX('MAPA DE PREÇOS'!M:M,MATCH(B36,'MAPA DE PREÇOS'!B:B,0)+19)/(SUMPRODUCT(EDITAL!I:I,EDITAL!J:J)),"")</f>
        <v>3.844843685737447E-3</v>
      </c>
      <c r="D36" s="42">
        <f t="shared" si="2"/>
        <v>3.844843685737447E-3</v>
      </c>
      <c r="E36" s="41">
        <f t="shared" si="0"/>
        <v>83</v>
      </c>
      <c r="F36" s="41">
        <f>IFERROR(VLOOKUP($E36,'MAPA DE PREÇOS'!$B:$D,2,FALSE),"")</f>
        <v>1</v>
      </c>
      <c r="G36" s="41">
        <f>IFERROR(VLOOKUP($E36,'MAPA DE PREÇOS'!$B:$D,3,FALSE),"")</f>
        <v>83</v>
      </c>
      <c r="H36" s="41">
        <f t="array" ref="H36">IFERROR(IF(E36="","",INDEX('MAPA DE PREÇOS'!H:H,0+MATCH(ABC!E36,'MAPA DE PREÇOS'!B:B,0))),"")</f>
        <v>0</v>
      </c>
      <c r="I36" t="str">
        <f>IF(E36="","",INDEX('MAPA DE PREÇOS'!H:H,MATCH(ABC!E36,'MAPA DE PREÇOS'!B:B,0)+1))</f>
        <v>Serrote</v>
      </c>
      <c r="J36" s="41" t="str">
        <f>IFERROR(IF(E36="","",INDEX('MAPA DE PREÇOS'!M:M,3+MATCH(ABC!E36,'MAPA DE PREÇOS'!B:B,0))),"")</f>
        <v>UN</v>
      </c>
      <c r="K36" s="52">
        <f t="array" ref="K36">IFERROR(IF(E36="","",INDEX('MAPA DE PREÇOS'!M:M,2+MATCH(ABC!E36,'MAPA DE PREÇOS'!B:B,0))),"")</f>
        <v>6</v>
      </c>
      <c r="L36" s="53">
        <f t="array" ref="L36">IFERROR(IF(AND(E35&lt;&gt;"",E36=""),"TOTAL ESTIMADO",INDEX('MAPA DE PREÇOS'!M:M,0+MATCH(ABC!E36,'MAPA DE PREÇOS'!B:B,0))),"")</f>
        <v>59.63</v>
      </c>
      <c r="M36" s="54">
        <f>IFERROR(IF(AND(E35&lt;&gt;"",E36=""),SUM($M$5:M35),INDEX('MAPA DE PREÇOS'!M:M,19+MATCH(ABC!E36,'MAPA DE PREÇOS'!B:B,0))),"")</f>
        <v>357.78</v>
      </c>
      <c r="N36" s="90">
        <f t="shared" si="1"/>
        <v>1.0443426768016578E-2</v>
      </c>
      <c r="O36" s="90">
        <f t="shared" si="4"/>
        <v>0.72636196115049934</v>
      </c>
      <c r="P36" s="54" t="str">
        <f t="shared" si="3"/>
        <v>A</v>
      </c>
    </row>
    <row r="37" spans="2:16" x14ac:dyDescent="0.25">
      <c r="B37" s="41">
        <v>32</v>
      </c>
      <c r="C37" s="42">
        <f>IFERROR(INDEX('MAPA DE PREÇOS'!M:M,MATCH(B37,'MAPA DE PREÇOS'!B:B,0)+19)/(SUMPRODUCT(EDITAL!I:I,EDITAL!J:J)),"")</f>
        <v>1.6445376044218626E-2</v>
      </c>
      <c r="D37" s="42">
        <f t="shared" si="2"/>
        <v>1.6445376044218626E-2</v>
      </c>
      <c r="E37" s="41">
        <f t="shared" si="0"/>
        <v>29</v>
      </c>
      <c r="F37" s="41">
        <f>IFERROR(VLOOKUP($E37,'MAPA DE PREÇOS'!$B:$D,2,FALSE),"")</f>
        <v>1</v>
      </c>
      <c r="G37" s="41">
        <f>IFERROR(VLOOKUP($E37,'MAPA DE PREÇOS'!$B:$D,3,FALSE),"")</f>
        <v>29</v>
      </c>
      <c r="H37" s="41">
        <f t="array" ref="H37">IFERROR(IF(E37="","",INDEX('MAPA DE PREÇOS'!H:H,0+MATCH(ABC!E37,'MAPA DE PREÇOS'!B:B,0))),"")</f>
        <v>0</v>
      </c>
      <c r="I37" t="str">
        <f>IF(E37="","",INDEX('MAPA DE PREÇOS'!H:H,MATCH(ABC!E37,'MAPA DE PREÇOS'!B:B,0)+1))</f>
        <v>Jogo de chaves Torx 9 peças</v>
      </c>
      <c r="J37" s="41" t="str">
        <f>IFERROR(IF(E37="","",INDEX('MAPA DE PREÇOS'!M:M,3+MATCH(ABC!E37,'MAPA DE PREÇOS'!B:B,0))),"")</f>
        <v>UN</v>
      </c>
      <c r="K37" s="52">
        <f t="array" ref="K37">IFERROR(IF(E37="","",INDEX('MAPA DE PREÇOS'!M:M,2+MATCH(ABC!E37,'MAPA DE PREÇOS'!B:B,0))),"")</f>
        <v>5</v>
      </c>
      <c r="L37" s="53">
        <f t="array" ref="L37">IFERROR(IF(AND(E36&lt;&gt;"",E37=""),"TOTAL ESTIMADO",INDEX('MAPA DE PREÇOS'!M:M,0+MATCH(ABC!E37,'MAPA DE PREÇOS'!B:B,0))),"")</f>
        <v>69.709999999999994</v>
      </c>
      <c r="M37" s="54">
        <f>IFERROR(IF(AND(E36&lt;&gt;"",E37=""),SUM($M$5:M36),INDEX('MAPA DE PREÇOS'!M:M,19+MATCH(ABC!E37,'MAPA DE PREÇOS'!B:B,0))),"")</f>
        <v>348.55</v>
      </c>
      <c r="N37" s="90">
        <f t="shared" si="1"/>
        <v>1.0174007490614843E-2</v>
      </c>
      <c r="O37" s="90">
        <f t="shared" si="4"/>
        <v>0.73653596864111415</v>
      </c>
      <c r="P37" s="54" t="str">
        <f t="shared" si="3"/>
        <v>A</v>
      </c>
    </row>
    <row r="38" spans="2:16" x14ac:dyDescent="0.25">
      <c r="B38" s="41">
        <v>33</v>
      </c>
      <c r="C38" s="42">
        <f>IFERROR(INDEX('MAPA DE PREÇOS'!M:M,MATCH(B38,'MAPA DE PREÇOS'!B:B,0)+19)/(SUMPRODUCT(EDITAL!I:I,EDITAL!J:J)),"")</f>
        <v>5.5763660622781793E-3</v>
      </c>
      <c r="D38" s="42">
        <f t="shared" si="2"/>
        <v>5.5763660622781793E-3</v>
      </c>
      <c r="E38" s="41">
        <f t="shared" ref="E38:E69" si="5">IFERROR(INDEX(B:B,MATCH(LARGE(D:D,ROW()-5),D:D,0)),"")</f>
        <v>84</v>
      </c>
      <c r="F38" s="41">
        <f>IFERROR(VLOOKUP($E38,'MAPA DE PREÇOS'!$B:$D,2,FALSE),"")</f>
        <v>1</v>
      </c>
      <c r="G38" s="41">
        <f>IFERROR(VLOOKUP($E38,'MAPA DE PREÇOS'!$B:$D,3,FALSE),"")</f>
        <v>84</v>
      </c>
      <c r="H38" s="41">
        <f t="array" ref="H38">IFERROR(IF(E38="","",INDEX('MAPA DE PREÇOS'!H:H,0+MATCH(ABC!E38,'MAPA DE PREÇOS'!B:B,0))),"")</f>
        <v>0</v>
      </c>
      <c r="I38" t="str">
        <f>IF(E38="","",INDEX('MAPA DE PREÇOS'!H:H,MATCH(ABC!E38,'MAPA DE PREÇOS'!B:B,0)+1))</f>
        <v>Serra japonesa</v>
      </c>
      <c r="J38" s="41" t="str">
        <f>IFERROR(IF(E38="","",INDEX('MAPA DE PREÇOS'!M:M,3+MATCH(ABC!E38,'MAPA DE PREÇOS'!B:B,0))),"")</f>
        <v>UN</v>
      </c>
      <c r="K38" s="52">
        <f t="array" ref="K38">IFERROR(IF(E38="","",INDEX('MAPA DE PREÇOS'!M:M,2+MATCH(ABC!E38,'MAPA DE PREÇOS'!B:B,0))),"")</f>
        <v>4</v>
      </c>
      <c r="L38" s="53">
        <f t="array" ref="L38">IFERROR(IF(AND(E37&lt;&gt;"",E38=""),"TOTAL ESTIMADO",INDEX('MAPA DE PREÇOS'!M:M,0+MATCH(ABC!E38,'MAPA DE PREÇOS'!B:B,0))),"")</f>
        <v>85.55</v>
      </c>
      <c r="M38" s="54">
        <f>IFERROR(IF(AND(E37&lt;&gt;"",E38=""),SUM($M$5:M37),INDEX('MAPA DE PREÇOS'!M:M,19+MATCH(ABC!E38,'MAPA DE PREÇOS'!B:B,0))),"")</f>
        <v>342.2</v>
      </c>
      <c r="N38" s="90">
        <f t="shared" ref="N38:N69" si="6">IFERROR(VLOOKUP(E38,$B:$C,2),"")</f>
        <v>9.9886540332474513E-3</v>
      </c>
      <c r="O38" s="90">
        <f t="shared" si="4"/>
        <v>0.74652462267436159</v>
      </c>
      <c r="P38" s="54" t="str">
        <f t="shared" si="3"/>
        <v>A</v>
      </c>
    </row>
    <row r="39" spans="2:16" x14ac:dyDescent="0.25">
      <c r="B39" s="41">
        <v>34</v>
      </c>
      <c r="C39" s="42">
        <f>IFERROR(INDEX('MAPA DE PREÇOS'!M:M,MATCH(B39,'MAPA DE PREÇOS'!B:B,0)+19)/(SUMPRODUCT(EDITAL!I:I,EDITAL!J:J)),"")</f>
        <v>1.8800970376430986E-3</v>
      </c>
      <c r="D39" s="42">
        <f t="shared" si="2"/>
        <v>1.8800970376430986E-3</v>
      </c>
      <c r="E39" s="41">
        <f t="shared" si="5"/>
        <v>19</v>
      </c>
      <c r="F39" s="41">
        <f>IFERROR(VLOOKUP($E39,'MAPA DE PREÇOS'!$B:$D,2,FALSE),"")</f>
        <v>1</v>
      </c>
      <c r="G39" s="41">
        <f>IFERROR(VLOOKUP($E39,'MAPA DE PREÇOS'!$B:$D,3,FALSE),"")</f>
        <v>19</v>
      </c>
      <c r="H39" s="41">
        <f t="array" ref="H39">IFERROR(IF(E39="","",INDEX('MAPA DE PREÇOS'!H:H,0+MATCH(ABC!E39,'MAPA DE PREÇOS'!B:B,0))),"")</f>
        <v>0</v>
      </c>
      <c r="I39" t="str">
        <f>IF(E39="","",INDEX('MAPA DE PREÇOS'!H:H,MATCH(ABC!E39,'MAPA DE PREÇOS'!B:B,0)+1))</f>
        <v>Alicate universal</v>
      </c>
      <c r="J39" s="41" t="str">
        <f>IFERROR(IF(E39="","",INDEX('MAPA DE PREÇOS'!M:M,3+MATCH(ABC!E39,'MAPA DE PREÇOS'!B:B,0))),"")</f>
        <v>UN</v>
      </c>
      <c r="K39" s="52">
        <f t="array" ref="K39">IFERROR(IF(E39="","",INDEX('MAPA DE PREÇOS'!M:M,2+MATCH(ABC!E39,'MAPA DE PREÇOS'!B:B,0))),"")</f>
        <v>10</v>
      </c>
      <c r="L39" s="53">
        <f t="array" ref="L39">IFERROR(IF(AND(E38&lt;&gt;"",E39=""),"TOTAL ESTIMADO",INDEX('MAPA DE PREÇOS'!M:M,0+MATCH(ABC!E39,'MAPA DE PREÇOS'!B:B,0))),"")</f>
        <v>33.229999999999997</v>
      </c>
      <c r="M39" s="54">
        <f>IFERROR(IF(AND(E38&lt;&gt;"",E39=""),SUM($M$5:M38),INDEX('MAPA DE PREÇOS'!M:M,19+MATCH(ABC!E39,'MAPA DE PREÇOS'!B:B,0))),"")</f>
        <v>332.3</v>
      </c>
      <c r="N39" s="90">
        <f t="shared" si="6"/>
        <v>9.6996777768793927E-3</v>
      </c>
      <c r="O39" s="90">
        <f t="shared" si="4"/>
        <v>0.756224300451241</v>
      </c>
      <c r="P39" s="54" t="str">
        <f t="shared" si="3"/>
        <v>A</v>
      </c>
    </row>
    <row r="40" spans="2:16" x14ac:dyDescent="0.25">
      <c r="B40" s="41">
        <v>35</v>
      </c>
      <c r="C40" s="42">
        <f>IFERROR(INDEX('MAPA DE PREÇOS'!M:M,MATCH(B40,'MAPA DE PREÇOS'!B:B,0)+19)/(SUMPRODUCT(EDITAL!I:I,EDITAL!J:J)),"")</f>
        <v>2.9291684168216881E-3</v>
      </c>
      <c r="D40" s="42">
        <f t="shared" si="2"/>
        <v>2.9291684168216881E-3</v>
      </c>
      <c r="E40" s="41">
        <f t="shared" si="5"/>
        <v>20</v>
      </c>
      <c r="F40" s="41">
        <f>IFERROR(VLOOKUP($E40,'MAPA DE PREÇOS'!$B:$D,2,FALSE),"")</f>
        <v>1</v>
      </c>
      <c r="G40" s="41">
        <f>IFERROR(VLOOKUP($E40,'MAPA DE PREÇOS'!$B:$D,3,FALSE),"")</f>
        <v>20</v>
      </c>
      <c r="H40" s="41">
        <f t="array" ref="H40">IFERROR(IF(E40="","",INDEX('MAPA DE PREÇOS'!H:H,0+MATCH(ABC!E40,'MAPA DE PREÇOS'!B:B,0))),"")</f>
        <v>0</v>
      </c>
      <c r="I40" t="str">
        <f>IF(E40="","",INDEX('MAPA DE PREÇOS'!H:H,MATCH(ABC!E40,'MAPA DE PREÇOS'!B:B,0)+1))</f>
        <v>Alicate de corte</v>
      </c>
      <c r="J40" s="41" t="str">
        <f>IFERROR(IF(E40="","",INDEX('MAPA DE PREÇOS'!M:M,3+MATCH(ABC!E40,'MAPA DE PREÇOS'!B:B,0))),"")</f>
        <v>UN</v>
      </c>
      <c r="K40" s="52">
        <f t="array" ref="K40">IFERROR(IF(E40="","",INDEX('MAPA DE PREÇOS'!M:M,2+MATCH(ABC!E40,'MAPA DE PREÇOS'!B:B,0))),"")</f>
        <v>7</v>
      </c>
      <c r="L40" s="53">
        <f t="array" ref="L40">IFERROR(IF(AND(E39&lt;&gt;"",E40=""),"TOTAL ESTIMADO",INDEX('MAPA DE PREÇOS'!M:M,0+MATCH(ABC!E40,'MAPA DE PREÇOS'!B:B,0))),"")</f>
        <v>44.08</v>
      </c>
      <c r="M40" s="54">
        <f>IFERROR(IF(AND(E39&lt;&gt;"",E40=""),SUM($M$5:M39),INDEX('MAPA DE PREÇOS'!M:M,19+MATCH(ABC!E40,'MAPA DE PREÇOS'!B:B,0))),"")</f>
        <v>308.56</v>
      </c>
      <c r="N40" s="90">
        <f t="shared" si="6"/>
        <v>9.0067185520129565E-3</v>
      </c>
      <c r="O40" s="90">
        <f t="shared" si="4"/>
        <v>0.76523101900325396</v>
      </c>
      <c r="P40" s="54" t="str">
        <f t="shared" si="3"/>
        <v>A</v>
      </c>
    </row>
    <row r="41" spans="2:16" x14ac:dyDescent="0.25">
      <c r="B41" s="41">
        <v>36</v>
      </c>
      <c r="C41" s="42">
        <f>IFERROR(INDEX('MAPA DE PREÇOS'!M:M,MATCH(B41,'MAPA DE PREÇOS'!B:B,0)+19)/(SUMPRODUCT(EDITAL!I:I,EDITAL!J:J)),"")</f>
        <v>1.6611172522619698E-2</v>
      </c>
      <c r="D41" s="42">
        <f t="shared" si="2"/>
        <v>1.6611172522619698E-2</v>
      </c>
      <c r="E41" s="41">
        <f t="shared" si="5"/>
        <v>2</v>
      </c>
      <c r="F41" s="41">
        <f>IFERROR(VLOOKUP($E41,'MAPA DE PREÇOS'!$B:$D,2,FALSE),"")</f>
        <v>1</v>
      </c>
      <c r="G41" s="41">
        <f>IFERROR(VLOOKUP($E41,'MAPA DE PREÇOS'!$B:$D,3,FALSE),"")</f>
        <v>2</v>
      </c>
      <c r="H41" s="41">
        <f t="array" ref="H41">IFERROR(IF(E41="","",INDEX('MAPA DE PREÇOS'!H:H,0+MATCH(ABC!E41,'MAPA DE PREÇOS'!B:B,0))),"")</f>
        <v>0</v>
      </c>
      <c r="I41" t="str">
        <f>IF(E41="","",INDEX('MAPA DE PREÇOS'!H:H,MATCH(ABC!E41,'MAPA DE PREÇOS'!B:B,0)+1))</f>
        <v>Protetor auricular tipo plug</v>
      </c>
      <c r="J41" s="41" t="str">
        <f>IFERROR(IF(E41="","",INDEX('MAPA DE PREÇOS'!M:M,3+MATCH(ABC!E41,'MAPA DE PREÇOS'!B:B,0))),"")</f>
        <v>UN</v>
      </c>
      <c r="K41" s="52">
        <f t="array" ref="K41">IFERROR(IF(E41="","",INDEX('MAPA DE PREÇOS'!M:M,2+MATCH(ABC!E41,'MAPA DE PREÇOS'!B:B,0))),"")</f>
        <v>184</v>
      </c>
      <c r="L41" s="53">
        <f t="array" ref="L41">IFERROR(IF(AND(E40&lt;&gt;"",E41=""),"TOTAL ESTIMADO",INDEX('MAPA DE PREÇOS'!M:M,0+MATCH(ABC!E41,'MAPA DE PREÇOS'!B:B,0))),"")</f>
        <v>1.51</v>
      </c>
      <c r="M41" s="54">
        <f>IFERROR(IF(AND(E40&lt;&gt;"",E41=""),SUM($M$5:M40),INDEX('MAPA DE PREÇOS'!M:M,19+MATCH(ABC!E41,'MAPA DE PREÇOS'!B:B,0))),"")</f>
        <v>277.83999999999997</v>
      </c>
      <c r="N41" s="90">
        <f t="shared" si="6"/>
        <v>8.1100164716466153E-3</v>
      </c>
      <c r="O41" s="90">
        <f t="shared" si="4"/>
        <v>0.77334103547490063</v>
      </c>
      <c r="P41" s="54" t="str">
        <f t="shared" si="3"/>
        <v>A</v>
      </c>
    </row>
    <row r="42" spans="2:16" x14ac:dyDescent="0.25">
      <c r="B42" s="41">
        <v>37</v>
      </c>
      <c r="C42" s="42">
        <f>IFERROR(INDEX('MAPA DE PREÇOS'!M:M,MATCH(B42,'MAPA DE PREÇOS'!B:B,0)+19)/(SUMPRODUCT(EDITAL!I:I,EDITAL!J:J)),"")</f>
        <v>1.1510011859702324E-2</v>
      </c>
      <c r="D42" s="42">
        <f t="shared" si="2"/>
        <v>1.1510011859702324E-2</v>
      </c>
      <c r="E42" s="41">
        <f t="shared" si="5"/>
        <v>41</v>
      </c>
      <c r="F42" s="41">
        <f>IFERROR(VLOOKUP($E42,'MAPA DE PREÇOS'!$B:$D,2,FALSE),"")</f>
        <v>1</v>
      </c>
      <c r="G42" s="41">
        <f>IFERROR(VLOOKUP($E42,'MAPA DE PREÇOS'!$B:$D,3,FALSE),"")</f>
        <v>41</v>
      </c>
      <c r="H42" s="41">
        <f t="array" ref="H42">IFERROR(IF(E42="","",INDEX('MAPA DE PREÇOS'!H:H,0+MATCH(ABC!E42,'MAPA DE PREÇOS'!B:B,0))),"")</f>
        <v>0</v>
      </c>
      <c r="I42" t="str">
        <f>IF(E42="","",INDEX('MAPA DE PREÇOS'!H:H,MATCH(ABC!E42,'MAPA DE PREÇOS'!B:B,0)+1))</f>
        <v>Jogo de chaves fixas 8 peças</v>
      </c>
      <c r="J42" s="41" t="str">
        <f>IFERROR(IF(E42="","",INDEX('MAPA DE PREÇOS'!M:M,3+MATCH(ABC!E42,'MAPA DE PREÇOS'!B:B,0))),"")</f>
        <v>UN</v>
      </c>
      <c r="K42" s="52">
        <f t="array" ref="K42">IFERROR(IF(E42="","",INDEX('MAPA DE PREÇOS'!M:M,2+MATCH(ABC!E42,'MAPA DE PREÇOS'!B:B,0))),"")</f>
        <v>2</v>
      </c>
      <c r="L42" s="53">
        <f t="array" ref="L42">IFERROR(IF(AND(E41&lt;&gt;"",E42=""),"TOTAL ESTIMADO",INDEX('MAPA DE PREÇOS'!M:M,0+MATCH(ABC!E42,'MAPA DE PREÇOS'!B:B,0))),"")</f>
        <v>134.80000000000001</v>
      </c>
      <c r="M42" s="54">
        <f>IFERROR(IF(AND(E41&lt;&gt;"",E42=""),SUM($M$5:M41),INDEX('MAPA DE PREÇOS'!M:M,19+MATCH(ABC!E42,'MAPA DE PREÇOS'!B:B,0))),"")</f>
        <v>269.60000000000002</v>
      </c>
      <c r="N42" s="90">
        <f t="shared" si="6"/>
        <v>7.8694948198816863E-3</v>
      </c>
      <c r="O42" s="90">
        <f t="shared" si="4"/>
        <v>0.78121053029478227</v>
      </c>
      <c r="P42" s="54" t="str">
        <f t="shared" si="3"/>
        <v>A</v>
      </c>
    </row>
    <row r="43" spans="2:16" x14ac:dyDescent="0.25">
      <c r="B43" s="41">
        <v>38</v>
      </c>
      <c r="C43" s="42">
        <f>IFERROR(INDEX('MAPA DE PREÇOS'!M:M,MATCH(B43,'MAPA DE PREÇOS'!B:B,0)+19)/(SUMPRODUCT(EDITAL!I:I,EDITAL!J:J)),"")</f>
        <v>4.2120478579707986E-3</v>
      </c>
      <c r="D43" s="42">
        <f t="shared" si="2"/>
        <v>4.2120478579707986E-3</v>
      </c>
      <c r="E43" s="41">
        <f t="shared" si="5"/>
        <v>26</v>
      </c>
      <c r="F43" s="41">
        <f>IFERROR(VLOOKUP($E43,'MAPA DE PREÇOS'!$B:$D,2,FALSE),"")</f>
        <v>1</v>
      </c>
      <c r="G43" s="41">
        <f>IFERROR(VLOOKUP($E43,'MAPA DE PREÇOS'!$B:$D,3,FALSE),"")</f>
        <v>26</v>
      </c>
      <c r="H43" s="41">
        <f t="array" ref="H43">IFERROR(IF(E43="","",INDEX('MAPA DE PREÇOS'!H:H,0+MATCH(ABC!E43,'MAPA DE PREÇOS'!B:B,0))),"")</f>
        <v>0</v>
      </c>
      <c r="I43" t="str">
        <f>IF(E43="","",INDEX('MAPA DE PREÇOS'!H:H,MATCH(ABC!E43,'MAPA DE PREÇOS'!B:B,0)+1))</f>
        <v xml:space="preserve">Kit chave philips isolada 5 peças </v>
      </c>
      <c r="J43" s="41" t="str">
        <f>IFERROR(IF(E43="","",INDEX('MAPA DE PREÇOS'!M:M,3+MATCH(ABC!E43,'MAPA DE PREÇOS'!B:B,0))),"")</f>
        <v>UN</v>
      </c>
      <c r="K43" s="52">
        <f t="array" ref="K43">IFERROR(IF(E43="","",INDEX('MAPA DE PREÇOS'!M:M,2+MATCH(ABC!E43,'MAPA DE PREÇOS'!B:B,0))),"")</f>
        <v>5</v>
      </c>
      <c r="L43" s="53">
        <f t="array" ref="L43">IFERROR(IF(AND(E42&lt;&gt;"",E43=""),"TOTAL ESTIMADO",INDEX('MAPA DE PREÇOS'!M:M,0+MATCH(ABC!E43,'MAPA DE PREÇOS'!B:B,0))),"")</f>
        <v>53.8</v>
      </c>
      <c r="M43" s="54">
        <f>IFERROR(IF(AND(E42&lt;&gt;"",E43=""),SUM($M$5:M42),INDEX('MAPA DE PREÇOS'!M:M,19+MATCH(ABC!E43,'MAPA DE PREÇOS'!B:B,0))),"")</f>
        <v>269</v>
      </c>
      <c r="N43" s="90">
        <f t="shared" si="6"/>
        <v>7.8519811073745303E-3</v>
      </c>
      <c r="O43" s="90">
        <f t="shared" si="4"/>
        <v>0.78906251140215677</v>
      </c>
      <c r="P43" s="54" t="str">
        <f t="shared" si="3"/>
        <v>A</v>
      </c>
    </row>
    <row r="44" spans="2:16" x14ac:dyDescent="0.25">
      <c r="B44" s="41">
        <v>39</v>
      </c>
      <c r="C44" s="42">
        <f>IFERROR(INDEX('MAPA DE PREÇOS'!M:M,MATCH(B44,'MAPA DE PREÇOS'!B:B,0)+19)/(SUMPRODUCT(EDITAL!I:I,EDITAL!J:J)),"")</f>
        <v>2.8955420888079505E-2</v>
      </c>
      <c r="D44" s="42">
        <f t="shared" si="2"/>
        <v>2.8955420888079505E-2</v>
      </c>
      <c r="E44" s="41">
        <f t="shared" si="5"/>
        <v>100</v>
      </c>
      <c r="F44" s="41">
        <f>IFERROR(VLOOKUP($E44,'MAPA DE PREÇOS'!$B:$D,2,FALSE),"")</f>
        <v>1</v>
      </c>
      <c r="G44" s="41">
        <f>IFERROR(VLOOKUP($E44,'MAPA DE PREÇOS'!$B:$D,3,FALSE),"")</f>
        <v>100</v>
      </c>
      <c r="H44" s="41">
        <f t="array" ref="H44">IFERROR(IF(E44="","",INDEX('MAPA DE PREÇOS'!H:H,0+MATCH(ABC!E44,'MAPA DE PREÇOS'!B:B,0))),"")</f>
        <v>0</v>
      </c>
      <c r="I44" t="str">
        <f>IF(E44="","",INDEX('MAPA DE PREÇOS'!H:H,MATCH(ABC!E44,'MAPA DE PREÇOS'!B:B,0)+1))</f>
        <v>Tesoura de poda</v>
      </c>
      <c r="J44" s="41" t="str">
        <f>IFERROR(IF(E44="","",INDEX('MAPA DE PREÇOS'!M:M,3+MATCH(ABC!E44,'MAPA DE PREÇOS'!B:B,0))),"")</f>
        <v>UN</v>
      </c>
      <c r="K44" s="52">
        <f t="array" ref="K44">IFERROR(IF(E44="","",INDEX('MAPA DE PREÇOS'!M:M,2+MATCH(ABC!E44,'MAPA DE PREÇOS'!B:B,0))),"")</f>
        <v>8</v>
      </c>
      <c r="L44" s="53">
        <f t="array" ref="L44">IFERROR(IF(AND(E43&lt;&gt;"",E44=""),"TOTAL ESTIMADO",INDEX('MAPA DE PREÇOS'!M:M,0+MATCH(ABC!E44,'MAPA DE PREÇOS'!B:B,0))),"")</f>
        <v>33.14</v>
      </c>
      <c r="M44" s="54">
        <f>IFERROR(IF(AND(E43&lt;&gt;"",E44=""),SUM($M$5:M43),INDEX('MAPA DE PREÇOS'!M:M,19+MATCH(ABC!E44,'MAPA DE PREÇOS'!B:B,0))),"")</f>
        <v>265.12</v>
      </c>
      <c r="N44" s="90">
        <f t="shared" si="6"/>
        <v>7.7387257664949284E-3</v>
      </c>
      <c r="O44" s="90">
        <f t="shared" si="4"/>
        <v>0.7968012371686517</v>
      </c>
      <c r="P44" s="54" t="str">
        <f t="shared" si="3"/>
        <v>A</v>
      </c>
    </row>
    <row r="45" spans="2:16" x14ac:dyDescent="0.25">
      <c r="B45" s="41">
        <v>40</v>
      </c>
      <c r="C45" s="42">
        <f>IFERROR(INDEX('MAPA DE PREÇOS'!M:M,MATCH(B45,'MAPA DE PREÇOS'!B:B,0)+19)/(SUMPRODUCT(EDITAL!I:I,EDITAL!J:J)),"")</f>
        <v>3.5610631640798439E-2</v>
      </c>
      <c r="D45" s="42">
        <f t="shared" si="2"/>
        <v>3.5610631640798439E-2</v>
      </c>
      <c r="E45" s="41">
        <f t="shared" si="5"/>
        <v>68</v>
      </c>
      <c r="F45" s="41">
        <f>IFERROR(VLOOKUP($E45,'MAPA DE PREÇOS'!$B:$D,2,FALSE),"")</f>
        <v>1</v>
      </c>
      <c r="G45" s="41">
        <f>IFERROR(VLOOKUP($E45,'MAPA DE PREÇOS'!$B:$D,3,FALSE),"")</f>
        <v>68</v>
      </c>
      <c r="H45" s="41">
        <f t="array" ref="H45">IFERROR(IF(E45="","",INDEX('MAPA DE PREÇOS'!H:H,0+MATCH(ABC!E45,'MAPA DE PREÇOS'!B:B,0))),"")</f>
        <v>0</v>
      </c>
      <c r="I45" t="str">
        <f>IF(E45="","",INDEX('MAPA DE PREÇOS'!H:H,MATCH(ABC!E45,'MAPA DE PREÇOS'!B:B,0)+1))</f>
        <v>Régua 2 m</v>
      </c>
      <c r="J45" s="41" t="str">
        <f>IFERROR(IF(E45="","",INDEX('MAPA DE PREÇOS'!M:M,3+MATCH(ABC!E45,'MAPA DE PREÇOS'!B:B,0))),"")</f>
        <v>UN</v>
      </c>
      <c r="K45" s="52">
        <f t="array" ref="K45">IFERROR(IF(E45="","",INDEX('MAPA DE PREÇOS'!M:M,2+MATCH(ABC!E45,'MAPA DE PREÇOS'!B:B,0))),"")</f>
        <v>4</v>
      </c>
      <c r="L45" s="53">
        <f t="array" ref="L45">IFERROR(IF(AND(E44&lt;&gt;"",E45=""),"TOTAL ESTIMADO",INDEX('MAPA DE PREÇOS'!M:M,0+MATCH(ABC!E45,'MAPA DE PREÇOS'!B:B,0))),"")</f>
        <v>63.27</v>
      </c>
      <c r="M45" s="54">
        <f>IFERROR(IF(AND(E44&lt;&gt;"",E45=""),SUM($M$5:M44),INDEX('MAPA DE PREÇOS'!M:M,19+MATCH(ABC!E45,'MAPA DE PREÇOS'!B:B,0))),"")</f>
        <v>253.08</v>
      </c>
      <c r="N45" s="90">
        <f t="shared" si="6"/>
        <v>7.387283935518016E-3</v>
      </c>
      <c r="O45" s="90">
        <f t="shared" si="4"/>
        <v>0.80418852110416972</v>
      </c>
      <c r="P45" s="54" t="str">
        <f t="shared" si="3"/>
        <v>B</v>
      </c>
    </row>
    <row r="46" spans="2:16" x14ac:dyDescent="0.25">
      <c r="B46" s="41">
        <v>41</v>
      </c>
      <c r="C46" s="42">
        <f>IFERROR(INDEX('MAPA DE PREÇOS'!M:M,MATCH(B46,'MAPA DE PREÇOS'!B:B,0)+19)/(SUMPRODUCT(EDITAL!I:I,EDITAL!J:J)),"")</f>
        <v>7.8694948198816863E-3</v>
      </c>
      <c r="D46" s="42">
        <f t="shared" si="2"/>
        <v>7.8694948198816863E-3</v>
      </c>
      <c r="E46" s="41">
        <f t="shared" si="5"/>
        <v>87</v>
      </c>
      <c r="F46" s="41">
        <f>IFERROR(VLOOKUP($E46,'MAPA DE PREÇOS'!$B:$D,2,FALSE),"")</f>
        <v>1</v>
      </c>
      <c r="G46" s="41">
        <f>IFERROR(VLOOKUP($E46,'MAPA DE PREÇOS'!$B:$D,3,FALSE),"")</f>
        <v>87</v>
      </c>
      <c r="H46" s="41">
        <f t="array" ref="H46">IFERROR(IF(E46="","",INDEX('MAPA DE PREÇOS'!H:H,0+MATCH(ABC!E46,'MAPA DE PREÇOS'!B:B,0))),"")</f>
        <v>0</v>
      </c>
      <c r="I46" t="str">
        <f>IF(E46="","",INDEX('MAPA DE PREÇOS'!H:H,MATCH(ABC!E46,'MAPA DE PREÇOS'!B:B,0)+1))</f>
        <v>Grampo rápico</v>
      </c>
      <c r="J46" s="41" t="str">
        <f>IFERROR(IF(E46="","",INDEX('MAPA DE PREÇOS'!M:M,3+MATCH(ABC!E46,'MAPA DE PREÇOS'!B:B,0))),"")</f>
        <v>UN</v>
      </c>
      <c r="K46" s="52">
        <f t="array" ref="K46">IFERROR(IF(E46="","",INDEX('MAPA DE PREÇOS'!M:M,2+MATCH(ABC!E46,'MAPA DE PREÇOS'!B:B,0))),"")</f>
        <v>6</v>
      </c>
      <c r="L46" s="53">
        <f t="array" ref="L46">IFERROR(IF(AND(E45&lt;&gt;"",E46=""),"TOTAL ESTIMADO",INDEX('MAPA DE PREÇOS'!M:M,0+MATCH(ABC!E46,'MAPA DE PREÇOS'!B:B,0))),"")</f>
        <v>40.64</v>
      </c>
      <c r="M46" s="54">
        <f>IFERROR(IF(AND(E45&lt;&gt;"",E46=""),SUM($M$5:M45),INDEX('MAPA DE PREÇOS'!M:M,19+MATCH(ABC!E46,'MAPA DE PREÇOS'!B:B,0))),"")</f>
        <v>243.84</v>
      </c>
      <c r="N46" s="90">
        <f t="shared" si="6"/>
        <v>7.117572762907828E-3</v>
      </c>
      <c r="O46" s="90">
        <f t="shared" si="4"/>
        <v>0.81130609386707753</v>
      </c>
      <c r="P46" s="54" t="str">
        <f t="shared" si="3"/>
        <v>B</v>
      </c>
    </row>
    <row r="47" spans="2:16" x14ac:dyDescent="0.25">
      <c r="B47" s="41">
        <v>42</v>
      </c>
      <c r="C47" s="42">
        <f>IFERROR(INDEX('MAPA DE PREÇOS'!M:M,MATCH(B47,'MAPA DE PREÇOS'!B:B,0)+19)/(SUMPRODUCT(EDITAL!I:I,EDITAL!J:J)),"")</f>
        <v>6.5302796035012272E-3</v>
      </c>
      <c r="D47" s="42">
        <f t="shared" si="2"/>
        <v>6.5302796035012272E-3</v>
      </c>
      <c r="E47" s="41">
        <f t="shared" si="5"/>
        <v>23</v>
      </c>
      <c r="F47" s="41">
        <f>IFERROR(VLOOKUP($E47,'MAPA DE PREÇOS'!$B:$D,2,FALSE),"")</f>
        <v>1</v>
      </c>
      <c r="G47" s="41">
        <f>IFERROR(VLOOKUP($E47,'MAPA DE PREÇOS'!$B:$D,3,FALSE),"")</f>
        <v>23</v>
      </c>
      <c r="H47" s="41">
        <f t="array" ref="H47">IFERROR(IF(E47="","",INDEX('MAPA DE PREÇOS'!H:H,0+MATCH(ABC!E47,'MAPA DE PREÇOS'!B:B,0))),"")</f>
        <v>0</v>
      </c>
      <c r="I47" t="str">
        <f>IF(E47="","",INDEX('MAPA DE PREÇOS'!H:H,MATCH(ABC!E47,'MAPA DE PREÇOS'!B:B,0)+1))</f>
        <v xml:space="preserve">Alicate desencapador </v>
      </c>
      <c r="J47" s="41" t="str">
        <f>IFERROR(IF(E47="","",INDEX('MAPA DE PREÇOS'!M:M,3+MATCH(ABC!E47,'MAPA DE PREÇOS'!B:B,0))),"")</f>
        <v>UN</v>
      </c>
      <c r="K47" s="52">
        <f t="array" ref="K47">IFERROR(IF(E47="","",INDEX('MAPA DE PREÇOS'!M:M,2+MATCH(ABC!E47,'MAPA DE PREÇOS'!B:B,0))),"")</f>
        <v>3</v>
      </c>
      <c r="L47" s="53">
        <f t="array" ref="L47">IFERROR(IF(AND(E46&lt;&gt;"",E47=""),"TOTAL ESTIMADO",INDEX('MAPA DE PREÇOS'!M:M,0+MATCH(ABC!E47,'MAPA DE PREÇOS'!B:B,0))),"")</f>
        <v>78.83</v>
      </c>
      <c r="M47" s="54">
        <f>IFERROR(IF(AND(E46&lt;&gt;"",E47=""),SUM($M$5:M46),INDEX('MAPA DE PREÇOS'!M:M,19+MATCH(ABC!E47,'MAPA DE PREÇOS'!B:B,0))),"")</f>
        <v>236.49</v>
      </c>
      <c r="N47" s="90">
        <f t="shared" si="6"/>
        <v>6.9030297846951784E-3</v>
      </c>
      <c r="O47" s="90">
        <f t="shared" si="4"/>
        <v>0.81820912365177267</v>
      </c>
      <c r="P47" s="54" t="str">
        <f t="shared" si="3"/>
        <v>B</v>
      </c>
    </row>
    <row r="48" spans="2:16" x14ac:dyDescent="0.25">
      <c r="B48" s="41">
        <v>43</v>
      </c>
      <c r="C48" s="42">
        <f>IFERROR(INDEX('MAPA DE PREÇOS'!M:M,MATCH(B48,'MAPA DE PREÇOS'!B:B,0)+19)/(SUMPRODUCT(EDITAL!I:I,EDITAL!J:J)),"")</f>
        <v>2.5850239660560911E-3</v>
      </c>
      <c r="D48" s="42">
        <f t="shared" si="2"/>
        <v>2.5850239660560911E-3</v>
      </c>
      <c r="E48" s="41">
        <f t="shared" si="5"/>
        <v>71</v>
      </c>
      <c r="F48" s="41">
        <f>IFERROR(VLOOKUP($E48,'MAPA DE PREÇOS'!$B:$D,2,FALSE),"")</f>
        <v>1</v>
      </c>
      <c r="G48" s="41">
        <f>IFERROR(VLOOKUP($E48,'MAPA DE PREÇOS'!$B:$D,3,FALSE),"")</f>
        <v>71</v>
      </c>
      <c r="H48" s="41">
        <f t="array" ref="H48">IFERROR(IF(E48="","",INDEX('MAPA DE PREÇOS'!H:H,0+MATCH(ABC!E48,'MAPA DE PREÇOS'!B:B,0))),"")</f>
        <v>0</v>
      </c>
      <c r="I48" t="str">
        <f>IF(E48="","",INDEX('MAPA DE PREÇOS'!H:H,MATCH(ABC!E48,'MAPA DE PREÇOS'!B:B,0)+1))</f>
        <v>Marreta de pedreiro</v>
      </c>
      <c r="J48" s="41" t="str">
        <f>IFERROR(IF(E48="","",INDEX('MAPA DE PREÇOS'!M:M,3+MATCH(ABC!E48,'MAPA DE PREÇOS'!B:B,0))),"")</f>
        <v>UN</v>
      </c>
      <c r="K48" s="52">
        <f t="array" ref="K48">IFERROR(IF(E48="","",INDEX('MAPA DE PREÇOS'!M:M,2+MATCH(ABC!E48,'MAPA DE PREÇOS'!B:B,0))),"")</f>
        <v>4</v>
      </c>
      <c r="L48" s="53">
        <f t="array" ref="L48">IFERROR(IF(AND(E47&lt;&gt;"",E48=""),"TOTAL ESTIMADO",INDEX('MAPA DE PREÇOS'!M:M,0+MATCH(ABC!E48,'MAPA DE PREÇOS'!B:B,0))),"")</f>
        <v>57.53</v>
      </c>
      <c r="M48" s="54">
        <f>IFERROR(IF(AND(E47&lt;&gt;"",E48=""),SUM($M$5:M47),INDEX('MAPA DE PREÇOS'!M:M,19+MATCH(ABC!E48,'MAPA DE PREÇOS'!B:B,0))),"")</f>
        <v>230.12</v>
      </c>
      <c r="N48" s="90">
        <f t="shared" si="6"/>
        <v>6.7170925369108812E-3</v>
      </c>
      <c r="O48" s="90">
        <f t="shared" si="4"/>
        <v>0.82492621618868356</v>
      </c>
      <c r="P48" s="54" t="str">
        <f t="shared" si="3"/>
        <v>B</v>
      </c>
    </row>
    <row r="49" spans="2:16" x14ac:dyDescent="0.25">
      <c r="B49" s="41">
        <v>44</v>
      </c>
      <c r="C49" s="42">
        <f>IFERROR(INDEX('MAPA DE PREÇOS'!M:M,MATCH(B49,'MAPA DE PREÇOS'!B:B,0)+19)/(SUMPRODUCT(EDITAL!I:I,EDITAL!J:J)),"")</f>
        <v>1.9711683426803048E-2</v>
      </c>
      <c r="D49" s="42">
        <f t="shared" si="2"/>
        <v>1.9711683426803048E-2</v>
      </c>
      <c r="E49" s="41">
        <f t="shared" si="5"/>
        <v>42</v>
      </c>
      <c r="F49" s="41">
        <f>IFERROR(VLOOKUP($E49,'MAPA DE PREÇOS'!$B:$D,2,FALSE),"")</f>
        <v>1</v>
      </c>
      <c r="G49" s="41">
        <f>IFERROR(VLOOKUP($E49,'MAPA DE PREÇOS'!$B:$D,3,FALSE),"")</f>
        <v>42</v>
      </c>
      <c r="H49" s="41">
        <f t="array" ref="H49">IFERROR(IF(E49="","",INDEX('MAPA DE PREÇOS'!H:H,0+MATCH(ABC!E49,'MAPA DE PREÇOS'!B:B,0))),"")</f>
        <v>0</v>
      </c>
      <c r="I49" t="str">
        <f>IF(E49="","",INDEX('MAPA DE PREÇOS'!H:H,MATCH(ABC!E49,'MAPA DE PREÇOS'!B:B,0)+1))</f>
        <v xml:space="preserve">Jogo de chaves combinadas 8 peças </v>
      </c>
      <c r="J49" s="41" t="str">
        <f>IFERROR(IF(E49="","",INDEX('MAPA DE PREÇOS'!M:M,3+MATCH(ABC!E49,'MAPA DE PREÇOS'!B:B,0))),"")</f>
        <v>UN</v>
      </c>
      <c r="K49" s="52">
        <f t="array" ref="K49">IFERROR(IF(E49="","",INDEX('MAPA DE PREÇOS'!M:M,2+MATCH(ABC!E49,'MAPA DE PREÇOS'!B:B,0))),"")</f>
        <v>4</v>
      </c>
      <c r="L49" s="53">
        <f t="array" ref="L49">IFERROR(IF(AND(E48&lt;&gt;"",E49=""),"TOTAL ESTIMADO",INDEX('MAPA DE PREÇOS'!M:M,0+MATCH(ABC!E49,'MAPA DE PREÇOS'!B:B,0))),"")</f>
        <v>55.93</v>
      </c>
      <c r="M49" s="54">
        <f>IFERROR(IF(AND(E48&lt;&gt;"",E49=""),SUM($M$5:M48),INDEX('MAPA DE PREÇOS'!M:M,19+MATCH(ABC!E49,'MAPA DE PREÇOS'!B:B,0))),"")</f>
        <v>223.72</v>
      </c>
      <c r="N49" s="90">
        <f t="shared" si="6"/>
        <v>6.5302796035012272E-3</v>
      </c>
      <c r="O49" s="90">
        <f t="shared" si="4"/>
        <v>0.83145649579218484</v>
      </c>
      <c r="P49" s="54" t="str">
        <f t="shared" si="3"/>
        <v>B</v>
      </c>
    </row>
    <row r="50" spans="2:16" x14ac:dyDescent="0.25">
      <c r="B50" s="41">
        <v>45</v>
      </c>
      <c r="C50" s="42">
        <f>IFERROR(INDEX('MAPA DE PREÇOS'!M:M,MATCH(B50,'MAPA DE PREÇOS'!B:B,0)+19)/(SUMPRODUCT(EDITAL!I:I,EDITAL!J:J)),"")</f>
        <v>7.3241178124088757E-2</v>
      </c>
      <c r="D50" s="42">
        <f t="shared" si="2"/>
        <v>7.3241178124088757E-2</v>
      </c>
      <c r="E50" s="41">
        <f t="shared" si="5"/>
        <v>67</v>
      </c>
      <c r="F50" s="41">
        <f>IFERROR(VLOOKUP($E50,'MAPA DE PREÇOS'!$B:$D,2,FALSE),"")</f>
        <v>1</v>
      </c>
      <c r="G50" s="41">
        <f>IFERROR(VLOOKUP($E50,'MAPA DE PREÇOS'!$B:$D,3,FALSE),"")</f>
        <v>67</v>
      </c>
      <c r="H50" s="41">
        <f t="array" ref="H50">IFERROR(IF(E50="","",INDEX('MAPA DE PREÇOS'!H:H,0+MATCH(ABC!E50,'MAPA DE PREÇOS'!B:B,0))),"")</f>
        <v>0</v>
      </c>
      <c r="I50" t="str">
        <f>IF(E50="","",INDEX('MAPA DE PREÇOS'!H:H,MATCH(ABC!E50,'MAPA DE PREÇOS'!B:B,0)+1))</f>
        <v>Prumo</v>
      </c>
      <c r="J50" s="41" t="str">
        <f>IFERROR(IF(E50="","",INDEX('MAPA DE PREÇOS'!M:M,3+MATCH(ABC!E50,'MAPA DE PREÇOS'!B:B,0))),"")</f>
        <v>UN</v>
      </c>
      <c r="K50" s="52">
        <f t="array" ref="K50">IFERROR(IF(E50="","",INDEX('MAPA DE PREÇOS'!M:M,2+MATCH(ABC!E50,'MAPA DE PREÇOS'!B:B,0))),"")</f>
        <v>4</v>
      </c>
      <c r="L50" s="53">
        <f t="array" ref="L50">IFERROR(IF(AND(E49&lt;&gt;"",E50=""),"TOTAL ESTIMADO",INDEX('MAPA DE PREÇOS'!M:M,0+MATCH(ABC!E50,'MAPA DE PREÇOS'!B:B,0))),"")</f>
        <v>53.73</v>
      </c>
      <c r="M50" s="54">
        <f>IFERROR(IF(AND(E49&lt;&gt;"",E50=""),SUM($M$5:M49),INDEX('MAPA DE PREÇOS'!M:M,19+MATCH(ABC!E50,'MAPA DE PREÇOS'!B:B,0))),"")</f>
        <v>214.92</v>
      </c>
      <c r="N50" s="90">
        <f t="shared" si="6"/>
        <v>6.273411820062952E-3</v>
      </c>
      <c r="O50" s="90">
        <f t="shared" si="4"/>
        <v>0.83772990761224775</v>
      </c>
      <c r="P50" s="54" t="str">
        <f t="shared" si="3"/>
        <v>B</v>
      </c>
    </row>
    <row r="51" spans="2:16" x14ac:dyDescent="0.25">
      <c r="B51" s="41">
        <v>46</v>
      </c>
      <c r="C51" s="42">
        <f>IFERROR(INDEX('MAPA DE PREÇOS'!M:M,MATCH(B51,'MAPA DE PREÇOS'!B:B,0)+19)/(SUMPRODUCT(EDITAL!I:I,EDITAL!J:J)),"")</f>
        <v>2.5774346906363237E-3</v>
      </c>
      <c r="D51" s="42">
        <f t="shared" si="2"/>
        <v>2.5774346906363237E-3</v>
      </c>
      <c r="E51" s="41">
        <f t="shared" si="5"/>
        <v>65</v>
      </c>
      <c r="F51" s="41">
        <f>IFERROR(VLOOKUP($E51,'MAPA DE PREÇOS'!$B:$D,2,FALSE),"")</f>
        <v>1</v>
      </c>
      <c r="G51" s="41">
        <f>IFERROR(VLOOKUP($E51,'MAPA DE PREÇOS'!$B:$D,3,FALSE),"")</f>
        <v>65</v>
      </c>
      <c r="H51" s="41">
        <f t="array" ref="H51">IFERROR(IF(E51="","",INDEX('MAPA DE PREÇOS'!H:H,0+MATCH(ABC!E51,'MAPA DE PREÇOS'!B:B,0))),"")</f>
        <v>0</v>
      </c>
      <c r="I51" t="str">
        <f>IF(E51="","",INDEX('MAPA DE PREÇOS'!H:H,MATCH(ABC!E51,'MAPA DE PREÇOS'!B:B,0)+1))</f>
        <v xml:space="preserve">Martelo de borracha </v>
      </c>
      <c r="J51" s="41" t="str">
        <f>IFERROR(IF(E51="","",INDEX('MAPA DE PREÇOS'!M:M,3+MATCH(ABC!E51,'MAPA DE PREÇOS'!B:B,0))),"")</f>
        <v>UN</v>
      </c>
      <c r="K51" s="52">
        <f t="array" ref="K51">IFERROR(IF(E51="","",INDEX('MAPA DE PREÇOS'!M:M,2+MATCH(ABC!E51,'MAPA DE PREÇOS'!B:B,0))),"")</f>
        <v>11</v>
      </c>
      <c r="L51" s="53">
        <f t="array" ref="L51">IFERROR(IF(AND(E50&lt;&gt;"",E51=""),"TOTAL ESTIMADO",INDEX('MAPA DE PREÇOS'!M:M,0+MATCH(ABC!E51,'MAPA DE PREÇOS'!B:B,0))),"")</f>
        <v>19.23</v>
      </c>
      <c r="M51" s="54">
        <f>IFERROR(IF(AND(E50&lt;&gt;"",E51=""),SUM($M$5:M50),INDEX('MAPA DE PREÇOS'!M:M,19+MATCH(ABC!E51,'MAPA DE PREÇOS'!B:B,0))),"")</f>
        <v>211.53</v>
      </c>
      <c r="N51" s="90">
        <f t="shared" si="6"/>
        <v>6.1744593443975263E-3</v>
      </c>
      <c r="O51" s="90">
        <f t="shared" si="4"/>
        <v>0.84390436695664528</v>
      </c>
      <c r="P51" s="54" t="str">
        <f t="shared" si="3"/>
        <v>B</v>
      </c>
    </row>
    <row r="52" spans="2:16" x14ac:dyDescent="0.25">
      <c r="B52" s="41">
        <v>47</v>
      </c>
      <c r="C52" s="42">
        <f>IFERROR(INDEX('MAPA DE PREÇOS'!M:M,MATCH(B52,'MAPA DE PREÇOS'!B:B,0)+19)/(SUMPRODUCT(EDITAL!I:I,EDITAL!J:J)),"")</f>
        <v>3.3276053763594666E-3</v>
      </c>
      <c r="D52" s="42">
        <f t="shared" si="2"/>
        <v>3.3276053763594666E-3</v>
      </c>
      <c r="E52" s="41">
        <f t="shared" si="5"/>
        <v>57</v>
      </c>
      <c r="F52" s="41">
        <f>IFERROR(VLOOKUP($E52,'MAPA DE PREÇOS'!$B:$D,2,FALSE),"")</f>
        <v>1</v>
      </c>
      <c r="G52" s="41">
        <f>IFERROR(VLOOKUP($E52,'MAPA DE PREÇOS'!$B:$D,3,FALSE),"")</f>
        <v>57</v>
      </c>
      <c r="H52" s="41">
        <f t="array" ref="H52">IFERROR(IF(E52="","",INDEX('MAPA DE PREÇOS'!H:H,0+MATCH(ABC!E52,'MAPA DE PREÇOS'!B:B,0))),"")</f>
        <v>0</v>
      </c>
      <c r="I52" t="str">
        <f>IF(E52="","",INDEX('MAPA DE PREÇOS'!H:H,MATCH(ABC!E52,'MAPA DE PREÇOS'!B:B,0)+1))</f>
        <v xml:space="preserve">Medidor de temperatura e umidade </v>
      </c>
      <c r="J52" s="41" t="str">
        <f>IFERROR(IF(E52="","",INDEX('MAPA DE PREÇOS'!M:M,3+MATCH(ABC!E52,'MAPA DE PREÇOS'!B:B,0))),"")</f>
        <v>UN</v>
      </c>
      <c r="K52" s="52">
        <f t="array" ref="K52">IFERROR(IF(E52="","",INDEX('MAPA DE PREÇOS'!M:M,2+MATCH(ABC!E52,'MAPA DE PREÇOS'!B:B,0))),"")</f>
        <v>1</v>
      </c>
      <c r="L52" s="53">
        <f t="array" ref="L52">IFERROR(IF(AND(E51&lt;&gt;"",E52=""),"TOTAL ESTIMADO",INDEX('MAPA DE PREÇOS'!M:M,0+MATCH(ABC!E52,'MAPA DE PREÇOS'!B:B,0))),"")</f>
        <v>209.18</v>
      </c>
      <c r="M52" s="54">
        <f>IFERROR(IF(AND(E51&lt;&gt;"",E52=""),SUM($M$5:M51),INDEX('MAPA DE PREÇOS'!M:M,19+MATCH(ABC!E52,'MAPA DE PREÇOS'!B:B,0))),"")</f>
        <v>209.18</v>
      </c>
      <c r="N52" s="90">
        <f t="shared" si="6"/>
        <v>6.1058639704111685E-3</v>
      </c>
      <c r="O52" s="90">
        <f t="shared" si="4"/>
        <v>0.85001023092705641</v>
      </c>
      <c r="P52" s="54" t="str">
        <f t="shared" si="3"/>
        <v>B</v>
      </c>
    </row>
    <row r="53" spans="2:16" x14ac:dyDescent="0.25">
      <c r="B53" s="41">
        <v>48</v>
      </c>
      <c r="C53" s="42">
        <f>IFERROR(INDEX('MAPA DE PREÇOS'!M:M,MATCH(B53,'MAPA DE PREÇOS'!B:B,0)+19)/(SUMPRODUCT(EDITAL!I:I,EDITAL!J:J)),"")</f>
        <v>3.3994115976388023E-3</v>
      </c>
      <c r="D53" s="42">
        <f t="shared" si="2"/>
        <v>3.3994115976388023E-3</v>
      </c>
      <c r="E53" s="41">
        <f t="shared" si="5"/>
        <v>33</v>
      </c>
      <c r="F53" s="41">
        <f>IFERROR(VLOOKUP($E53,'MAPA DE PREÇOS'!$B:$D,2,FALSE),"")</f>
        <v>1</v>
      </c>
      <c r="G53" s="41">
        <f>IFERROR(VLOOKUP($E53,'MAPA DE PREÇOS'!$B:$D,3,FALSE),"")</f>
        <v>33</v>
      </c>
      <c r="H53" s="41">
        <f t="array" ref="H53">IFERROR(IF(E53="","",INDEX('MAPA DE PREÇOS'!H:H,0+MATCH(ABC!E53,'MAPA DE PREÇOS'!B:B,0))),"")</f>
        <v>0</v>
      </c>
      <c r="I53" t="str">
        <f>IF(E53="","",INDEX('MAPA DE PREÇOS'!H:H,MATCH(ABC!E53,'MAPA DE PREÇOS'!B:B,0)+1))</f>
        <v>Fita guia passa fio 20 m</v>
      </c>
      <c r="J53" s="41" t="str">
        <f>IFERROR(IF(E53="","",INDEX('MAPA DE PREÇOS'!M:M,3+MATCH(ABC!E53,'MAPA DE PREÇOS'!B:B,0))),"")</f>
        <v>UN</v>
      </c>
      <c r="K53" s="52">
        <f t="array" ref="K53">IFERROR(IF(E53="","",INDEX('MAPA DE PREÇOS'!M:M,2+MATCH(ABC!E53,'MAPA DE PREÇOS'!B:B,0))),"")</f>
        <v>3</v>
      </c>
      <c r="L53" s="53">
        <f t="array" ref="L53">IFERROR(IF(AND(E52&lt;&gt;"",E53=""),"TOTAL ESTIMADO",INDEX('MAPA DE PREÇOS'!M:M,0+MATCH(ABC!E53,'MAPA DE PREÇOS'!B:B,0))),"")</f>
        <v>63.68</v>
      </c>
      <c r="M53" s="54">
        <f>IFERROR(IF(AND(E52&lt;&gt;"",E53=""),SUM($M$5:M52),INDEX('MAPA DE PREÇOS'!M:M,19+MATCH(ABC!E53,'MAPA DE PREÇOS'!B:B,0))),"")</f>
        <v>191.04</v>
      </c>
      <c r="N53" s="90">
        <f t="shared" si="6"/>
        <v>5.5763660622781793E-3</v>
      </c>
      <c r="O53" s="90">
        <f t="shared" si="4"/>
        <v>0.85558659698933459</v>
      </c>
      <c r="P53" s="54" t="str">
        <f t="shared" si="3"/>
        <v>B</v>
      </c>
    </row>
    <row r="54" spans="2:16" x14ac:dyDescent="0.25">
      <c r="B54" s="41">
        <v>49</v>
      </c>
      <c r="C54" s="42">
        <f>IFERROR(INDEX('MAPA DE PREÇOS'!M:M,MATCH(B54,'MAPA DE PREÇOS'!B:B,0)+19)/(SUMPRODUCT(EDITAL!I:I,EDITAL!J:J)),"")</f>
        <v>2.0458935160441671E-3</v>
      </c>
      <c r="D54" s="42">
        <f t="shared" si="2"/>
        <v>2.0458935160441671E-3</v>
      </c>
      <c r="E54" s="41">
        <f t="shared" si="5"/>
        <v>72</v>
      </c>
      <c r="F54" s="41">
        <f>IFERROR(VLOOKUP($E54,'MAPA DE PREÇOS'!$B:$D,2,FALSE),"")</f>
        <v>1</v>
      </c>
      <c r="G54" s="41">
        <f>IFERROR(VLOOKUP($E54,'MAPA DE PREÇOS'!$B:$D,3,FALSE),"")</f>
        <v>72</v>
      </c>
      <c r="H54" s="41">
        <f t="array" ref="H54">IFERROR(IF(E54="","",INDEX('MAPA DE PREÇOS'!H:H,0+MATCH(ABC!E54,'MAPA DE PREÇOS'!B:B,0))),"")</f>
        <v>0</v>
      </c>
      <c r="I54" t="str">
        <f>IF(E54="","",INDEX('MAPA DE PREÇOS'!H:H,MATCH(ABC!E54,'MAPA DE PREÇOS'!B:B,0)+1))</f>
        <v>Talhadeira de pedreiro</v>
      </c>
      <c r="J54" s="41" t="str">
        <f>IFERROR(IF(E54="","",INDEX('MAPA DE PREÇOS'!M:M,3+MATCH(ABC!E54,'MAPA DE PREÇOS'!B:B,0))),"")</f>
        <v>UN</v>
      </c>
      <c r="K54" s="52">
        <f t="array" ref="K54">IFERROR(IF(E54="","",INDEX('MAPA DE PREÇOS'!M:M,2+MATCH(ABC!E54,'MAPA DE PREÇOS'!B:B,0))),"")</f>
        <v>4</v>
      </c>
      <c r="L54" s="53">
        <f t="array" ref="L54">IFERROR(IF(AND(E53&lt;&gt;"",E54=""),"TOTAL ESTIMADO",INDEX('MAPA DE PREÇOS'!M:M,0+MATCH(ABC!E54,'MAPA DE PREÇOS'!B:B,0))),"")</f>
        <v>45.38</v>
      </c>
      <c r="M54" s="54">
        <f>IFERROR(IF(AND(E53&lt;&gt;"",E54=""),SUM($M$5:M53),INDEX('MAPA DE PREÇOS'!M:M,19+MATCH(ABC!E54,'MAPA DE PREÇOS'!B:B,0))),"")</f>
        <v>181.52</v>
      </c>
      <c r="N54" s="90">
        <f t="shared" si="6"/>
        <v>5.298481823831319E-3</v>
      </c>
      <c r="O54" s="90">
        <f t="shared" si="4"/>
        <v>0.86088507881316589</v>
      </c>
      <c r="P54" s="54" t="str">
        <f t="shared" si="3"/>
        <v>B</v>
      </c>
    </row>
    <row r="55" spans="2:16" x14ac:dyDescent="0.25">
      <c r="B55" s="41">
        <v>50</v>
      </c>
      <c r="C55" s="42">
        <f>IFERROR(INDEX('MAPA DE PREÇOS'!M:M,MATCH(B55,'MAPA DE PREÇOS'!B:B,0)+19)/(SUMPRODUCT(EDITAL!I:I,EDITAL!J:J)),"")</f>
        <v>3.1591818410823254E-3</v>
      </c>
      <c r="D55" s="42">
        <f t="shared" si="2"/>
        <v>3.1591818410823254E-3</v>
      </c>
      <c r="E55" s="41">
        <f t="shared" si="5"/>
        <v>56</v>
      </c>
      <c r="F55" s="41">
        <f>IFERROR(VLOOKUP($E55,'MAPA DE PREÇOS'!$B:$D,2,FALSE),"")</f>
        <v>1</v>
      </c>
      <c r="G55" s="41">
        <f>IFERROR(VLOOKUP($E55,'MAPA DE PREÇOS'!$B:$D,3,FALSE),"")</f>
        <v>56</v>
      </c>
      <c r="H55" s="41">
        <f t="array" ref="H55">IFERROR(IF(E55="","",INDEX('MAPA DE PREÇOS'!H:H,0+MATCH(ABC!E55,'MAPA DE PREÇOS'!B:B,0))),"")</f>
        <v>0</v>
      </c>
      <c r="I55" t="str">
        <f>IF(E55="","",INDEX('MAPA DE PREÇOS'!H:H,MATCH(ABC!E55,'MAPA DE PREÇOS'!B:B,0)+1))</f>
        <v>Termômetro infravermelho</v>
      </c>
      <c r="J55" s="41" t="str">
        <f>IFERROR(IF(E55="","",INDEX('MAPA DE PREÇOS'!M:M,3+MATCH(ABC!E55,'MAPA DE PREÇOS'!B:B,0))),"")</f>
        <v>UN</v>
      </c>
      <c r="K55" s="52">
        <f t="array" ref="K55">IFERROR(IF(E55="","",INDEX('MAPA DE PREÇOS'!M:M,2+MATCH(ABC!E55,'MAPA DE PREÇOS'!B:B,0))),"")</f>
        <v>1</v>
      </c>
      <c r="L55" s="53">
        <f t="array" ref="L55">IFERROR(IF(AND(E54&lt;&gt;"",E55=""),"TOTAL ESTIMADO",INDEX('MAPA DE PREÇOS'!M:M,0+MATCH(ABC!E55,'MAPA DE PREÇOS'!B:B,0))),"")</f>
        <v>181.19</v>
      </c>
      <c r="M55" s="54">
        <f>IFERROR(IF(AND(E54&lt;&gt;"",E55=""),SUM($M$5:M54),INDEX('MAPA DE PREÇOS'!M:M,19+MATCH(ABC!E55,'MAPA DE PREÇOS'!B:B,0))),"")</f>
        <v>181.19</v>
      </c>
      <c r="N55" s="90">
        <f t="shared" si="6"/>
        <v>5.2888492819523842E-3</v>
      </c>
      <c r="O55" s="90">
        <f t="shared" si="4"/>
        <v>0.86617392809511828</v>
      </c>
      <c r="P55" s="54" t="str">
        <f t="shared" si="3"/>
        <v>B</v>
      </c>
    </row>
    <row r="56" spans="2:16" x14ac:dyDescent="0.25">
      <c r="B56" s="41">
        <v>51</v>
      </c>
      <c r="C56" s="42">
        <f>IFERROR(INDEX('MAPA DE PREÇOS'!M:M,MATCH(B56,'MAPA DE PREÇOS'!B:B,0)+19)/(SUMPRODUCT(EDITAL!I:I,EDITAL!J:J)),"")</f>
        <v>3.500991130180302E-3</v>
      </c>
      <c r="D56" s="42">
        <f t="shared" si="2"/>
        <v>3.500991130180302E-3</v>
      </c>
      <c r="E56" s="41">
        <f t="shared" si="5"/>
        <v>27</v>
      </c>
      <c r="F56" s="41">
        <f>IFERROR(VLOOKUP($E56,'MAPA DE PREÇOS'!$B:$D,2,FALSE),"")</f>
        <v>1</v>
      </c>
      <c r="G56" s="41">
        <f>IFERROR(VLOOKUP($E56,'MAPA DE PREÇOS'!$B:$D,3,FALSE),"")</f>
        <v>27</v>
      </c>
      <c r="H56" s="41">
        <f t="array" ref="H56">IFERROR(IF(E56="","",INDEX('MAPA DE PREÇOS'!H:H,0+MATCH(ABC!E56,'MAPA DE PREÇOS'!B:B,0))),"")</f>
        <v>0</v>
      </c>
      <c r="I56" t="str">
        <f>IF(E56="","",INDEX('MAPA DE PREÇOS'!H:H,MATCH(ABC!E56,'MAPA DE PREÇOS'!B:B,0)+1))</f>
        <v xml:space="preserve">Kit chave de fenda isolada 5 peças </v>
      </c>
      <c r="J56" s="41" t="str">
        <f>IFERROR(IF(E56="","",INDEX('MAPA DE PREÇOS'!M:M,3+MATCH(ABC!E56,'MAPA DE PREÇOS'!B:B,0))),"")</f>
        <v>UN</v>
      </c>
      <c r="K56" s="52">
        <f t="array" ref="K56">IFERROR(IF(E56="","",INDEX('MAPA DE PREÇOS'!M:M,2+MATCH(ABC!E56,'MAPA DE PREÇOS'!B:B,0))),"")</f>
        <v>4</v>
      </c>
      <c r="L56" s="53">
        <f t="array" ref="L56">IFERROR(IF(AND(E55&lt;&gt;"",E56=""),"TOTAL ESTIMADO",INDEX('MAPA DE PREÇOS'!M:M,0+MATCH(ABC!E56,'MAPA DE PREÇOS'!B:B,0))),"")</f>
        <v>43</v>
      </c>
      <c r="M56" s="54">
        <f>IFERROR(IF(AND(E55&lt;&gt;"",E56=""),SUM($M$5:M55),INDEX('MAPA DE PREÇOS'!M:M,19+MATCH(ABC!E56,'MAPA DE PREÇOS'!B:B,0))),"")</f>
        <v>172</v>
      </c>
      <c r="N56" s="90">
        <f t="shared" si="6"/>
        <v>5.0205975853844587E-3</v>
      </c>
      <c r="O56" s="90">
        <f t="shared" si="4"/>
        <v>0.87119452568050271</v>
      </c>
      <c r="P56" s="54" t="str">
        <f t="shared" si="3"/>
        <v>B</v>
      </c>
    </row>
    <row r="57" spans="2:16" x14ac:dyDescent="0.25">
      <c r="B57" s="41">
        <v>52</v>
      </c>
      <c r="C57" s="42">
        <f>IFERROR(INDEX('MAPA DE PREÇOS'!M:M,MATCH(B57,'MAPA DE PREÇOS'!B:B,0)+19)/(SUMPRODUCT(EDITAL!I:I,EDITAL!J:J)),"")</f>
        <v>1.9627033816351802E-3</v>
      </c>
      <c r="D57" s="42">
        <f t="shared" si="2"/>
        <v>1.9627033816351802E-3</v>
      </c>
      <c r="E57" s="41">
        <f t="shared" si="5"/>
        <v>86</v>
      </c>
      <c r="F57" s="41">
        <f>IFERROR(VLOOKUP($E57,'MAPA DE PREÇOS'!$B:$D,2,FALSE),"")</f>
        <v>1</v>
      </c>
      <c r="G57" s="41">
        <f>IFERROR(VLOOKUP($E57,'MAPA DE PREÇOS'!$B:$D,3,FALSE),"")</f>
        <v>86</v>
      </c>
      <c r="H57" s="41">
        <f t="array" ref="H57">IFERROR(IF(E57="","",INDEX('MAPA DE PREÇOS'!H:H,0+MATCH(ABC!E57,'MAPA DE PREÇOS'!B:B,0))),"")</f>
        <v>0</v>
      </c>
      <c r="I57" t="str">
        <f>IF(E57="","",INDEX('MAPA DE PREÇOS'!H:H,MATCH(ABC!E57,'MAPA DE PREÇOS'!B:B,0)+1))</f>
        <v xml:space="preserve">Torquês </v>
      </c>
      <c r="J57" s="41" t="str">
        <f>IFERROR(IF(E57="","",INDEX('MAPA DE PREÇOS'!M:M,3+MATCH(ABC!E57,'MAPA DE PREÇOS'!B:B,0))),"")</f>
        <v>UN</v>
      </c>
      <c r="K57" s="52">
        <f t="array" ref="K57">IFERROR(IF(E57="","",INDEX('MAPA DE PREÇOS'!M:M,2+MATCH(ABC!E57,'MAPA DE PREÇOS'!B:B,0))),"")</f>
        <v>4</v>
      </c>
      <c r="L57" s="53">
        <f t="array" ref="L57">IFERROR(IF(AND(E56&lt;&gt;"",E57=""),"TOTAL ESTIMADO",INDEX('MAPA DE PREÇOS'!M:M,0+MATCH(ABC!E57,'MAPA DE PREÇOS'!B:B,0))),"")</f>
        <v>41.93</v>
      </c>
      <c r="M57" s="54">
        <f>IFERROR(IF(AND(E56&lt;&gt;"",E57=""),SUM($M$5:M56),INDEX('MAPA DE PREÇOS'!M:M,19+MATCH(ABC!E57,'MAPA DE PREÇOS'!B:B,0))),"")</f>
        <v>167.72</v>
      </c>
      <c r="N57" s="90">
        <f t="shared" si="6"/>
        <v>4.8956664361667519E-3</v>
      </c>
      <c r="O57" s="90">
        <f t="shared" si="4"/>
        <v>0.8760901921166695</v>
      </c>
      <c r="P57" s="54" t="str">
        <f t="shared" si="3"/>
        <v>B</v>
      </c>
    </row>
    <row r="58" spans="2:16" x14ac:dyDescent="0.25">
      <c r="B58" s="41">
        <v>53</v>
      </c>
      <c r="C58" s="42">
        <f>IFERROR(INDEX('MAPA DE PREÇOS'!M:M,MATCH(B58,'MAPA DE PREÇOS'!B:B,0)+19)/(SUMPRODUCT(EDITAL!I:I,EDITAL!J:J)),"")</f>
        <v>1.9115925306351325E-2</v>
      </c>
      <c r="D58" s="42">
        <f t="shared" si="2"/>
        <v>1.9115925306351325E-2</v>
      </c>
      <c r="E58" s="41">
        <f t="shared" si="5"/>
        <v>70</v>
      </c>
      <c r="F58" s="41">
        <f>IFERROR(VLOOKUP($E58,'MAPA DE PREÇOS'!$B:$D,2,FALSE),"")</f>
        <v>1</v>
      </c>
      <c r="G58" s="41">
        <f>IFERROR(VLOOKUP($E58,'MAPA DE PREÇOS'!$B:$D,3,FALSE),"")</f>
        <v>70</v>
      </c>
      <c r="H58" s="41">
        <f t="array" ref="H58">IFERROR(IF(E58="","",INDEX('MAPA DE PREÇOS'!H:H,0+MATCH(ABC!E58,'MAPA DE PREÇOS'!B:B,0))),"")</f>
        <v>0</v>
      </c>
      <c r="I58" t="str">
        <f>IF(E58="","",INDEX('MAPA DE PREÇOS'!H:H,MATCH(ABC!E58,'MAPA DE PREÇOS'!B:B,0)+1))</f>
        <v>Martelo de unha</v>
      </c>
      <c r="J58" s="41" t="str">
        <f>IFERROR(IF(E58="","",INDEX('MAPA DE PREÇOS'!M:M,3+MATCH(ABC!E58,'MAPA DE PREÇOS'!B:B,0))),"")</f>
        <v>UN</v>
      </c>
      <c r="K58" s="52">
        <f t="array" ref="K58">IFERROR(IF(E58="","",INDEX('MAPA DE PREÇOS'!M:M,2+MATCH(ABC!E58,'MAPA DE PREÇOS'!B:B,0))),"")</f>
        <v>4</v>
      </c>
      <c r="L58" s="53">
        <f t="array" ref="L58">IFERROR(IF(AND(E57&lt;&gt;"",E58=""),"TOTAL ESTIMADO",INDEX('MAPA DE PREÇOS'!M:M,0+MATCH(ABC!E58,'MAPA DE PREÇOS'!B:B,0))),"")</f>
        <v>41.9</v>
      </c>
      <c r="M58" s="54">
        <f>IFERROR(IF(AND(E57&lt;&gt;"",E58=""),SUM($M$5:M57),INDEX('MAPA DE PREÇOS'!M:M,19+MATCH(ABC!E58,'MAPA DE PREÇOS'!B:B,0))),"")</f>
        <v>167.6</v>
      </c>
      <c r="N58" s="90">
        <f t="shared" si="6"/>
        <v>4.8921636936653211E-3</v>
      </c>
      <c r="O58" s="90">
        <f t="shared" si="4"/>
        <v>0.88098235581033479</v>
      </c>
      <c r="P58" s="54" t="str">
        <f t="shared" si="3"/>
        <v>B</v>
      </c>
    </row>
    <row r="59" spans="2:16" x14ac:dyDescent="0.25">
      <c r="B59" s="41">
        <v>54</v>
      </c>
      <c r="C59" s="42">
        <f>IFERROR(INDEX('MAPA DE PREÇOS'!M:M,MATCH(B59,'MAPA DE PREÇOS'!B:B,0)+19)/(SUMPRODUCT(EDITAL!I:I,EDITAL!J:J)),"")</f>
        <v>4.575836856265255E-2</v>
      </c>
      <c r="D59" s="42">
        <f t="shared" si="2"/>
        <v>4.575836856265255E-2</v>
      </c>
      <c r="E59" s="41">
        <f t="shared" si="5"/>
        <v>64</v>
      </c>
      <c r="F59" s="41">
        <f>IFERROR(VLOOKUP($E59,'MAPA DE PREÇOS'!$B:$D,2,FALSE),"")</f>
        <v>1</v>
      </c>
      <c r="G59" s="41">
        <f>IFERROR(VLOOKUP($E59,'MAPA DE PREÇOS'!$B:$D,3,FALSE),"")</f>
        <v>64</v>
      </c>
      <c r="H59" s="41">
        <f t="array" ref="H59">IFERROR(IF(E59="","",INDEX('MAPA DE PREÇOS'!H:H,0+MATCH(ABC!E59,'MAPA DE PREÇOS'!B:B,0))),"")</f>
        <v>0</v>
      </c>
      <c r="I59" t="str">
        <f>IF(E59="","",INDEX('MAPA DE PREÇOS'!H:H,MATCH(ABC!E59,'MAPA DE PREÇOS'!B:B,0)+1))</f>
        <v xml:space="preserve">Nivel </v>
      </c>
      <c r="J59" s="41" t="str">
        <f>IFERROR(IF(E59="","",INDEX('MAPA DE PREÇOS'!M:M,3+MATCH(ABC!E59,'MAPA DE PREÇOS'!B:B,0))),"")</f>
        <v>UN</v>
      </c>
      <c r="K59" s="52">
        <f t="array" ref="K59">IFERROR(IF(E59="","",INDEX('MAPA DE PREÇOS'!M:M,2+MATCH(ABC!E59,'MAPA DE PREÇOS'!B:B,0))),"")</f>
        <v>5</v>
      </c>
      <c r="L59" s="53">
        <f t="array" ref="L59">IFERROR(IF(AND(E58&lt;&gt;"",E59=""),"TOTAL ESTIMADO",INDEX('MAPA DE PREÇOS'!M:M,0+MATCH(ABC!E59,'MAPA DE PREÇOS'!B:B,0))),"")</f>
        <v>33.43</v>
      </c>
      <c r="M59" s="54">
        <f>IFERROR(IF(AND(E58&lt;&gt;"",E59=""),SUM($M$5:M58),INDEX('MAPA DE PREÇOS'!M:M,19+MATCH(ABC!E59,'MAPA DE PREÇOS'!B:B,0))),"")</f>
        <v>167.15</v>
      </c>
      <c r="N59" s="90">
        <f t="shared" si="6"/>
        <v>4.8790284092849545E-3</v>
      </c>
      <c r="O59" s="90">
        <f t="shared" si="4"/>
        <v>0.8858613842196198</v>
      </c>
      <c r="P59" s="54" t="str">
        <f t="shared" si="3"/>
        <v>B</v>
      </c>
    </row>
    <row r="60" spans="2:16" x14ac:dyDescent="0.25">
      <c r="B60" s="41">
        <v>55</v>
      </c>
      <c r="C60" s="42">
        <f>IFERROR(INDEX('MAPA DE PREÇOS'!M:M,MATCH(B60,'MAPA DE PREÇOS'!B:B,0)+19)/(SUMPRODUCT(EDITAL!I:I,EDITAL!J:J)),"")</f>
        <v>1.2798729205020487E-2</v>
      </c>
      <c r="D60" s="42">
        <f t="shared" si="2"/>
        <v>1.2798729205020487E-2</v>
      </c>
      <c r="E60" s="41">
        <f t="shared" si="5"/>
        <v>92</v>
      </c>
      <c r="F60" s="41">
        <f>IFERROR(VLOOKUP($E60,'MAPA DE PREÇOS'!$B:$D,2,FALSE),"")</f>
        <v>1</v>
      </c>
      <c r="G60" s="41">
        <f>IFERROR(VLOOKUP($E60,'MAPA DE PREÇOS'!$B:$D,3,FALSE),"")</f>
        <v>92</v>
      </c>
      <c r="H60" s="41">
        <f t="array" ref="H60">IFERROR(IF(E60="","",INDEX('MAPA DE PREÇOS'!H:H,0+MATCH(ABC!E60,'MAPA DE PREÇOS'!B:B,0))),"")</f>
        <v>0</v>
      </c>
      <c r="I60" t="str">
        <f>IF(E60="","",INDEX('MAPA DE PREÇOS'!H:H,MATCH(ABC!E60,'MAPA DE PREÇOS'!B:B,0)+1))</f>
        <v xml:space="preserve">Alicate de pressão para solda </v>
      </c>
      <c r="J60" s="41" t="str">
        <f>IFERROR(IF(E60="","",INDEX('MAPA DE PREÇOS'!M:M,3+MATCH(ABC!E60,'MAPA DE PREÇOS'!B:B,0))),"")</f>
        <v>UN</v>
      </c>
      <c r="K60" s="52">
        <f t="array" ref="K60">IFERROR(IF(E60="","",INDEX('MAPA DE PREÇOS'!M:M,2+MATCH(ABC!E60,'MAPA DE PREÇOS'!B:B,0))),"")</f>
        <v>1</v>
      </c>
      <c r="L60" s="53">
        <f t="array" ref="L60">IFERROR(IF(AND(E59&lt;&gt;"",E60=""),"TOTAL ESTIMADO",INDEX('MAPA DE PREÇOS'!M:M,0+MATCH(ABC!E60,'MAPA DE PREÇOS'!B:B,0))),"")</f>
        <v>166.25</v>
      </c>
      <c r="M60" s="54">
        <f>IFERROR(IF(AND(E59&lt;&gt;"",E60=""),SUM($M$5:M59),INDEX('MAPA DE PREÇOS'!M:M,19+MATCH(ABC!E60,'MAPA DE PREÇOS'!B:B,0))),"")</f>
        <v>166.25</v>
      </c>
      <c r="N60" s="90">
        <f t="shared" si="6"/>
        <v>4.8527578405242223E-3</v>
      </c>
      <c r="O60" s="90">
        <f t="shared" si="4"/>
        <v>0.89071414206014399</v>
      </c>
      <c r="P60" s="54" t="str">
        <f t="shared" si="3"/>
        <v>B</v>
      </c>
    </row>
    <row r="61" spans="2:16" x14ac:dyDescent="0.25">
      <c r="B61" s="41">
        <v>56</v>
      </c>
      <c r="C61" s="42">
        <f>IFERROR(INDEX('MAPA DE PREÇOS'!M:M,MATCH(B61,'MAPA DE PREÇOS'!B:B,0)+19)/(SUMPRODUCT(EDITAL!I:I,EDITAL!J:J)),"")</f>
        <v>5.2888492819523842E-3</v>
      </c>
      <c r="D61" s="42">
        <f t="shared" si="2"/>
        <v>5.2888492819523842E-3</v>
      </c>
      <c r="E61" s="41">
        <f t="shared" si="5"/>
        <v>82</v>
      </c>
      <c r="F61" s="41">
        <f>IFERROR(VLOOKUP($E61,'MAPA DE PREÇOS'!$B:$D,2,FALSE),"")</f>
        <v>1</v>
      </c>
      <c r="G61" s="41">
        <f>IFERROR(VLOOKUP($E61,'MAPA DE PREÇOS'!$B:$D,3,FALSE),"")</f>
        <v>82</v>
      </c>
      <c r="H61" s="41">
        <f t="array" ref="H61">IFERROR(IF(E61="","",INDEX('MAPA DE PREÇOS'!H:H,0+MATCH(ABC!E61,'MAPA DE PREÇOS'!B:B,0))),"")</f>
        <v>0</v>
      </c>
      <c r="I61" t="str">
        <f>IF(E61="","",INDEX('MAPA DE PREÇOS'!H:H,MATCH(ABC!E61,'MAPA DE PREÇOS'!B:B,0)+1))</f>
        <v>Sargento</v>
      </c>
      <c r="J61" s="41" t="str">
        <f>IFERROR(IF(E61="","",INDEX('MAPA DE PREÇOS'!M:M,3+MATCH(ABC!E61,'MAPA DE PREÇOS'!B:B,0))),"")</f>
        <v>UN</v>
      </c>
      <c r="K61" s="52">
        <f t="array" ref="K61">IFERROR(IF(E61="","",INDEX('MAPA DE PREÇOS'!M:M,2+MATCH(ABC!E61,'MAPA DE PREÇOS'!B:B,0))),"")</f>
        <v>12</v>
      </c>
      <c r="L61" s="53">
        <f t="array" ref="L61">IFERROR(IF(AND(E60&lt;&gt;"",E61=""),"TOTAL ESTIMADO",INDEX('MAPA DE PREÇOS'!M:M,0+MATCH(ABC!E61,'MAPA DE PREÇOS'!B:B,0))),"")</f>
        <v>13.8</v>
      </c>
      <c r="M61" s="54">
        <f>IFERROR(IF(AND(E60&lt;&gt;"",E61=""),SUM($M$5:M60),INDEX('MAPA DE PREÇOS'!M:M,19+MATCH(ABC!E61,'MAPA DE PREÇOS'!B:B,0))),"")</f>
        <v>165.6</v>
      </c>
      <c r="N61" s="90">
        <f t="shared" si="6"/>
        <v>4.8337846519748038E-3</v>
      </c>
      <c r="O61" s="90">
        <f t="shared" si="4"/>
        <v>0.8955479267121188</v>
      </c>
      <c r="P61" s="54" t="str">
        <f t="shared" si="3"/>
        <v>B</v>
      </c>
    </row>
    <row r="62" spans="2:16" x14ac:dyDescent="0.25">
      <c r="B62" s="41">
        <v>57</v>
      </c>
      <c r="C62" s="42">
        <f>IFERROR(INDEX('MAPA DE PREÇOS'!M:M,MATCH(B62,'MAPA DE PREÇOS'!B:B,0)+19)/(SUMPRODUCT(EDITAL!I:I,EDITAL!J:J)),"")</f>
        <v>6.1058639704111685E-3</v>
      </c>
      <c r="D62" s="42">
        <f t="shared" si="2"/>
        <v>6.1058639704111685E-3</v>
      </c>
      <c r="E62" s="41">
        <f t="shared" si="5"/>
        <v>88</v>
      </c>
      <c r="F62" s="41">
        <f>IFERROR(VLOOKUP($E62,'MAPA DE PREÇOS'!$B:$D,2,FALSE),"")</f>
        <v>1</v>
      </c>
      <c r="G62" s="41">
        <f>IFERROR(VLOOKUP($E62,'MAPA DE PREÇOS'!$B:$D,3,FALSE),"")</f>
        <v>88</v>
      </c>
      <c r="H62" s="41">
        <f t="array" ref="H62">IFERROR(IF(E62="","",INDEX('MAPA DE PREÇOS'!H:H,0+MATCH(ABC!E62,'MAPA DE PREÇOS'!B:B,0))),"")</f>
        <v>0</v>
      </c>
      <c r="I62" t="str">
        <f>IF(E62="","",INDEX('MAPA DE PREÇOS'!H:H,MATCH(ABC!E62,'MAPA DE PREÇOS'!B:B,0)+1))</f>
        <v xml:space="preserve">Jogo de brocas 33 peças </v>
      </c>
      <c r="J62" s="41" t="str">
        <f>IFERROR(IF(E62="","",INDEX('MAPA DE PREÇOS'!M:M,3+MATCH(ABC!E62,'MAPA DE PREÇOS'!B:B,0))),"")</f>
        <v>UN</v>
      </c>
      <c r="K62" s="52">
        <f t="array" ref="K62">IFERROR(IF(E62="","",INDEX('MAPA DE PREÇOS'!M:M,2+MATCH(ABC!E62,'MAPA DE PREÇOS'!B:B,0))),"")</f>
        <v>2</v>
      </c>
      <c r="L62" s="53">
        <f t="array" ref="L62">IFERROR(IF(AND(E61&lt;&gt;"",E62=""),"TOTAL ESTIMADO",INDEX('MAPA DE PREÇOS'!M:M,0+MATCH(ABC!E62,'MAPA DE PREÇOS'!B:B,0))),"")</f>
        <v>77.900000000000006</v>
      </c>
      <c r="M62" s="54">
        <f>IFERROR(IF(AND(E61&lt;&gt;"",E62=""),SUM($M$5:M61),INDEX('MAPA DE PREÇOS'!M:M,19+MATCH(ABC!E62,'MAPA DE PREÇOS'!B:B,0))),"")</f>
        <v>155.80000000000001</v>
      </c>
      <c r="N62" s="90">
        <f t="shared" si="6"/>
        <v>4.5477273476912713E-3</v>
      </c>
      <c r="O62" s="90">
        <f t="shared" si="4"/>
        <v>0.90009565405981007</v>
      </c>
      <c r="P62" s="54" t="str">
        <f t="shared" si="3"/>
        <v>B</v>
      </c>
    </row>
    <row r="63" spans="2:16" x14ac:dyDescent="0.25">
      <c r="B63" s="41">
        <v>58</v>
      </c>
      <c r="C63" s="42">
        <f>IFERROR(INDEX('MAPA DE PREÇOS'!M:M,MATCH(B63,'MAPA DE PREÇOS'!B:B,0)+19)/(SUMPRODUCT(EDITAL!I:I,EDITAL!J:J)),"")</f>
        <v>2.8929734109735677E-3</v>
      </c>
      <c r="D63" s="42">
        <f t="shared" si="2"/>
        <v>2.8929734109735677E-3</v>
      </c>
      <c r="E63" s="41">
        <f t="shared" si="5"/>
        <v>18</v>
      </c>
      <c r="F63" s="41">
        <f>IFERROR(VLOOKUP($E63,'MAPA DE PREÇOS'!$B:$D,2,FALSE),"")</f>
        <v>1</v>
      </c>
      <c r="G63" s="41">
        <f>IFERROR(VLOOKUP($E63,'MAPA DE PREÇOS'!$B:$D,3,FALSE),"")</f>
        <v>18</v>
      </c>
      <c r="H63" s="41">
        <f t="array" ref="H63">IFERROR(IF(E63="","",INDEX('MAPA DE PREÇOS'!H:H,0+MATCH(ABC!E63,'MAPA DE PREÇOS'!B:B,0))),"")</f>
        <v>0</v>
      </c>
      <c r="I63" t="str">
        <f>IF(E63="","",INDEX('MAPA DE PREÇOS'!H:H,MATCH(ABC!E63,'MAPA DE PREÇOS'!B:B,0)+1))</f>
        <v>Cabo extensor telescópico</v>
      </c>
      <c r="J63" s="41" t="str">
        <f>IFERROR(IF(E63="","",INDEX('MAPA DE PREÇOS'!M:M,3+MATCH(ABC!E63,'MAPA DE PREÇOS'!B:B,0))),"")</f>
        <v>UN</v>
      </c>
      <c r="K63" s="52">
        <f t="array" ref="K63">IFERROR(IF(E63="","",INDEX('MAPA DE PREÇOS'!M:M,2+MATCH(ABC!E63,'MAPA DE PREÇOS'!B:B,0))),"")</f>
        <v>4</v>
      </c>
      <c r="L63" s="53">
        <f t="array" ref="L63">IFERROR(IF(AND(E62&lt;&gt;"",E63=""),"TOTAL ESTIMADO",INDEX('MAPA DE PREÇOS'!M:M,0+MATCH(ABC!E63,'MAPA DE PREÇOS'!B:B,0))),"")</f>
        <v>38.299999999999997</v>
      </c>
      <c r="M63" s="54">
        <f>IFERROR(IF(AND(E62&lt;&gt;"",E63=""),SUM($M$5:M62),INDEX('MAPA DE PREÇOS'!M:M,19+MATCH(ABC!E63,'MAPA DE PREÇOS'!B:B,0))),"")</f>
        <v>153.19999999999999</v>
      </c>
      <c r="N63" s="90">
        <f t="shared" si="6"/>
        <v>4.4718345934935989E-3</v>
      </c>
      <c r="O63" s="90">
        <f t="shared" si="4"/>
        <v>0.90456748865330372</v>
      </c>
      <c r="P63" s="54" t="str">
        <f t="shared" si="3"/>
        <v>B</v>
      </c>
    </row>
    <row r="64" spans="2:16" x14ac:dyDescent="0.25">
      <c r="B64" s="41">
        <v>59</v>
      </c>
      <c r="C64" s="42">
        <f>IFERROR(INDEX('MAPA DE PREÇOS'!M:M,MATCH(B64,'MAPA DE PREÇOS'!B:B,0)+19)/(SUMPRODUCT(EDITAL!I:I,EDITAL!J:J)),"")</f>
        <v>1.8465290886710514E-3</v>
      </c>
      <c r="D64" s="42">
        <f t="shared" si="2"/>
        <v>1.8465290886710514E-3</v>
      </c>
      <c r="E64" s="41">
        <f t="shared" si="5"/>
        <v>38</v>
      </c>
      <c r="F64" s="41">
        <f>IFERROR(VLOOKUP($E64,'MAPA DE PREÇOS'!$B:$D,2,FALSE),"")</f>
        <v>1</v>
      </c>
      <c r="G64" s="41">
        <f>IFERROR(VLOOKUP($E64,'MAPA DE PREÇOS'!$B:$D,3,FALSE),"")</f>
        <v>38</v>
      </c>
      <c r="H64" s="41">
        <f t="array" ref="H64">IFERROR(IF(E64="","",INDEX('MAPA DE PREÇOS'!H:H,0+MATCH(ABC!E64,'MAPA DE PREÇOS'!B:B,0))),"")</f>
        <v>0</v>
      </c>
      <c r="I64" t="str">
        <f>IF(E64="","",INDEX('MAPA DE PREÇOS'!H:H,MATCH(ABC!E64,'MAPA DE PREÇOS'!B:B,0)+1))</f>
        <v>Detector de tensão</v>
      </c>
      <c r="J64" s="41" t="str">
        <f>IFERROR(IF(E64="","",INDEX('MAPA DE PREÇOS'!M:M,3+MATCH(ABC!E64,'MAPA DE PREÇOS'!B:B,0))),"")</f>
        <v>UN</v>
      </c>
      <c r="K64" s="52">
        <f t="array" ref="K64">IFERROR(IF(E64="","",INDEX('MAPA DE PREÇOS'!M:M,2+MATCH(ABC!E64,'MAPA DE PREÇOS'!B:B,0))),"")</f>
        <v>3</v>
      </c>
      <c r="L64" s="53">
        <f t="array" ref="L64">IFERROR(IF(AND(E63&lt;&gt;"",E64=""),"TOTAL ESTIMADO",INDEX('MAPA DE PREÇOS'!M:M,0+MATCH(ABC!E64,'MAPA DE PREÇOS'!B:B,0))),"")</f>
        <v>48.1</v>
      </c>
      <c r="M64" s="54">
        <f>IFERROR(IF(AND(E63&lt;&gt;"",E64=""),SUM($M$5:M63),INDEX('MAPA DE PREÇOS'!M:M,19+MATCH(ABC!E64,'MAPA DE PREÇOS'!B:B,0))),"")</f>
        <v>144.30000000000001</v>
      </c>
      <c r="N64" s="90">
        <f t="shared" si="6"/>
        <v>4.2120478579707986E-3</v>
      </c>
      <c r="O64" s="90">
        <f t="shared" si="4"/>
        <v>0.90877953651127452</v>
      </c>
      <c r="P64" s="54" t="str">
        <f t="shared" si="3"/>
        <v>B</v>
      </c>
    </row>
    <row r="65" spans="2:16" x14ac:dyDescent="0.25">
      <c r="B65" s="41">
        <v>60</v>
      </c>
      <c r="C65" s="42">
        <f>IFERROR(INDEX('MAPA DE PREÇOS'!M:M,MATCH(B65,'MAPA DE PREÇOS'!B:B,0)+19)/(SUMPRODUCT(EDITAL!I:I,EDITAL!J:J)),"")</f>
        <v>2.0132012526974771E-3</v>
      </c>
      <c r="D65" s="42">
        <f t="shared" si="2"/>
        <v>2.0132012526974771E-3</v>
      </c>
      <c r="E65" s="41">
        <f t="shared" si="5"/>
        <v>31</v>
      </c>
      <c r="F65" s="41">
        <f>IFERROR(VLOOKUP($E65,'MAPA DE PREÇOS'!$B:$D,2,FALSE),"")</f>
        <v>1</v>
      </c>
      <c r="G65" s="41">
        <f>IFERROR(VLOOKUP($E65,'MAPA DE PREÇOS'!$B:$D,3,FALSE),"")</f>
        <v>31</v>
      </c>
      <c r="H65" s="41">
        <f t="array" ref="H65">IFERROR(IF(E65="","",INDEX('MAPA DE PREÇOS'!H:H,0+MATCH(ABC!E65,'MAPA DE PREÇOS'!B:B,0))),"")</f>
        <v>0</v>
      </c>
      <c r="I65" t="str">
        <f>IF(E65="","",INDEX('MAPA DE PREÇOS'!H:H,MATCH(ABC!E65,'MAPA DE PREÇOS'!B:B,0)+1))</f>
        <v>Chave inglesa</v>
      </c>
      <c r="J65" s="41" t="str">
        <f>IFERROR(IF(E65="","",INDEX('MAPA DE PREÇOS'!M:M,3+MATCH(ABC!E65,'MAPA DE PREÇOS'!B:B,0))),"")</f>
        <v>UN</v>
      </c>
      <c r="K65" s="52">
        <f t="array" ref="K65">IFERROR(IF(E65="","",INDEX('MAPA DE PREÇOS'!M:M,2+MATCH(ABC!E65,'MAPA DE PREÇOS'!B:B,0))),"")</f>
        <v>4</v>
      </c>
      <c r="L65" s="53">
        <f t="array" ref="L65">IFERROR(IF(AND(E64&lt;&gt;"",E65=""),"TOTAL ESTIMADO",INDEX('MAPA DE PREÇOS'!M:M,0+MATCH(ABC!E65,'MAPA DE PREÇOS'!B:B,0))),"")</f>
        <v>32.93</v>
      </c>
      <c r="M65" s="54">
        <f>IFERROR(IF(AND(E64&lt;&gt;"",E65=""),SUM($M$5:M64),INDEX('MAPA DE PREÇOS'!M:M,19+MATCH(ABC!E65,'MAPA DE PREÇOS'!B:B,0))),"")</f>
        <v>131.72</v>
      </c>
      <c r="N65" s="90">
        <f t="shared" si="6"/>
        <v>3.844843685737447E-3</v>
      </c>
      <c r="O65" s="90">
        <f t="shared" si="4"/>
        <v>0.91262438019701198</v>
      </c>
      <c r="P65" s="54" t="str">
        <f t="shared" si="3"/>
        <v>B</v>
      </c>
    </row>
    <row r="66" spans="2:16" x14ac:dyDescent="0.25">
      <c r="B66" s="41">
        <v>61</v>
      </c>
      <c r="C66" s="42">
        <f>IFERROR(INDEX('MAPA DE PREÇOS'!M:M,MATCH(B66,'MAPA DE PREÇOS'!B:B,0)+19)/(SUMPRODUCT(EDITAL!I:I,EDITAL!J:J)),"")</f>
        <v>4.8162709394676491E-4</v>
      </c>
      <c r="D66" s="42">
        <f t="shared" si="2"/>
        <v>4.8162709394676491E-4</v>
      </c>
      <c r="E66" s="41">
        <f t="shared" si="5"/>
        <v>15</v>
      </c>
      <c r="F66" s="41">
        <f>IFERROR(VLOOKUP($E66,'MAPA DE PREÇOS'!$B:$D,2,FALSE),"")</f>
        <v>1</v>
      </c>
      <c r="G66" s="41">
        <f>IFERROR(VLOOKUP($E66,'MAPA DE PREÇOS'!$B:$D,3,FALSE),"")</f>
        <v>15</v>
      </c>
      <c r="H66" s="41">
        <f t="array" ref="H66">IFERROR(IF(E66="","",INDEX('MAPA DE PREÇOS'!H:H,0+MATCH(ABC!E66,'MAPA DE PREÇOS'!B:B,0))),"")</f>
        <v>0</v>
      </c>
      <c r="I66" t="str">
        <f>IF(E66="","",INDEX('MAPA DE PREÇOS'!H:H,MATCH(ABC!E66,'MAPA DE PREÇOS'!B:B,0)+1))</f>
        <v>Desempenadeira plástica</v>
      </c>
      <c r="J66" s="41" t="str">
        <f>IFERROR(IF(E66="","",INDEX('MAPA DE PREÇOS'!M:M,3+MATCH(ABC!E66,'MAPA DE PREÇOS'!B:B,0))),"")</f>
        <v>UN</v>
      </c>
      <c r="K66" s="52">
        <f t="array" ref="K66">IFERROR(IF(E66="","",INDEX('MAPA DE PREÇOS'!M:M,2+MATCH(ABC!E66,'MAPA DE PREÇOS'!B:B,0))),"")</f>
        <v>8</v>
      </c>
      <c r="L66" s="53">
        <f t="array" ref="L66">IFERROR(IF(AND(E65&lt;&gt;"",E66=""),"TOTAL ESTIMADO",INDEX('MAPA DE PREÇOS'!M:M,0+MATCH(ABC!E66,'MAPA DE PREÇOS'!B:B,0))),"")</f>
        <v>15.96</v>
      </c>
      <c r="M66" s="54">
        <f>IFERROR(IF(AND(E65&lt;&gt;"",E66=""),SUM($M$5:M65),INDEX('MAPA DE PREÇOS'!M:M,19+MATCH(ABC!E66,'MAPA DE PREÇOS'!B:B,0))),"")</f>
        <v>127.68</v>
      </c>
      <c r="N66" s="90">
        <f t="shared" si="6"/>
        <v>3.7269180215226028E-3</v>
      </c>
      <c r="O66" s="90">
        <f t="shared" si="4"/>
        <v>0.91635129821853456</v>
      </c>
      <c r="P66" s="54" t="str">
        <f t="shared" si="3"/>
        <v>B</v>
      </c>
    </row>
    <row r="67" spans="2:16" x14ac:dyDescent="0.25">
      <c r="B67" s="41">
        <v>62</v>
      </c>
      <c r="C67" s="42">
        <f>IFERROR(INDEX('MAPA DE PREÇOS'!M:M,MATCH(B67,'MAPA DE PREÇOS'!B:B,0)+19)/(SUMPRODUCT(EDITAL!I:I,EDITAL!J:J)),"")</f>
        <v>4.2032910017172209E-4</v>
      </c>
      <c r="D67" s="42">
        <f t="shared" si="2"/>
        <v>4.2032910017172209E-4</v>
      </c>
      <c r="E67" s="41">
        <f t="shared" si="5"/>
        <v>21</v>
      </c>
      <c r="F67" s="41">
        <f>IFERROR(VLOOKUP($E67,'MAPA DE PREÇOS'!$B:$D,2,FALSE),"")</f>
        <v>1</v>
      </c>
      <c r="G67" s="41">
        <f>IFERROR(VLOOKUP($E67,'MAPA DE PREÇOS'!$B:$D,3,FALSE),"")</f>
        <v>21</v>
      </c>
      <c r="H67" s="41">
        <f t="array" ref="H67">IFERROR(IF(E67="","",INDEX('MAPA DE PREÇOS'!H:H,0+MATCH(ABC!E67,'MAPA DE PREÇOS'!B:B,0))),"")</f>
        <v>0</v>
      </c>
      <c r="I67" t="str">
        <f>IF(E67="","",INDEX('MAPA DE PREÇOS'!H:H,MATCH(ABC!E67,'MAPA DE PREÇOS'!B:B,0)+1))</f>
        <v>Alicate de bico</v>
      </c>
      <c r="J67" s="41" t="str">
        <f>IFERROR(IF(E67="","",INDEX('MAPA DE PREÇOS'!M:M,3+MATCH(ABC!E67,'MAPA DE PREÇOS'!B:B,0))),"")</f>
        <v>UN</v>
      </c>
      <c r="K67" s="52">
        <f t="array" ref="K67">IFERROR(IF(E67="","",INDEX('MAPA DE PREÇOS'!M:M,2+MATCH(ABC!E67,'MAPA DE PREÇOS'!B:B,0))),"")</f>
        <v>3</v>
      </c>
      <c r="L67" s="53">
        <f t="array" ref="L67">IFERROR(IF(AND(E66&lt;&gt;"",E67=""),"TOTAL ESTIMADO",INDEX('MAPA DE PREÇOS'!M:M,0+MATCH(ABC!E67,'MAPA DE PREÇOS'!B:B,0))),"")</f>
        <v>41.26</v>
      </c>
      <c r="M67" s="54">
        <f>IFERROR(IF(AND(E66&lt;&gt;"",E67=""),SUM($M$5:M66),INDEX('MAPA DE PREÇOS'!M:M,19+MATCH(ABC!E67,'MAPA DE PREÇOS'!B:B,0))),"")</f>
        <v>123.78</v>
      </c>
      <c r="N67" s="90">
        <f t="shared" si="6"/>
        <v>3.6130788902260947E-3</v>
      </c>
      <c r="O67" s="90">
        <f t="shared" si="4"/>
        <v>0.91996437710876067</v>
      </c>
      <c r="P67" s="54" t="str">
        <f t="shared" si="3"/>
        <v>B</v>
      </c>
    </row>
    <row r="68" spans="2:16" x14ac:dyDescent="0.25">
      <c r="B68" s="41">
        <v>63</v>
      </c>
      <c r="C68" s="42">
        <f>IFERROR(INDEX('MAPA DE PREÇOS'!M:M,MATCH(B68,'MAPA DE PREÇOS'!B:B,0)+19)/(SUMPRODUCT(EDITAL!I:I,EDITAL!J:J)),"")</f>
        <v>2.8221596334029708E-2</v>
      </c>
      <c r="D68" s="42">
        <f t="shared" si="2"/>
        <v>2.8221596334029708E-2</v>
      </c>
      <c r="E68" s="41">
        <f t="shared" si="5"/>
        <v>51</v>
      </c>
      <c r="F68" s="41">
        <f>IFERROR(VLOOKUP($E68,'MAPA DE PREÇOS'!$B:$D,2,FALSE),"")</f>
        <v>1</v>
      </c>
      <c r="G68" s="41">
        <f>IFERROR(VLOOKUP($E68,'MAPA DE PREÇOS'!$B:$D,3,FALSE),"")</f>
        <v>51</v>
      </c>
      <c r="H68" s="41">
        <f t="array" ref="H68">IFERROR(IF(E68="","",INDEX('MAPA DE PREÇOS'!H:H,0+MATCH(ABC!E68,'MAPA DE PREÇOS'!B:B,0))),"")</f>
        <v>0</v>
      </c>
      <c r="I68" t="str">
        <f>IF(E68="","",INDEX('MAPA DE PREÇOS'!H:H,MATCH(ABC!E68,'MAPA DE PREÇOS'!B:B,0)+1))</f>
        <v>Alicate dobrador de tubos</v>
      </c>
      <c r="J68" s="41" t="str">
        <f>IFERROR(IF(E68="","",INDEX('MAPA DE PREÇOS'!M:M,3+MATCH(ABC!E68,'MAPA DE PREÇOS'!B:B,0))),"")</f>
        <v>UN</v>
      </c>
      <c r="K68" s="52">
        <f t="array" ref="K68">IFERROR(IF(E68="","",INDEX('MAPA DE PREÇOS'!M:M,2+MATCH(ABC!E68,'MAPA DE PREÇOS'!B:B,0))),"")</f>
        <v>1</v>
      </c>
      <c r="L68" s="53">
        <f t="array" ref="L68">IFERROR(IF(AND(E67&lt;&gt;"",E68=""),"TOTAL ESTIMADO",INDEX('MAPA DE PREÇOS'!M:M,0+MATCH(ABC!E68,'MAPA DE PREÇOS'!B:B,0))),"")</f>
        <v>119.94</v>
      </c>
      <c r="M68" s="54">
        <f>IFERROR(IF(AND(E67&lt;&gt;"",E68=""),SUM($M$5:M67),INDEX('MAPA DE PREÇOS'!M:M,19+MATCH(ABC!E68,'MAPA DE PREÇOS'!B:B,0))),"")</f>
        <v>119.94</v>
      </c>
      <c r="N68" s="90">
        <f t="shared" si="6"/>
        <v>3.500991130180302E-3</v>
      </c>
      <c r="O68" s="90">
        <f t="shared" si="4"/>
        <v>0.92346536823894099</v>
      </c>
      <c r="P68" s="54" t="str">
        <f t="shared" si="3"/>
        <v>B</v>
      </c>
    </row>
    <row r="69" spans="2:16" x14ac:dyDescent="0.25">
      <c r="B69" s="41">
        <v>64</v>
      </c>
      <c r="C69" s="42">
        <f>IFERROR(INDEX('MAPA DE PREÇOS'!M:M,MATCH(B69,'MAPA DE PREÇOS'!B:B,0)+19)/(SUMPRODUCT(EDITAL!I:I,EDITAL!J:J)),"")</f>
        <v>4.8790284092849545E-3</v>
      </c>
      <c r="D69" s="42">
        <f t="shared" si="2"/>
        <v>4.8790284092849545E-3</v>
      </c>
      <c r="E69" s="41">
        <f t="shared" si="5"/>
        <v>48</v>
      </c>
      <c r="F69" s="41">
        <f>IFERROR(VLOOKUP($E69,'MAPA DE PREÇOS'!$B:$D,2,FALSE),"")</f>
        <v>1</v>
      </c>
      <c r="G69" s="41">
        <f>IFERROR(VLOOKUP($E69,'MAPA DE PREÇOS'!$B:$D,3,FALSE),"")</f>
        <v>48</v>
      </c>
      <c r="H69" s="41">
        <f t="array" ref="H69">IFERROR(IF(E69="","",INDEX('MAPA DE PREÇOS'!H:H,0+MATCH(ABC!E69,'MAPA DE PREÇOS'!B:B,0))),"")</f>
        <v>0</v>
      </c>
      <c r="I69" t="str">
        <f>IF(E69="","",INDEX('MAPA DE PREÇOS'!H:H,MATCH(ABC!E69,'MAPA DE PREÇOS'!B:B,0)+1))</f>
        <v>Paquímetro Universal Analógico em Aço 150mm</v>
      </c>
      <c r="J69" s="41" t="str">
        <f>IFERROR(IF(E69="","",INDEX('MAPA DE PREÇOS'!M:M,3+MATCH(ABC!E69,'MAPA DE PREÇOS'!B:B,0))),"")</f>
        <v>UN</v>
      </c>
      <c r="K69" s="52">
        <f t="array" ref="K69">IFERROR(IF(E69="","",INDEX('MAPA DE PREÇOS'!M:M,2+MATCH(ABC!E69,'MAPA DE PREÇOS'!B:B,0))),"")</f>
        <v>2</v>
      </c>
      <c r="L69" s="53">
        <f t="array" ref="L69">IFERROR(IF(AND(E68&lt;&gt;"",E69=""),"TOTAL ESTIMADO",INDEX('MAPA DE PREÇOS'!M:M,0+MATCH(ABC!E69,'MAPA DE PREÇOS'!B:B,0))),"")</f>
        <v>58.23</v>
      </c>
      <c r="M69" s="54">
        <f>IFERROR(IF(AND(E68&lt;&gt;"",E69=""),SUM($M$5:M68),INDEX('MAPA DE PREÇOS'!M:M,19+MATCH(ABC!E69,'MAPA DE PREÇOS'!B:B,0))),"")</f>
        <v>116.46</v>
      </c>
      <c r="N69" s="90">
        <f t="shared" si="6"/>
        <v>3.3994115976388023E-3</v>
      </c>
      <c r="O69" s="90">
        <f t="shared" si="4"/>
        <v>0.92686477983657978</v>
      </c>
      <c r="P69" s="54" t="str">
        <f t="shared" si="3"/>
        <v>B</v>
      </c>
    </row>
    <row r="70" spans="2:16" x14ac:dyDescent="0.25">
      <c r="B70" s="41">
        <v>65</v>
      </c>
      <c r="C70" s="42">
        <f>IFERROR(INDEX('MAPA DE PREÇOS'!M:M,MATCH(B70,'MAPA DE PREÇOS'!B:B,0)+19)/(SUMPRODUCT(EDITAL!I:I,EDITAL!J:J)),"")</f>
        <v>6.1744593443975263E-3</v>
      </c>
      <c r="D70" s="42">
        <f t="shared" si="2"/>
        <v>6.1744593443975263E-3</v>
      </c>
      <c r="E70" s="41">
        <f t="shared" ref="E70:E101" si="7">IFERROR(INDEX(B:B,MATCH(LARGE(D:D,ROW()-5),D:D,0)),"")</f>
        <v>47</v>
      </c>
      <c r="F70" s="41">
        <f>IFERROR(VLOOKUP($E70,'MAPA DE PREÇOS'!$B:$D,2,FALSE),"")</f>
        <v>1</v>
      </c>
      <c r="G70" s="41">
        <f>IFERROR(VLOOKUP($E70,'MAPA DE PREÇOS'!$B:$D,3,FALSE),"")</f>
        <v>47</v>
      </c>
      <c r="H70" s="41">
        <f t="array" ref="H70">IFERROR(IF(E70="","",INDEX('MAPA DE PREÇOS'!H:H,0+MATCH(ABC!E70,'MAPA DE PREÇOS'!B:B,0))),"")</f>
        <v>0</v>
      </c>
      <c r="I70" t="str">
        <f>IF(E70="","",INDEX('MAPA DE PREÇOS'!H:H,MATCH(ABC!E70,'MAPA DE PREÇOS'!B:B,0)+1))</f>
        <v>Arco de serra</v>
      </c>
      <c r="J70" s="41" t="str">
        <f>IFERROR(IF(E70="","",INDEX('MAPA DE PREÇOS'!M:M,3+MATCH(ABC!E70,'MAPA DE PREÇOS'!B:B,0))),"")</f>
        <v>UN</v>
      </c>
      <c r="K70" s="52">
        <f t="array" ref="K70">IFERROR(IF(E70="","",INDEX('MAPA DE PREÇOS'!M:M,2+MATCH(ABC!E70,'MAPA DE PREÇOS'!B:B,0))),"")</f>
        <v>2</v>
      </c>
      <c r="L70" s="53">
        <f t="array" ref="L70">IFERROR(IF(AND(E69&lt;&gt;"",E70=""),"TOTAL ESTIMADO",INDEX('MAPA DE PREÇOS'!M:M,0+MATCH(ABC!E70,'MAPA DE PREÇOS'!B:B,0))),"")</f>
        <v>57</v>
      </c>
      <c r="M70" s="54">
        <f>IFERROR(IF(AND(E69&lt;&gt;"",E70=""),SUM($M$5:M69),INDEX('MAPA DE PREÇOS'!M:M,19+MATCH(ABC!E70,'MAPA DE PREÇOS'!B:B,0))),"")</f>
        <v>114</v>
      </c>
      <c r="N70" s="90">
        <f t="shared" ref="N70:N105" si="8">IFERROR(VLOOKUP(E70,$B:$C,2),"")</f>
        <v>3.3276053763594666E-3</v>
      </c>
      <c r="O70" s="90">
        <f t="shared" si="4"/>
        <v>0.93019238521293923</v>
      </c>
      <c r="P70" s="54" t="str">
        <f t="shared" si="3"/>
        <v>B</v>
      </c>
    </row>
    <row r="71" spans="2:16" x14ac:dyDescent="0.25">
      <c r="B71" s="41">
        <v>66</v>
      </c>
      <c r="C71" s="42">
        <f>IFERROR(INDEX('MAPA DE PREÇOS'!M:M,MATCH(B71,'MAPA DE PREÇOS'!B:B,0)+19)/(SUMPRODUCT(EDITAL!I:I,EDITAL!J:J)),"")</f>
        <v>1.6486241373401989E-3</v>
      </c>
      <c r="D71" s="42">
        <f t="shared" ref="D71:D105" si="9">IFERROR(IF(C71=C70,IF(D70="","",D70+0.000000001),C71),"")</f>
        <v>1.6486241373401989E-3</v>
      </c>
      <c r="E71" s="41">
        <f t="shared" si="7"/>
        <v>16</v>
      </c>
      <c r="F71" s="41">
        <f>IFERROR(VLOOKUP($E71,'MAPA DE PREÇOS'!$B:$D,2,FALSE),"")</f>
        <v>1</v>
      </c>
      <c r="G71" s="41">
        <f>IFERROR(VLOOKUP($E71,'MAPA DE PREÇOS'!$B:$D,3,FALSE),"")</f>
        <v>16</v>
      </c>
      <c r="H71" s="41">
        <f t="array" ref="H71">IFERROR(IF(E71="","",INDEX('MAPA DE PREÇOS'!H:H,0+MATCH(ABC!E71,'MAPA DE PREÇOS'!B:B,0))),"")</f>
        <v>0</v>
      </c>
      <c r="I71" t="str">
        <f>IF(E71="","",INDEX('MAPA DE PREÇOS'!H:H,MATCH(ABC!E71,'MAPA DE PREÇOS'!B:B,0)+1))</f>
        <v>Estilete</v>
      </c>
      <c r="J71" s="41" t="str">
        <f>IFERROR(IF(E71="","",INDEX('MAPA DE PREÇOS'!M:M,3+MATCH(ABC!E71,'MAPA DE PREÇOS'!B:B,0))),"")</f>
        <v>UN</v>
      </c>
      <c r="K71" s="52">
        <f t="array" ref="K71">IFERROR(IF(E71="","",INDEX('MAPA DE PREÇOS'!M:M,2+MATCH(ABC!E71,'MAPA DE PREÇOS'!B:B,0))),"")</f>
        <v>9</v>
      </c>
      <c r="L71" s="53">
        <f t="array" ref="L71">IFERROR(IF(AND(E70&lt;&gt;"",E71=""),"TOTAL ESTIMADO",INDEX('MAPA DE PREÇOS'!M:M,0+MATCH(ABC!E71,'MAPA DE PREÇOS'!B:B,0))),"")</f>
        <v>12.64</v>
      </c>
      <c r="M71" s="54">
        <f>IFERROR(IF(AND(E70&lt;&gt;"",E71=""),SUM($M$5:M70),INDEX('MAPA DE PREÇOS'!M:M,19+MATCH(ABC!E71,'MAPA DE PREÇOS'!B:B,0))),"")</f>
        <v>113.76</v>
      </c>
      <c r="N71" s="90">
        <f t="shared" si="8"/>
        <v>3.3205998913566049E-3</v>
      </c>
      <c r="O71" s="90">
        <f t="shared" si="4"/>
        <v>0.93351298510429581</v>
      </c>
      <c r="P71" s="54" t="str">
        <f t="shared" ref="P71:P105" si="10">IF(O71="","",IF(OR(N71&gt;=$S$6,O71&lt;=$S$6),"A",IF(O71&lt;=SUM($S$6:$S$7),"B","C")))</f>
        <v>B</v>
      </c>
    </row>
    <row r="72" spans="2:16" x14ac:dyDescent="0.25">
      <c r="B72" s="41">
        <v>67</v>
      </c>
      <c r="C72" s="42">
        <f>IFERROR(INDEX('MAPA DE PREÇOS'!M:M,MATCH(B72,'MAPA DE PREÇOS'!B:B,0)+19)/(SUMPRODUCT(EDITAL!I:I,EDITAL!J:J)),"")</f>
        <v>6.273411820062952E-3</v>
      </c>
      <c r="D72" s="42">
        <f t="shared" si="9"/>
        <v>6.273411820062952E-3</v>
      </c>
      <c r="E72" s="41">
        <f t="shared" si="7"/>
        <v>93</v>
      </c>
      <c r="F72" s="41">
        <f>IFERROR(VLOOKUP($E72,'MAPA DE PREÇOS'!$B:$D,2,FALSE),"")</f>
        <v>1</v>
      </c>
      <c r="G72" s="41">
        <f>IFERROR(VLOOKUP($E72,'MAPA DE PREÇOS'!$B:$D,3,FALSE),"")</f>
        <v>93</v>
      </c>
      <c r="H72" s="41">
        <f t="array" ref="H72">IFERROR(IF(E72="","",INDEX('MAPA DE PREÇOS'!H:H,0+MATCH(ABC!E72,'MAPA DE PREÇOS'!B:B,0))),"")</f>
        <v>0</v>
      </c>
      <c r="I72" t="str">
        <f>IF(E72="","",INDEX('MAPA DE PREÇOS'!H:H,MATCH(ABC!E72,'MAPA DE PREÇOS'!B:B,0)+1))</f>
        <v xml:space="preserve">Tesoura de chapa </v>
      </c>
      <c r="J72" s="41" t="str">
        <f>IFERROR(IF(E72="","",INDEX('MAPA DE PREÇOS'!M:M,3+MATCH(ABC!E72,'MAPA DE PREÇOS'!B:B,0))),"")</f>
        <v>UN</v>
      </c>
      <c r="K72" s="52">
        <f t="array" ref="K72">IFERROR(IF(E72="","",INDEX('MAPA DE PREÇOS'!M:M,2+MATCH(ABC!E72,'MAPA DE PREÇOS'!B:B,0))),"")</f>
        <v>1</v>
      </c>
      <c r="L72" s="53">
        <f t="array" ref="L72">IFERROR(IF(AND(E71&lt;&gt;"",E72=""),"TOTAL ESTIMADO",INDEX('MAPA DE PREÇOS'!M:M,0+MATCH(ABC!E72,'MAPA DE PREÇOS'!B:B,0))),"")</f>
        <v>108.59</v>
      </c>
      <c r="M72" s="54">
        <f>IFERROR(IF(AND(E71&lt;&gt;"",E72=""),SUM($M$5:M71),INDEX('MAPA DE PREÇOS'!M:M,19+MATCH(ABC!E72,'MAPA DE PREÇOS'!B:B,0))),"")</f>
        <v>108.59</v>
      </c>
      <c r="N72" s="90">
        <f t="shared" si="8"/>
        <v>3.1696900685866183E-3</v>
      </c>
      <c r="O72" s="90">
        <f t="shared" ref="O72:O103" si="11">IFERROR(N72+O71,"")</f>
        <v>0.9366826751728824</v>
      </c>
      <c r="P72" s="54" t="str">
        <f t="shared" si="10"/>
        <v>B</v>
      </c>
    </row>
    <row r="73" spans="2:16" x14ac:dyDescent="0.25">
      <c r="B73" s="41">
        <v>68</v>
      </c>
      <c r="C73" s="42">
        <f>IFERROR(INDEX('MAPA DE PREÇOS'!M:M,MATCH(B73,'MAPA DE PREÇOS'!B:B,0)+19)/(SUMPRODUCT(EDITAL!I:I,EDITAL!J:J)),"")</f>
        <v>7.387283935518016E-3</v>
      </c>
      <c r="D73" s="42">
        <f t="shared" si="9"/>
        <v>7.387283935518016E-3</v>
      </c>
      <c r="E73" s="41">
        <f t="shared" si="7"/>
        <v>50</v>
      </c>
      <c r="F73" s="41">
        <f>IFERROR(VLOOKUP($E73,'MAPA DE PREÇOS'!$B:$D,2,FALSE),"")</f>
        <v>1</v>
      </c>
      <c r="G73" s="41">
        <f>IFERROR(VLOOKUP($E73,'MAPA DE PREÇOS'!$B:$D,3,FALSE),"")</f>
        <v>50</v>
      </c>
      <c r="H73" s="41">
        <f t="array" ref="H73">IFERROR(IF(E73="","",INDEX('MAPA DE PREÇOS'!H:H,0+MATCH(ABC!E73,'MAPA DE PREÇOS'!B:B,0))),"")</f>
        <v>0</v>
      </c>
      <c r="I73" t="str">
        <f>IF(E73="","",INDEX('MAPA DE PREÇOS'!H:H,MATCH(ABC!E73,'MAPA DE PREÇOS'!B:B,0)+1))</f>
        <v>Alicate expansor de tubos</v>
      </c>
      <c r="J73" s="41" t="str">
        <f>IFERROR(IF(E73="","",INDEX('MAPA DE PREÇOS'!M:M,3+MATCH(ABC!E73,'MAPA DE PREÇOS'!B:B,0))),"")</f>
        <v>UN</v>
      </c>
      <c r="K73" s="52">
        <f t="array" ref="K73">IFERROR(IF(E73="","",INDEX('MAPA DE PREÇOS'!M:M,2+MATCH(ABC!E73,'MAPA DE PREÇOS'!B:B,0))),"")</f>
        <v>1</v>
      </c>
      <c r="L73" s="53">
        <f t="array" ref="L73">IFERROR(IF(AND(E72&lt;&gt;"",E73=""),"TOTAL ESTIMADO",INDEX('MAPA DE PREÇOS'!M:M,0+MATCH(ABC!E73,'MAPA DE PREÇOS'!B:B,0))),"")</f>
        <v>108.23</v>
      </c>
      <c r="M73" s="54">
        <f>IFERROR(IF(AND(E72&lt;&gt;"",E73=""),SUM($M$5:M72),INDEX('MAPA DE PREÇOS'!M:M,19+MATCH(ABC!E73,'MAPA DE PREÇOS'!B:B,0))),"")</f>
        <v>108.23</v>
      </c>
      <c r="N73" s="90">
        <f t="shared" si="8"/>
        <v>3.1591818410823254E-3</v>
      </c>
      <c r="O73" s="90">
        <f t="shared" si="11"/>
        <v>0.93984185701396472</v>
      </c>
      <c r="P73" s="54" t="str">
        <f t="shared" si="10"/>
        <v>B</v>
      </c>
    </row>
    <row r="74" spans="2:16" x14ac:dyDescent="0.25">
      <c r="B74" s="41">
        <v>69</v>
      </c>
      <c r="C74" s="42">
        <f>IFERROR(INDEX('MAPA DE PREÇOS'!M:M,MATCH(B74,'MAPA DE PREÇOS'!B:B,0)+19)/(SUMPRODUCT(EDITAL!I:I,EDITAL!J:J)),"")</f>
        <v>1.1003281777828635E-2</v>
      </c>
      <c r="D74" s="42">
        <f t="shared" si="9"/>
        <v>1.1003281777828635E-2</v>
      </c>
      <c r="E74" s="41">
        <f t="shared" si="7"/>
        <v>12</v>
      </c>
      <c r="F74" s="41">
        <f>IFERROR(VLOOKUP($E74,'MAPA DE PREÇOS'!$B:$D,2,FALSE),"")</f>
        <v>1</v>
      </c>
      <c r="G74" s="41">
        <f>IFERROR(VLOOKUP($E74,'MAPA DE PREÇOS'!$B:$D,3,FALSE),"")</f>
        <v>12</v>
      </c>
      <c r="H74" s="41">
        <f t="array" ref="H74">IFERROR(IF(E74="","",INDEX('MAPA DE PREÇOS'!H:H,0+MATCH(ABC!E74,'MAPA DE PREÇOS'!B:B,0))),"")</f>
        <v>0</v>
      </c>
      <c r="I74" t="str">
        <f>IF(E74="","",INDEX('MAPA DE PREÇOS'!H:H,MATCH(ABC!E74,'MAPA DE PREÇOS'!B:B,0)+1))</f>
        <v>Raspador</v>
      </c>
      <c r="J74" s="41" t="str">
        <f>IFERROR(IF(E74="","",INDEX('MAPA DE PREÇOS'!M:M,3+MATCH(ABC!E74,'MAPA DE PREÇOS'!B:B,0))),"")</f>
        <v>UN</v>
      </c>
      <c r="K74" s="52">
        <f t="array" ref="K74">IFERROR(IF(E74="","",INDEX('MAPA DE PREÇOS'!M:M,2+MATCH(ABC!E74,'MAPA DE PREÇOS'!B:B,0))),"")</f>
        <v>4</v>
      </c>
      <c r="L74" s="53">
        <f t="array" ref="L74">IFERROR(IF(AND(E73&lt;&gt;"",E74=""),"TOTAL ESTIMADO",INDEX('MAPA DE PREÇOS'!M:M,0+MATCH(ABC!E74,'MAPA DE PREÇOS'!B:B,0))),"")</f>
        <v>26.01</v>
      </c>
      <c r="M74" s="54">
        <f>IFERROR(IF(AND(E73&lt;&gt;"",E74=""),SUM($M$5:M73),INDEX('MAPA DE PREÇOS'!M:M,19+MATCH(ABC!E74,'MAPA DE PREÇOS'!B:B,0))),"")</f>
        <v>104.04</v>
      </c>
      <c r="N74" s="90">
        <f t="shared" si="8"/>
        <v>3.0368777487406922E-3</v>
      </c>
      <c r="O74" s="90">
        <f t="shared" si="11"/>
        <v>0.94287873476270545</v>
      </c>
      <c r="P74" s="54" t="str">
        <f t="shared" si="10"/>
        <v>B</v>
      </c>
    </row>
    <row r="75" spans="2:16" x14ac:dyDescent="0.25">
      <c r="B75" s="41">
        <v>70</v>
      </c>
      <c r="C75" s="42">
        <f>IFERROR(INDEX('MAPA DE PREÇOS'!M:M,MATCH(B75,'MAPA DE PREÇOS'!B:B,0)+19)/(SUMPRODUCT(EDITAL!I:I,EDITAL!J:J)),"")</f>
        <v>4.8921636936653211E-3</v>
      </c>
      <c r="D75" s="42">
        <f t="shared" si="9"/>
        <v>4.8921636936653211E-3</v>
      </c>
      <c r="E75" s="41">
        <f t="shared" si="7"/>
        <v>74</v>
      </c>
      <c r="F75" s="41">
        <f>IFERROR(VLOOKUP($E75,'MAPA DE PREÇOS'!$B:$D,2,FALSE),"")</f>
        <v>1</v>
      </c>
      <c r="G75" s="41">
        <f>IFERROR(VLOOKUP($E75,'MAPA DE PREÇOS'!$B:$D,3,FALSE),"")</f>
        <v>74</v>
      </c>
      <c r="H75" s="41">
        <f t="array" ref="H75">IFERROR(IF(E75="","",INDEX('MAPA DE PREÇOS'!H:H,0+MATCH(ABC!E75,'MAPA DE PREÇOS'!B:B,0))),"")</f>
        <v>0</v>
      </c>
      <c r="I75" t="str">
        <f>IF(E75="","",INDEX('MAPA DE PREÇOS'!H:H,MATCH(ABC!E75,'MAPA DE PREÇOS'!B:B,0)+1))</f>
        <v>Balde de pedreiro</v>
      </c>
      <c r="J75" s="41" t="str">
        <f>IFERROR(IF(E75="","",INDEX('MAPA DE PREÇOS'!M:M,3+MATCH(ABC!E75,'MAPA DE PREÇOS'!B:B,0))),"")</f>
        <v>UN</v>
      </c>
      <c r="K75" s="52">
        <f t="array" ref="K75">IFERROR(IF(E75="","",INDEX('MAPA DE PREÇOS'!M:M,2+MATCH(ABC!E75,'MAPA DE PREÇOS'!B:B,0))),"")</f>
        <v>4</v>
      </c>
      <c r="L75" s="53">
        <f t="array" ref="L75">IFERROR(IF(AND(E74&lt;&gt;"",E75=""),"TOTAL ESTIMADO",INDEX('MAPA DE PREÇOS'!M:M,0+MATCH(ABC!E75,'MAPA DE PREÇOS'!B:B,0))),"")</f>
        <v>25.77</v>
      </c>
      <c r="M75" s="54">
        <f>IFERROR(IF(AND(E74&lt;&gt;"",E75=""),SUM($M$5:M74),INDEX('MAPA DE PREÇOS'!M:M,19+MATCH(ABC!E75,'MAPA DE PREÇOS'!B:B,0))),"")</f>
        <v>103.08</v>
      </c>
      <c r="N75" s="90">
        <f t="shared" si="8"/>
        <v>3.0088558087292441E-3</v>
      </c>
      <c r="O75" s="90">
        <f t="shared" si="11"/>
        <v>0.94588759057143468</v>
      </c>
      <c r="P75" s="54" t="str">
        <f t="shared" si="10"/>
        <v>B</v>
      </c>
    </row>
    <row r="76" spans="2:16" x14ac:dyDescent="0.25">
      <c r="B76" s="41">
        <v>71</v>
      </c>
      <c r="C76" s="42">
        <f>IFERROR(INDEX('MAPA DE PREÇOS'!M:M,MATCH(B76,'MAPA DE PREÇOS'!B:B,0)+19)/(SUMPRODUCT(EDITAL!I:I,EDITAL!J:J)),"")</f>
        <v>6.7170925369108812E-3</v>
      </c>
      <c r="D76" s="42">
        <f t="shared" si="9"/>
        <v>6.7170925369108812E-3</v>
      </c>
      <c r="E76" s="41">
        <f t="shared" si="7"/>
        <v>35</v>
      </c>
      <c r="F76" s="41">
        <f>IFERROR(VLOOKUP($E76,'MAPA DE PREÇOS'!$B:$D,2,FALSE),"")</f>
        <v>1</v>
      </c>
      <c r="G76" s="41">
        <f>IFERROR(VLOOKUP($E76,'MAPA DE PREÇOS'!$B:$D,3,FALSE),"")</f>
        <v>35</v>
      </c>
      <c r="H76" s="41">
        <f t="array" ref="H76">IFERROR(IF(E76="","",INDEX('MAPA DE PREÇOS'!H:H,0+MATCH(ABC!E76,'MAPA DE PREÇOS'!B:B,0))),"")</f>
        <v>0</v>
      </c>
      <c r="I76" t="str">
        <f>IF(E76="","",INDEX('MAPA DE PREÇOS'!H:H,MATCH(ABC!E76,'MAPA DE PREÇOS'!B:B,0)+1))</f>
        <v>Lubrificante para passagem de cabos</v>
      </c>
      <c r="J76" s="41" t="str">
        <f>IFERROR(IF(E76="","",INDEX('MAPA DE PREÇOS'!M:M,3+MATCH(ABC!E76,'MAPA DE PREÇOS'!B:B,0))),"")</f>
        <v>UN</v>
      </c>
      <c r="K76" s="52">
        <f t="array" ref="K76">IFERROR(IF(E76="","",INDEX('MAPA DE PREÇOS'!M:M,2+MATCH(ABC!E76,'MAPA DE PREÇOS'!B:B,0))),"")</f>
        <v>3</v>
      </c>
      <c r="L76" s="53">
        <f t="array" ref="L76">IFERROR(IF(AND(E75&lt;&gt;"",E76=""),"TOTAL ESTIMADO",INDEX('MAPA DE PREÇOS'!M:M,0+MATCH(ABC!E76,'MAPA DE PREÇOS'!B:B,0))),"")</f>
        <v>33.450000000000003</v>
      </c>
      <c r="M76" s="54">
        <f>IFERROR(IF(AND(E75&lt;&gt;"",E76=""),SUM($M$5:M75),INDEX('MAPA DE PREÇOS'!M:M,19+MATCH(ABC!E76,'MAPA DE PREÇOS'!B:B,0))),"")</f>
        <v>100.35</v>
      </c>
      <c r="N76" s="90">
        <f t="shared" si="8"/>
        <v>2.9291684168216881E-3</v>
      </c>
      <c r="O76" s="90">
        <f t="shared" si="11"/>
        <v>0.94881675898825635</v>
      </c>
      <c r="P76" s="54" t="str">
        <f t="shared" si="10"/>
        <v>B</v>
      </c>
    </row>
    <row r="77" spans="2:16" x14ac:dyDescent="0.25">
      <c r="B77" s="41">
        <v>72</v>
      </c>
      <c r="C77" s="42">
        <f>IFERROR(INDEX('MAPA DE PREÇOS'!M:M,MATCH(B77,'MAPA DE PREÇOS'!B:B,0)+19)/(SUMPRODUCT(EDITAL!I:I,EDITAL!J:J)),"")</f>
        <v>5.298481823831319E-3</v>
      </c>
      <c r="D77" s="42">
        <f t="shared" si="9"/>
        <v>5.298481823831319E-3</v>
      </c>
      <c r="E77" s="41">
        <f t="shared" si="7"/>
        <v>28</v>
      </c>
      <c r="F77" s="41">
        <f>IFERROR(VLOOKUP($E77,'MAPA DE PREÇOS'!$B:$D,2,FALSE),"")</f>
        <v>1</v>
      </c>
      <c r="G77" s="41">
        <f>IFERROR(VLOOKUP($E77,'MAPA DE PREÇOS'!$B:$D,3,FALSE),"")</f>
        <v>28</v>
      </c>
      <c r="H77" s="41">
        <f t="array" ref="H77">IFERROR(IF(E77="","",INDEX('MAPA DE PREÇOS'!H:H,0+MATCH(ABC!E77,'MAPA DE PREÇOS'!B:B,0))),"")</f>
        <v>0</v>
      </c>
      <c r="I77" t="str">
        <f>IF(E77="","",INDEX('MAPA DE PREÇOS'!H:H,MATCH(ABC!E77,'MAPA DE PREÇOS'!B:B,0)+1))</f>
        <v>Jogo de chaves Allen 9 peças</v>
      </c>
      <c r="J77" s="41" t="str">
        <f>IFERROR(IF(E77="","",INDEX('MAPA DE PREÇOS'!M:M,3+MATCH(ABC!E77,'MAPA DE PREÇOS'!B:B,0))),"")</f>
        <v>UN</v>
      </c>
      <c r="K77" s="52">
        <f t="array" ref="K77">IFERROR(IF(E77="","",INDEX('MAPA DE PREÇOS'!M:M,2+MATCH(ABC!E77,'MAPA DE PREÇOS'!B:B,0))),"")</f>
        <v>7</v>
      </c>
      <c r="L77" s="53">
        <f t="array" ref="L77">IFERROR(IF(AND(E76&lt;&gt;"",E77=""),"TOTAL ESTIMADO",INDEX('MAPA DE PREÇOS'!M:M,0+MATCH(ABC!E77,'MAPA DE PREÇOS'!B:B,0))),"")</f>
        <v>14.16</v>
      </c>
      <c r="M77" s="54">
        <f>IFERROR(IF(AND(E76&lt;&gt;"",E77=""),SUM($M$5:M76),INDEX('MAPA DE PREÇOS'!M:M,19+MATCH(ABC!E77,'MAPA DE PREÇOS'!B:B,0))),"")</f>
        <v>99.12</v>
      </c>
      <c r="N77" s="90">
        <f t="shared" si="8"/>
        <v>2.8932653061820206E-3</v>
      </c>
      <c r="O77" s="90">
        <f t="shared" si="11"/>
        <v>0.95171002429443841</v>
      </c>
      <c r="P77" s="54" t="str">
        <f t="shared" si="10"/>
        <v>C</v>
      </c>
    </row>
    <row r="78" spans="2:16" x14ac:dyDescent="0.25">
      <c r="B78" s="41">
        <v>73</v>
      </c>
      <c r="C78" s="42">
        <f>IFERROR(INDEX('MAPA DE PREÇOS'!M:M,MATCH(B78,'MAPA DE PREÇOS'!B:B,0)+19)/(SUMPRODUCT(EDITAL!I:I,EDITAL!J:J)),"")</f>
        <v>1.9019891782770424E-3</v>
      </c>
      <c r="D78" s="42">
        <f t="shared" si="9"/>
        <v>1.9019891782770424E-3</v>
      </c>
      <c r="E78" s="41">
        <f t="shared" si="7"/>
        <v>58</v>
      </c>
      <c r="F78" s="41">
        <f>IFERROR(VLOOKUP($E78,'MAPA DE PREÇOS'!$B:$D,2,FALSE),"")</f>
        <v>1</v>
      </c>
      <c r="G78" s="41">
        <f>IFERROR(VLOOKUP($E78,'MAPA DE PREÇOS'!$B:$D,3,FALSE),"")</f>
        <v>58</v>
      </c>
      <c r="H78" s="41">
        <f t="array" ref="H78">IFERROR(IF(E78="","",INDEX('MAPA DE PREÇOS'!H:H,0+MATCH(ABC!E78,'MAPA DE PREÇOS'!B:B,0))),"")</f>
        <v>0</v>
      </c>
      <c r="I78" t="str">
        <f>IF(E78="","",INDEX('MAPA DE PREÇOS'!H:H,MATCH(ABC!E78,'MAPA DE PREÇOS'!B:B,0)+1))</f>
        <v>Cortador profissional de vidro</v>
      </c>
      <c r="J78" s="41" t="str">
        <f>IFERROR(IF(E78="","",INDEX('MAPA DE PREÇOS'!M:M,3+MATCH(ABC!E78,'MAPA DE PREÇOS'!B:B,0))),"")</f>
        <v>UN</v>
      </c>
      <c r="K78" s="52">
        <f t="array" ref="K78">IFERROR(IF(E78="","",INDEX('MAPA DE PREÇOS'!M:M,2+MATCH(ABC!E78,'MAPA DE PREÇOS'!B:B,0))),"")</f>
        <v>1</v>
      </c>
      <c r="L78" s="53">
        <f t="array" ref="L78">IFERROR(IF(AND(E77&lt;&gt;"",E78=""),"TOTAL ESTIMADO",INDEX('MAPA DE PREÇOS'!M:M,0+MATCH(ABC!E78,'MAPA DE PREÇOS'!B:B,0))),"")</f>
        <v>99.11</v>
      </c>
      <c r="M78" s="54">
        <f>IFERROR(IF(AND(E77&lt;&gt;"",E78=""),SUM($M$5:M77),INDEX('MAPA DE PREÇOS'!M:M,19+MATCH(ABC!E78,'MAPA DE PREÇOS'!B:B,0))),"")</f>
        <v>99.11</v>
      </c>
      <c r="N78" s="90">
        <f t="shared" si="8"/>
        <v>2.8929734109735677E-3</v>
      </c>
      <c r="O78" s="90">
        <f t="shared" si="11"/>
        <v>0.95460299770541202</v>
      </c>
      <c r="P78" s="54" t="str">
        <f t="shared" si="10"/>
        <v>C</v>
      </c>
    </row>
    <row r="79" spans="2:16" x14ac:dyDescent="0.25">
      <c r="B79" s="41">
        <v>74</v>
      </c>
      <c r="C79" s="42">
        <f>IFERROR(INDEX('MAPA DE PREÇOS'!M:M,MATCH(B79,'MAPA DE PREÇOS'!B:B,0)+19)/(SUMPRODUCT(EDITAL!I:I,EDITAL!J:J)),"")</f>
        <v>3.0088558087292441E-3</v>
      </c>
      <c r="D79" s="42">
        <f t="shared" si="9"/>
        <v>3.0088558087292441E-3</v>
      </c>
      <c r="E79" s="41">
        <f t="shared" si="7"/>
        <v>43</v>
      </c>
      <c r="F79" s="41">
        <f>IFERROR(VLOOKUP($E79,'MAPA DE PREÇOS'!$B:$D,2,FALSE),"")</f>
        <v>1</v>
      </c>
      <c r="G79" s="41">
        <f>IFERROR(VLOOKUP($E79,'MAPA DE PREÇOS'!$B:$D,3,FALSE),"")</f>
        <v>43</v>
      </c>
      <c r="H79" s="41">
        <f t="array" ref="H79">IFERROR(IF(E79="","",INDEX('MAPA DE PREÇOS'!H:H,0+MATCH(ABC!E79,'MAPA DE PREÇOS'!B:B,0))),"")</f>
        <v>0</v>
      </c>
      <c r="I79" t="str">
        <f>IF(E79="","",INDEX('MAPA DE PREÇOS'!H:H,MATCH(ABC!E79,'MAPA DE PREÇOS'!B:B,0)+1))</f>
        <v xml:space="preserve">Jogo de chaves para tubos 2 peças </v>
      </c>
      <c r="J79" s="41" t="str">
        <f>IFERROR(IF(E79="","",INDEX('MAPA DE PREÇOS'!M:M,3+MATCH(ABC!E79,'MAPA DE PREÇOS'!B:B,0))),"")</f>
        <v>UN</v>
      </c>
      <c r="K79" s="52">
        <f t="array" ref="K79">IFERROR(IF(E79="","",INDEX('MAPA DE PREÇOS'!M:M,2+MATCH(ABC!E79,'MAPA DE PREÇOS'!B:B,0))),"")</f>
        <v>2</v>
      </c>
      <c r="L79" s="53">
        <f t="array" ref="L79">IFERROR(IF(AND(E78&lt;&gt;"",E79=""),"TOTAL ESTIMADO",INDEX('MAPA DE PREÇOS'!M:M,0+MATCH(ABC!E79,'MAPA DE PREÇOS'!B:B,0))),"")</f>
        <v>44.28</v>
      </c>
      <c r="M79" s="54">
        <f>IFERROR(IF(AND(E78&lt;&gt;"",E79=""),SUM($M$5:M78),INDEX('MAPA DE PREÇOS'!M:M,19+MATCH(ABC!E79,'MAPA DE PREÇOS'!B:B,0))),"")</f>
        <v>88.56</v>
      </c>
      <c r="N79" s="90">
        <f t="shared" si="8"/>
        <v>2.5850239660560911E-3</v>
      </c>
      <c r="O79" s="90">
        <f t="shared" si="11"/>
        <v>0.9571880216714681</v>
      </c>
      <c r="P79" s="54" t="str">
        <f t="shared" si="10"/>
        <v>C</v>
      </c>
    </row>
    <row r="80" spans="2:16" x14ac:dyDescent="0.25">
      <c r="B80" s="41">
        <v>75</v>
      </c>
      <c r="C80" s="42">
        <f>IFERROR(INDEX('MAPA DE PREÇOS'!M:M,MATCH(B80,'MAPA DE PREÇOS'!B:B,0)+19)/(SUMPRODUCT(EDITAL!I:I,EDITAL!J:J)),"")</f>
        <v>2.3433347334573505E-2</v>
      </c>
      <c r="D80" s="42">
        <f t="shared" si="9"/>
        <v>2.3433347334573505E-2</v>
      </c>
      <c r="E80" s="41">
        <f t="shared" si="7"/>
        <v>46</v>
      </c>
      <c r="F80" s="41">
        <f>IFERROR(VLOOKUP($E80,'MAPA DE PREÇOS'!$B:$D,2,FALSE),"")</f>
        <v>1</v>
      </c>
      <c r="G80" s="41">
        <f>IFERROR(VLOOKUP($E80,'MAPA DE PREÇOS'!$B:$D,3,FALSE),"")</f>
        <v>46</v>
      </c>
      <c r="H80" s="41">
        <f t="array" ref="H80">IFERROR(IF(E80="","",INDEX('MAPA DE PREÇOS'!H:H,0+MATCH(ABC!E80,'MAPA DE PREÇOS'!B:B,0))),"")</f>
        <v>0</v>
      </c>
      <c r="I80" t="str">
        <f>IF(E80="","",INDEX('MAPA DE PREÇOS'!H:H,MATCH(ABC!E80,'MAPA DE PREÇOS'!B:B,0)+1))</f>
        <v>Cortador de tubo</v>
      </c>
      <c r="J80" s="41" t="str">
        <f>IFERROR(IF(E80="","",INDEX('MAPA DE PREÇOS'!M:M,3+MATCH(ABC!E80,'MAPA DE PREÇOS'!B:B,0))),"")</f>
        <v>UN</v>
      </c>
      <c r="K80" s="52">
        <f t="array" ref="K80">IFERROR(IF(E80="","",INDEX('MAPA DE PREÇOS'!M:M,2+MATCH(ABC!E80,'MAPA DE PREÇOS'!B:B,0))),"")</f>
        <v>2</v>
      </c>
      <c r="L80" s="53">
        <f t="array" ref="L80">IFERROR(IF(AND(E79&lt;&gt;"",E80=""),"TOTAL ESTIMADO",INDEX('MAPA DE PREÇOS'!M:M,0+MATCH(ABC!E80,'MAPA DE PREÇOS'!B:B,0))),"")</f>
        <v>44.15</v>
      </c>
      <c r="M80" s="54">
        <f>IFERROR(IF(AND(E79&lt;&gt;"",E80=""),SUM($M$5:M79),INDEX('MAPA DE PREÇOS'!M:M,19+MATCH(ABC!E80,'MAPA DE PREÇOS'!B:B,0))),"")</f>
        <v>88.3</v>
      </c>
      <c r="N80" s="90">
        <f t="shared" si="8"/>
        <v>2.5774346906363237E-3</v>
      </c>
      <c r="O80" s="90">
        <f t="shared" si="11"/>
        <v>0.95976545636210442</v>
      </c>
      <c r="P80" s="54" t="str">
        <f t="shared" si="10"/>
        <v>C</v>
      </c>
    </row>
    <row r="81" spans="2:16" x14ac:dyDescent="0.25">
      <c r="B81" s="41">
        <v>76</v>
      </c>
      <c r="C81" s="42">
        <f>IFERROR(INDEX('MAPA DE PREÇOS'!M:M,MATCH(B81,'MAPA DE PREÇOS'!B:B,0)+19)/(SUMPRODUCT(EDITAL!I:I,EDITAL!J:J)),"")</f>
        <v>1.2475601209263474E-2</v>
      </c>
      <c r="D81" s="42">
        <f t="shared" si="9"/>
        <v>1.2475601209263474E-2</v>
      </c>
      <c r="E81" s="41">
        <f t="shared" si="7"/>
        <v>5</v>
      </c>
      <c r="F81" s="41">
        <f>IFERROR(VLOOKUP($E81,'MAPA DE PREÇOS'!$B:$D,2,FALSE),"")</f>
        <v>1</v>
      </c>
      <c r="G81" s="41">
        <f>IFERROR(VLOOKUP($E81,'MAPA DE PREÇOS'!$B:$D,3,FALSE),"")</f>
        <v>5</v>
      </c>
      <c r="H81" s="41">
        <f t="array" ref="H81">IFERROR(IF(E81="","",INDEX('MAPA DE PREÇOS'!H:H,0+MATCH(ABC!E81,'MAPA DE PREÇOS'!B:B,0))),"")</f>
        <v>0</v>
      </c>
      <c r="I81" t="str">
        <f>IF(E81="","",INDEX('MAPA DE PREÇOS'!H:H,MATCH(ABC!E81,'MAPA DE PREÇOS'!B:B,0)+1))</f>
        <v xml:space="preserve">Rolo de lã de pintura 23 cm com cabo </v>
      </c>
      <c r="J81" s="41" t="str">
        <f>IFERROR(IF(E81="","",INDEX('MAPA DE PREÇOS'!M:M,3+MATCH(ABC!E81,'MAPA DE PREÇOS'!B:B,0))),"")</f>
        <v>UN</v>
      </c>
      <c r="K81" s="52">
        <f t="array" ref="K81">IFERROR(IF(E81="","",INDEX('MAPA DE PREÇOS'!M:M,2+MATCH(ABC!E81,'MAPA DE PREÇOS'!B:B,0))),"")</f>
        <v>4</v>
      </c>
      <c r="L81" s="53">
        <f t="array" ref="L81">IFERROR(IF(AND(E80&lt;&gt;"",E81=""),"TOTAL ESTIMADO",INDEX('MAPA DE PREÇOS'!M:M,0+MATCH(ABC!E81,'MAPA DE PREÇOS'!B:B,0))),"")</f>
        <v>22.07</v>
      </c>
      <c r="M81" s="54">
        <f>IFERROR(IF(AND(E80&lt;&gt;"",E81=""),SUM($M$5:M80),INDEX('MAPA DE PREÇOS'!M:M,19+MATCH(ABC!E81,'MAPA DE PREÇOS'!B:B,0))),"")</f>
        <v>88.28</v>
      </c>
      <c r="N81" s="90">
        <f t="shared" si="8"/>
        <v>2.5768509002194184E-3</v>
      </c>
      <c r="O81" s="90">
        <f t="shared" si="11"/>
        <v>0.96234230726232384</v>
      </c>
      <c r="P81" s="54" t="str">
        <f t="shared" si="10"/>
        <v>C</v>
      </c>
    </row>
    <row r="82" spans="2:16" x14ac:dyDescent="0.25">
      <c r="B82" s="41">
        <v>77</v>
      </c>
      <c r="C82" s="42">
        <f>IFERROR(INDEX('MAPA DE PREÇOS'!M:M,MATCH(B82,'MAPA DE PREÇOS'!B:B,0)+19)/(SUMPRODUCT(EDITAL!I:I,EDITAL!J:J)),"")</f>
        <v>2.8722488511734343E-2</v>
      </c>
      <c r="D82" s="42">
        <f t="shared" si="9"/>
        <v>2.8722488511734343E-2</v>
      </c>
      <c r="E82" s="41">
        <f t="shared" si="7"/>
        <v>9</v>
      </c>
      <c r="F82" s="41">
        <f>IFERROR(VLOOKUP($E82,'MAPA DE PREÇOS'!$B:$D,2,FALSE),"")</f>
        <v>1</v>
      </c>
      <c r="G82" s="41">
        <f>IFERROR(VLOOKUP($E82,'MAPA DE PREÇOS'!$B:$D,3,FALSE),"")</f>
        <v>9</v>
      </c>
      <c r="H82" s="41">
        <f t="array" ref="H82">IFERROR(IF(E82="","",INDEX('MAPA DE PREÇOS'!H:H,0+MATCH(ABC!E82,'MAPA DE PREÇOS'!B:B,0))),"")</f>
        <v>0</v>
      </c>
      <c r="I82" t="str">
        <f>IF(E82="","",INDEX('MAPA DE PREÇOS'!H:H,MATCH(ABC!E82,'MAPA DE PREÇOS'!B:B,0)+1))</f>
        <v>Bandeja para pintura</v>
      </c>
      <c r="J82" s="41" t="str">
        <f>IFERROR(IF(E82="","",INDEX('MAPA DE PREÇOS'!M:M,3+MATCH(ABC!E82,'MAPA DE PREÇOS'!B:B,0))),"")</f>
        <v>UN</v>
      </c>
      <c r="K82" s="52">
        <f t="array" ref="K82">IFERROR(IF(E82="","",INDEX('MAPA DE PREÇOS'!M:M,2+MATCH(ABC!E82,'MAPA DE PREÇOS'!B:B,0))),"")</f>
        <v>4</v>
      </c>
      <c r="L82" s="53">
        <f t="array" ref="L82">IFERROR(IF(AND(E81&lt;&gt;"",E82=""),"TOTAL ESTIMADO",INDEX('MAPA DE PREÇOS'!M:M,0+MATCH(ABC!E82,'MAPA DE PREÇOS'!B:B,0))),"")</f>
        <v>20.57</v>
      </c>
      <c r="M82" s="54">
        <f>IFERROR(IF(AND(E81&lt;&gt;"",E82=""),SUM($M$5:M81),INDEX('MAPA DE PREÇOS'!M:M,19+MATCH(ABC!E82,'MAPA DE PREÇOS'!B:B,0))),"")</f>
        <v>82.28</v>
      </c>
      <c r="N82" s="90">
        <f t="shared" si="8"/>
        <v>2.4017137751478675E-3</v>
      </c>
      <c r="O82" s="90">
        <f t="shared" si="11"/>
        <v>0.9647440210374717</v>
      </c>
      <c r="P82" s="54" t="str">
        <f t="shared" si="10"/>
        <v>C</v>
      </c>
    </row>
    <row r="83" spans="2:16" x14ac:dyDescent="0.25">
      <c r="B83" s="41">
        <v>78</v>
      </c>
      <c r="C83" s="42">
        <f>IFERROR(INDEX('MAPA DE PREÇOS'!M:M,MATCH(B83,'MAPA DE PREÇOS'!B:B,0)+19)/(SUMPRODUCT(EDITAL!I:I,EDITAL!J:J)),"")</f>
        <v>1.5674772693903802E-2</v>
      </c>
      <c r="D83" s="42">
        <f t="shared" si="9"/>
        <v>1.5674772693903802E-2</v>
      </c>
      <c r="E83" s="41">
        <f t="shared" si="7"/>
        <v>8</v>
      </c>
      <c r="F83" s="41">
        <f>IFERROR(VLOOKUP($E83,'MAPA DE PREÇOS'!$B:$D,2,FALSE),"")</f>
        <v>1</v>
      </c>
      <c r="G83" s="41">
        <f>IFERROR(VLOOKUP($E83,'MAPA DE PREÇOS'!$B:$D,3,FALSE),"")</f>
        <v>8</v>
      </c>
      <c r="H83" s="41">
        <f t="array" ref="H83">IFERROR(IF(E83="","",INDEX('MAPA DE PREÇOS'!H:H,0+MATCH(ABC!E83,'MAPA DE PREÇOS'!B:B,0))),"")</f>
        <v>0</v>
      </c>
      <c r="I83" t="str">
        <f>IF(E83="","",INDEX('MAPA DE PREÇOS'!H:H,MATCH(ABC!E83,'MAPA DE PREÇOS'!B:B,0)+1))</f>
        <v xml:space="preserve">Kit com 5 pinceis de pintura </v>
      </c>
      <c r="J83" s="41" t="str">
        <f>IFERROR(IF(E83="","",INDEX('MAPA DE PREÇOS'!M:M,3+MATCH(ABC!E83,'MAPA DE PREÇOS'!B:B,0))),"")</f>
        <v>UN</v>
      </c>
      <c r="K83" s="52">
        <f t="array" ref="K83">IFERROR(IF(E83="","",INDEX('MAPA DE PREÇOS'!M:M,2+MATCH(ABC!E83,'MAPA DE PREÇOS'!B:B,0))),"")</f>
        <v>4</v>
      </c>
      <c r="L83" s="53">
        <f t="array" ref="L83">IFERROR(IF(AND(E82&lt;&gt;"",E83=""),"TOTAL ESTIMADO",INDEX('MAPA DE PREÇOS'!M:M,0+MATCH(ABC!E83,'MAPA DE PREÇOS'!B:B,0))),"")</f>
        <v>20.100000000000001</v>
      </c>
      <c r="M83" s="54">
        <f>IFERROR(IF(AND(E82&lt;&gt;"",E83=""),SUM($M$5:M82),INDEX('MAPA DE PREÇOS'!M:M,19+MATCH(ABC!E83,'MAPA DE PREÇOS'!B:B,0))),"")</f>
        <v>80.400000000000006</v>
      </c>
      <c r="N83" s="90">
        <f t="shared" si="8"/>
        <v>2.346837475958782E-3</v>
      </c>
      <c r="O83" s="90">
        <f t="shared" si="11"/>
        <v>0.96709085851343046</v>
      </c>
      <c r="P83" s="54" t="str">
        <f t="shared" si="10"/>
        <v>C</v>
      </c>
    </row>
    <row r="84" spans="2:16" x14ac:dyDescent="0.25">
      <c r="B84" s="41">
        <v>79</v>
      </c>
      <c r="C84" s="42">
        <f>IFERROR(INDEX('MAPA DE PREÇOS'!M:M,MATCH(B84,'MAPA DE PREÇOS'!B:B,0)+19)/(SUMPRODUCT(EDITAL!I:I,EDITAL!J:J)),"")</f>
        <v>1.1650121559759564E-2</v>
      </c>
      <c r="D84" s="42">
        <f t="shared" si="9"/>
        <v>1.1650121559759564E-2</v>
      </c>
      <c r="E84" s="41">
        <f t="shared" si="7"/>
        <v>89</v>
      </c>
      <c r="F84" s="41">
        <f>IFERROR(VLOOKUP($E84,'MAPA DE PREÇOS'!$B:$D,2,FALSE),"")</f>
        <v>1</v>
      </c>
      <c r="G84" s="41">
        <f>IFERROR(VLOOKUP($E84,'MAPA DE PREÇOS'!$B:$D,3,FALSE),"")</f>
        <v>89</v>
      </c>
      <c r="H84" s="41">
        <f t="array" ref="H84">IFERROR(IF(E84="","",INDEX('MAPA DE PREÇOS'!H:H,0+MATCH(ABC!E84,'MAPA DE PREÇOS'!B:B,0))),"")</f>
        <v>0</v>
      </c>
      <c r="I84" t="str">
        <f>IF(E84="","",INDEX('MAPA DE PREÇOS'!H:H,MATCH(ABC!E84,'MAPA DE PREÇOS'!B:B,0)+1))</f>
        <v>Jogo de serra copo 11 peças</v>
      </c>
      <c r="J84" s="41" t="str">
        <f>IFERROR(IF(E84="","",INDEX('MAPA DE PREÇOS'!M:M,3+MATCH(ABC!E84,'MAPA DE PREÇOS'!B:B,0))),"")</f>
        <v>UN</v>
      </c>
      <c r="K84" s="52">
        <f t="array" ref="K84">IFERROR(IF(E84="","",INDEX('MAPA DE PREÇOS'!M:M,2+MATCH(ABC!E84,'MAPA DE PREÇOS'!B:B,0))),"")</f>
        <v>2</v>
      </c>
      <c r="L84" s="53">
        <f t="array" ref="L84">IFERROR(IF(AND(E83&lt;&gt;"",E84=""),"TOTAL ESTIMADO",INDEX('MAPA DE PREÇOS'!M:M,0+MATCH(ABC!E84,'MAPA DE PREÇOS'!B:B,0))),"")</f>
        <v>37.1</v>
      </c>
      <c r="M84" s="54">
        <f>IFERROR(IF(AND(E83&lt;&gt;"",E84=""),SUM($M$5:M83),INDEX('MAPA DE PREÇOS'!M:M,19+MATCH(ABC!E84,'MAPA DE PREÇOS'!B:B,0))),"")</f>
        <v>74.2</v>
      </c>
      <c r="N84" s="90">
        <f t="shared" si="8"/>
        <v>2.1658624467181791E-3</v>
      </c>
      <c r="O84" s="90">
        <f t="shared" si="11"/>
        <v>0.96925672096014859</v>
      </c>
      <c r="P84" s="54" t="str">
        <f t="shared" si="10"/>
        <v>C</v>
      </c>
    </row>
    <row r="85" spans="2:16" x14ac:dyDescent="0.25">
      <c r="B85" s="41">
        <v>80</v>
      </c>
      <c r="C85" s="42">
        <f>IFERROR(INDEX('MAPA DE PREÇOS'!M:M,MATCH(B85,'MAPA DE PREÇOS'!B:B,0)+19)/(SUMPRODUCT(EDITAL!I:I,EDITAL!J:J)),"")</f>
        <v>1.2551493963461147E-3</v>
      </c>
      <c r="D85" s="42">
        <f t="shared" si="9"/>
        <v>1.2551493963461147E-3</v>
      </c>
      <c r="E85" s="41">
        <f t="shared" si="7"/>
        <v>49</v>
      </c>
      <c r="F85" s="41">
        <f>IFERROR(VLOOKUP($E85,'MAPA DE PREÇOS'!$B:$D,2,FALSE),"")</f>
        <v>1</v>
      </c>
      <c r="G85" s="41">
        <f>IFERROR(VLOOKUP($E85,'MAPA DE PREÇOS'!$B:$D,3,FALSE),"")</f>
        <v>49</v>
      </c>
      <c r="H85" s="41">
        <f t="array" ref="H85">IFERROR(IF(E85="","",INDEX('MAPA DE PREÇOS'!H:H,0+MATCH(ABC!E85,'MAPA DE PREÇOS'!B:B,0))),"")</f>
        <v>0</v>
      </c>
      <c r="I85" t="str">
        <f>IF(E85="","",INDEX('MAPA DE PREÇOS'!H:H,MATCH(ABC!E85,'MAPA DE PREÇOS'!B:B,0)+1))</f>
        <v xml:space="preserve">Alicate flangeador </v>
      </c>
      <c r="J85" s="41" t="str">
        <f>IFERROR(IF(E85="","",INDEX('MAPA DE PREÇOS'!M:M,3+MATCH(ABC!E85,'MAPA DE PREÇOS'!B:B,0))),"")</f>
        <v>UN</v>
      </c>
      <c r="K85" s="52">
        <f t="array" ref="K85">IFERROR(IF(E85="","",INDEX('MAPA DE PREÇOS'!M:M,2+MATCH(ABC!E85,'MAPA DE PREÇOS'!B:B,0))),"")</f>
        <v>1</v>
      </c>
      <c r="L85" s="53">
        <f t="array" ref="L85">IFERROR(IF(AND(E84&lt;&gt;"",E85=""),"TOTAL ESTIMADO",INDEX('MAPA DE PREÇOS'!M:M,0+MATCH(ABC!E85,'MAPA DE PREÇOS'!B:B,0))),"")</f>
        <v>70.09</v>
      </c>
      <c r="M85" s="54">
        <f>IFERROR(IF(AND(E84&lt;&gt;"",E85=""),SUM($M$5:M84),INDEX('MAPA DE PREÇOS'!M:M,19+MATCH(ABC!E85,'MAPA DE PREÇOS'!B:B,0))),"")</f>
        <v>70.09</v>
      </c>
      <c r="N85" s="90">
        <f t="shared" si="8"/>
        <v>2.0458935160441671E-3</v>
      </c>
      <c r="O85" s="90">
        <f t="shared" si="11"/>
        <v>0.9713026144761927</v>
      </c>
      <c r="P85" s="54" t="str">
        <f t="shared" si="10"/>
        <v>C</v>
      </c>
    </row>
    <row r="86" spans="2:16" x14ac:dyDescent="0.25">
      <c r="B86" s="41">
        <v>81</v>
      </c>
      <c r="C86" s="42">
        <f>IFERROR(INDEX('MAPA DE PREÇOS'!M:M,MATCH(B86,'MAPA DE PREÇOS'!B:B,0)+19)/(SUMPRODUCT(EDITAL!I:I,EDITAL!J:J)),"")</f>
        <v>3.1226949400257518E-2</v>
      </c>
      <c r="D86" s="42">
        <f t="shared" si="9"/>
        <v>3.1226949400257518E-2</v>
      </c>
      <c r="E86" s="41">
        <f t="shared" si="7"/>
        <v>60</v>
      </c>
      <c r="F86" s="41">
        <f>IFERROR(VLOOKUP($E86,'MAPA DE PREÇOS'!$B:$D,2,FALSE),"")</f>
        <v>1</v>
      </c>
      <c r="G86" s="41">
        <f>IFERROR(VLOOKUP($E86,'MAPA DE PREÇOS'!$B:$D,3,FALSE),"")</f>
        <v>60</v>
      </c>
      <c r="H86" s="41">
        <f t="array" ref="H86">IFERROR(IF(E86="","",INDEX('MAPA DE PREÇOS'!H:H,0+MATCH(ABC!E86,'MAPA DE PREÇOS'!B:B,0))),"")</f>
        <v>0</v>
      </c>
      <c r="I86" t="str">
        <f>IF(E86="","",INDEX('MAPA DE PREÇOS'!H:H,MATCH(ABC!E86,'MAPA DE PREÇOS'!B:B,0)+1))</f>
        <v>Alicate para vidro</v>
      </c>
      <c r="J86" s="41" t="str">
        <f>IFERROR(IF(E86="","",INDEX('MAPA DE PREÇOS'!M:M,3+MATCH(ABC!E86,'MAPA DE PREÇOS'!B:B,0))),"")</f>
        <v>UN</v>
      </c>
      <c r="K86" s="52">
        <f t="array" ref="K86">IFERROR(IF(E86="","",INDEX('MAPA DE PREÇOS'!M:M,2+MATCH(ABC!E86,'MAPA DE PREÇOS'!B:B,0))),"")</f>
        <v>1</v>
      </c>
      <c r="L86" s="53">
        <f t="array" ref="L86">IFERROR(IF(AND(E85&lt;&gt;"",E86=""),"TOTAL ESTIMADO",INDEX('MAPA DE PREÇOS'!M:M,0+MATCH(ABC!E86,'MAPA DE PREÇOS'!B:B,0))),"")</f>
        <v>68.97</v>
      </c>
      <c r="M86" s="54">
        <f>IFERROR(IF(AND(E85&lt;&gt;"",E86=""),SUM($M$5:M85),INDEX('MAPA DE PREÇOS'!M:M,19+MATCH(ABC!E86,'MAPA DE PREÇOS'!B:B,0))),"")</f>
        <v>68.97</v>
      </c>
      <c r="N86" s="90">
        <f t="shared" si="8"/>
        <v>2.0132012526974771E-3</v>
      </c>
      <c r="O86" s="90">
        <f t="shared" si="11"/>
        <v>0.97331581572889014</v>
      </c>
      <c r="P86" s="54" t="str">
        <f t="shared" si="10"/>
        <v>C</v>
      </c>
    </row>
    <row r="87" spans="2:16" x14ac:dyDescent="0.25">
      <c r="B87" s="41">
        <v>82</v>
      </c>
      <c r="C87" s="42">
        <f>IFERROR(INDEX('MAPA DE PREÇOS'!M:M,MATCH(B87,'MAPA DE PREÇOS'!B:B,0)+19)/(SUMPRODUCT(EDITAL!I:I,EDITAL!J:J)),"")</f>
        <v>4.8337846519748038E-3</v>
      </c>
      <c r="D87" s="42">
        <f t="shared" si="9"/>
        <v>4.8337846519748038E-3</v>
      </c>
      <c r="E87" s="41">
        <f t="shared" si="7"/>
        <v>96</v>
      </c>
      <c r="F87" s="41">
        <f>IFERROR(VLOOKUP($E87,'MAPA DE PREÇOS'!$B:$D,2,FALSE),"")</f>
        <v>1</v>
      </c>
      <c r="G87" s="41">
        <f>IFERROR(VLOOKUP($E87,'MAPA DE PREÇOS'!$B:$D,3,FALSE),"")</f>
        <v>96</v>
      </c>
      <c r="H87" s="41">
        <f t="array" ref="H87">IFERROR(IF(E87="","",INDEX('MAPA DE PREÇOS'!H:H,0+MATCH(ABC!E87,'MAPA DE PREÇOS'!B:B,0))),"")</f>
        <v>0</v>
      </c>
      <c r="I87" t="str">
        <f>IF(E87="","",INDEX('MAPA DE PREÇOS'!H:H,MATCH(ABC!E87,'MAPA DE PREÇOS'!B:B,0)+1))</f>
        <v xml:space="preserve">Martelo de bola </v>
      </c>
      <c r="J87" s="41" t="str">
        <f>IFERROR(IF(E87="","",INDEX('MAPA DE PREÇOS'!M:M,3+MATCH(ABC!E87,'MAPA DE PREÇOS'!B:B,0))),"")</f>
        <v>UN</v>
      </c>
      <c r="K87" s="52">
        <f t="array" ref="K87">IFERROR(IF(E87="","",INDEX('MAPA DE PREÇOS'!M:M,2+MATCH(ABC!E87,'MAPA DE PREÇOS'!B:B,0))),"")</f>
        <v>1</v>
      </c>
      <c r="L87" s="53">
        <f t="array" ref="L87">IFERROR(IF(AND(E86&lt;&gt;"",E87=""),"TOTAL ESTIMADO",INDEX('MAPA DE PREÇOS'!M:M,0+MATCH(ABC!E87,'MAPA DE PREÇOS'!B:B,0))),"")</f>
        <v>67.849999999999994</v>
      </c>
      <c r="M87" s="54">
        <f>IFERROR(IF(AND(E86&lt;&gt;"",E87=""),SUM($M$5:M86),INDEX('MAPA DE PREÇOS'!M:M,19+MATCH(ABC!E87,'MAPA DE PREÇOS'!B:B,0))),"")</f>
        <v>67.849999999999994</v>
      </c>
      <c r="N87" s="90">
        <f t="shared" si="8"/>
        <v>1.9805089893507877E-3</v>
      </c>
      <c r="O87" s="90">
        <f t="shared" si="11"/>
        <v>0.9752963247182409</v>
      </c>
      <c r="P87" s="54" t="str">
        <f t="shared" si="10"/>
        <v>C</v>
      </c>
    </row>
    <row r="88" spans="2:16" x14ac:dyDescent="0.25">
      <c r="B88" s="41">
        <v>83</v>
      </c>
      <c r="C88" s="42">
        <f>IFERROR(INDEX('MAPA DE PREÇOS'!M:M,MATCH(B88,'MAPA DE PREÇOS'!B:B,0)+19)/(SUMPRODUCT(EDITAL!I:I,EDITAL!J:J)),"")</f>
        <v>1.0443426768016578E-2</v>
      </c>
      <c r="D88" s="42">
        <f t="shared" si="9"/>
        <v>1.0443426768016578E-2</v>
      </c>
      <c r="E88" s="41">
        <f t="shared" si="7"/>
        <v>52</v>
      </c>
      <c r="F88" s="41">
        <f>IFERROR(VLOOKUP($E88,'MAPA DE PREÇOS'!$B:$D,2,FALSE),"")</f>
        <v>1</v>
      </c>
      <c r="G88" s="41">
        <f>IFERROR(VLOOKUP($E88,'MAPA DE PREÇOS'!$B:$D,3,FALSE),"")</f>
        <v>52</v>
      </c>
      <c r="H88" s="41">
        <f t="array" ref="H88">IFERROR(IF(E88="","",INDEX('MAPA DE PREÇOS'!H:H,0+MATCH(ABC!E88,'MAPA DE PREÇOS'!B:B,0))),"")</f>
        <v>0</v>
      </c>
      <c r="I88" t="str">
        <f>IF(E88="","",INDEX('MAPA DE PREÇOS'!H:H,MATCH(ABC!E88,'MAPA DE PREÇOS'!B:B,0)+1))</f>
        <v>Cortador de tubo de cobre</v>
      </c>
      <c r="J88" s="41" t="str">
        <f>IFERROR(IF(E88="","",INDEX('MAPA DE PREÇOS'!M:M,3+MATCH(ABC!E88,'MAPA DE PREÇOS'!B:B,0))),"")</f>
        <v>UN</v>
      </c>
      <c r="K88" s="52">
        <f t="array" ref="K88">IFERROR(IF(E88="","",INDEX('MAPA DE PREÇOS'!M:M,2+MATCH(ABC!E88,'MAPA DE PREÇOS'!B:B,0))),"")</f>
        <v>1</v>
      </c>
      <c r="L88" s="53">
        <f t="array" ref="L88">IFERROR(IF(AND(E87&lt;&gt;"",E88=""),"TOTAL ESTIMADO",INDEX('MAPA DE PREÇOS'!M:M,0+MATCH(ABC!E88,'MAPA DE PREÇOS'!B:B,0))),"")</f>
        <v>67.239999999999995</v>
      </c>
      <c r="M88" s="54">
        <f>IFERROR(IF(AND(E87&lt;&gt;"",E88=""),SUM($M$5:M87),INDEX('MAPA DE PREÇOS'!M:M,19+MATCH(ABC!E88,'MAPA DE PREÇOS'!B:B,0))),"")</f>
        <v>67.239999999999995</v>
      </c>
      <c r="N88" s="90">
        <f t="shared" si="8"/>
        <v>1.9627033816351802E-3</v>
      </c>
      <c r="O88" s="90">
        <f t="shared" si="11"/>
        <v>0.97725902809987608</v>
      </c>
      <c r="P88" s="54" t="str">
        <f t="shared" si="10"/>
        <v>C</v>
      </c>
    </row>
    <row r="89" spans="2:16" x14ac:dyDescent="0.25">
      <c r="B89" s="41">
        <v>84</v>
      </c>
      <c r="C89" s="42">
        <f>IFERROR(INDEX('MAPA DE PREÇOS'!M:M,MATCH(B89,'MAPA DE PREÇOS'!B:B,0)+19)/(SUMPRODUCT(EDITAL!I:I,EDITAL!J:J)),"")</f>
        <v>9.9886540332474513E-3</v>
      </c>
      <c r="D89" s="42">
        <f t="shared" si="9"/>
        <v>9.9886540332474513E-3</v>
      </c>
      <c r="E89" s="41">
        <f t="shared" si="7"/>
        <v>73</v>
      </c>
      <c r="F89" s="41">
        <f>IFERROR(VLOOKUP($E89,'MAPA DE PREÇOS'!$B:$D,2,FALSE),"")</f>
        <v>1</v>
      </c>
      <c r="G89" s="41">
        <f>IFERROR(VLOOKUP($E89,'MAPA DE PREÇOS'!$B:$D,3,FALSE),"")</f>
        <v>73</v>
      </c>
      <c r="H89" s="41">
        <f t="array" ref="H89">IFERROR(IF(E89="","",INDEX('MAPA DE PREÇOS'!H:H,0+MATCH(ABC!E89,'MAPA DE PREÇOS'!B:B,0))),"")</f>
        <v>0</v>
      </c>
      <c r="I89" t="str">
        <f>IF(E89="","",INDEX('MAPA DE PREÇOS'!H:H,MATCH(ABC!E89,'MAPA DE PREÇOS'!B:B,0)+1))</f>
        <v>Ponteiro de pedreiro</v>
      </c>
      <c r="J89" s="41" t="str">
        <f>IFERROR(IF(E89="","",INDEX('MAPA DE PREÇOS'!M:M,3+MATCH(ABC!E89,'MAPA DE PREÇOS'!B:B,0))),"")</f>
        <v>UN</v>
      </c>
      <c r="K89" s="52">
        <f t="array" ref="K89">IFERROR(IF(E89="","",INDEX('MAPA DE PREÇOS'!M:M,2+MATCH(ABC!E89,'MAPA DE PREÇOS'!B:B,0))),"")</f>
        <v>4</v>
      </c>
      <c r="L89" s="53">
        <f t="array" ref="L89">IFERROR(IF(AND(E88&lt;&gt;"",E89=""),"TOTAL ESTIMADO",INDEX('MAPA DE PREÇOS'!M:M,0+MATCH(ABC!E89,'MAPA DE PREÇOS'!B:B,0))),"")</f>
        <v>16.29</v>
      </c>
      <c r="M89" s="54">
        <f>IFERROR(IF(AND(E88&lt;&gt;"",E89=""),SUM($M$5:M88),INDEX('MAPA DE PREÇOS'!M:M,19+MATCH(ABC!E89,'MAPA DE PREÇOS'!B:B,0))),"")</f>
        <v>65.16</v>
      </c>
      <c r="N89" s="90">
        <f t="shared" si="8"/>
        <v>1.9019891782770424E-3</v>
      </c>
      <c r="O89" s="90">
        <f t="shared" si="11"/>
        <v>0.97916101727815308</v>
      </c>
      <c r="P89" s="54" t="str">
        <f t="shared" si="10"/>
        <v>C</v>
      </c>
    </row>
    <row r="90" spans="2:16" x14ac:dyDescent="0.25">
      <c r="B90" s="41">
        <v>85</v>
      </c>
      <c r="C90" s="42">
        <f>IFERROR(INDEX('MAPA DE PREÇOS'!M:M,MATCH(B90,'MAPA DE PREÇOS'!B:B,0)+19)/(SUMPRODUCT(EDITAL!I:I,EDITAL!J:J)),"")</f>
        <v>1.1085012436195359E-2</v>
      </c>
      <c r="D90" s="42">
        <f t="shared" si="9"/>
        <v>1.1085012436195359E-2</v>
      </c>
      <c r="E90" s="41">
        <f t="shared" si="7"/>
        <v>34</v>
      </c>
      <c r="F90" s="41">
        <f>IFERROR(VLOOKUP($E90,'MAPA DE PREÇOS'!$B:$D,2,FALSE),"")</f>
        <v>1</v>
      </c>
      <c r="G90" s="41">
        <f>IFERROR(VLOOKUP($E90,'MAPA DE PREÇOS'!$B:$D,3,FALSE),"")</f>
        <v>34</v>
      </c>
      <c r="H90" s="41">
        <f t="array" ref="H90">IFERROR(IF(E90="","",INDEX('MAPA DE PREÇOS'!H:H,0+MATCH(ABC!E90,'MAPA DE PREÇOS'!B:B,0))),"")</f>
        <v>0</v>
      </c>
      <c r="I90" t="str">
        <f>IF(E90="","",INDEX('MAPA DE PREÇOS'!H:H,MATCH(ABC!E90,'MAPA DE PREÇOS'!B:B,0)+1))</f>
        <v>Fita guia passa fio 10 m</v>
      </c>
      <c r="J90" s="41" t="str">
        <f>IFERROR(IF(E90="","",INDEX('MAPA DE PREÇOS'!M:M,3+MATCH(ABC!E90,'MAPA DE PREÇOS'!B:B,0))),"")</f>
        <v>UN</v>
      </c>
      <c r="K90" s="52">
        <f t="array" ref="K90">IFERROR(IF(E90="","",INDEX('MAPA DE PREÇOS'!M:M,2+MATCH(ABC!E90,'MAPA DE PREÇOS'!B:B,0))),"")</f>
        <v>3</v>
      </c>
      <c r="L90" s="53">
        <f t="array" ref="L90">IFERROR(IF(AND(E89&lt;&gt;"",E90=""),"TOTAL ESTIMADO",INDEX('MAPA DE PREÇOS'!M:M,0+MATCH(ABC!E90,'MAPA DE PREÇOS'!B:B,0))),"")</f>
        <v>21.47</v>
      </c>
      <c r="M90" s="54">
        <f>IFERROR(IF(AND(E89&lt;&gt;"",E90=""),SUM($M$5:M89),INDEX('MAPA DE PREÇOS'!M:M,19+MATCH(ABC!E90,'MAPA DE PREÇOS'!B:B,0))),"")</f>
        <v>64.41</v>
      </c>
      <c r="N90" s="90">
        <f t="shared" si="8"/>
        <v>1.8800970376430986E-3</v>
      </c>
      <c r="O90" s="90">
        <f t="shared" si="11"/>
        <v>0.98104111431579621</v>
      </c>
      <c r="P90" s="54" t="str">
        <f t="shared" si="10"/>
        <v>C</v>
      </c>
    </row>
    <row r="91" spans="2:16" x14ac:dyDescent="0.25">
      <c r="B91" s="41">
        <v>86</v>
      </c>
      <c r="C91" s="42">
        <f>IFERROR(INDEX('MAPA DE PREÇOS'!M:M,MATCH(B91,'MAPA DE PREÇOS'!B:B,0)+19)/(SUMPRODUCT(EDITAL!I:I,EDITAL!J:J)),"")</f>
        <v>4.8956664361667519E-3</v>
      </c>
      <c r="D91" s="42">
        <f t="shared" si="9"/>
        <v>4.8956664361667519E-3</v>
      </c>
      <c r="E91" s="41">
        <f t="shared" si="7"/>
        <v>59</v>
      </c>
      <c r="F91" s="41">
        <f>IFERROR(VLOOKUP($E91,'MAPA DE PREÇOS'!$B:$D,2,FALSE),"")</f>
        <v>1</v>
      </c>
      <c r="G91" s="41">
        <f>IFERROR(VLOOKUP($E91,'MAPA DE PREÇOS'!$B:$D,3,FALSE),"")</f>
        <v>59</v>
      </c>
      <c r="H91" s="41">
        <f t="array" ref="H91">IFERROR(IF(E91="","",INDEX('MAPA DE PREÇOS'!H:H,0+MATCH(ABC!E91,'MAPA DE PREÇOS'!B:B,0))),"")</f>
        <v>0</v>
      </c>
      <c r="I91" t="str">
        <f>IF(E91="","",INDEX('MAPA DE PREÇOS'!H:H,MATCH(ABC!E91,'MAPA DE PREÇOS'!B:B,0)+1))</f>
        <v>Ventosa para vidro</v>
      </c>
      <c r="J91" s="41" t="str">
        <f>IFERROR(IF(E91="","",INDEX('MAPA DE PREÇOS'!M:M,3+MATCH(ABC!E91,'MAPA DE PREÇOS'!B:B,0))),"")</f>
        <v>UN</v>
      </c>
      <c r="K91" s="52">
        <f t="array" ref="K91">IFERROR(IF(E91="","",INDEX('MAPA DE PREÇOS'!M:M,2+MATCH(ABC!E91,'MAPA DE PREÇOS'!B:B,0))),"")</f>
        <v>2</v>
      </c>
      <c r="L91" s="53">
        <f t="array" ref="L91">IFERROR(IF(AND(E90&lt;&gt;"",E91=""),"TOTAL ESTIMADO",INDEX('MAPA DE PREÇOS'!M:M,0+MATCH(ABC!E91,'MAPA DE PREÇOS'!B:B,0))),"")</f>
        <v>31.63</v>
      </c>
      <c r="M91" s="54">
        <f>IFERROR(IF(AND(E90&lt;&gt;"",E91=""),SUM($M$5:M90),INDEX('MAPA DE PREÇOS'!M:M,19+MATCH(ABC!E91,'MAPA DE PREÇOS'!B:B,0))),"")</f>
        <v>63.26</v>
      </c>
      <c r="N91" s="90">
        <f t="shared" si="8"/>
        <v>1.8465290886710514E-3</v>
      </c>
      <c r="O91" s="90">
        <f t="shared" si="11"/>
        <v>0.98288764340446722</v>
      </c>
      <c r="P91" s="54" t="str">
        <f t="shared" si="10"/>
        <v>C</v>
      </c>
    </row>
    <row r="92" spans="2:16" x14ac:dyDescent="0.25">
      <c r="B92" s="41">
        <v>87</v>
      </c>
      <c r="C92" s="42">
        <f>IFERROR(INDEX('MAPA DE PREÇOS'!M:M,MATCH(B92,'MAPA DE PREÇOS'!B:B,0)+19)/(SUMPRODUCT(EDITAL!I:I,EDITAL!J:J)),"")</f>
        <v>7.117572762907828E-3</v>
      </c>
      <c r="D92" s="42">
        <f t="shared" si="9"/>
        <v>7.117572762907828E-3</v>
      </c>
      <c r="E92" s="41">
        <f t="shared" si="7"/>
        <v>97</v>
      </c>
      <c r="F92" s="41">
        <f>IFERROR(VLOOKUP($E92,'MAPA DE PREÇOS'!$B:$D,2,FALSE),"")</f>
        <v>1</v>
      </c>
      <c r="G92" s="41">
        <f>IFERROR(VLOOKUP($E92,'MAPA DE PREÇOS'!$B:$D,3,FALSE),"")</f>
        <v>97</v>
      </c>
      <c r="H92" s="41">
        <f t="array" ref="H92">IFERROR(IF(E92="","",INDEX('MAPA DE PREÇOS'!H:H,0+MATCH(ABC!E92,'MAPA DE PREÇOS'!B:B,0))),"")</f>
        <v>0</v>
      </c>
      <c r="I92" t="str">
        <f>IF(E92="","",INDEX('MAPA DE PREÇOS'!H:H,MATCH(ABC!E92,'MAPA DE PREÇOS'!B:B,0)+1))</f>
        <v>Martelo de pena</v>
      </c>
      <c r="J92" s="41" t="str">
        <f>IFERROR(IF(E92="","",INDEX('MAPA DE PREÇOS'!M:M,3+MATCH(ABC!E92,'MAPA DE PREÇOS'!B:B,0))),"")</f>
        <v>UN</v>
      </c>
      <c r="K92" s="52">
        <f t="array" ref="K92">IFERROR(IF(E92="","",INDEX('MAPA DE PREÇOS'!M:M,2+MATCH(ABC!E92,'MAPA DE PREÇOS'!B:B,0))),"")</f>
        <v>1</v>
      </c>
      <c r="L92" s="53">
        <f t="array" ref="L92">IFERROR(IF(AND(E91&lt;&gt;"",E92=""),"TOTAL ESTIMADO",INDEX('MAPA DE PREÇOS'!M:M,0+MATCH(ABC!E92,'MAPA DE PREÇOS'!B:B,0))),"")</f>
        <v>62.26</v>
      </c>
      <c r="M92" s="54">
        <f>IFERROR(IF(AND(E91&lt;&gt;"",E92=""),SUM($M$5:M91),INDEX('MAPA DE PREÇOS'!M:M,19+MATCH(ABC!E92,'MAPA DE PREÇOS'!B:B,0))),"")</f>
        <v>62.26</v>
      </c>
      <c r="N92" s="90">
        <f t="shared" si="8"/>
        <v>1.8173395678257927E-3</v>
      </c>
      <c r="O92" s="90">
        <f t="shared" si="11"/>
        <v>0.98470498297229303</v>
      </c>
      <c r="P92" s="54" t="str">
        <f t="shared" si="10"/>
        <v>C</v>
      </c>
    </row>
    <row r="93" spans="2:16" x14ac:dyDescent="0.25">
      <c r="B93" s="41">
        <v>88</v>
      </c>
      <c r="C93" s="42">
        <f>IFERROR(INDEX('MAPA DE PREÇOS'!M:M,MATCH(B93,'MAPA DE PREÇOS'!B:B,0)+19)/(SUMPRODUCT(EDITAL!I:I,EDITAL!J:J)),"")</f>
        <v>4.5477273476912713E-3</v>
      </c>
      <c r="D93" s="42">
        <f t="shared" si="9"/>
        <v>4.5477273476912713E-3</v>
      </c>
      <c r="E93" s="41">
        <f t="shared" si="7"/>
        <v>6</v>
      </c>
      <c r="F93" s="41">
        <f>IFERROR(VLOOKUP($E93,'MAPA DE PREÇOS'!$B:$D,2,FALSE),"")</f>
        <v>1</v>
      </c>
      <c r="G93" s="41">
        <f>IFERROR(VLOOKUP($E93,'MAPA DE PREÇOS'!$B:$D,3,FALSE),"")</f>
        <v>6</v>
      </c>
      <c r="H93" s="41">
        <f t="array" ref="H93">IFERROR(IF(E93="","",INDEX('MAPA DE PREÇOS'!H:H,0+MATCH(ABC!E93,'MAPA DE PREÇOS'!B:B,0))),"")</f>
        <v>0</v>
      </c>
      <c r="I93" t="str">
        <f>IF(E93="","",INDEX('MAPA DE PREÇOS'!H:H,MATCH(ABC!E93,'MAPA DE PREÇOS'!B:B,0)+1))</f>
        <v>Rolo de lã de pintura 15 cm com cabo</v>
      </c>
      <c r="J93" s="41" t="str">
        <f>IFERROR(IF(E93="","",INDEX('MAPA DE PREÇOS'!M:M,3+MATCH(ABC!E93,'MAPA DE PREÇOS'!B:B,0))),"")</f>
        <v>UN</v>
      </c>
      <c r="K93" s="52">
        <f t="array" ref="K93">IFERROR(IF(E93="","",INDEX('MAPA DE PREÇOS'!M:M,2+MATCH(ABC!E93,'MAPA DE PREÇOS'!B:B,0))),"")</f>
        <v>4</v>
      </c>
      <c r="L93" s="53">
        <f t="array" ref="L93">IFERROR(IF(AND(E92&lt;&gt;"",E93=""),"TOTAL ESTIMADO",INDEX('MAPA DE PREÇOS'!M:M,0+MATCH(ABC!E93,'MAPA DE PREÇOS'!B:B,0))),"")</f>
        <v>14.64</v>
      </c>
      <c r="M93" s="54">
        <f>IFERROR(IF(AND(E92&lt;&gt;"",E93=""),SUM($M$5:M92),INDEX('MAPA DE PREÇOS'!M:M,19+MATCH(ABC!E93,'MAPA DE PREÇOS'!B:B,0))),"")</f>
        <v>58.56</v>
      </c>
      <c r="N93" s="90">
        <f t="shared" si="8"/>
        <v>1.7093383406983366E-3</v>
      </c>
      <c r="O93" s="90">
        <f t="shared" si="11"/>
        <v>0.98641432131299134</v>
      </c>
      <c r="P93" s="54" t="str">
        <f t="shared" si="10"/>
        <v>C</v>
      </c>
    </row>
    <row r="94" spans="2:16" x14ac:dyDescent="0.25">
      <c r="B94" s="41">
        <v>89</v>
      </c>
      <c r="C94" s="42">
        <f>IFERROR(INDEX('MAPA DE PREÇOS'!M:M,MATCH(B94,'MAPA DE PREÇOS'!B:B,0)+19)/(SUMPRODUCT(EDITAL!I:I,EDITAL!J:J)),"")</f>
        <v>2.1658624467181791E-3</v>
      </c>
      <c r="D94" s="42">
        <f t="shared" si="9"/>
        <v>2.1658624467181791E-3</v>
      </c>
      <c r="E94" s="41">
        <f t="shared" si="7"/>
        <v>98</v>
      </c>
      <c r="F94" s="41">
        <f>IFERROR(VLOOKUP($E94,'MAPA DE PREÇOS'!$B:$D,2,FALSE),"")</f>
        <v>1</v>
      </c>
      <c r="G94" s="41">
        <f>IFERROR(VLOOKUP($E94,'MAPA DE PREÇOS'!$B:$D,3,FALSE),"")</f>
        <v>98</v>
      </c>
      <c r="H94" s="41">
        <f t="array" ref="H94">IFERROR(IF(E94="","",INDEX('MAPA DE PREÇOS'!H:H,0+MATCH(ABC!E94,'MAPA DE PREÇOS'!B:B,0))),"")</f>
        <v>0</v>
      </c>
      <c r="I94" t="str">
        <f>IF(E94="","",INDEX('MAPA DE PREÇOS'!H:H,MATCH(ABC!E94,'MAPA DE PREÇOS'!B:B,0)+1))</f>
        <v>Martelo de retrocesso</v>
      </c>
      <c r="J94" s="41" t="str">
        <f>IFERROR(IF(E94="","",INDEX('MAPA DE PREÇOS'!M:M,3+MATCH(ABC!E94,'MAPA DE PREÇOS'!B:B,0))),"")</f>
        <v>UN</v>
      </c>
      <c r="K94" s="52">
        <f t="array" ref="K94">IFERROR(IF(E94="","",INDEX('MAPA DE PREÇOS'!M:M,2+MATCH(ABC!E94,'MAPA DE PREÇOS'!B:B,0))),"")</f>
        <v>1</v>
      </c>
      <c r="L94" s="53">
        <f t="array" ref="L94">IFERROR(IF(AND(E93&lt;&gt;"",E94=""),"TOTAL ESTIMADO",INDEX('MAPA DE PREÇOS'!M:M,0+MATCH(ABC!E94,'MAPA DE PREÇOS'!B:B,0))),"")</f>
        <v>57.32</v>
      </c>
      <c r="M94" s="54">
        <f>IFERROR(IF(AND(E93&lt;&gt;"",E94=""),SUM($M$5:M93),INDEX('MAPA DE PREÇOS'!M:M,19+MATCH(ABC!E94,'MAPA DE PREÇOS'!B:B,0))),"")</f>
        <v>57.32</v>
      </c>
      <c r="N94" s="90">
        <f t="shared" si="8"/>
        <v>1.6731433348502161E-3</v>
      </c>
      <c r="O94" s="90">
        <f t="shared" si="11"/>
        <v>0.98808746464784158</v>
      </c>
      <c r="P94" s="54" t="str">
        <f t="shared" si="10"/>
        <v>C</v>
      </c>
    </row>
    <row r="95" spans="2:16" x14ac:dyDescent="0.25">
      <c r="B95" s="41">
        <v>90</v>
      </c>
      <c r="C95" s="42">
        <f>IFERROR(INDEX('MAPA DE PREÇOS'!M:M,MATCH(B95,'MAPA DE PREÇOS'!B:B,0)+19)/(SUMPRODUCT(EDITAL!I:I,EDITAL!J:J)),"")</f>
        <v>3.6440197823220687E-2</v>
      </c>
      <c r="D95" s="42">
        <f t="shared" si="9"/>
        <v>3.6440197823220687E-2</v>
      </c>
      <c r="E95" s="41">
        <f t="shared" si="7"/>
        <v>66</v>
      </c>
      <c r="F95" s="41">
        <f>IFERROR(VLOOKUP($E95,'MAPA DE PREÇOS'!$B:$D,2,FALSE),"")</f>
        <v>1</v>
      </c>
      <c r="G95" s="41">
        <f>IFERROR(VLOOKUP($E95,'MAPA DE PREÇOS'!$B:$D,3,FALSE),"")</f>
        <v>66</v>
      </c>
      <c r="H95" s="41">
        <f t="array" ref="H95">IFERROR(IF(E95="","",INDEX('MAPA DE PREÇOS'!H:H,0+MATCH(ABC!E95,'MAPA DE PREÇOS'!B:B,0))),"")</f>
        <v>0</v>
      </c>
      <c r="I95" t="str">
        <f>IF(E95="","",INDEX('MAPA DE PREÇOS'!H:H,MATCH(ABC!E95,'MAPA DE PREÇOS'!B:B,0)+1))</f>
        <v>Colher de pedreiro</v>
      </c>
      <c r="J95" s="41" t="str">
        <f>IFERROR(IF(E95="","",INDEX('MAPA DE PREÇOS'!M:M,3+MATCH(ABC!E95,'MAPA DE PREÇOS'!B:B,0))),"")</f>
        <v>UN</v>
      </c>
      <c r="K95" s="52">
        <f t="array" ref="K95">IFERROR(IF(E95="","",INDEX('MAPA DE PREÇOS'!M:M,2+MATCH(ABC!E95,'MAPA DE PREÇOS'!B:B,0))),"")</f>
        <v>4</v>
      </c>
      <c r="L95" s="53">
        <f t="array" ref="L95">IFERROR(IF(AND(E94&lt;&gt;"",E95=""),"TOTAL ESTIMADO",INDEX('MAPA DE PREÇOS'!M:M,0+MATCH(ABC!E95,'MAPA DE PREÇOS'!B:B,0))),"")</f>
        <v>14.12</v>
      </c>
      <c r="M95" s="54">
        <f>IFERROR(IF(AND(E94&lt;&gt;"",E95=""),SUM($M$5:M94),INDEX('MAPA DE PREÇOS'!M:M,19+MATCH(ABC!E95,'MAPA DE PREÇOS'!B:B,0))),"")</f>
        <v>56.48</v>
      </c>
      <c r="N95" s="90">
        <f t="shared" si="8"/>
        <v>1.6486241373401989E-3</v>
      </c>
      <c r="O95" s="90">
        <f t="shared" si="11"/>
        <v>0.98973608878518182</v>
      </c>
      <c r="P95" s="54" t="str">
        <f t="shared" si="10"/>
        <v>C</v>
      </c>
    </row>
    <row r="96" spans="2:16" x14ac:dyDescent="0.25">
      <c r="B96" s="41">
        <v>91</v>
      </c>
      <c r="C96" s="42">
        <f>IFERROR(INDEX('MAPA DE PREÇOS'!M:M,MATCH(B96,'MAPA DE PREÇOS'!B:B,0)+19)/(SUMPRODUCT(EDITAL!I:I,EDITAL!J:J)),"")</f>
        <v>1.3126527524112738E-3</v>
      </c>
      <c r="D96" s="42">
        <f t="shared" si="9"/>
        <v>1.3126527524112738E-3</v>
      </c>
      <c r="E96" s="41">
        <f t="shared" si="7"/>
        <v>7</v>
      </c>
      <c r="F96" s="41">
        <f>IFERROR(VLOOKUP($E96,'MAPA DE PREÇOS'!$B:$D,2,FALSE),"")</f>
        <v>1</v>
      </c>
      <c r="G96" s="41">
        <f>IFERROR(VLOOKUP($E96,'MAPA DE PREÇOS'!$B:$D,3,FALSE),"")</f>
        <v>7</v>
      </c>
      <c r="H96" s="41">
        <f t="array" ref="H96">IFERROR(IF(E96="","",INDEX('MAPA DE PREÇOS'!H:H,0+MATCH(ABC!E96,'MAPA DE PREÇOS'!B:B,0))),"")</f>
        <v>0</v>
      </c>
      <c r="I96" t="str">
        <f>IF(E96="","",INDEX('MAPA DE PREÇOS'!H:H,MATCH(ABC!E96,'MAPA DE PREÇOS'!B:B,0)+1))</f>
        <v xml:space="preserve">Rolo de lã de pintura 9 cm com cabo </v>
      </c>
      <c r="J96" s="41" t="str">
        <f>IFERROR(IF(E96="","",INDEX('MAPA DE PREÇOS'!M:M,3+MATCH(ABC!E96,'MAPA DE PREÇOS'!B:B,0))),"")</f>
        <v>UN</v>
      </c>
      <c r="K96" s="52">
        <f t="array" ref="K96">IFERROR(IF(E96="","",INDEX('MAPA DE PREÇOS'!M:M,2+MATCH(ABC!E96,'MAPA DE PREÇOS'!B:B,0))),"")</f>
        <v>4</v>
      </c>
      <c r="L96" s="53">
        <f t="array" ref="L96">IFERROR(IF(AND(E95&lt;&gt;"",E96=""),"TOTAL ESTIMADO",INDEX('MAPA DE PREÇOS'!M:M,0+MATCH(ABC!E96,'MAPA DE PREÇOS'!B:B,0))),"")</f>
        <v>12.26</v>
      </c>
      <c r="M96" s="54">
        <f>IFERROR(IF(AND(E95&lt;&gt;"",E96=""),SUM($M$5:M95),INDEX('MAPA DE PREÇOS'!M:M,19+MATCH(ABC!E96,'MAPA DE PREÇOS'!B:B,0))),"")</f>
        <v>49.04</v>
      </c>
      <c r="N96" s="90">
        <f t="shared" si="8"/>
        <v>1.4314541022514757E-3</v>
      </c>
      <c r="O96" s="90">
        <f t="shared" si="11"/>
        <v>0.99116754288743325</v>
      </c>
      <c r="P96" s="54" t="str">
        <f t="shared" si="10"/>
        <v>C</v>
      </c>
    </row>
    <row r="97" spans="2:16" x14ac:dyDescent="0.25">
      <c r="B97" s="41">
        <v>92</v>
      </c>
      <c r="C97" s="42">
        <f>IFERROR(INDEX('MAPA DE PREÇOS'!M:M,MATCH(B97,'MAPA DE PREÇOS'!B:B,0)+19)/(SUMPRODUCT(EDITAL!I:I,EDITAL!J:J)),"")</f>
        <v>4.8527578405242223E-3</v>
      </c>
      <c r="D97" s="42">
        <f t="shared" si="9"/>
        <v>4.8527578405242223E-3</v>
      </c>
      <c r="E97" s="41">
        <f t="shared" si="7"/>
        <v>10</v>
      </c>
      <c r="F97" s="41">
        <f>IFERROR(VLOOKUP($E97,'MAPA DE PREÇOS'!$B:$D,2,FALSE),"")</f>
        <v>1</v>
      </c>
      <c r="G97" s="41">
        <f>IFERROR(VLOOKUP($E97,'MAPA DE PREÇOS'!$B:$D,3,FALSE),"")</f>
        <v>10</v>
      </c>
      <c r="H97" s="41">
        <f t="array" ref="H97">IFERROR(IF(E97="","",INDEX('MAPA DE PREÇOS'!H:H,0+MATCH(ABC!E97,'MAPA DE PREÇOS'!B:B,0))),"")</f>
        <v>0</v>
      </c>
      <c r="I97" t="str">
        <f>IF(E97="","",INDEX('MAPA DE PREÇOS'!H:H,MATCH(ABC!E97,'MAPA DE PREÇOS'!B:B,0)+1))</f>
        <v>Espátula rígida</v>
      </c>
      <c r="J97" s="41" t="str">
        <f>IFERROR(IF(E97="","",INDEX('MAPA DE PREÇOS'!M:M,3+MATCH(ABC!E97,'MAPA DE PREÇOS'!B:B,0))),"")</f>
        <v>UN</v>
      </c>
      <c r="K97" s="52">
        <f t="array" ref="K97">IFERROR(IF(E97="","",INDEX('MAPA DE PREÇOS'!M:M,2+MATCH(ABC!E97,'MAPA DE PREÇOS'!B:B,0))),"")</f>
        <v>4</v>
      </c>
      <c r="L97" s="53">
        <f t="array" ref="L97">IFERROR(IF(AND(E96&lt;&gt;"",E97=""),"TOTAL ESTIMADO",INDEX('MAPA DE PREÇOS'!M:M,0+MATCH(ABC!E97,'MAPA DE PREÇOS'!B:B,0))),"")</f>
        <v>11.4</v>
      </c>
      <c r="M97" s="54">
        <f>IFERROR(IF(AND(E96&lt;&gt;"",E97=""),SUM($M$5:M96),INDEX('MAPA DE PREÇOS'!M:M,19+MATCH(ABC!E97,'MAPA DE PREÇOS'!B:B,0))),"")</f>
        <v>45.6</v>
      </c>
      <c r="N97" s="90">
        <f t="shared" si="8"/>
        <v>1.3310421505437866E-3</v>
      </c>
      <c r="O97" s="90">
        <f t="shared" si="11"/>
        <v>0.99249858503797705</v>
      </c>
      <c r="P97" s="54" t="str">
        <f t="shared" si="10"/>
        <v>C</v>
      </c>
    </row>
    <row r="98" spans="2:16" x14ac:dyDescent="0.25">
      <c r="B98" s="41">
        <v>93</v>
      </c>
      <c r="C98" s="42">
        <f>IFERROR(INDEX('MAPA DE PREÇOS'!M:M,MATCH(B98,'MAPA DE PREÇOS'!B:B,0)+19)/(SUMPRODUCT(EDITAL!I:I,EDITAL!J:J)),"")</f>
        <v>3.1696900685866183E-3</v>
      </c>
      <c r="D98" s="42">
        <f t="shared" si="9"/>
        <v>3.1696900685866183E-3</v>
      </c>
      <c r="E98" s="41">
        <f t="shared" si="7"/>
        <v>91</v>
      </c>
      <c r="F98" s="41">
        <f>IFERROR(VLOOKUP($E98,'MAPA DE PREÇOS'!$B:$D,2,FALSE),"")</f>
        <v>1</v>
      </c>
      <c r="G98" s="41">
        <f>IFERROR(VLOOKUP($E98,'MAPA DE PREÇOS'!$B:$D,3,FALSE),"")</f>
        <v>91</v>
      </c>
      <c r="H98" s="41">
        <f t="array" ref="H98">IFERROR(IF(E98="","",INDEX('MAPA DE PREÇOS'!H:H,0+MATCH(ABC!E98,'MAPA DE PREÇOS'!B:B,0))),"")</f>
        <v>0</v>
      </c>
      <c r="I98" t="str">
        <f>IF(E98="","",INDEX('MAPA DE PREÇOS'!H:H,MATCH(ABC!E98,'MAPA DE PREÇOS'!B:B,0)+1))</f>
        <v>Morsa</v>
      </c>
      <c r="J98" s="41" t="str">
        <f>IFERROR(IF(E98="","",INDEX('MAPA DE PREÇOS'!M:M,3+MATCH(ABC!E98,'MAPA DE PREÇOS'!B:B,0))),"")</f>
        <v>UN</v>
      </c>
      <c r="K98" s="52">
        <f t="array" ref="K98">IFERROR(IF(E98="","",INDEX('MAPA DE PREÇOS'!M:M,2+MATCH(ABC!E98,'MAPA DE PREÇOS'!B:B,0))),"")</f>
        <v>1</v>
      </c>
      <c r="L98" s="53">
        <f t="array" ref="L98">IFERROR(IF(AND(E97&lt;&gt;"",E98=""),"TOTAL ESTIMADO",INDEX('MAPA DE PREÇOS'!M:M,0+MATCH(ABC!E98,'MAPA DE PREÇOS'!B:B,0))),"")</f>
        <v>44.97</v>
      </c>
      <c r="M98" s="54">
        <f>IFERROR(IF(AND(E97&lt;&gt;"",E98=""),SUM($M$5:M97),INDEX('MAPA DE PREÇOS'!M:M,19+MATCH(ABC!E98,'MAPA DE PREÇOS'!B:B,0))),"")</f>
        <v>44.97</v>
      </c>
      <c r="N98" s="90">
        <f t="shared" si="8"/>
        <v>1.3126527524112738E-3</v>
      </c>
      <c r="O98" s="90">
        <f t="shared" si="11"/>
        <v>0.99381123779038838</v>
      </c>
      <c r="P98" s="54" t="str">
        <f t="shared" si="10"/>
        <v>C</v>
      </c>
    </row>
    <row r="99" spans="2:16" x14ac:dyDescent="0.25">
      <c r="B99" s="41">
        <v>94</v>
      </c>
      <c r="C99" s="42">
        <f>IFERROR(INDEX('MAPA DE PREÇOS'!M:M,MATCH(B99,'MAPA DE PREÇOS'!B:B,0)+19)/(SUMPRODUCT(EDITAL!I:I,EDITAL!J:J)),"")</f>
        <v>7.5980322760207822E-4</v>
      </c>
      <c r="D99" s="42">
        <f t="shared" si="9"/>
        <v>7.5980322760207822E-4</v>
      </c>
      <c r="E99" s="41">
        <f t="shared" si="7"/>
        <v>11</v>
      </c>
      <c r="F99" s="41">
        <f>IFERROR(VLOOKUP($E99,'MAPA DE PREÇOS'!$B:$D,2,FALSE),"")</f>
        <v>1</v>
      </c>
      <c r="G99" s="41">
        <f>IFERROR(VLOOKUP($E99,'MAPA DE PREÇOS'!$B:$D,3,FALSE),"")</f>
        <v>11</v>
      </c>
      <c r="H99" s="41">
        <f t="array" ref="H99">IFERROR(IF(E99="","",INDEX('MAPA DE PREÇOS'!H:H,0+MATCH(ABC!E99,'MAPA DE PREÇOS'!B:B,0))),"")</f>
        <v>0</v>
      </c>
      <c r="I99" t="str">
        <f>IF(E99="","",INDEX('MAPA DE PREÇOS'!H:H,MATCH(ABC!E99,'MAPA DE PREÇOS'!B:B,0)+1))</f>
        <v>Espátula flexível</v>
      </c>
      <c r="J99" s="41" t="str">
        <f>IFERROR(IF(E99="","",INDEX('MAPA DE PREÇOS'!M:M,3+MATCH(ABC!E99,'MAPA DE PREÇOS'!B:B,0))),"")</f>
        <v>UN</v>
      </c>
      <c r="K99" s="52">
        <f t="array" ref="K99">IFERROR(IF(E99="","",INDEX('MAPA DE PREÇOS'!M:M,2+MATCH(ABC!E99,'MAPA DE PREÇOS'!B:B,0))),"")</f>
        <v>4</v>
      </c>
      <c r="L99" s="53">
        <f t="array" ref="L99">IFERROR(IF(AND(E98&lt;&gt;"",E99=""),"TOTAL ESTIMADO",INDEX('MAPA DE PREÇOS'!M:M,0+MATCH(ABC!E99,'MAPA DE PREÇOS'!B:B,0))),"")</f>
        <v>10.88</v>
      </c>
      <c r="M99" s="54">
        <f>IFERROR(IF(AND(E98&lt;&gt;"",E99=""),SUM($M$5:M98),INDEX('MAPA DE PREÇOS'!M:M,19+MATCH(ABC!E99,'MAPA DE PREÇOS'!B:B,0))),"")</f>
        <v>43.52</v>
      </c>
      <c r="N99" s="90">
        <f t="shared" si="8"/>
        <v>1.2703279471856491E-3</v>
      </c>
      <c r="O99" s="90">
        <f t="shared" si="11"/>
        <v>0.995081565737574</v>
      </c>
      <c r="P99" s="54" t="str">
        <f t="shared" si="10"/>
        <v>C</v>
      </c>
    </row>
    <row r="100" spans="2:16" x14ac:dyDescent="0.25">
      <c r="B100" s="41">
        <v>95</v>
      </c>
      <c r="C100" s="42">
        <f>IFERROR(INDEX('MAPA DE PREÇOS'!M:M,MATCH(B100,'MAPA DE PREÇOS'!B:B,0)+19)/(SUMPRODUCT(EDITAL!I:I,EDITAL!J:J)),"")</f>
        <v>1.2285869323769294E-3</v>
      </c>
      <c r="D100" s="42">
        <f t="shared" si="9"/>
        <v>1.2285869323769294E-3</v>
      </c>
      <c r="E100" s="41">
        <f t="shared" si="7"/>
        <v>80</v>
      </c>
      <c r="F100" s="41">
        <f>IFERROR(VLOOKUP($E100,'MAPA DE PREÇOS'!$B:$D,2,FALSE),"")</f>
        <v>1</v>
      </c>
      <c r="G100" s="41">
        <f>IFERROR(VLOOKUP($E100,'MAPA DE PREÇOS'!$B:$D,3,FALSE),"")</f>
        <v>80</v>
      </c>
      <c r="H100" s="41">
        <f t="array" ref="H100">IFERROR(IF(E100="","",INDEX('MAPA DE PREÇOS'!H:H,0+MATCH(ABC!E100,'MAPA DE PREÇOS'!B:B,0))),"")</f>
        <v>0</v>
      </c>
      <c r="I100" t="str">
        <f>IF(E100="","",INDEX('MAPA DE PREÇOS'!H:H,MATCH(ABC!E100,'MAPA DE PREÇOS'!B:B,0)+1))</f>
        <v>Linha para pedreiro</v>
      </c>
      <c r="J100" s="41" t="str">
        <f>IFERROR(IF(E100="","",INDEX('MAPA DE PREÇOS'!M:M,3+MATCH(ABC!E100,'MAPA DE PREÇOS'!B:B,0))),"")</f>
        <v>UN</v>
      </c>
      <c r="K100" s="52">
        <f t="array" ref="K100">IFERROR(IF(E100="","",INDEX('MAPA DE PREÇOS'!M:M,2+MATCH(ABC!E100,'MAPA DE PREÇOS'!B:B,0))),"")</f>
        <v>4</v>
      </c>
      <c r="L100" s="53">
        <f t="array" ref="L100">IFERROR(IF(AND(E99&lt;&gt;"",E100=""),"TOTAL ESTIMADO",INDEX('MAPA DE PREÇOS'!M:M,0+MATCH(ABC!E100,'MAPA DE PREÇOS'!B:B,0))),"")</f>
        <v>10.75</v>
      </c>
      <c r="M100" s="54">
        <f>IFERROR(IF(AND(E99&lt;&gt;"",E100=""),SUM($M$5:M99),INDEX('MAPA DE PREÇOS'!M:M,19+MATCH(ABC!E100,'MAPA DE PREÇOS'!B:B,0))),"")</f>
        <v>43</v>
      </c>
      <c r="N100" s="90">
        <f t="shared" si="8"/>
        <v>1.2551493963461147E-3</v>
      </c>
      <c r="O100" s="90">
        <f t="shared" si="11"/>
        <v>0.99633671513392008</v>
      </c>
      <c r="P100" s="54" t="str">
        <f t="shared" si="10"/>
        <v>C</v>
      </c>
    </row>
    <row r="101" spans="2:16" x14ac:dyDescent="0.25">
      <c r="B101" s="41">
        <v>96</v>
      </c>
      <c r="C101" s="42">
        <f>IFERROR(INDEX('MAPA DE PREÇOS'!M:M,MATCH(B101,'MAPA DE PREÇOS'!B:B,0)+19)/(SUMPRODUCT(EDITAL!I:I,EDITAL!J:J)),"")</f>
        <v>1.9805089893507877E-3</v>
      </c>
      <c r="D101" s="42">
        <f t="shared" si="9"/>
        <v>1.9805089893507877E-3</v>
      </c>
      <c r="E101" s="41">
        <f t="shared" si="7"/>
        <v>95</v>
      </c>
      <c r="F101" s="41">
        <f>IFERROR(VLOOKUP($E101,'MAPA DE PREÇOS'!$B:$D,2,FALSE),"")</f>
        <v>1</v>
      </c>
      <c r="G101" s="41">
        <f>IFERROR(VLOOKUP($E101,'MAPA DE PREÇOS'!$B:$D,3,FALSE),"")</f>
        <v>95</v>
      </c>
      <c r="H101" s="41">
        <f t="array" ref="H101">IFERROR(IF(E101="","",INDEX('MAPA DE PREÇOS'!H:H,0+MATCH(ABC!E101,'MAPA DE PREÇOS'!B:B,0))),"")</f>
        <v>0</v>
      </c>
      <c r="I101" t="str">
        <f>IF(E101="","",INDEX('MAPA DE PREÇOS'!H:H,MATCH(ABC!E101,'MAPA DE PREÇOS'!B:B,0)+1))</f>
        <v xml:space="preserve">Martelo picador de solda </v>
      </c>
      <c r="J101" s="41" t="str">
        <f>IFERROR(IF(E101="","",INDEX('MAPA DE PREÇOS'!M:M,3+MATCH(ABC!E101,'MAPA DE PREÇOS'!B:B,0))),"")</f>
        <v>UN</v>
      </c>
      <c r="K101" s="52">
        <f t="array" ref="K101">IFERROR(IF(E101="","",INDEX('MAPA DE PREÇOS'!M:M,2+MATCH(ABC!E101,'MAPA DE PREÇOS'!B:B,0))),"")</f>
        <v>1</v>
      </c>
      <c r="L101" s="53">
        <f t="array" ref="L101">IFERROR(IF(AND(E100&lt;&gt;"",E101=""),"TOTAL ESTIMADO",INDEX('MAPA DE PREÇOS'!M:M,0+MATCH(ABC!E101,'MAPA DE PREÇOS'!B:B,0))),"")</f>
        <v>42.09</v>
      </c>
      <c r="M101" s="54">
        <f>IFERROR(IF(AND(E100&lt;&gt;"",E101=""),SUM($M$5:M100),INDEX('MAPA DE PREÇOS'!M:M,19+MATCH(ABC!E101,'MAPA DE PREÇOS'!B:B,0))),"")</f>
        <v>42.09</v>
      </c>
      <c r="N101" s="90">
        <f t="shared" si="8"/>
        <v>1.2285869323769294E-3</v>
      </c>
      <c r="O101" s="90">
        <f t="shared" si="11"/>
        <v>0.99756530206629701</v>
      </c>
      <c r="P101" s="54" t="str">
        <f t="shared" si="10"/>
        <v>C</v>
      </c>
    </row>
    <row r="102" spans="2:16" x14ac:dyDescent="0.25">
      <c r="B102" s="41">
        <v>97</v>
      </c>
      <c r="C102" s="42">
        <f>IFERROR(INDEX('MAPA DE PREÇOS'!M:M,MATCH(B102,'MAPA DE PREÇOS'!B:B,0)+19)/(SUMPRODUCT(EDITAL!I:I,EDITAL!J:J)),"")</f>
        <v>1.8173395678257927E-3</v>
      </c>
      <c r="D102" s="42">
        <f t="shared" si="9"/>
        <v>1.8173395678257927E-3</v>
      </c>
      <c r="E102" s="41">
        <f t="shared" ref="E102:E105" si="12">IFERROR(INDEX(B:B,MATCH(LARGE(D:D,ROW()-5),D:D,0)),"")</f>
        <v>13</v>
      </c>
      <c r="F102" s="41">
        <f>IFERROR(VLOOKUP($E102,'MAPA DE PREÇOS'!$B:$D,2,FALSE),"")</f>
        <v>1</v>
      </c>
      <c r="G102" s="41">
        <f>IFERROR(VLOOKUP($E102,'MAPA DE PREÇOS'!$B:$D,3,FALSE),"")</f>
        <v>13</v>
      </c>
      <c r="H102" s="41">
        <f t="array" ref="H102">IFERROR(IF(E102="","",INDEX('MAPA DE PREÇOS'!H:H,0+MATCH(ABC!E102,'MAPA DE PREÇOS'!B:B,0))),"")</f>
        <v>0</v>
      </c>
      <c r="I102" t="str">
        <f>IF(E102="","",INDEX('MAPA DE PREÇOS'!H:H,MATCH(ABC!E102,'MAPA DE PREÇOS'!B:B,0)+1))</f>
        <v xml:space="preserve">Escova de aço </v>
      </c>
      <c r="J102" s="41" t="str">
        <f>IFERROR(IF(E102="","",INDEX('MAPA DE PREÇOS'!M:M,3+MATCH(ABC!E102,'MAPA DE PREÇOS'!B:B,0))),"")</f>
        <v>UN</v>
      </c>
      <c r="K102" s="52">
        <f t="array" ref="K102">IFERROR(IF(E102="","",INDEX('MAPA DE PREÇOS'!M:M,2+MATCH(ABC!E102,'MAPA DE PREÇOS'!B:B,0))),"")</f>
        <v>4</v>
      </c>
      <c r="L102" s="53">
        <f t="array" ref="L102">IFERROR(IF(AND(E101&lt;&gt;"",E102=""),"TOTAL ESTIMADO",INDEX('MAPA DE PREÇOS'!M:M,0+MATCH(ABC!E102,'MAPA DE PREÇOS'!B:B,0))),"")</f>
        <v>6.62</v>
      </c>
      <c r="M102" s="54">
        <f>IFERROR(IF(AND(E101&lt;&gt;"",E102=""),SUM($M$5:M101),INDEX('MAPA DE PREÇOS'!M:M,19+MATCH(ABC!E102,'MAPA DE PREÇOS'!B:B,0))),"")</f>
        <v>26.48</v>
      </c>
      <c r="N102" s="90">
        <f t="shared" si="8"/>
        <v>7.7293851198244454E-4</v>
      </c>
      <c r="O102" s="90">
        <f t="shared" si="11"/>
        <v>0.99833824057827947</v>
      </c>
      <c r="P102" s="54" t="str">
        <f t="shared" si="10"/>
        <v>C</v>
      </c>
    </row>
    <row r="103" spans="2:16" x14ac:dyDescent="0.25">
      <c r="B103" s="41">
        <v>98</v>
      </c>
      <c r="C103" s="42">
        <f>IFERROR(INDEX('MAPA DE PREÇOS'!M:M,MATCH(B103,'MAPA DE PREÇOS'!B:B,0)+19)/(SUMPRODUCT(EDITAL!I:I,EDITAL!J:J)),"")</f>
        <v>1.6731433348502161E-3</v>
      </c>
      <c r="D103" s="42">
        <f t="shared" si="9"/>
        <v>1.6731433348502161E-3</v>
      </c>
      <c r="E103" s="41">
        <f t="shared" si="12"/>
        <v>94</v>
      </c>
      <c r="F103" s="41">
        <f>IFERROR(VLOOKUP($E103,'MAPA DE PREÇOS'!$B:$D,2,FALSE),"")</f>
        <v>1</v>
      </c>
      <c r="G103" s="41">
        <f>IFERROR(VLOOKUP($E103,'MAPA DE PREÇOS'!$B:$D,3,FALSE),"")</f>
        <v>94</v>
      </c>
      <c r="H103" s="41">
        <f t="array" ref="H103">IFERROR(IF(E103="","",INDEX('MAPA DE PREÇOS'!H:H,0+MATCH(ABC!E103,'MAPA DE PREÇOS'!B:B,0))),"")</f>
        <v>0</v>
      </c>
      <c r="I103" t="str">
        <f>IF(E103="","",INDEX('MAPA DE PREÇOS'!H:H,MATCH(ABC!E103,'MAPA DE PREÇOS'!B:B,0)+1))</f>
        <v>Punção de serralheiro</v>
      </c>
      <c r="J103" s="41" t="str">
        <f>IFERROR(IF(E103="","",INDEX('MAPA DE PREÇOS'!M:M,3+MATCH(ABC!E103,'MAPA DE PREÇOS'!B:B,0))),"")</f>
        <v>UN</v>
      </c>
      <c r="K103" s="52">
        <f t="array" ref="K103">IFERROR(IF(E103="","",INDEX('MAPA DE PREÇOS'!M:M,2+MATCH(ABC!E103,'MAPA DE PREÇOS'!B:B,0))),"")</f>
        <v>1</v>
      </c>
      <c r="L103" s="53">
        <f t="array" ref="L103">IFERROR(IF(AND(E102&lt;&gt;"",E103=""),"TOTAL ESTIMADO",INDEX('MAPA DE PREÇOS'!M:M,0+MATCH(ABC!E103,'MAPA DE PREÇOS'!B:B,0))),"")</f>
        <v>26.03</v>
      </c>
      <c r="M103" s="54">
        <f>IFERROR(IF(AND(E102&lt;&gt;"",E103=""),SUM($M$5:M102),INDEX('MAPA DE PREÇOS'!M:M,19+MATCH(ABC!E103,'MAPA DE PREÇOS'!B:B,0))),"")</f>
        <v>26.03</v>
      </c>
      <c r="N103" s="90">
        <f t="shared" si="8"/>
        <v>7.5980322760207822E-4</v>
      </c>
      <c r="O103" s="90">
        <f t="shared" si="11"/>
        <v>0.99909804380588152</v>
      </c>
      <c r="P103" s="54" t="str">
        <f t="shared" si="10"/>
        <v>C</v>
      </c>
    </row>
    <row r="104" spans="2:16" x14ac:dyDescent="0.25">
      <c r="B104" s="41">
        <v>99</v>
      </c>
      <c r="C104" s="42">
        <f>IFERROR(INDEX('MAPA DE PREÇOS'!M:M,MATCH(B104,'MAPA DE PREÇOS'!B:B,0)+19)/(SUMPRODUCT(EDITAL!I:I,EDITAL!J:J)),"")</f>
        <v>1.339448732547221E-2</v>
      </c>
      <c r="D104" s="42">
        <f t="shared" si="9"/>
        <v>1.339448732547221E-2</v>
      </c>
      <c r="E104" s="41">
        <f t="shared" si="12"/>
        <v>61</v>
      </c>
      <c r="F104" s="41">
        <f>IFERROR(VLOOKUP($E104,'MAPA DE PREÇOS'!$B:$D,2,FALSE),"")</f>
        <v>1</v>
      </c>
      <c r="G104" s="41">
        <f>IFERROR(VLOOKUP($E104,'MAPA DE PREÇOS'!$B:$D,3,FALSE),"")</f>
        <v>61</v>
      </c>
      <c r="H104" s="41">
        <f t="array" ref="H104">IFERROR(IF(E104="","",INDEX('MAPA DE PREÇOS'!H:H,0+MATCH(ABC!E104,'MAPA DE PREÇOS'!B:B,0))),"")</f>
        <v>0</v>
      </c>
      <c r="I104" t="str">
        <f>IF(E104="","",INDEX('MAPA DE PREÇOS'!H:H,MATCH(ABC!E104,'MAPA DE PREÇOS'!B:B,0)+1))</f>
        <v>Espátula para vidraceiro</v>
      </c>
      <c r="J104" s="41" t="str">
        <f>IFERROR(IF(E104="","",INDEX('MAPA DE PREÇOS'!M:M,3+MATCH(ABC!E104,'MAPA DE PREÇOS'!B:B,0))),"")</f>
        <v>UN</v>
      </c>
      <c r="K104" s="52">
        <f t="array" ref="K104">IFERROR(IF(E104="","",INDEX('MAPA DE PREÇOS'!M:M,2+MATCH(ABC!E104,'MAPA DE PREÇOS'!B:B,0))),"")</f>
        <v>1</v>
      </c>
      <c r="L104" s="53">
        <f t="array" ref="L104">IFERROR(IF(AND(E103&lt;&gt;"",E104=""),"TOTAL ESTIMADO",INDEX('MAPA DE PREÇOS'!M:M,0+MATCH(ABC!E104,'MAPA DE PREÇOS'!B:B,0))),"")</f>
        <v>16.5</v>
      </c>
      <c r="M104" s="54">
        <f>IFERROR(IF(AND(E103&lt;&gt;"",E104=""),SUM($M$5:M103),INDEX('MAPA DE PREÇOS'!M:M,19+MATCH(ABC!E104,'MAPA DE PREÇOS'!B:B,0))),"")</f>
        <v>16.5</v>
      </c>
      <c r="N104" s="90">
        <f t="shared" si="8"/>
        <v>4.8162709394676491E-4</v>
      </c>
      <c r="P104" s="54" t="str">
        <f t="shared" si="10"/>
        <v/>
      </c>
    </row>
    <row r="105" spans="2:16" x14ac:dyDescent="0.25">
      <c r="B105" s="41">
        <v>100</v>
      </c>
      <c r="C105" s="42">
        <f>IFERROR(INDEX('MAPA DE PREÇOS'!M:M,MATCH(B105,'MAPA DE PREÇOS'!B:B,0)+19)/(SUMPRODUCT(EDITAL!I:I,EDITAL!J:J)),"")</f>
        <v>7.7387257664949284E-3</v>
      </c>
      <c r="D105" s="42">
        <f t="shared" si="9"/>
        <v>7.7387257664949284E-3</v>
      </c>
      <c r="E105" s="41">
        <f t="shared" si="12"/>
        <v>62</v>
      </c>
      <c r="F105" s="41">
        <f>IFERROR(VLOOKUP($E105,'MAPA DE PREÇOS'!$B:$D,2,FALSE),"")</f>
        <v>1</v>
      </c>
      <c r="G105" s="41">
        <f>IFERROR(VLOOKUP($E105,'MAPA DE PREÇOS'!$B:$D,3,FALSE),"")</f>
        <v>62</v>
      </c>
      <c r="H105" s="41">
        <f t="array" ref="H105">IFERROR(IF(E105="","",INDEX('MAPA DE PREÇOS'!H:H,0+MATCH(ABC!E105,'MAPA DE PREÇOS'!B:B,0))),"")</f>
        <v>0</v>
      </c>
      <c r="I105" t="str">
        <f>IF(E105="","",INDEX('MAPA DE PREÇOS'!H:H,MATCH(ABC!E105,'MAPA DE PREÇOS'!B:B,0)+1))</f>
        <v xml:space="preserve">Aplicador de silicone </v>
      </c>
      <c r="J105" s="41" t="str">
        <f>IFERROR(IF(E105="","",INDEX('MAPA DE PREÇOS'!M:M,3+MATCH(ABC!E105,'MAPA DE PREÇOS'!B:B,0))),"")</f>
        <v>UN</v>
      </c>
      <c r="K105" s="52">
        <f t="array" ref="K105">IFERROR(IF(E105="","",INDEX('MAPA DE PREÇOS'!M:M,2+MATCH(ABC!E105,'MAPA DE PREÇOS'!B:B,0))),"")</f>
        <v>1</v>
      </c>
      <c r="L105" s="53">
        <f t="array" ref="L105">IFERROR(IF(AND(E104&lt;&gt;"",E105=""),"TOTAL ESTIMADO",INDEX('MAPA DE PREÇOS'!M:M,0+MATCH(ABC!E105,'MAPA DE PREÇOS'!B:B,0))),"")</f>
        <v>14.4</v>
      </c>
      <c r="M105" s="54">
        <f>IFERROR(IF(AND(E104&lt;&gt;"",E105=""),SUM($M$5:M104),INDEX('MAPA DE PREÇOS'!M:M,19+MATCH(ABC!E105,'MAPA DE PREÇOS'!B:B,0))),"")</f>
        <v>14.4</v>
      </c>
      <c r="N105" s="90">
        <f t="shared" si="8"/>
        <v>4.2032910017172209E-4</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6" t="s">
        <v>35</v>
      </c>
      <c r="C2" s="267"/>
      <c r="D2" s="268"/>
    </row>
    <row r="3" spans="2:4" ht="78" customHeight="1" x14ac:dyDescent="0.2">
      <c r="B3" s="285" t="s">
        <v>384</v>
      </c>
      <c r="C3" s="286"/>
      <c r="D3" s="287"/>
    </row>
    <row r="4" spans="2:4" s="32" customFormat="1" ht="32.1" customHeight="1" x14ac:dyDescent="0.25">
      <c r="B4" s="265" t="s">
        <v>385</v>
      </c>
      <c r="C4" s="265"/>
      <c r="D4" s="265"/>
    </row>
    <row r="5" spans="2:4" ht="61.5" customHeight="1" x14ac:dyDescent="0.2">
      <c r="B5" s="282" t="s">
        <v>386</v>
      </c>
      <c r="C5" s="283"/>
      <c r="D5" s="284"/>
    </row>
    <row r="6" spans="2:4" s="33" customFormat="1" ht="32.1" customHeight="1" x14ac:dyDescent="0.25">
      <c r="B6" s="265" t="s">
        <v>387</v>
      </c>
      <c r="C6" s="265"/>
      <c r="D6" s="265"/>
    </row>
    <row r="7" spans="2:4" ht="61.5" customHeight="1" x14ac:dyDescent="0.2">
      <c r="B7" s="282" t="s">
        <v>388</v>
      </c>
      <c r="C7" s="283"/>
      <c r="D7" s="284"/>
    </row>
    <row r="8" spans="2:4" ht="21.6" customHeight="1" x14ac:dyDescent="0.2">
      <c r="B8" s="269" t="s">
        <v>389</v>
      </c>
      <c r="C8" s="270"/>
      <c r="D8" s="271"/>
    </row>
    <row r="9" spans="2:4" ht="14.25" x14ac:dyDescent="0.2">
      <c r="B9" s="272"/>
      <c r="C9" s="273"/>
      <c r="D9" s="274"/>
    </row>
    <row r="10" spans="2:4" ht="14.25" x14ac:dyDescent="0.2">
      <c r="B10" s="272"/>
      <c r="C10" s="273"/>
      <c r="D10" s="274"/>
    </row>
    <row r="11" spans="2:4" ht="14.25" x14ac:dyDescent="0.2">
      <c r="B11" s="272"/>
      <c r="C11" s="273"/>
      <c r="D11" s="274"/>
    </row>
    <row r="12" spans="2:4" ht="14.25" x14ac:dyDescent="0.2">
      <c r="B12" s="272"/>
      <c r="C12" s="273"/>
      <c r="D12" s="274"/>
    </row>
    <row r="13" spans="2:4" ht="61.5" customHeight="1" x14ac:dyDescent="0.2">
      <c r="B13" s="272"/>
      <c r="C13" s="273"/>
      <c r="D13" s="274"/>
    </row>
    <row r="14" spans="2:4" ht="61.5" customHeight="1" x14ac:dyDescent="0.2">
      <c r="B14" s="272"/>
      <c r="C14" s="273"/>
      <c r="D14" s="274"/>
    </row>
    <row r="15" spans="2:4" ht="61.5" customHeight="1" x14ac:dyDescent="0.2">
      <c r="B15" s="272"/>
      <c r="C15" s="273"/>
      <c r="D15" s="274"/>
    </row>
    <row r="16" spans="2:4" ht="61.5" customHeight="1" x14ac:dyDescent="0.2">
      <c r="B16" s="272"/>
      <c r="C16" s="273"/>
      <c r="D16" s="274"/>
    </row>
    <row r="17" spans="2:4" ht="61.5" customHeight="1" x14ac:dyDescent="0.2">
      <c r="B17" s="272"/>
      <c r="C17" s="273"/>
      <c r="D17" s="274"/>
    </row>
    <row r="18" spans="2:4" ht="61.5" customHeight="1" x14ac:dyDescent="0.2">
      <c r="B18" s="272"/>
      <c r="C18" s="273"/>
      <c r="D18" s="274"/>
    </row>
    <row r="19" spans="2:4" ht="15" customHeight="1" x14ac:dyDescent="0.2">
      <c r="B19" s="272"/>
      <c r="C19" s="273"/>
      <c r="D19" s="274"/>
    </row>
    <row r="20" spans="2:4" ht="15" customHeight="1" x14ac:dyDescent="0.2">
      <c r="B20" s="272"/>
      <c r="C20" s="273"/>
      <c r="D20" s="274"/>
    </row>
    <row r="21" spans="2:4" ht="15" customHeight="1" x14ac:dyDescent="0.2">
      <c r="B21" s="272"/>
      <c r="C21" s="273"/>
      <c r="D21" s="274"/>
    </row>
    <row r="22" spans="2:4" ht="15" customHeight="1" x14ac:dyDescent="0.2">
      <c r="B22" s="272"/>
      <c r="C22" s="273"/>
      <c r="D22" s="274"/>
    </row>
    <row r="23" spans="2:4" ht="15" customHeight="1" x14ac:dyDescent="0.2">
      <c r="B23" s="272"/>
      <c r="C23" s="273"/>
      <c r="D23" s="274"/>
    </row>
    <row r="24" spans="2:4" ht="15" customHeight="1" x14ac:dyDescent="0.2">
      <c r="B24" s="272"/>
      <c r="C24" s="273"/>
      <c r="D24" s="274"/>
    </row>
    <row r="25" spans="2:4" ht="15" customHeight="1" x14ac:dyDescent="0.2">
      <c r="B25" s="272"/>
      <c r="C25" s="273"/>
      <c r="D25" s="274"/>
    </row>
    <row r="26" spans="2:4" ht="15" customHeight="1" x14ac:dyDescent="0.2">
      <c r="B26" s="272"/>
      <c r="C26" s="273"/>
      <c r="D26" s="274"/>
    </row>
    <row r="27" spans="2:4" ht="15" customHeight="1" x14ac:dyDescent="0.2">
      <c r="B27" s="272"/>
      <c r="C27" s="273"/>
      <c r="D27" s="274"/>
    </row>
    <row r="28" spans="2:4" ht="15" customHeight="1" x14ac:dyDescent="0.2">
      <c r="B28" s="272"/>
      <c r="C28" s="273"/>
      <c r="D28" s="274"/>
    </row>
    <row r="29" spans="2:4" ht="15" customHeight="1" x14ac:dyDescent="0.2">
      <c r="B29" s="272"/>
      <c r="C29" s="273"/>
      <c r="D29" s="274"/>
    </row>
    <row r="30" spans="2:4" ht="15" customHeight="1" x14ac:dyDescent="0.2">
      <c r="B30" s="272"/>
      <c r="C30" s="273"/>
      <c r="D30" s="274"/>
    </row>
    <row r="31" spans="2:4" ht="15" customHeight="1" x14ac:dyDescent="0.2">
      <c r="B31" s="272"/>
      <c r="C31" s="273"/>
      <c r="D31" s="274"/>
    </row>
    <row r="32" spans="2:4" ht="15" customHeight="1" x14ac:dyDescent="0.2">
      <c r="B32" s="272"/>
      <c r="C32" s="273"/>
      <c r="D32" s="274"/>
    </row>
    <row r="33" spans="2:4" ht="15" customHeight="1" x14ac:dyDescent="0.2">
      <c r="B33" s="272"/>
      <c r="C33" s="273"/>
      <c r="D33" s="274"/>
    </row>
    <row r="34" spans="2:4" ht="15" customHeight="1" x14ac:dyDescent="0.2">
      <c r="B34" s="272"/>
      <c r="C34" s="273"/>
      <c r="D34" s="274"/>
    </row>
    <row r="35" spans="2:4" ht="15" customHeight="1" x14ac:dyDescent="0.2">
      <c r="B35" s="272"/>
      <c r="C35" s="273"/>
      <c r="D35" s="274"/>
    </row>
    <row r="36" spans="2:4" ht="15" customHeight="1" x14ac:dyDescent="0.2">
      <c r="B36" s="272"/>
      <c r="C36" s="273"/>
      <c r="D36" s="274"/>
    </row>
    <row r="37" spans="2:4" ht="15" customHeight="1" x14ac:dyDescent="0.2">
      <c r="B37" s="272"/>
      <c r="C37" s="273"/>
      <c r="D37" s="274"/>
    </row>
    <row r="38" spans="2:4" s="34" customFormat="1" ht="32.450000000000003" customHeight="1" x14ac:dyDescent="0.2">
      <c r="B38" s="275"/>
      <c r="C38" s="276"/>
      <c r="D38" s="277"/>
    </row>
    <row r="39" spans="2:4" s="32" customFormat="1" ht="32.1" customHeight="1" x14ac:dyDescent="0.25">
      <c r="B39" s="278" t="s">
        <v>390</v>
      </c>
      <c r="C39" s="279"/>
      <c r="D39" s="280"/>
    </row>
    <row r="40" spans="2:4" s="164" customFormat="1" ht="64.900000000000006" customHeight="1" x14ac:dyDescent="0.25">
      <c r="B40" s="281" t="s">
        <v>391</v>
      </c>
      <c r="C40" s="281"/>
      <c r="D40" s="281"/>
    </row>
    <row r="41" spans="2:4" s="164" customFormat="1" ht="64.900000000000006" customHeight="1" x14ac:dyDescent="0.25">
      <c r="B41" s="281"/>
      <c r="C41" s="281"/>
      <c r="D41" s="281"/>
    </row>
    <row r="42" spans="2:4" s="164" customFormat="1" ht="64.900000000000006" customHeight="1" x14ac:dyDescent="0.25">
      <c r="B42" s="281"/>
      <c r="C42" s="281"/>
      <c r="D42" s="281"/>
    </row>
    <row r="43" spans="2:4" s="164" customFormat="1" ht="64.900000000000006" customHeight="1" x14ac:dyDescent="0.25">
      <c r="B43" s="281"/>
      <c r="C43" s="281"/>
      <c r="D43" s="281"/>
    </row>
    <row r="44" spans="2:4" s="164" customFormat="1" ht="64.900000000000006" customHeight="1" x14ac:dyDescent="0.25">
      <c r="B44" s="281"/>
      <c r="C44" s="281"/>
      <c r="D44" s="281"/>
    </row>
    <row r="45" spans="2:4" s="164" customFormat="1" ht="112.15" customHeight="1" x14ac:dyDescent="0.25">
      <c r="B45" s="281"/>
      <c r="C45" s="281"/>
      <c r="D45" s="281"/>
    </row>
    <row r="46" spans="2:4" s="33" customFormat="1" ht="32.1" customHeight="1" x14ac:dyDescent="0.25">
      <c r="B46" s="266" t="s">
        <v>392</v>
      </c>
      <c r="C46" s="267"/>
      <c r="D46" s="268"/>
    </row>
    <row r="47" spans="2:4" ht="140.44999999999999" customHeight="1" x14ac:dyDescent="0.2">
      <c r="B47" s="256" t="s">
        <v>393</v>
      </c>
      <c r="C47" s="257"/>
      <c r="D47" s="258"/>
    </row>
    <row r="48" spans="2:4" s="33" customFormat="1" ht="32.1" customHeight="1" x14ac:dyDescent="0.25">
      <c r="B48" s="265" t="s">
        <v>394</v>
      </c>
      <c r="C48" s="265"/>
      <c r="D48" s="265"/>
    </row>
    <row r="49" spans="2:4" ht="14.25" x14ac:dyDescent="0.2">
      <c r="B49" s="256" t="s">
        <v>395</v>
      </c>
      <c r="C49" s="257"/>
      <c r="D49" s="258"/>
    </row>
    <row r="50" spans="2:4" ht="14.25" x14ac:dyDescent="0.2">
      <c r="B50" s="259"/>
      <c r="C50" s="260"/>
      <c r="D50" s="261"/>
    </row>
    <row r="51" spans="2:4" ht="14.25" x14ac:dyDescent="0.2">
      <c r="B51" s="259"/>
      <c r="C51" s="260"/>
      <c r="D51" s="261"/>
    </row>
    <row r="52" spans="2:4" ht="14.25" x14ac:dyDescent="0.2">
      <c r="B52" s="259"/>
      <c r="C52" s="260"/>
      <c r="D52" s="261"/>
    </row>
    <row r="53" spans="2:4" ht="14.25" x14ac:dyDescent="0.2">
      <c r="B53" s="259"/>
      <c r="C53" s="260"/>
      <c r="D53" s="261"/>
    </row>
    <row r="54" spans="2:4" ht="14.25" x14ac:dyDescent="0.2">
      <c r="B54" s="259"/>
      <c r="C54" s="260"/>
      <c r="D54" s="261"/>
    </row>
    <row r="55" spans="2:4" ht="14.25" x14ac:dyDescent="0.2">
      <c r="B55" s="259"/>
      <c r="C55" s="260"/>
      <c r="D55" s="261"/>
    </row>
    <row r="56" spans="2:4" ht="14.25" x14ac:dyDescent="0.2">
      <c r="B56" s="259"/>
      <c r="C56" s="260"/>
      <c r="D56" s="261"/>
    </row>
    <row r="57" spans="2:4" ht="14.25" x14ac:dyDescent="0.2">
      <c r="B57" s="262"/>
      <c r="C57" s="263"/>
      <c r="D57" s="264"/>
    </row>
    <row r="58" spans="2:4" s="33" customFormat="1" ht="32.1" customHeight="1" x14ac:dyDescent="0.25">
      <c r="B58" s="265" t="s">
        <v>396</v>
      </c>
      <c r="C58" s="265"/>
      <c r="D58" s="265"/>
    </row>
    <row r="59" spans="2:4" ht="14.25" x14ac:dyDescent="0.2">
      <c r="B59" s="256" t="s">
        <v>36</v>
      </c>
      <c r="C59" s="257"/>
      <c r="D59" s="258"/>
    </row>
    <row r="60" spans="2:4" ht="14.25" x14ac:dyDescent="0.2">
      <c r="B60" s="259"/>
      <c r="C60" s="260"/>
      <c r="D60" s="261"/>
    </row>
    <row r="61" spans="2:4" ht="14.25" x14ac:dyDescent="0.2">
      <c r="B61" s="259"/>
      <c r="C61" s="260"/>
      <c r="D61" s="261"/>
    </row>
    <row r="62" spans="2:4" ht="14.25" x14ac:dyDescent="0.2">
      <c r="B62" s="259"/>
      <c r="C62" s="260"/>
      <c r="D62" s="261"/>
    </row>
    <row r="63" spans="2:4" ht="14.25" x14ac:dyDescent="0.2">
      <c r="B63" s="259"/>
      <c r="C63" s="260"/>
      <c r="D63" s="261"/>
    </row>
    <row r="64" spans="2:4" ht="14.25" x14ac:dyDescent="0.2">
      <c r="B64" s="259"/>
      <c r="C64" s="260"/>
      <c r="D64" s="261"/>
    </row>
    <row r="65" spans="2:4" ht="14.25" x14ac:dyDescent="0.2">
      <c r="B65" s="262"/>
      <c r="C65" s="263"/>
      <c r="D65" s="264"/>
    </row>
    <row r="66" spans="2:4" s="33" customFormat="1" ht="32.1" customHeight="1" x14ac:dyDescent="0.25">
      <c r="B66" s="265" t="s">
        <v>397</v>
      </c>
      <c r="C66" s="265"/>
      <c r="D66" s="265"/>
    </row>
    <row r="67" spans="2:4" ht="14.25" x14ac:dyDescent="0.2">
      <c r="B67" s="256" t="s">
        <v>37</v>
      </c>
      <c r="C67" s="257"/>
      <c r="D67" s="258"/>
    </row>
    <row r="68" spans="2:4" ht="14.25" x14ac:dyDescent="0.2">
      <c r="B68" s="259"/>
      <c r="C68" s="260"/>
      <c r="D68" s="261"/>
    </row>
    <row r="69" spans="2:4" ht="14.25" x14ac:dyDescent="0.2">
      <c r="B69" s="259"/>
      <c r="C69" s="260"/>
      <c r="D69" s="261"/>
    </row>
    <row r="70" spans="2:4" ht="14.25" x14ac:dyDescent="0.2">
      <c r="B70" s="262"/>
      <c r="C70" s="263"/>
      <c r="D70" s="264"/>
    </row>
    <row r="71" spans="2:4" s="33" customFormat="1" ht="32.1" customHeight="1" x14ac:dyDescent="0.25">
      <c r="B71" s="265" t="s">
        <v>398</v>
      </c>
      <c r="C71" s="265"/>
      <c r="D71" s="265"/>
    </row>
    <row r="72" spans="2:4" ht="14.25" x14ac:dyDescent="0.2">
      <c r="B72" s="256" t="s">
        <v>34</v>
      </c>
      <c r="C72" s="257"/>
      <c r="D72" s="258"/>
    </row>
    <row r="73" spans="2:4" ht="14.25" x14ac:dyDescent="0.2">
      <c r="B73" s="259"/>
      <c r="C73" s="260"/>
      <c r="D73" s="261"/>
    </row>
    <row r="74" spans="2:4" ht="14.25" x14ac:dyDescent="0.2">
      <c r="B74" s="259"/>
      <c r="C74" s="260"/>
      <c r="D74" s="261"/>
    </row>
    <row r="75" spans="2:4" ht="14.25" x14ac:dyDescent="0.2">
      <c r="B75" s="262"/>
      <c r="C75" s="263"/>
      <c r="D75" s="264"/>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8" t="s">
        <v>326</v>
      </c>
      <c r="F2" s="288"/>
      <c r="G2" s="288"/>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8" t="s">
        <v>327</v>
      </c>
      <c r="F3" s="208"/>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8" t="s">
        <v>321</v>
      </c>
      <c r="F4" s="208"/>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8" t="s">
        <v>320</v>
      </c>
      <c r="F5" s="208"/>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8" t="s">
        <v>322</v>
      </c>
      <c r="F6" s="208"/>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8" t="s">
        <v>352</v>
      </c>
      <c r="F7" s="208"/>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8" t="s">
        <v>351</v>
      </c>
      <c r="F8" s="208"/>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8" t="s">
        <v>431</v>
      </c>
      <c r="F9" s="208"/>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8" t="s">
        <v>301</v>
      </c>
      <c r="F10" s="208"/>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8" t="s">
        <v>323</v>
      </c>
      <c r="F11" s="208"/>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3" t="s">
        <v>305</v>
      </c>
      <c r="F13" s="234"/>
      <c r="G13" s="234"/>
      <c r="H13" s="234"/>
      <c r="I13" s="234"/>
      <c r="J13" s="234"/>
      <c r="K13" s="289"/>
      <c r="L13" s="289"/>
      <c r="M13" s="234"/>
      <c r="N13" s="235"/>
    </row>
    <row r="14" spans="1:163" s="19" customFormat="1" ht="21" x14ac:dyDescent="0.35">
      <c r="B14" s="41"/>
      <c r="C14" s="41"/>
      <c r="D14" s="41"/>
      <c r="E14" s="236">
        <f>G3</f>
        <v>0</v>
      </c>
      <c r="F14" s="237"/>
      <c r="G14" s="237"/>
      <c r="H14" s="237"/>
      <c r="I14" s="237"/>
      <c r="J14" s="237"/>
      <c r="K14" s="237"/>
      <c r="L14" s="237"/>
      <c r="M14" s="237"/>
      <c r="N14" s="238"/>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9"/>
      <c r="F16" s="240"/>
      <c r="G16" s="240"/>
      <c r="H16" s="240"/>
      <c r="I16" s="240"/>
      <c r="J16" s="240"/>
      <c r="K16" s="240"/>
      <c r="L16" s="240"/>
      <c r="M16" s="240"/>
      <c r="N16" s="241"/>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B391" sqref="B391"/>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2026-10-22T17:17:03Z</dcterms:modified>
</cp:coreProperties>
</file>