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helen.benaduce\Documents\sms veiculo\"/>
    </mc:Choice>
  </mc:AlternateContent>
  <xr:revisionPtr revIDLastSave="0" documentId="13_ncr:1_{6E9230B1-611B-49C7-AD40-1D31AEDB553A}" xr6:coauthVersionLast="47" xr6:coauthVersionMax="47" xr10:uidLastSave="{00000000-0000-0000-0000-000000000000}"/>
  <bookViews>
    <workbookView xWindow="-120" yWindow="-120" windowWidth="29040" windowHeight="15720" tabRatio="705" activeTab="1" xr2:uid="{00000000-000D-0000-FFFF-FFFF00000000}"/>
  </bookViews>
  <sheets>
    <sheet name="Mão de Obra" sheetId="25" r:id="rId1"/>
    <sheet name="Veículos" sheetId="6" r:id="rId2"/>
    <sheet name="Mat Individual e Uniformes func" sheetId="3" r:id="rId3"/>
    <sheet name="Mat Coletivo e Equipamentos" sheetId="9" r:id="rId4"/>
    <sheet name="Proposta" sheetId="5" r:id="rId5"/>
    <sheet name="Apoio - Regime de Trabalho" sheetId="1" state="hidden" r:id="rId6"/>
    <sheet name="Apoio - Notas Explicativas" sheetId="8" state="hidden" r:id="rId7"/>
    <sheet name="Apoio - Posto" sheetId="18" state="hidden" r:id="rId8"/>
    <sheet name="Apoio - Dados" sheetId="1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7" hidden="1">'Apoio - Posto'!$A$1:$S$634</definedName>
    <definedName name="_xlnm.Print_Area" localSheetId="0">'Mão de Obra'!$B$16:$B$156</definedName>
    <definedName name="familias_equipamentos" localSheetId="6">'Apoio - Notas Explicativas'!#REF!</definedName>
    <definedName name="familias_equipamentos" localSheetId="0">'[1]Base Apoio - etapa 1'!#REF!</definedName>
    <definedName name="familias_equipamentos" localSheetId="1">'[2]Base Apoio - etapa 1'!#REF!</definedName>
    <definedName name="familias_equipamentos">'[1]Base Apoio - etapa 1'!#REF!</definedName>
    <definedName name="materiais">[1]Fontes!$F$3:$F$9</definedName>
    <definedName name="percentuais" localSheetId="6">[3]Fontes!$C$1:$C$3</definedName>
    <definedName name="percentuais" localSheetId="1">[2]Fontes!$C$1:$C$3</definedName>
    <definedName name="percentuais">[1]Fontes!$C$1:$C$3</definedName>
    <definedName name="Sim_não" localSheetId="6">[3]Fontes!$A$1:$A$2</definedName>
    <definedName name="Sim_não" localSheetId="1">[2]Fontes!$A$1:$A$2</definedName>
    <definedName name="Sim_não">[1]Fontes!$A$1:$A$2</definedName>
    <definedName name="tributaçao" localSheetId="6">'Apoio - Notas Explicativas'!#REF!</definedName>
    <definedName name="tributaçao" localSheetId="1">'[2]Base Apoio - etapa 1'!$F$20:$H$20</definedName>
    <definedName name="tributaçao">'[1]Base Apoio - etapa 1'!$F$20:$H$20</definedName>
    <definedName name="Tributação" localSheetId="6">#REF!</definedName>
    <definedName name="Tributação" localSheetId="0">#REF!</definedName>
    <definedName name="Tributação" localSheetId="1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5" l="1"/>
  <c r="G142" i="25"/>
  <c r="H142" i="25"/>
  <c r="I142" i="25"/>
  <c r="J142" i="25"/>
  <c r="K142" i="25"/>
  <c r="L142" i="25"/>
  <c r="M142" i="25"/>
  <c r="N142" i="25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49" i="25"/>
  <c r="H149" i="25"/>
  <c r="I149" i="25"/>
  <c r="J149" i="25"/>
  <c r="K149" i="25"/>
  <c r="L149" i="25"/>
  <c r="M149" i="25"/>
  <c r="N149" i="25"/>
  <c r="H64" i="6"/>
  <c r="I64" i="6"/>
  <c r="H65" i="6"/>
  <c r="I65" i="6"/>
  <c r="H66" i="6"/>
  <c r="I66" i="6"/>
  <c r="H69" i="6"/>
  <c r="I69" i="6"/>
  <c r="H70" i="6"/>
  <c r="I70" i="6"/>
  <c r="H73" i="6"/>
  <c r="I73" i="6"/>
  <c r="H74" i="6"/>
  <c r="I74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H37" i="6"/>
  <c r="I37" i="6"/>
  <c r="H38" i="6"/>
  <c r="I38" i="6"/>
  <c r="F41" i="6"/>
  <c r="G41" i="6"/>
  <c r="H41" i="6"/>
  <c r="I41" i="6"/>
  <c r="H42" i="6"/>
  <c r="I42" i="6"/>
  <c r="H43" i="6"/>
  <c r="I43" i="6"/>
  <c r="H47" i="6"/>
  <c r="I47" i="6"/>
  <c r="J6" i="5"/>
  <c r="E38" i="6" s="1"/>
  <c r="J7" i="5"/>
  <c r="J9" i="5"/>
  <c r="J10" i="5"/>
  <c r="P144" i="8" s="1"/>
  <c r="B8" i="5"/>
  <c r="C7" i="5"/>
  <c r="C6" i="5"/>
  <c r="G42" i="6" l="1"/>
  <c r="G37" i="6"/>
  <c r="G47" i="6"/>
  <c r="F42" i="6"/>
  <c r="G38" i="6"/>
  <c r="F38" i="6"/>
  <c r="F47" i="6"/>
  <c r="F37" i="6"/>
  <c r="E37" i="6"/>
  <c r="I3" i="3"/>
  <c r="J3" i="3"/>
  <c r="K3" i="3"/>
  <c r="L3" i="3"/>
  <c r="H3" i="3"/>
  <c r="B3" i="5" l="1"/>
  <c r="D74" i="6" l="1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I134" i="25"/>
  <c r="J134" i="25"/>
  <c r="K134" i="25"/>
  <c r="L134" i="25"/>
  <c r="M134" i="25"/>
  <c r="N134" i="25"/>
  <c r="I143" i="25"/>
  <c r="J143" i="25"/>
  <c r="K143" i="25"/>
  <c r="L143" i="25"/>
  <c r="M143" i="25"/>
  <c r="N143" i="25"/>
  <c r="I148" i="25"/>
  <c r="J148" i="25"/>
  <c r="K148" i="25"/>
  <c r="L148" i="25"/>
  <c r="M148" i="25"/>
  <c r="N148" i="25"/>
  <c r="I150" i="25"/>
  <c r="J150" i="25"/>
  <c r="K150" i="25"/>
  <c r="L150" i="25"/>
  <c r="M150" i="25"/>
  <c r="N150" i="25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K168" i="25"/>
  <c r="L168" i="25"/>
  <c r="M168" i="25"/>
  <c r="N168" i="25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J175" i="25"/>
  <c r="K175" i="25"/>
  <c r="L175" i="25"/>
  <c r="M175" i="25"/>
  <c r="N175" i="25"/>
  <c r="I185" i="25"/>
  <c r="I186" i="25" s="1"/>
  <c r="J185" i="25"/>
  <c r="J186" i="25" s="1"/>
  <c r="K185" i="25"/>
  <c r="K186" i="25" s="1"/>
  <c r="L185" i="25"/>
  <c r="L186" i="25" s="1"/>
  <c r="M185" i="25"/>
  <c r="M186" i="25" s="1"/>
  <c r="N185" i="25"/>
  <c r="N186" i="25" s="1"/>
  <c r="E17" i="5"/>
  <c r="D17" i="5"/>
  <c r="C17" i="5"/>
  <c r="B17" i="5"/>
  <c r="F148" i="25"/>
  <c r="H185" i="25"/>
  <c r="H186" i="25" s="1"/>
  <c r="G185" i="25"/>
  <c r="G186" i="25" s="1"/>
  <c r="F185" i="25"/>
  <c r="F186" i="25" s="1"/>
  <c r="E185" i="25"/>
  <c r="E186" i="25" s="1"/>
  <c r="H163" i="25"/>
  <c r="G163" i="25"/>
  <c r="F163" i="25"/>
  <c r="E163" i="25"/>
  <c r="G148" i="25"/>
  <c r="H143" i="25"/>
  <c r="G143" i="25"/>
  <c r="F143" i="25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G101" i="25"/>
  <c r="F101" i="25"/>
  <c r="E101" i="25"/>
  <c r="H95" i="25"/>
  <c r="G95" i="25"/>
  <c r="F95" i="25"/>
  <c r="E95" i="25"/>
  <c r="H94" i="25"/>
  <c r="G94" i="25"/>
  <c r="F94" i="25"/>
  <c r="E94" i="25"/>
  <c r="H93" i="25"/>
  <c r="G93" i="25"/>
  <c r="F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H19" i="25"/>
  <c r="H44" i="25" s="1"/>
  <c r="H48" i="25" s="1"/>
  <c r="G19" i="25"/>
  <c r="G44" i="25" s="1"/>
  <c r="G48" i="25" s="1"/>
  <c r="F19" i="25"/>
  <c r="F44" i="25" s="1"/>
  <c r="F48" i="25" s="1"/>
  <c r="E19" i="25"/>
  <c r="A2" i="25"/>
  <c r="H58" i="6"/>
  <c r="I58" i="6"/>
  <c r="H59" i="6"/>
  <c r="I59" i="6"/>
  <c r="D57" i="6"/>
  <c r="M100" i="25" l="1"/>
  <c r="N112" i="25"/>
  <c r="M128" i="25"/>
  <c r="M114" i="25"/>
  <c r="M181" i="25"/>
  <c r="M189" i="25" s="1"/>
  <c r="I176" i="25"/>
  <c r="N181" i="25"/>
  <c r="N189" i="25" s="1"/>
  <c r="M180" i="25"/>
  <c r="M188" i="25" s="1"/>
  <c r="N180" i="25"/>
  <c r="N188" i="25" s="1"/>
  <c r="N176" i="25"/>
  <c r="J181" i="25"/>
  <c r="J189" i="25" s="1"/>
  <c r="M176" i="25"/>
  <c r="L180" i="25"/>
  <c r="L188" i="25" s="1"/>
  <c r="K180" i="25"/>
  <c r="K188" i="25" s="1"/>
  <c r="M96" i="25"/>
  <c r="L176" i="25"/>
  <c r="K176" i="25"/>
  <c r="I180" i="25"/>
  <c r="I188" i="25" s="1"/>
  <c r="L181" i="25"/>
  <c r="L189" i="25" s="1"/>
  <c r="K181" i="25"/>
  <c r="K189" i="25" s="1"/>
  <c r="J176" i="25"/>
  <c r="J180" i="25"/>
  <c r="J188" i="25" s="1"/>
  <c r="M112" i="25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I181" i="25"/>
  <c r="I189" i="25" s="1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F51" i="25"/>
  <c r="F100" i="25"/>
  <c r="F106" i="25"/>
  <c r="F39" i="25"/>
  <c r="G45" i="25"/>
  <c r="G51" i="25"/>
  <c r="G52" i="25"/>
  <c r="H106" i="25"/>
  <c r="H100" i="25"/>
  <c r="E52" i="25"/>
  <c r="F45" i="25"/>
  <c r="F52" i="25"/>
  <c r="G106" i="25"/>
  <c r="H32" i="25"/>
  <c r="G39" i="25"/>
  <c r="E44" i="25"/>
  <c r="E48" i="25" s="1"/>
  <c r="H51" i="25"/>
  <c r="H52" i="25"/>
  <c r="G100" i="25"/>
  <c r="G112" i="25" s="1"/>
  <c r="I45" i="25" l="1"/>
  <c r="I46" i="25" s="1"/>
  <c r="I53" i="25" s="1"/>
  <c r="M45" i="25"/>
  <c r="M35" i="25"/>
  <c r="M49" i="25" s="1"/>
  <c r="M91" i="25"/>
  <c r="L45" i="25"/>
  <c r="I42" i="25"/>
  <c r="I49" i="25"/>
  <c r="N45" i="25"/>
  <c r="I91" i="25"/>
  <c r="K48" i="25"/>
  <c r="F35" i="25"/>
  <c r="F46" i="25" s="1"/>
  <c r="F91" i="25"/>
  <c r="F112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2" i="25" s="1"/>
  <c r="E29" i="25"/>
  <c r="F29" i="25"/>
  <c r="H42" i="25"/>
  <c r="H35" i="25"/>
  <c r="G55" i="25"/>
  <c r="E45" i="25"/>
  <c r="H39" i="25"/>
  <c r="F149" i="25" l="1"/>
  <c r="F17" i="5"/>
  <c r="N46" i="25"/>
  <c r="N53" i="25" s="1"/>
  <c r="M46" i="25"/>
  <c r="M53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28" i="25"/>
  <c r="H48" i="6"/>
  <c r="I48" i="6"/>
  <c r="H128" i="25" l="1"/>
  <c r="G128" i="25"/>
  <c r="F150" i="25" l="1"/>
  <c r="H134" i="25"/>
  <c r="G150" i="25" l="1"/>
  <c r="F180" i="25"/>
  <c r="F188" i="25" l="1"/>
  <c r="G180" i="25"/>
  <c r="G155" i="25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H75" i="25"/>
  <c r="G75" i="25"/>
  <c r="J73" i="25"/>
  <c r="N73" i="25"/>
  <c r="K73" i="25"/>
  <c r="L73" i="25"/>
  <c r="I73" i="25"/>
  <c r="M73" i="25"/>
  <c r="F73" i="25"/>
  <c r="H73" i="25"/>
  <c r="G73" i="25"/>
  <c r="J77" i="25"/>
  <c r="N77" i="25"/>
  <c r="K77" i="25"/>
  <c r="L77" i="25"/>
  <c r="I77" i="25"/>
  <c r="M77" i="25"/>
  <c r="F77" i="25"/>
  <c r="H77" i="25"/>
  <c r="G77" i="25"/>
  <c r="K72" i="25"/>
  <c r="L72" i="25"/>
  <c r="I72" i="25"/>
  <c r="J72" i="25"/>
  <c r="N72" i="25"/>
  <c r="M72" i="25"/>
  <c r="F72" i="25"/>
  <c r="H72" i="25"/>
  <c r="G72" i="25"/>
  <c r="K74" i="25"/>
  <c r="L74" i="25"/>
  <c r="N74" i="25"/>
  <c r="M74" i="25"/>
  <c r="J74" i="25"/>
  <c r="I74" i="25"/>
  <c r="F74" i="25"/>
  <c r="H74" i="25"/>
  <c r="G74" i="25"/>
  <c r="K76" i="25"/>
  <c r="L76" i="25"/>
  <c r="J76" i="25"/>
  <c r="I76" i="25"/>
  <c r="M76" i="25"/>
  <c r="N76" i="25"/>
  <c r="F76" i="25"/>
  <c r="H76" i="25"/>
  <c r="G76" i="25"/>
  <c r="H150" i="25"/>
  <c r="H180" i="25" s="1"/>
  <c r="G188" i="25"/>
  <c r="H155" i="25"/>
  <c r="G156" i="25"/>
  <c r="G157" i="25" s="1"/>
  <c r="F22" i="5"/>
  <c r="D22" i="5"/>
  <c r="E84" i="6"/>
  <c r="E22" i="5" s="1"/>
  <c r="G160" i="25" l="1"/>
  <c r="G164" i="25"/>
  <c r="G165" i="25"/>
  <c r="G161" i="25"/>
  <c r="H188" i="25"/>
  <c r="H156" i="25"/>
  <c r="H157" i="25" s="1"/>
  <c r="E41" i="6"/>
  <c r="E42" i="6" s="1"/>
  <c r="H88" i="6"/>
  <c r="I88" i="6"/>
  <c r="H90" i="6"/>
  <c r="I90" i="6"/>
  <c r="H93" i="6"/>
  <c r="I93" i="6"/>
  <c r="H94" i="6"/>
  <c r="I94" i="6"/>
  <c r="H95" i="6"/>
  <c r="I95" i="6"/>
  <c r="H96" i="6"/>
  <c r="I96" i="6"/>
  <c r="H53" i="6"/>
  <c r="I53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G43" i="6" l="1"/>
  <c r="G48" i="6" s="1"/>
  <c r="G58" i="6"/>
  <c r="G53" i="6"/>
  <c r="F43" i="6"/>
  <c r="F48" i="6" s="1"/>
  <c r="F58" i="6"/>
  <c r="F53" i="6"/>
  <c r="F33" i="6"/>
  <c r="H160" i="25"/>
  <c r="H161" i="25"/>
  <c r="H164" i="25"/>
  <c r="H165" i="25"/>
  <c r="G166" i="25"/>
  <c r="G168" i="25" s="1"/>
  <c r="G181" i="25" l="1"/>
  <c r="G175" i="25"/>
  <c r="G174" i="25"/>
  <c r="H166" i="25"/>
  <c r="H168" i="25" s="1"/>
  <c r="I4" i="1"/>
  <c r="I3" i="1"/>
  <c r="H181" i="25" l="1"/>
  <c r="H174" i="25"/>
  <c r="H175" i="25"/>
  <c r="G176" i="25"/>
  <c r="G173" i="25"/>
  <c r="G189" i="25"/>
  <c r="H173" i="25" l="1"/>
  <c r="H176" i="25"/>
  <c r="H189" i="25"/>
  <c r="H13" i="1" l="1"/>
  <c r="H11" i="1"/>
  <c r="H10" i="1"/>
  <c r="J35" i="8" l="1"/>
  <c r="J34" i="8"/>
  <c r="D51" i="6" l="1"/>
  <c r="F54" i="6" l="1"/>
  <c r="F59" i="6" s="1"/>
  <c r="G54" i="6"/>
  <c r="G59" i="6" s="1"/>
  <c r="E47" i="6"/>
  <c r="B22" i="5" l="1"/>
  <c r="H77" i="6" l="1"/>
  <c r="I77" i="6"/>
  <c r="H75" i="6"/>
  <c r="I75" i="6"/>
  <c r="I89" i="6" l="1"/>
  <c r="H89" i="6"/>
  <c r="H85" i="6" l="1"/>
  <c r="I85" i="6"/>
  <c r="E18" i="5"/>
  <c r="L6" i="9" l="1"/>
  <c r="K6" i="9" s="1"/>
  <c r="L26" i="3" l="1"/>
  <c r="I26" i="3"/>
  <c r="H26" i="3"/>
  <c r="J26" i="3"/>
  <c r="K26" i="3"/>
  <c r="E148" i="25" l="1"/>
  <c r="H75" i="8"/>
  <c r="D6" i="8"/>
  <c r="E20" i="16" l="1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G34" i="6" l="1"/>
  <c r="H34" i="6"/>
  <c r="H82" i="6" s="1"/>
  <c r="I34" i="6"/>
  <c r="I82" i="6" s="1"/>
  <c r="G88" i="6" l="1"/>
  <c r="F34" i="6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4" i="9"/>
  <c r="K14" i="9" s="1"/>
  <c r="L15" i="9"/>
  <c r="K15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E149" i="25" l="1"/>
  <c r="G93" i="6"/>
  <c r="F93" i="6"/>
  <c r="L4" i="9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5" i="25" l="1"/>
  <c r="D136" i="25"/>
  <c r="D156" i="25"/>
  <c r="D65" i="6" s="1"/>
  <c r="D82" i="25"/>
  <c r="D122" i="25"/>
  <c r="D155" i="25"/>
  <c r="D64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D128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F64" i="6" l="1"/>
  <c r="G64" i="6"/>
  <c r="G65" i="6"/>
  <c r="G66" i="6" s="1"/>
  <c r="F65" i="6"/>
  <c r="F66" i="6" s="1"/>
  <c r="I122" i="25"/>
  <c r="K122" i="25"/>
  <c r="J122" i="25"/>
  <c r="N122" i="25"/>
  <c r="F122" i="25"/>
  <c r="G122" i="25"/>
  <c r="H122" i="25"/>
  <c r="L122" i="25"/>
  <c r="M122" i="25"/>
  <c r="N82" i="25"/>
  <c r="K82" i="25"/>
  <c r="F82" i="25"/>
  <c r="G82" i="25"/>
  <c r="H82" i="25"/>
  <c r="L82" i="25"/>
  <c r="I82" i="25"/>
  <c r="M82" i="25"/>
  <c r="J82" i="25"/>
  <c r="I135" i="25"/>
  <c r="N135" i="25"/>
  <c r="M135" i="25"/>
  <c r="K135" i="25"/>
  <c r="F135" i="25"/>
  <c r="G135" i="25"/>
  <c r="L135" i="25"/>
  <c r="J135" i="25"/>
  <c r="H135" i="25"/>
  <c r="I117" i="25"/>
  <c r="M117" i="25"/>
  <c r="J117" i="25"/>
  <c r="N117" i="25"/>
  <c r="K117" i="25"/>
  <c r="L117" i="25"/>
  <c r="F117" i="25"/>
  <c r="G117" i="25"/>
  <c r="H117" i="25"/>
  <c r="I120" i="25"/>
  <c r="K120" i="25"/>
  <c r="L120" i="25"/>
  <c r="M120" i="25"/>
  <c r="N120" i="25"/>
  <c r="J120" i="25"/>
  <c r="F120" i="25"/>
  <c r="H120" i="25"/>
  <c r="G120" i="25"/>
  <c r="L118" i="25"/>
  <c r="M118" i="25"/>
  <c r="I118" i="25"/>
  <c r="K118" i="25"/>
  <c r="J118" i="25"/>
  <c r="N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E93" i="25" s="1"/>
  <c r="E96" i="25" s="1"/>
  <c r="G21" i="18"/>
  <c r="G20" i="18"/>
  <c r="G19" i="18"/>
  <c r="G18" i="18"/>
  <c r="E20" i="25" s="1"/>
  <c r="E39" i="25" l="1"/>
  <c r="E32" i="25"/>
  <c r="E57" i="25"/>
  <c r="E100" i="25"/>
  <c r="E106" i="25"/>
  <c r="K119" i="25"/>
  <c r="L119" i="25"/>
  <c r="I119" i="25"/>
  <c r="M119" i="25"/>
  <c r="J119" i="25"/>
  <c r="N119" i="25"/>
  <c r="F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E42" i="25" l="1"/>
  <c r="E91" i="25"/>
  <c r="E112" i="25" s="1"/>
  <c r="E135" i="25" s="1"/>
  <c r="E35" i="25"/>
  <c r="E49" i="25" s="1"/>
  <c r="K103" i="8"/>
  <c r="L103" i="8" s="1"/>
  <c r="M103" i="8" s="1"/>
  <c r="N103" i="8" s="1"/>
  <c r="O103" i="8" s="1"/>
  <c r="P103" i="8" s="1"/>
  <c r="J103" i="8"/>
  <c r="E46" i="25" l="1"/>
  <c r="E53" i="25" s="1"/>
  <c r="E56" i="25" s="1"/>
  <c r="F18" i="5"/>
  <c r="E55" i="25" l="1"/>
  <c r="E58" i="25"/>
  <c r="E61" i="25" s="1"/>
  <c r="I140" i="8"/>
  <c r="E76" i="25" l="1"/>
  <c r="E75" i="25"/>
  <c r="E73" i="25"/>
  <c r="E77" i="25"/>
  <c r="E72" i="25"/>
  <c r="E74" i="25"/>
  <c r="E122" i="25"/>
  <c r="E82" i="25"/>
  <c r="E117" i="25"/>
  <c r="E120" i="25"/>
  <c r="E118" i="25"/>
  <c r="E119" i="25"/>
  <c r="E128" i="25"/>
  <c r="K140" i="8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1" i="25" s="1"/>
  <c r="D70" i="6" s="1"/>
  <c r="K144" i="8"/>
  <c r="Q144" i="8" l="1"/>
  <c r="D160" i="25" s="1"/>
  <c r="D69" i="6" s="1"/>
  <c r="G69" i="6" l="1"/>
  <c r="G73" i="6"/>
  <c r="G74" i="6"/>
  <c r="F74" i="6"/>
  <c r="F69" i="6"/>
  <c r="F73" i="6"/>
  <c r="F70" i="6"/>
  <c r="G70" i="6"/>
  <c r="H35" i="8"/>
  <c r="Q35" i="8" s="1"/>
  <c r="D67" i="25" s="1"/>
  <c r="G75" i="6" l="1"/>
  <c r="G77" i="6" s="1"/>
  <c r="G89" i="6" s="1"/>
  <c r="L67" i="25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I35" i="8"/>
  <c r="I34" i="8"/>
  <c r="H34" i="8"/>
  <c r="Q34" i="8" s="1"/>
  <c r="D66" i="25" s="1"/>
  <c r="G90" i="6" l="1"/>
  <c r="G94" i="6"/>
  <c r="G85" i="6"/>
  <c r="G82" i="6"/>
  <c r="L66" i="25"/>
  <c r="K66" i="25"/>
  <c r="I66" i="25"/>
  <c r="J66" i="25"/>
  <c r="N66" i="25"/>
  <c r="M66" i="25"/>
  <c r="E66" i="25"/>
  <c r="F66" i="25"/>
  <c r="G66" i="25"/>
  <c r="H66" i="25"/>
  <c r="I47" i="8"/>
  <c r="I46" i="8"/>
  <c r="J46" i="8" s="1"/>
  <c r="G95" i="6" l="1"/>
  <c r="I131" i="25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F134" i="25" s="1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4" i="25" s="1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I45" i="8"/>
  <c r="M47" i="8"/>
  <c r="N47" i="8" s="1"/>
  <c r="O47" i="8" s="1"/>
  <c r="P47" i="8" s="1"/>
  <c r="D80" i="25" s="1"/>
  <c r="H49" i="8"/>
  <c r="K45" i="8" l="1"/>
  <c r="K49" i="8" s="1"/>
  <c r="G96" i="6"/>
  <c r="H104" i="8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1" i="25" l="1"/>
  <c r="I123" i="25" s="1"/>
  <c r="I136" i="25" s="1"/>
  <c r="I137" i="25" s="1"/>
  <c r="I145" i="25" s="1"/>
  <c r="I179" i="25" s="1"/>
  <c r="M121" i="25"/>
  <c r="M123" i="25" s="1"/>
  <c r="M136" i="25" s="1"/>
  <c r="M137" i="25" s="1"/>
  <c r="M145" i="25" s="1"/>
  <c r="M179" i="25" s="1"/>
  <c r="J121" i="25"/>
  <c r="J123" i="25" s="1"/>
  <c r="N121" i="25"/>
  <c r="N123" i="25" s="1"/>
  <c r="K121" i="25"/>
  <c r="K123" i="25" s="1"/>
  <c r="K136" i="25" s="1"/>
  <c r="K137" i="25" s="1"/>
  <c r="K145" i="25" s="1"/>
  <c r="K179" i="25" s="1"/>
  <c r="L121" i="25"/>
  <c r="L123" i="25" s="1"/>
  <c r="L136" i="25" s="1"/>
  <c r="L137" i="25" s="1"/>
  <c r="L145" i="25" s="1"/>
  <c r="L179" i="25" s="1"/>
  <c r="F121" i="25"/>
  <c r="F123" i="25" s="1"/>
  <c r="F136" i="25" s="1"/>
  <c r="F137" i="25" s="1"/>
  <c r="F145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E150" i="25" l="1"/>
  <c r="E180" i="25" s="1"/>
  <c r="E188" i="25" s="1"/>
  <c r="N136" i="25"/>
  <c r="N137" i="25" s="1"/>
  <c r="N145" i="25" s="1"/>
  <c r="N179" i="25" s="1"/>
  <c r="J136" i="25"/>
  <c r="J137" i="25" s="1"/>
  <c r="J145" i="25" s="1"/>
  <c r="J179" i="25" s="1"/>
  <c r="H136" i="25"/>
  <c r="H137" i="25" s="1"/>
  <c r="H145" i="25" s="1"/>
  <c r="M187" i="25"/>
  <c r="M182" i="25"/>
  <c r="L187" i="25"/>
  <c r="L182" i="25"/>
  <c r="G136" i="25"/>
  <c r="G137" i="25" s="1"/>
  <c r="G145" i="25" s="1"/>
  <c r="K187" i="25"/>
  <c r="K182" i="25"/>
  <c r="I187" i="25"/>
  <c r="I182" i="25"/>
  <c r="N49" i="8"/>
  <c r="O46" i="8"/>
  <c r="O45" i="8" s="1"/>
  <c r="M36" i="8"/>
  <c r="J187" i="25" l="1"/>
  <c r="J182" i="25"/>
  <c r="K190" i="25"/>
  <c r="L190" i="25"/>
  <c r="M190" i="25"/>
  <c r="I190" i="25"/>
  <c r="N182" i="25"/>
  <c r="N187" i="25"/>
  <c r="O49" i="8"/>
  <c r="P46" i="8"/>
  <c r="D79" i="25" s="1"/>
  <c r="N36" i="8"/>
  <c r="C78" i="25" l="1"/>
  <c r="D81" i="25"/>
  <c r="E134" i="25" s="1"/>
  <c r="E137" i="25" s="1"/>
  <c r="E145" i="25" s="1"/>
  <c r="J190" i="25"/>
  <c r="N190" i="25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F114" i="25" s="1"/>
  <c r="H81" i="25"/>
  <c r="H83" i="25" s="1"/>
  <c r="H114" i="25" s="1"/>
  <c r="H179" i="25" s="1"/>
  <c r="G81" i="25"/>
  <c r="G83" i="25" s="1"/>
  <c r="G114" i="25" s="1"/>
  <c r="G179" i="25" s="1"/>
  <c r="D134" i="25"/>
  <c r="F155" i="25" l="1"/>
  <c r="F179" i="25"/>
  <c r="E179" i="25"/>
  <c r="E187" i="25" s="1"/>
  <c r="E155" i="25"/>
  <c r="E156" i="25" s="1"/>
  <c r="E157" i="25" s="1"/>
  <c r="G187" i="25"/>
  <c r="G182" i="25"/>
  <c r="H187" i="25"/>
  <c r="H182" i="25"/>
  <c r="I49" i="8"/>
  <c r="K36" i="8"/>
  <c r="F187" i="25" l="1"/>
  <c r="F156" i="25"/>
  <c r="F157" i="25" s="1"/>
  <c r="E165" i="25"/>
  <c r="E160" i="25"/>
  <c r="E161" i="25"/>
  <c r="E164" i="25"/>
  <c r="H190" i="25"/>
  <c r="G190" i="25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I36" i="8"/>
  <c r="F165" i="25" l="1"/>
  <c r="F161" i="25"/>
  <c r="F164" i="25"/>
  <c r="F160" i="25"/>
  <c r="F166" i="25" s="1"/>
  <c r="F168" i="25" s="1"/>
  <c r="E166" i="25"/>
  <c r="E168" i="25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F181" i="25" l="1"/>
  <c r="F174" i="25"/>
  <c r="F175" i="25"/>
  <c r="E174" i="25"/>
  <c r="H17" i="5" s="1"/>
  <c r="E181" i="25"/>
  <c r="E175" i="25"/>
  <c r="F176" i="25" l="1"/>
  <c r="F173" i="25"/>
  <c r="F189" i="25"/>
  <c r="F182" i="25"/>
  <c r="E173" i="25"/>
  <c r="G17" i="5" s="1"/>
  <c r="E176" i="25"/>
  <c r="I17" i="5" s="1"/>
  <c r="E182" i="25"/>
  <c r="E189" i="25"/>
  <c r="F75" i="6"/>
  <c r="F77" i="6" s="1"/>
  <c r="F190" i="25" l="1"/>
  <c r="E190" i="25"/>
  <c r="K17" i="5" s="1"/>
  <c r="J17" i="5"/>
  <c r="F89" i="6"/>
  <c r="F82" i="6" l="1"/>
  <c r="F85" i="6"/>
  <c r="F94" i="6"/>
  <c r="F90" i="6"/>
  <c r="F95" i="6" l="1"/>
  <c r="F96" i="6" l="1"/>
  <c r="K4" i="9"/>
  <c r="J18" i="5" l="1"/>
  <c r="K18" i="5"/>
  <c r="J29" i="5" l="1"/>
  <c r="K29" i="5" l="1"/>
  <c r="J30" i="5" l="1"/>
  <c r="K30" i="5"/>
  <c r="J28" i="5"/>
  <c r="K28" i="5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5" i="6" l="1"/>
  <c r="E66" i="6" s="1"/>
  <c r="E93" i="6"/>
  <c r="J31" i="5" s="1"/>
  <c r="K31" i="5" s="1"/>
  <c r="K32" i="5" s="1"/>
  <c r="J34" i="5"/>
  <c r="K34" i="5"/>
  <c r="E74" i="6" l="1"/>
  <c r="E69" i="6"/>
  <c r="E70" i="6"/>
  <c r="E73" i="6"/>
  <c r="J32" i="5"/>
  <c r="K35" i="5"/>
  <c r="J35" i="5"/>
  <c r="J37" i="5" l="1"/>
  <c r="K40" i="5"/>
  <c r="J40" i="5"/>
  <c r="K37" i="5"/>
  <c r="K39" i="5"/>
  <c r="J39" i="5"/>
  <c r="K38" i="5"/>
  <c r="J38" i="5"/>
  <c r="E75" i="6"/>
  <c r="E77" i="6" s="1"/>
  <c r="J41" i="5" l="1"/>
  <c r="J42" i="5" s="1"/>
  <c r="K41" i="5"/>
  <c r="K42" i="5" s="1"/>
  <c r="E89" i="6"/>
  <c r="E85" i="6" l="1"/>
  <c r="G22" i="5" s="1"/>
  <c r="E82" i="6"/>
  <c r="H22" i="5" s="1"/>
  <c r="E94" i="6"/>
  <c r="E90" i="6"/>
  <c r="I22" i="5" s="1"/>
  <c r="E95" i="6" l="1"/>
  <c r="E96" i="6" l="1"/>
  <c r="K22" i="5" s="1"/>
  <c r="K23" i="5" s="1"/>
  <c r="J22" i="5"/>
  <c r="J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1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<sst xmlns="http://schemas.openxmlformats.org/spreadsheetml/2006/main" count="1026" uniqueCount="603">
  <si>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</si>
  <si>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</si>
  <si>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</si>
  <si>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</si>
  <si>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</si>
  <si>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</si>
  <si>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</si>
  <si>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</si>
  <si>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</si>
  <si>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</si>
  <si>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</si>
  <si>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</si>
  <si>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</si>
  <si>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</si>
  <si>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</si>
  <si>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</si>
  <si>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</si>
  <si>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</si>
  <si>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</si>
  <si>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</si>
  <si>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</si>
  <si>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</si>
  <si>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</si>
  <si>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</si>
  <si>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</si>
  <si>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</si>
  <si>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</si>
  <si>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</si>
  <si>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</si>
  <si>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</si>
  <si>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</si>
  <si>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</si>
  <si>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</si>
  <si>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</si>
  <si>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</si>
  <si>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</si>
  <si>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</si>
  <si>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</si>
  <si>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</si>
  <si>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</si>
  <si>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</si>
  <si>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</si>
  <si>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</si>
  <si>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</si>
  <si>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</si>
  <si>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</si>
  <si>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</si>
  <si>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</si>
  <si>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</si>
  <si>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</si>
  <si>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</si>
  <si>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</si>
  <si>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</si>
  <si>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</si>
  <si>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</si>
  <si>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</si>
  <si>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</si>
  <si>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</si>
  <si>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</si>
  <si>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</si>
  <si>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</si>
  <si>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</si>
  <si>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</si>
  <si>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</si>
  <si>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</si>
  <si>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</si>
  <si>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</si>
  <si>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</si>
  <si>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</si>
  <si>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</si>
  <si>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</si>
  <si>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</si>
  <si>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</si>
  <si>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</si>
  <si>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</si>
  <si>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</si>
  <si>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</si>
  <si>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</si>
  <si>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</si>
  <si>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</si>
  <si>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</si>
  <si>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</si>
  <si>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</si>
  <si>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</si>
  <si>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</si>
  <si>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</si>
  <si>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</si>
  <si>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</si>
  <si>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</si>
  <si>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</si>
  <si>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</si>
  <si>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</si>
  <si>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</si>
  <si>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</si>
  <si>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</si>
  <si>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</si>
  <si>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</si>
  <si>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</si>
  <si>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</si>
  <si>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</si>
  <si>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</si>
  <si>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</si>
  <si>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</si>
  <si>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</si>
  <si>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</si>
  <si>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</si>
  <si>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</si>
  <si>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</si>
  <si>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</si>
  <si>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</si>
  <si>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</si>
  <si>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</si>
  <si>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</si>
  <si>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</si>
  <si>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</si>
  <si>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</si>
  <si>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</si>
  <si>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</si>
  <si>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</si>
  <si>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</si>
  <si>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</si>
  <si>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</si>
  <si>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</si>
  <si>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</si>
  <si>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</si>
  <si>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</si>
  <si>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</si>
  <si>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</si>
  <si>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</si>
  <si>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</si>
  <si>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</si>
  <si>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</si>
  <si>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</si>
  <si>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</si>
  <si>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</si>
  <si>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</si>
  <si>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</si>
  <si>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</si>
  <si>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</si>
  <si>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</si>
  <si>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</si>
  <si>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</si>
  <si>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</si>
  <si>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</si>
  <si>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</si>
  <si>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</si>
  <si>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</si>
  <si>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</si>
  <si>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</si>
  <si>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</si>
  <si>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</si>
  <si>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</si>
  <si>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</si>
  <si>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</si>
  <si>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</si>
  <si>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</si>
  <si>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</si>
  <si>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</si>
  <si>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</si>
  <si>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</si>
  <si>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</si>
  <si>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</si>
  <si>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</si>
  <si>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</si>
  <si>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</si>
  <si>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</si>
  <si>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</si>
  <si>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</si>
  <si>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</si>
  <si>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</si>
  <si>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</si>
  <si>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</si>
  <si>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</si>
  <si>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</si>
  <si>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</si>
  <si>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</si>
  <si>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</si>
  <si>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</si>
  <si>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</si>
  <si>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</si>
  <si>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</si>
  <si>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</si>
  <si>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</si>
  <si>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</si>
  <si>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</si>
  <si>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</si>
  <si>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</si>
  <si>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</si>
  <si>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</si>
  <si>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</si>
  <si>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</si>
  <si>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</si>
  <si>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</si>
  <si>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</si>
  <si>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</si>
  <si>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</si>
  <si>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</si>
  <si>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</si>
  <si>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</si>
  <si>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</si>
  <si>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</si>
  <si>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</si>
  <si>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</si>
  <si>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</si>
  <si>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</si>
  <si>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</si>
  <si>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</si>
  <si>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</si>
  <si>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</si>
  <si>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</si>
  <si>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</si>
  <si>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</si>
  <si>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</si>
  <si>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</si>
  <si>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</si>
  <si>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</si>
  <si>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</si>
  <si>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</si>
  <si>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</si>
  <si>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</si>
  <si>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</si>
  <si>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</si>
  <si>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</si>
  <si>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</si>
  <si>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</si>
  <si>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</si>
  <si>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</si>
  <si>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</si>
  <si>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</si>
  <si>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</si>
  <si>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</si>
  <si>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</si>
  <si>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</si>
  <si>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</si>
  <si>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</si>
  <si>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</si>
  <si>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</si>
  <si>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</si>
  <si>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</si>
  <si>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</si>
  <si>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</si>
  <si>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</si>
  <si>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</si>
  <si>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</si>
  <si>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</si>
  <si>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</si>
  <si>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</si>
  <si>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</si>
  <si>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</si>
  <si>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</si>
  <si>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</si>
  <si>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</si>
  <si>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</si>
  <si>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</si>
  <si>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</si>
  <si>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</si>
  <si>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</si>
  <si>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</si>
  <si>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</si>
  <si>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</si>
  <si>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</si>
  <si>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</si>
  <si>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</si>
  <si>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</si>
  <si>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</si>
  <si>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</si>
  <si>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</si>
  <si>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</si>
  <si>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</si>
  <si>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</si>
  <si>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</si>
  <si>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</si>
  <si>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</si>
  <si>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</si>
  <si>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</si>
  <si>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</si>
  <si>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</si>
  <si>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</si>
  <si>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</si>
  <si>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</si>
  <si>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</si>
  <si>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</si>
  <si>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</si>
  <si>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</si>
  <si>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</si>
  <si>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Custos com mão de obra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</si>
  <si>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</si>
  <si>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</si>
  <si>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</si>
  <si>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</si>
  <si>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</si>
  <si>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</si>
  <si>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</si>
  <si>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</si>
  <si>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</si>
  <si>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</si>
  <si>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</si>
  <si>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</si>
  <si>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</si>
  <si>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</si>
  <si>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</si>
  <si>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</si>
  <si>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</si>
  <si>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</si>
  <si>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</si>
  <si>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</si>
  <si>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</si>
  <si>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</si>
  <si>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</si>
  <si>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</si>
  <si>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</si>
  <si>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</si>
  <si>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</si>
  <si>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</si>
  <si>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</si>
  <si>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</si>
  <si>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</si>
  <si>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</si>
  <si>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</si>
  <si>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</si>
  <si>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</si>
  <si>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</si>
  <si>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</si>
  <si>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</si>
  <si>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</si>
  <si>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</si>
  <si>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</si>
  <si>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</si>
  <si>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</si>
  <si>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</si>
  <si>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</si>
  <si>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</si>
  <si>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</si>
  <si>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</si>
  <si>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</si>
  <si>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</si>
  <si>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</si>
  <si>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</si>
  <si>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Subtotal</t>
  </si>
  <si>
    <t>Custos Diretos</t>
  </si>
  <si>
    <t>Tributos</t>
  </si>
  <si>
    <t>Custos Administrativos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</si>
  <si>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</si>
  <si>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</si>
  <si>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</si>
  <si>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</si>
  <si>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</si>
  <si>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</si>
  <si>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</si>
  <si>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</si>
  <si>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</si>
  <si>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</si>
  <si>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</si>
  <si>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</si>
  <si>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</si>
  <si>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</si>
  <si>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</si>
  <si>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</si>
  <si>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</si>
  <si>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</si>
  <si>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</si>
  <si>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</si>
  <si>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</si>
  <si>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Custos material e equipamentos de uso coletivo</t>
  </si>
  <si>
    <t>Custos com uniformes e material individuais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</si>
  <si>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</si>
  <si>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</si>
  <si>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</si>
  <si>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</si>
  <si>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</si>
  <si>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</si>
  <si>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</si>
  <si>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</si>
  <si>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</si>
  <si>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</si>
  <si>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</si>
  <si>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</si>
  <si>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</si>
  <si>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</si>
  <si>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</si>
  <si>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</si>
  <si>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</si>
  <si>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</si>
  <si>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</si>
  <si>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</si>
  <si>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</si>
  <si>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</si>
  <si>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</si>
  <si>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</si>
  <si>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</si>
  <si>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</si>
  <si>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</si>
  <si>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</si>
  <si>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</si>
  <si>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</si>
  <si>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</si>
  <si>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</si>
  <si>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</si>
  <si>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</si>
  <si>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</si>
  <si>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</si>
  <si>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</si>
  <si>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</si>
  <si>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</si>
  <si>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</si>
  <si>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</si>
  <si>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</si>
  <si>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</si>
  <si>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</si>
  <si>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</si>
  <si>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</si>
  <si>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</si>
  <si>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</si>
  <si>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</si>
  <si>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</si>
  <si>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</si>
  <si>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</si>
  <si>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</si>
  <si>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</si>
  <si>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</si>
  <si>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</si>
  <si>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</si>
  <si>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</si>
  <si>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</si>
  <si>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</si>
  <si>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</si>
  <si>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</si>
  <si>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</si>
  <si>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</si>
  <si>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</si>
  <si>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</si>
  <si>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</si>
  <si>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</si>
  <si>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</si>
  <si>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</si>
  <si>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</si>
  <si>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</si>
  <si>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Custo total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</si>
  <si>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</si>
  <si>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</si>
  <si>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</si>
  <si>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</si>
  <si>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</si>
  <si>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</si>
  <si>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</si>
  <si>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</si>
  <si>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</si>
  <si>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</si>
  <si>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</si>
  <si>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</si>
  <si>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</si>
  <si>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</si>
  <si>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</si>
  <si>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</si>
  <si>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</si>
  <si>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</si>
  <si>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</si>
  <si>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</si>
  <si>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</si>
  <si>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</si>
  <si>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</si>
  <si>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</si>
  <si>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</si>
  <si>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>Fachadas Envidraçadas</t>
  </si>
  <si>
    <t>Áreas Hospitalares e assemelhadas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</si>
  <si>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</si>
  <si>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</si>
  <si>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</si>
  <si>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</si>
  <si>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</si>
  <si>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</si>
  <si>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</si>
  <si>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</si>
  <si>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</si>
  <si>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</si>
  <si>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</si>
  <si>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</si>
  <si>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</si>
  <si>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</si>
  <si>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</si>
  <si>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</si>
  <si>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</si>
  <si>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</si>
  <si>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</si>
  <si>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</si>
  <si>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</si>
  <si>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</si>
  <si>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</si>
  <si>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</si>
  <si>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</si>
  <si>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</si>
  <si>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</si>
  <si>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</si>
  <si>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</si>
  <si>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Incidência salário</t>
  </si>
  <si>
    <t>Duração do Contrato em meses:</t>
  </si>
  <si>
    <t>QUANTIDADE CONTRATUAL POR PROFISSIONAL</t>
  </si>
  <si>
    <t>Posto A</t>
  </si>
  <si>
    <t>Posto B</t>
  </si>
  <si>
    <t>Posto C</t>
  </si>
  <si>
    <t>Posto D</t>
  </si>
  <si>
    <t>Posto E</t>
  </si>
  <si>
    <t>Qnt. de Postos</t>
  </si>
  <si>
    <t>Qnt. de Profissionais</t>
  </si>
  <si>
    <t>Veículo</t>
  </si>
  <si>
    <t>Km/mês</t>
  </si>
  <si>
    <t>Qnt.</t>
  </si>
  <si>
    <t>DEMONSTRATIVO DOS CUSTOS DIRETOS E INDIRETOS</t>
  </si>
  <si>
    <t>DEMONSTRATIVO DE CUSTOS COM MÃO DE OBRA POR POSTO</t>
  </si>
  <si>
    <t>DEMONSTRATIVO DE CUSTOS COM LOCAÇÃO DE VEÍCULOS</t>
  </si>
  <si>
    <t>1.C - Total por veículo</t>
  </si>
  <si>
    <t>1.B - Custos por veículo</t>
  </si>
  <si>
    <t>Custos diretos por mês</t>
  </si>
  <si>
    <t>QUADRO 1 - RESUMO DOS CUSTOS</t>
  </si>
  <si>
    <t>Custos com veículos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</si>
  <si>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</si>
  <si>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</si>
  <si>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</si>
  <si>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</si>
  <si>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</si>
  <si>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</si>
  <si>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</si>
  <si>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Custo mês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</si>
  <si>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</si>
  <si>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</si>
  <si>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</si>
  <si>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</si>
  <si>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</si>
  <si>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</si>
  <si>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</si>
  <si>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</si>
  <si>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</si>
  <si>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</si>
  <si>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</si>
  <si>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Total mensal</t>
  </si>
  <si>
    <t>Pagamento do Contrato:</t>
  </si>
  <si>
    <t>Quantidade de vistorias no período contratual</t>
  </si>
  <si>
    <t>Valor da vistoria</t>
  </si>
  <si>
    <t>Custo km rodado</t>
  </si>
  <si>
    <t>1.A - Custos por hora e quilômetro</t>
  </si>
  <si>
    <t>Custo variável por quilômetro</t>
  </si>
  <si>
    <t>Horas consideradas</t>
  </si>
  <si>
    <t>Qnt Horas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</si>
  <si>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</si>
  <si>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</si>
  <si>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</si>
  <si>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</si>
  <si>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</si>
  <si>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</si>
  <si>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</si>
  <si>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</si>
  <si>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</si>
  <si>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</si>
  <si>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</si>
  <si>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</si>
  <si>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</si>
  <si>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</si>
  <si>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</si>
  <si>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</si>
  <si>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</si>
  <si>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</si>
  <si>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</si>
  <si>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</si>
  <si>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</si>
  <si>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</si>
  <si>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</si>
  <si>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</si>
  <si>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</si>
  <si>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</si>
  <si>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</si>
  <si>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</si>
  <si>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</si>
  <si>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</si>
  <si>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</si>
  <si>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</si>
  <si>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</si>
  <si>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</si>
  <si>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</si>
  <si>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</si>
  <si>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</si>
  <si>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</si>
  <si>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</si>
  <si>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</si>
  <si>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</si>
  <si>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</si>
  <si>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</si>
  <si>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</si>
  <si>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</si>
  <si>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</si>
  <si>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</si>
  <si>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</si>
  <si>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</si>
  <si>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23.0.000099907-5</t>
  </si>
  <si>
    <t>Locação Veículos DVS</t>
  </si>
  <si>
    <t>Viviane M.Demoly</t>
  </si>
  <si>
    <t>DVS</t>
  </si>
  <si>
    <t>Não</t>
  </si>
  <si>
    <t>Furgão baú</t>
  </si>
  <si>
    <t>Gasolina</t>
  </si>
  <si>
    <t xml:space="preserve">Smartphones com acesso à internet 4G, tela de 5" polegadas ou superior, câmera fotográfica com resolução mínima de 5 megapixels e função posição geográfica (GPS), cartão </t>
  </si>
  <si>
    <t>Pacote de dados e ligações</t>
  </si>
  <si>
    <t>unid</t>
  </si>
  <si>
    <t>Relógio ponto biométrico e/ou controle de ponto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</si>
</sst>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\ &quot;h&quot;"/>
    <numFmt numFmtId="195" formatCode="#,##0.00\ &quot;km&quot;"/>
    <numFmt numFmtId="196" formatCode="0\ &quot;h&quot;"/>
    <numFmt numFmtId="197" formatCode="0.00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6" fillId="0" borderId="17" xfId="0" applyFont="1" applyBorder="1"/>
    <xf numFmtId="0" fontId="6" fillId="0" borderId="18" xfId="0" applyFont="1" applyBorder="1"/>
    <xf numFmtId="44" fontId="0" fillId="0" borderId="0" xfId="2" applyFont="1" applyBorder="1" applyProtection="1"/>
    <xf numFmtId="44" fontId="0" fillId="0" borderId="1" xfId="2" applyFont="1" applyBorder="1" applyProtection="1"/>
    <xf numFmtId="44" fontId="6" fillId="0" borderId="18" xfId="2" applyFont="1" applyBorder="1" applyProtection="1"/>
    <xf numFmtId="44" fontId="6" fillId="0" borderId="19" xfId="2" applyFont="1" applyBorder="1" applyProtection="1"/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4" fontId="1" fillId="0" borderId="0" xfId="2" applyFont="1" applyBorder="1" applyProtection="1"/>
    <xf numFmtId="166" fontId="0" fillId="0" borderId="0" xfId="3" applyNumberFormat="1" applyFont="1" applyBorder="1" applyProtection="1"/>
    <xf numFmtId="9" fontId="0" fillId="0" borderId="0" xfId="0" applyNumberFormat="1"/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0" fillId="0" borderId="7" xfId="0" applyBorder="1" applyAlignment="1">
      <alignment horizontal="left" indent="1"/>
    </xf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44" fontId="6" fillId="0" borderId="2" xfId="2" applyFont="1" applyBorder="1" applyProtection="1"/>
    <xf numFmtId="44" fontId="6" fillId="0" borderId="16" xfId="2" applyFont="1" applyBorder="1" applyProtection="1"/>
    <xf numFmtId="0" fontId="6" fillId="0" borderId="6" xfId="0" applyFont="1" applyBorder="1" applyAlignment="1">
      <alignment horizontal="left" indent="1"/>
    </xf>
    <xf numFmtId="0" fontId="6" fillId="0" borderId="43" xfId="0" applyFont="1" applyBorder="1" applyAlignment="1">
      <alignment horizontal="left" indent="1"/>
    </xf>
    <xf numFmtId="0" fontId="6" fillId="0" borderId="44" xfId="0" applyFont="1" applyBorder="1"/>
    <xf numFmtId="44" fontId="6" fillId="0" borderId="44" xfId="2" applyFont="1" applyBorder="1" applyProtection="1"/>
    <xf numFmtId="44" fontId="6" fillId="0" borderId="45" xfId="2" applyFont="1" applyBorder="1" applyProtection="1"/>
    <xf numFmtId="0" fontId="0" fillId="0" borderId="7" xfId="0" applyBorder="1" applyAlignment="1">
      <alignment horizontal="left" indent="3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44" fontId="0" fillId="0" borderId="0" xfId="2" applyFont="1" applyBorder="1"/>
    <xf numFmtId="44" fontId="0" fillId="0" borderId="0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10" fontId="0" fillId="0" borderId="0" xfId="3" applyNumberFormat="1" applyFont="1" applyBorder="1" applyProtection="1"/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10" fontId="1" fillId="0" borderId="0" xfId="3" applyNumberFormat="1" applyFont="1" applyFill="1" applyBorder="1" applyAlignment="1">
      <alignment horizontal="center" vertical="center"/>
    </xf>
    <xf numFmtId="10" fontId="0" fillId="0" borderId="0" xfId="3" applyNumberFormat="1" applyFont="1" applyFill="1" applyAlignment="1">
      <alignment horizontal="center"/>
    </xf>
    <xf numFmtId="10" fontId="6" fillId="0" borderId="44" xfId="3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6" fillId="0" borderId="2" xfId="3" applyNumberFormat="1" applyFont="1" applyFill="1" applyBorder="1" applyAlignment="1" applyProtection="1">
      <alignment horizontal="center"/>
    </xf>
    <xf numFmtId="0" fontId="6" fillId="0" borderId="85" xfId="0" applyFont="1" applyBorder="1"/>
    <xf numFmtId="0" fontId="6" fillId="0" borderId="84" xfId="0" applyFont="1" applyBorder="1"/>
    <xf numFmtId="0" fontId="6" fillId="0" borderId="84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70" xfId="0" applyFont="1" applyBorder="1" applyAlignment="1">
      <alignment horizontal="left"/>
    </xf>
    <xf numFmtId="0" fontId="0" fillId="0" borderId="60" xfId="0" applyBorder="1"/>
    <xf numFmtId="10" fontId="0" fillId="0" borderId="60" xfId="0" applyNumberFormat="1" applyBorder="1" applyAlignment="1">
      <alignment horizontal="center"/>
    </xf>
    <xf numFmtId="44" fontId="0" fillId="0" borderId="60" xfId="2" applyFont="1" applyBorder="1" applyProtection="1"/>
    <xf numFmtId="44" fontId="0" fillId="0" borderId="55" xfId="2" applyFont="1" applyBorder="1" applyProtection="1"/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191" fontId="1" fillId="0" borderId="46" xfId="18" applyNumberFormat="1" applyFill="1" applyBorder="1" applyAlignment="1">
      <alignment horizontal="center" vertical="center"/>
    </xf>
    <xf numFmtId="0" fontId="11" fillId="39" borderId="46" xfId="172" applyFont="1" applyBorder="1" applyAlignment="1">
      <alignment horizontal="center" vertical="center"/>
    </xf>
    <xf numFmtId="0" fontId="7" fillId="0" borderId="24" xfId="6" applyFont="1" applyBorder="1" applyAlignment="1">
      <alignment horizontal="left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4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196" fontId="0" fillId="0" borderId="0" xfId="2" applyNumberFormat="1" applyFont="1" applyBorder="1" applyAlignment="1" applyProtection="1">
      <alignment horizontal="center" vertical="center" wrapText="1"/>
      <protection locked="0"/>
    </xf>
    <xf numFmtId="195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vertical="center" wrapText="1"/>
      <protection locked="0"/>
    </xf>
    <xf numFmtId="44" fontId="6" fillId="0" borderId="18" xfId="2" applyFont="1" applyBorder="1" applyAlignment="1" applyProtection="1">
      <alignment horizontal="center" vertical="center"/>
      <protection locked="0"/>
    </xf>
    <xf numFmtId="44" fontId="6" fillId="0" borderId="19" xfId="2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7" fillId="0" borderId="46" xfId="0" applyFont="1" applyBorder="1" applyAlignment="1" applyProtection="1">
      <alignment horizontal="center" vertical="center"/>
      <protection locked="0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167" fontId="0" fillId="0" borderId="84" xfId="0" applyNumberFormat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60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13">
    <dxf>
      <fill>
        <patternFill>
          <bgColor rgb="FFFFC000"/>
        </patternFill>
      </fill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323906</xdr:colOff>
          <xdr:row>2</xdr:row>
          <xdr:rowOff>238120</xdr:rowOff>
        </xdr:from>
        <xdr:to>
          <xdr:col>6</xdr:col>
          <xdr:colOff>1095427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48531" y="1107276"/>
              <a:ext cx="1914521" cy="1478754"/>
              <a:chOff x="5896033" y="1152520"/>
              <a:chExt cx="2066920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3" y="1152520"/>
                <a:ext cx="2066920" cy="1476372"/>
                <a:chOff x="9553628" y="1638295"/>
                <a:chExt cx="2285994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28" y="1638295"/>
                  <a:ext cx="2285994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91"/>
  <sheetViews>
    <sheetView showGridLines="0" topLeftCell="A16" zoomScale="80" zoomScaleNormal="80" workbookViewId="0">
      <selection activeCell="E28" sqref="E28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14" width="17.140625" style="1" customWidth="1"/>
    <col min="15" max="49" width="9.140625" style="306"/>
    <col min="50" max="16384" width="9.140625" style="1"/>
  </cols>
  <sheetData>
    <row r="1" spans="1:49" customFormat="1" ht="11.25" customHeight="1">
      <c r="A1" s="52"/>
      <c r="B1" s="96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</row>
    <row r="2" spans="1:49" customFormat="1" ht="57" customHeight="1">
      <c r="A2" s="684" t="str">
        <f>CONCATENATE("PREFEITURA MUNICIPAL DE PORTO ALEGRE
",D5,"
FORMAÇÃO DE PREÇOS DE REFERÊNCIA - CESSÃO DE MÃO DE OBRA")</f>
        <v>PREFEITURA MUNICIPAL DE PORTO ALEGRE
SECRETARIA DE SAÚDE
FORMAÇÃO DE PREÇOS DE REFERÊNCIA - CESSÃO DE MÃO DE OBRA</v>
      </c>
      <c r="B2" s="685"/>
      <c r="C2" s="685"/>
      <c r="D2" s="685"/>
      <c r="E2" s="685"/>
      <c r="F2" s="685"/>
      <c r="G2" s="685"/>
      <c r="H2" s="685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49" customFormat="1" ht="15" customHeight="1">
      <c r="A4" s="1"/>
      <c r="B4" s="103"/>
      <c r="C4" s="104"/>
      <c r="D4" s="140"/>
      <c r="E4" s="132"/>
      <c r="G4" s="11"/>
      <c r="H4" s="11"/>
      <c r="I4" s="11"/>
      <c r="J4" s="11"/>
      <c r="K4" s="11"/>
      <c r="L4" s="11"/>
      <c r="M4" s="11"/>
      <c r="N4" s="11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49" customFormat="1" ht="15.75" customHeight="1">
      <c r="A5" s="1"/>
      <c r="B5" s="130" t="s">
        <v>2</v>
      </c>
      <c r="C5" s="131" t="s">
        <v>331</v>
      </c>
      <c r="D5" s="686" t="s">
        <v>299</v>
      </c>
      <c r="E5" s="686"/>
      <c r="F5" s="1"/>
      <c r="G5" s="54"/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49" customFormat="1">
      <c r="A6" s="1"/>
      <c r="B6" s="129" t="s">
        <v>1</v>
      </c>
      <c r="C6" s="131" t="s">
        <v>235</v>
      </c>
      <c r="D6" s="687"/>
      <c r="E6" s="687"/>
      <c r="F6" s="1"/>
      <c r="G6" s="22"/>
      <c r="H6" s="83"/>
      <c r="I6" s="83"/>
      <c r="J6" s="83"/>
      <c r="K6" s="83"/>
      <c r="L6" s="83"/>
      <c r="M6" s="83"/>
      <c r="N6" s="83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</row>
    <row r="7" spans="1:49" customFormat="1">
      <c r="A7" s="1"/>
      <c r="B7" s="130" t="s">
        <v>0</v>
      </c>
      <c r="C7" s="131" t="s">
        <v>234</v>
      </c>
      <c r="D7" s="687" t="s">
        <v>592</v>
      </c>
      <c r="E7" s="687"/>
      <c r="F7" s="1"/>
      <c r="G7" s="22"/>
      <c r="H7" s="83"/>
      <c r="I7" s="83"/>
      <c r="J7" s="83"/>
      <c r="K7" s="83"/>
      <c r="L7" s="83"/>
      <c r="M7" s="83"/>
      <c r="N7" s="83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49" customFormat="1">
      <c r="A8" s="1"/>
      <c r="B8" s="129" t="s">
        <v>3</v>
      </c>
      <c r="C8" s="131" t="s">
        <v>233</v>
      </c>
      <c r="D8" s="688" t="s">
        <v>593</v>
      </c>
      <c r="E8" s="688"/>
      <c r="F8" s="1"/>
      <c r="G8" s="84"/>
      <c r="H8" s="83"/>
      <c r="I8" s="83"/>
      <c r="J8" s="83"/>
      <c r="K8" s="83"/>
      <c r="L8" s="83"/>
      <c r="M8" s="83"/>
      <c r="N8" s="83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</row>
    <row r="9" spans="1:49" customFormat="1">
      <c r="B9" s="130" t="s">
        <v>7</v>
      </c>
      <c r="C9" s="131" t="s">
        <v>555</v>
      </c>
      <c r="D9" s="665" t="s">
        <v>594</v>
      </c>
      <c r="E9" s="665"/>
      <c r="F9" s="1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</row>
    <row r="10" spans="1:49" customFormat="1">
      <c r="A10" s="1"/>
      <c r="B10" s="129" t="s">
        <v>6</v>
      </c>
      <c r="C10" s="9" t="s">
        <v>556</v>
      </c>
      <c r="D10" s="664">
        <v>45470</v>
      </c>
      <c r="E10" s="664"/>
      <c r="F10" s="1"/>
      <c r="G10" s="1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</row>
    <row r="11" spans="1:49" customFormat="1">
      <c r="A11" s="1"/>
      <c r="B11" s="129" t="s">
        <v>5</v>
      </c>
      <c r="C11" s="131" t="s">
        <v>535</v>
      </c>
      <c r="D11" s="676" t="s">
        <v>362</v>
      </c>
      <c r="E11" s="676"/>
      <c r="F11" s="1"/>
      <c r="G11" s="1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</row>
    <row r="12" spans="1:49" customFormat="1">
      <c r="B12" s="130" t="s">
        <v>4</v>
      </c>
      <c r="C12" s="131" t="s">
        <v>495</v>
      </c>
      <c r="D12" s="677">
        <v>12</v>
      </c>
      <c r="E12" s="677"/>
      <c r="F12" s="1"/>
      <c r="G12" s="1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>
      <c r="B13" s="129" t="s">
        <v>142</v>
      </c>
      <c r="C13" s="131" t="s">
        <v>74</v>
      </c>
      <c r="D13" s="676" t="s">
        <v>61</v>
      </c>
      <c r="E13" s="676"/>
    </row>
    <row r="14" spans="1:49">
      <c r="B14" s="130" t="s">
        <v>169</v>
      </c>
      <c r="C14" s="131" t="s">
        <v>355</v>
      </c>
      <c r="D14" s="678"/>
      <c r="E14" s="678"/>
    </row>
    <row r="15" spans="1:49">
      <c r="B15" s="130" t="s">
        <v>281</v>
      </c>
      <c r="C15" s="131" t="s">
        <v>408</v>
      </c>
      <c r="D15" s="679">
        <v>1412</v>
      </c>
      <c r="E15" s="680"/>
    </row>
    <row r="16" spans="1:49">
      <c r="A16" s="49"/>
      <c r="B16" s="316"/>
      <c r="C16" s="317"/>
      <c r="D16" s="318"/>
      <c r="E16" s="317"/>
      <c r="F16" s="139"/>
      <c r="G16" s="139"/>
      <c r="H16" s="139"/>
      <c r="I16" s="139"/>
      <c r="J16" s="139"/>
      <c r="K16" s="139"/>
      <c r="L16" s="139"/>
      <c r="M16" s="139"/>
      <c r="N16" s="139"/>
    </row>
    <row r="17" spans="1:49" s="12" customFormat="1">
      <c r="A17" s="85"/>
      <c r="B17" s="103"/>
      <c r="C17" s="104" t="s">
        <v>232</v>
      </c>
      <c r="D17" s="140"/>
      <c r="E17" s="412" t="s">
        <v>497</v>
      </c>
      <c r="F17" s="412" t="s">
        <v>498</v>
      </c>
      <c r="G17" s="412" t="s">
        <v>499</v>
      </c>
      <c r="H17" s="412" t="s">
        <v>500</v>
      </c>
      <c r="I17" s="412" t="s">
        <v>501</v>
      </c>
      <c r="J17" s="412" t="s">
        <v>543</v>
      </c>
      <c r="K17" s="412" t="s">
        <v>544</v>
      </c>
      <c r="L17" s="412" t="s">
        <v>545</v>
      </c>
      <c r="M17" s="412" t="s">
        <v>546</v>
      </c>
      <c r="N17" s="412" t="s">
        <v>547</v>
      </c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</row>
    <row r="18" spans="1:49" s="75" customFormat="1" ht="30">
      <c r="A18" s="118"/>
      <c r="B18" s="128" t="s">
        <v>2</v>
      </c>
      <c r="C18" s="136" t="s">
        <v>358</v>
      </c>
      <c r="D18" s="133"/>
      <c r="E18" s="121" t="s">
        <v>379</v>
      </c>
      <c r="F18" s="121"/>
      <c r="G18" s="121"/>
      <c r="H18" s="121"/>
      <c r="I18" s="121"/>
      <c r="J18" s="121"/>
      <c r="K18" s="121"/>
      <c r="L18" s="121"/>
      <c r="M18" s="121"/>
      <c r="N18" s="121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</row>
    <row r="19" spans="1:49">
      <c r="A19" s="119"/>
      <c r="B19" s="129" t="s">
        <v>1</v>
      </c>
      <c r="C19" s="137" t="s">
        <v>82</v>
      </c>
      <c r="D19" s="134"/>
      <c r="E19" s="122">
        <f>IFERROR(VLOOKUP(E$18,'Apoio - Posto'!$A:$J,2,FALSE),"")</f>
        <v>7823</v>
      </c>
      <c r="F19" s="122" t="str">
        <f>IFERROR(VLOOKUP(F$18,'Apoio - Posto'!$A:$J,2,FALSE),"")</f>
        <v/>
      </c>
      <c r="G19" s="122" t="str">
        <f>IFERROR(VLOOKUP(G$18,'Apoio - Posto'!$A:$J,2,FALSE),"")</f>
        <v/>
      </c>
      <c r="H19" s="122" t="str">
        <f>IFERROR(VLOOKUP(H$18,'Apoio - Posto'!$A:$J,2,FALSE),"")</f>
        <v/>
      </c>
      <c r="I19" s="122" t="str">
        <f>IFERROR(VLOOKUP(I$18,'Apoio - Posto'!$A:$J,2,FALSE),"")</f>
        <v/>
      </c>
      <c r="J19" s="122" t="str">
        <f>IFERROR(VLOOKUP(J$18,'Apoio - Posto'!$A:$J,2,FALSE),"")</f>
        <v/>
      </c>
      <c r="K19" s="122" t="str">
        <f>IFERROR(VLOOKUP(K$18,'Apoio - Posto'!$A:$J,2,FALSE),"")</f>
        <v/>
      </c>
      <c r="L19" s="122" t="str">
        <f>IFERROR(VLOOKUP(L$18,'Apoio - Posto'!$A:$J,2,FALSE),"")</f>
        <v/>
      </c>
      <c r="M19" s="122" t="str">
        <f>IFERROR(VLOOKUP(M$18,'Apoio - Posto'!$A:$J,2,FALSE),"")</f>
        <v/>
      </c>
      <c r="N19" s="122" t="str">
        <f>IFERROR(VLOOKUP(N$18,'Apoio - Posto'!$A:$J,2,FALSE),"")</f>
        <v/>
      </c>
    </row>
    <row r="20" spans="1:49">
      <c r="A20" s="120"/>
      <c r="B20" s="130" t="s">
        <v>0</v>
      </c>
      <c r="C20" s="138" t="s">
        <v>17</v>
      </c>
      <c r="D20" s="135"/>
      <c r="E20" s="123">
        <f>IFERROR(VLOOKUP(E$18,'Apoio - Posto'!$A:$AA,7,FALSE),"")</f>
        <v>1799.88</v>
      </c>
      <c r="F20" s="123" t="str">
        <f>IFERROR(VLOOKUP(F$18,'Apoio - Posto'!$A:$AA,7,FALSE),"")</f>
        <v/>
      </c>
      <c r="G20" s="123" t="str">
        <f>IFERROR(VLOOKUP(G$18,'Apoio - Posto'!$A:$AA,7,FALSE),"")</f>
        <v/>
      </c>
      <c r="H20" s="123" t="str">
        <f>IFERROR(VLOOKUP(H$18,'Apoio - Posto'!$A:$AA,7,FALSE),"")</f>
        <v/>
      </c>
      <c r="I20" s="123" t="str">
        <f>IFERROR(VLOOKUP(I$18,'Apoio - Posto'!$A:$AA,7,FALSE),"")</f>
        <v/>
      </c>
      <c r="J20" s="123" t="str">
        <f>IFERROR(VLOOKUP(J$18,'Apoio - Posto'!$A:$AA,7,FALSE),"")</f>
        <v/>
      </c>
      <c r="K20" s="123" t="str">
        <f>IFERROR(VLOOKUP(K$18,'Apoio - Posto'!$A:$AA,7,FALSE),"")</f>
        <v/>
      </c>
      <c r="L20" s="123" t="str">
        <f>IFERROR(VLOOKUP(L$18,'Apoio - Posto'!$A:$AA,7,FALSE),"")</f>
        <v/>
      </c>
      <c r="M20" s="123" t="str">
        <f>IFERROR(VLOOKUP(M$18,'Apoio - Posto'!$A:$AA,7,FALSE),"")</f>
        <v/>
      </c>
      <c r="N20" s="123" t="str">
        <f>IFERROR(VLOOKUP(N$18,'Apoio - Posto'!$A:$AA,7,FALSE),"")</f>
        <v/>
      </c>
    </row>
    <row r="21" spans="1:49">
      <c r="A21" s="119"/>
      <c r="B21" s="129" t="s">
        <v>3</v>
      </c>
      <c r="C21" s="137" t="s">
        <v>561</v>
      </c>
      <c r="D21" s="134"/>
      <c r="E21" s="124">
        <f>IFERROR(VLOOKUP(E$18,'Apoio - Posto'!$A:$AA,8,FALSE),"")</f>
        <v>220</v>
      </c>
      <c r="F21" s="124" t="str">
        <f>IFERROR(VLOOKUP(F$18,'Apoio - Posto'!$A:$AA,8,FALSE),"")</f>
        <v/>
      </c>
      <c r="G21" s="124" t="str">
        <f>IFERROR(VLOOKUP(G$18,'Apoio - Posto'!$A:$AA,8,FALSE),"")</f>
        <v/>
      </c>
      <c r="H21" s="124" t="str">
        <f>IFERROR(VLOOKUP(H$18,'Apoio - Posto'!$A:$AA,8,FALSE),"")</f>
        <v/>
      </c>
      <c r="I21" s="124" t="str">
        <f>IFERROR(VLOOKUP(I$18,'Apoio - Posto'!$A:$AA,8,FALSE),"")</f>
        <v/>
      </c>
      <c r="J21" s="124" t="str">
        <f>IFERROR(VLOOKUP(J$18,'Apoio - Posto'!$A:$AA,8,FALSE),"")</f>
        <v/>
      </c>
      <c r="K21" s="124" t="str">
        <f>IFERROR(VLOOKUP(K$18,'Apoio - Posto'!$A:$AA,8,FALSE),"")</f>
        <v/>
      </c>
      <c r="L21" s="124" t="str">
        <f>IFERROR(VLOOKUP(L$18,'Apoio - Posto'!$A:$AA,8,FALSE),"")</f>
        <v/>
      </c>
      <c r="M21" s="124" t="str">
        <f>IFERROR(VLOOKUP(M$18,'Apoio - Posto'!$A:$AA,8,FALSE),"")</f>
        <v/>
      </c>
      <c r="N21" s="124" t="str">
        <f>IFERROR(VLOOKUP(N$18,'Apoio - Posto'!$A:$AA,8,FALSE),"")</f>
        <v/>
      </c>
    </row>
    <row r="22" spans="1:49">
      <c r="A22" s="120"/>
      <c r="B22" s="130" t="s">
        <v>7</v>
      </c>
      <c r="C22" s="138" t="s">
        <v>18</v>
      </c>
      <c r="D22" s="135"/>
      <c r="E22" s="508" t="str">
        <f>IFERROR(VLOOKUP(E$18,'Apoio - Posto'!$A:$J,3,FALSE),"")</f>
        <v>SINDIELV</v>
      </c>
      <c r="F22" s="508" t="str">
        <f>IFERROR(VLOOKUP(F$18,'Apoio - Posto'!$A:$J,3,FALSE),"")</f>
        <v/>
      </c>
      <c r="G22" s="508" t="str">
        <f>IFERROR(VLOOKUP(G$18,'Apoio - Posto'!$A:$J,3,FALSE),"")</f>
        <v/>
      </c>
      <c r="H22" s="508" t="str">
        <f>IFERROR(VLOOKUP(H$18,'Apoio - Posto'!$A:$J,3,FALSE),"")</f>
        <v/>
      </c>
      <c r="I22" s="508" t="str">
        <f>IFERROR(VLOOKUP(I$18,'Apoio - Posto'!$A:$J,3,FALSE),"")</f>
        <v/>
      </c>
      <c r="J22" s="508" t="str">
        <f>IFERROR(VLOOKUP(J$18,'Apoio - Posto'!$A:$J,3,FALSE),"")</f>
        <v/>
      </c>
      <c r="K22" s="508" t="str">
        <f>IFERROR(VLOOKUP(K$18,'Apoio - Posto'!$A:$J,3,FALSE),"")</f>
        <v/>
      </c>
      <c r="L22" s="508" t="str">
        <f>IFERROR(VLOOKUP(L$18,'Apoio - Posto'!$A:$J,3,FALSE),"")</f>
        <v/>
      </c>
      <c r="M22" s="508" t="str">
        <f>IFERROR(VLOOKUP(M$18,'Apoio - Posto'!$A:$J,3,FALSE),"")</f>
        <v/>
      </c>
      <c r="N22" s="508" t="str">
        <f>IFERROR(VLOOKUP(N$18,'Apoio - Posto'!$A:$J,3,FALSE),"")</f>
        <v/>
      </c>
    </row>
    <row r="23" spans="1:49">
      <c r="A23" s="119"/>
      <c r="B23" s="129" t="s">
        <v>6</v>
      </c>
      <c r="C23" s="137" t="s">
        <v>80</v>
      </c>
      <c r="D23" s="134"/>
      <c r="E23" s="125">
        <f>IFERROR(VLOOKUP(E$18,'Apoio - Posto'!$A:$J,5,FALSE),"")</f>
        <v>44470</v>
      </c>
      <c r="F23" s="125" t="str">
        <f>IFERROR(VLOOKUP(F$18,'Apoio - Posto'!$A:$J,5,FALSE),"")</f>
        <v/>
      </c>
      <c r="G23" s="125" t="str">
        <f>IFERROR(VLOOKUP(G$18,'Apoio - Posto'!$A:$J,5,FALSE),"")</f>
        <v/>
      </c>
      <c r="H23" s="125" t="str">
        <f>IFERROR(VLOOKUP(H$18,'Apoio - Posto'!$A:$J,5,FALSE),"")</f>
        <v/>
      </c>
      <c r="I23" s="125" t="str">
        <f>IFERROR(VLOOKUP(I$18,'Apoio - Posto'!$A:$J,5,FALSE),"")</f>
        <v/>
      </c>
      <c r="J23" s="125" t="str">
        <f>IFERROR(VLOOKUP(J$18,'Apoio - Posto'!$A:$J,5,FALSE),"")</f>
        <v/>
      </c>
      <c r="K23" s="125" t="str">
        <f>IFERROR(VLOOKUP(K$18,'Apoio - Posto'!$A:$J,5,FALSE),"")</f>
        <v/>
      </c>
      <c r="L23" s="125" t="str">
        <f>IFERROR(VLOOKUP(L$18,'Apoio - Posto'!$A:$J,5,FALSE),"")</f>
        <v/>
      </c>
      <c r="M23" s="125" t="str">
        <f>IFERROR(VLOOKUP(M$18,'Apoio - Posto'!$A:$J,5,FALSE),"")</f>
        <v/>
      </c>
      <c r="N23" s="125" t="str">
        <f>IFERROR(VLOOKUP(N$18,'Apoio - Posto'!$A:$J,5,FALSE),"")</f>
        <v/>
      </c>
    </row>
    <row r="24" spans="1:49">
      <c r="A24" s="120"/>
      <c r="B24" s="130" t="s">
        <v>5</v>
      </c>
      <c r="C24" s="138" t="s">
        <v>81</v>
      </c>
      <c r="D24" s="135"/>
      <c r="E24" s="503" t="str">
        <f>IFERROR(VLOOKUP(E$18,'Apoio - Posto'!$A:$J,4,FALSE),"")</f>
        <v>RS003831/2021</v>
      </c>
      <c r="F24" s="503" t="str">
        <f>IFERROR(VLOOKUP(F$18,'Apoio - Posto'!$A:$J,4,FALSE),"")</f>
        <v/>
      </c>
      <c r="G24" s="503" t="str">
        <f>IFERROR(VLOOKUP(G$18,'Apoio - Posto'!$A:$J,4,FALSE),"")</f>
        <v/>
      </c>
      <c r="H24" s="503" t="str">
        <f>IFERROR(VLOOKUP(H$18,'Apoio - Posto'!$A:$J,4,FALSE),"")</f>
        <v/>
      </c>
      <c r="I24" s="503" t="str">
        <f>IFERROR(VLOOKUP(I$18,'Apoio - Posto'!$A:$J,4,FALSE),"")</f>
        <v/>
      </c>
      <c r="J24" s="503" t="str">
        <f>IFERROR(VLOOKUP(J$18,'Apoio - Posto'!$A:$J,4,FALSE),"")</f>
        <v/>
      </c>
      <c r="K24" s="503" t="str">
        <f>IFERROR(VLOOKUP(K$18,'Apoio - Posto'!$A:$J,4,FALSE),"")</f>
        <v/>
      </c>
      <c r="L24" s="503" t="str">
        <f>IFERROR(VLOOKUP(L$18,'Apoio - Posto'!$A:$J,4,FALSE),"")</f>
        <v/>
      </c>
      <c r="M24" s="503" t="str">
        <f>IFERROR(VLOOKUP(M$18,'Apoio - Posto'!$A:$J,4,FALSE),"")</f>
        <v/>
      </c>
      <c r="N24" s="503" t="str">
        <f>IFERROR(VLOOKUP(N$18,'Apoio - Posto'!$A:$J,4,FALSE),"")</f>
        <v/>
      </c>
    </row>
    <row r="25" spans="1:49">
      <c r="A25" s="120"/>
      <c r="B25" s="129" t="s">
        <v>4</v>
      </c>
      <c r="C25" s="137" t="s">
        <v>553</v>
      </c>
      <c r="D25" s="134"/>
      <c r="E25" s="127" t="s">
        <v>595</v>
      </c>
      <c r="F25" s="127"/>
      <c r="G25" s="127"/>
      <c r="H25" s="127"/>
      <c r="I25" s="127"/>
      <c r="J25" s="127"/>
      <c r="K25" s="127"/>
      <c r="L25" s="127"/>
      <c r="M25" s="127"/>
      <c r="N25" s="127"/>
    </row>
    <row r="26" spans="1:49">
      <c r="A26" s="119"/>
      <c r="B26" s="130" t="s">
        <v>142</v>
      </c>
      <c r="C26" s="138" t="s">
        <v>562</v>
      </c>
      <c r="D26" s="135"/>
      <c r="E26" s="126" t="s">
        <v>586</v>
      </c>
      <c r="F26" s="126"/>
      <c r="G26" s="126"/>
      <c r="H26" s="126"/>
      <c r="I26" s="126"/>
      <c r="J26" s="126"/>
      <c r="K26" s="126"/>
      <c r="L26" s="126"/>
      <c r="M26" s="126"/>
      <c r="N26" s="126"/>
    </row>
    <row r="27" spans="1:49">
      <c r="A27" s="120"/>
      <c r="B27" s="130" t="s">
        <v>169</v>
      </c>
      <c r="C27" s="137" t="s">
        <v>552</v>
      </c>
      <c r="D27" s="134"/>
      <c r="E27" s="122">
        <v>1</v>
      </c>
      <c r="F27" s="122"/>
      <c r="G27" s="122"/>
      <c r="H27" s="122"/>
      <c r="I27" s="122"/>
      <c r="J27" s="122"/>
      <c r="K27" s="122"/>
      <c r="L27" s="122"/>
      <c r="M27" s="122"/>
      <c r="N27" s="122"/>
    </row>
    <row r="28" spans="1:49">
      <c r="A28" s="119"/>
      <c r="B28" s="129" t="s">
        <v>281</v>
      </c>
      <c r="C28" s="137" t="s">
        <v>550</v>
      </c>
      <c r="D28" s="134"/>
      <c r="E28" s="122">
        <f>IFERROR(VLOOKUP(E26,'Apoio - Regime de Trabalho'!$A:$I,2,FALSE),"")</f>
        <v>1</v>
      </c>
      <c r="F28" s="122" t="str">
        <f>IFERROR(VLOOKUP(F26,'Apoio - Regime de Trabalho'!$A:$I,2,FALSE),"")</f>
        <v/>
      </c>
      <c r="G28" s="122" t="str">
        <f>IFERROR(VLOOKUP(G26,'Apoio - Regime de Trabalho'!$A:$I,2,FALSE),"")</f>
        <v/>
      </c>
      <c r="H28" s="122" t="str">
        <f>IFERROR(VLOOKUP(H26,'Apoio - Regime de Trabalho'!$A:$I,2,FALSE),"")</f>
        <v/>
      </c>
      <c r="I28" s="122" t="str">
        <f>IFERROR(VLOOKUP(I26,'Apoio - Regime de Trabalho'!$A:$I,2,FALSE),"")</f>
        <v/>
      </c>
      <c r="J28" s="122" t="str">
        <f>IFERROR(VLOOKUP(J26,'Apoio - Regime de Trabalho'!$A:$I,2,FALSE),"")</f>
        <v/>
      </c>
      <c r="K28" s="122" t="str">
        <f>IFERROR(VLOOKUP(K26,'Apoio - Regime de Trabalho'!$A:$I,2,FALSE),"")</f>
        <v/>
      </c>
      <c r="L28" s="122" t="str">
        <f>IFERROR(VLOOKUP(L26,'Apoio - Regime de Trabalho'!$A:$I,2,FALSE),"")</f>
        <v/>
      </c>
      <c r="M28" s="122" t="str">
        <f>IFERROR(VLOOKUP(M26,'Apoio - Regime de Trabalho'!$A:$I,2,FALSE),"")</f>
        <v/>
      </c>
      <c r="N28" s="122" t="str">
        <f>IFERROR(VLOOKUP(N26,'Apoio - Regime de Trabalho'!$A:$I,2,FALSE),"")</f>
        <v/>
      </c>
    </row>
    <row r="29" spans="1:49">
      <c r="A29" s="119"/>
      <c r="B29" s="129" t="s">
        <v>359</v>
      </c>
      <c r="C29" s="137" t="s">
        <v>551</v>
      </c>
      <c r="D29" s="134"/>
      <c r="E29" s="122">
        <f>IFERROR(IF(E18="","",E28*E27),"")</f>
        <v>1</v>
      </c>
      <c r="F29" s="122" t="str">
        <f>IFERROR(IF(F18="","",F28*F27),"")</f>
        <v/>
      </c>
      <c r="G29" s="122" t="str">
        <f>IFERROR(IF(G18="","",G28*G27),"")</f>
        <v/>
      </c>
      <c r="H29" s="122" t="str">
        <f>IFERROR(IF(H18="","",H28*H27),"")</f>
        <v/>
      </c>
      <c r="I29" s="122" t="str">
        <f t="shared" ref="I29:N29" si="0">IFERROR(IF(I18="","",I28*I27),"")</f>
        <v/>
      </c>
      <c r="J29" s="122" t="str">
        <f t="shared" si="0"/>
        <v/>
      </c>
      <c r="K29" s="122" t="str">
        <f t="shared" si="0"/>
        <v/>
      </c>
      <c r="L29" s="122" t="str">
        <f t="shared" si="0"/>
        <v/>
      </c>
      <c r="M29" s="122" t="str">
        <f t="shared" si="0"/>
        <v/>
      </c>
      <c r="N29" s="122" t="str">
        <f t="shared" si="0"/>
        <v/>
      </c>
    </row>
    <row r="30" spans="1:49">
      <c r="B30" s="98"/>
      <c r="C30" s="141"/>
      <c r="D30" s="142"/>
      <c r="E30" s="143"/>
      <c r="F30" s="143"/>
      <c r="G30" s="143"/>
      <c r="H30" s="143"/>
      <c r="I30" s="143"/>
      <c r="J30" s="143"/>
      <c r="K30" s="143"/>
      <c r="L30" s="143"/>
      <c r="M30" s="143"/>
      <c r="N30" s="143"/>
    </row>
    <row r="31" spans="1:49" s="12" customFormat="1">
      <c r="A31" s="86"/>
      <c r="B31" s="103"/>
      <c r="C31" s="104" t="s">
        <v>229</v>
      </c>
      <c r="D31" s="10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  <c r="AG31" s="304"/>
      <c r="AH31" s="304"/>
      <c r="AI31" s="304"/>
      <c r="AJ31" s="304"/>
      <c r="AK31" s="304"/>
      <c r="AL31" s="304"/>
      <c r="AM31" s="304"/>
      <c r="AN31" s="304"/>
      <c r="AO31" s="304"/>
      <c r="AP31" s="304"/>
      <c r="AQ31" s="304"/>
      <c r="AR31" s="304"/>
      <c r="AS31" s="304"/>
      <c r="AT31" s="304"/>
      <c r="AU31" s="304"/>
      <c r="AV31" s="304"/>
      <c r="AW31" s="304"/>
    </row>
    <row r="32" spans="1:49">
      <c r="A32" s="100"/>
      <c r="B32" s="195" t="s">
        <v>2</v>
      </c>
      <c r="C32" s="188" t="s">
        <v>241</v>
      </c>
      <c r="D32" s="237"/>
      <c r="E32" s="113">
        <f>IFERROR(E20*VLOOKUP(E26,'Apoio - Regime de Trabalho'!$A:$I,8,FALSE)/(E21),"")</f>
        <v>1636.2545454545455</v>
      </c>
      <c r="F32" s="113" t="str">
        <f>IFERROR(F20*VLOOKUP(F26,'Apoio - Regime de Trabalho'!$A:$I,8,FALSE)/(F21),"")</f>
        <v/>
      </c>
      <c r="G32" s="113" t="str">
        <f>IFERROR(G20*VLOOKUP(G26,'Apoio - Regime de Trabalho'!$A:$I,8,FALSE)/(G21),"")</f>
        <v/>
      </c>
      <c r="H32" s="113" t="str">
        <f>IFERROR(H20*VLOOKUP(H26,'Apoio - Regime de Trabalho'!$A:$I,8,FALSE)/(H21),"")</f>
        <v/>
      </c>
      <c r="I32" s="113" t="str">
        <f>IFERROR(I20*VLOOKUP(I26,'Apoio - Regime de Trabalho'!$A:$I,8,FALSE)/(I21),"")</f>
        <v/>
      </c>
      <c r="J32" s="113" t="str">
        <f>IFERROR(J20*VLOOKUP(J26,'Apoio - Regime de Trabalho'!$A:$I,8,FALSE)/(J21),"")</f>
        <v/>
      </c>
      <c r="K32" s="113" t="str">
        <f>IFERROR(K20*VLOOKUP(K26,'Apoio - Regime de Trabalho'!$A:$I,8,FALSE)/(K21),"")</f>
        <v/>
      </c>
      <c r="L32" s="113" t="str">
        <f>IFERROR(L20*VLOOKUP(L26,'Apoio - Regime de Trabalho'!$A:$I,8,FALSE)/(L21),"")</f>
        <v/>
      </c>
      <c r="M32" s="113" t="str">
        <f>IFERROR(M20*VLOOKUP(M26,'Apoio - Regime de Trabalho'!$A:$I,8,FALSE)/(M21),"")</f>
        <v/>
      </c>
      <c r="N32" s="113" t="str">
        <f>IFERROR(N20*VLOOKUP(N26,'Apoio - Regime de Trabalho'!$A:$I,8,FALSE)/(N21),"")</f>
        <v/>
      </c>
    </row>
    <row r="33" spans="1:14">
      <c r="A33" s="100"/>
      <c r="B33" s="681" t="s">
        <v>1</v>
      </c>
      <c r="C33" s="236" t="s">
        <v>237</v>
      </c>
      <c r="D33" s="180"/>
      <c r="E33" s="254"/>
      <c r="F33" s="254"/>
      <c r="G33" s="254"/>
      <c r="H33" s="254"/>
      <c r="I33" s="254"/>
      <c r="J33" s="254"/>
      <c r="K33" s="254"/>
      <c r="L33" s="254"/>
      <c r="M33" s="254"/>
      <c r="N33" s="254"/>
    </row>
    <row r="34" spans="1:14">
      <c r="A34" s="100"/>
      <c r="B34" s="682"/>
      <c r="C34" s="244" t="s">
        <v>133</v>
      </c>
      <c r="D34" s="155"/>
      <c r="E34" s="255">
        <f>IFERROR(VLOOKUP(E$18,'Apoio - Posto'!$A:$AA,15,FALSE),"")</f>
        <v>0</v>
      </c>
      <c r="F34" s="255" t="str">
        <f>IFERROR(VLOOKUP(F$18,'Apoio - Posto'!$A:$AA,15,FALSE),"")</f>
        <v/>
      </c>
      <c r="G34" s="255" t="str">
        <f>IFERROR(VLOOKUP(G$18,'Apoio - Posto'!$A:$AA,15,FALSE),"")</f>
        <v/>
      </c>
      <c r="H34" s="255" t="str">
        <f>IFERROR(VLOOKUP(H$18,'Apoio - Posto'!$A:$AA,15,FALSE),"")</f>
        <v/>
      </c>
      <c r="I34" s="255" t="str">
        <f>IFERROR(VLOOKUP(I$18,'Apoio - Posto'!$A:$AA,15,FALSE),"")</f>
        <v/>
      </c>
      <c r="J34" s="255" t="str">
        <f>IFERROR(VLOOKUP(J$18,'Apoio - Posto'!$A:$AA,15,FALSE),"")</f>
        <v/>
      </c>
      <c r="K34" s="255" t="str">
        <f>IFERROR(VLOOKUP(K$18,'Apoio - Posto'!$A:$AA,15,FALSE),"")</f>
        <v/>
      </c>
      <c r="L34" s="255" t="str">
        <f>IFERROR(VLOOKUP(L$18,'Apoio - Posto'!$A:$AA,15,FALSE),"")</f>
        <v/>
      </c>
      <c r="M34" s="255" t="str">
        <f>IFERROR(VLOOKUP(M$18,'Apoio - Posto'!$A:$AA,15,FALSE),"")</f>
        <v/>
      </c>
      <c r="N34" s="255" t="str">
        <f>IFERROR(VLOOKUP(N$18,'Apoio - Posto'!$A:$AA,15,FALSE),"")</f>
        <v/>
      </c>
    </row>
    <row r="35" spans="1:14">
      <c r="A35" s="100"/>
      <c r="B35" s="683"/>
      <c r="C35" s="238"/>
      <c r="D35" s="108" t="s">
        <v>43</v>
      </c>
      <c r="E35" s="115">
        <f>IFERROR((E32)*E34,"")</f>
        <v>0</v>
      </c>
      <c r="F35" s="115" t="str">
        <f t="shared" ref="F35:H35" si="1">IFERROR((F32)*F34,"")</f>
        <v/>
      </c>
      <c r="G35" s="115" t="str">
        <f t="shared" si="1"/>
        <v/>
      </c>
      <c r="H35" s="115" t="str">
        <f t="shared" si="1"/>
        <v/>
      </c>
      <c r="I35" s="115" t="str">
        <f t="shared" ref="I35:N35" si="2">IFERROR((I32)*I34,"")</f>
        <v/>
      </c>
      <c r="J35" s="115" t="str">
        <f t="shared" si="2"/>
        <v/>
      </c>
      <c r="K35" s="115" t="str">
        <f t="shared" si="2"/>
        <v/>
      </c>
      <c r="L35" s="115" t="str">
        <f t="shared" si="2"/>
        <v/>
      </c>
      <c r="M35" s="115" t="str">
        <f t="shared" si="2"/>
        <v/>
      </c>
      <c r="N35" s="115" t="str">
        <f t="shared" si="2"/>
        <v/>
      </c>
    </row>
    <row r="36" spans="1:14">
      <c r="A36" s="100"/>
      <c r="B36" s="670" t="s">
        <v>0</v>
      </c>
      <c r="C36" s="234" t="s">
        <v>238</v>
      </c>
      <c r="D36" s="235"/>
      <c r="E36" s="245"/>
      <c r="F36" s="245"/>
      <c r="G36" s="245"/>
      <c r="H36" s="245"/>
      <c r="I36" s="245"/>
      <c r="J36" s="245"/>
      <c r="K36" s="245"/>
      <c r="L36" s="245"/>
      <c r="M36" s="245"/>
      <c r="N36" s="245"/>
    </row>
    <row r="37" spans="1:14">
      <c r="A37" s="100"/>
      <c r="B37" s="670"/>
      <c r="C37" s="116" t="s">
        <v>93</v>
      </c>
      <c r="D37" s="106"/>
      <c r="E37" s="256" t="str">
        <f>IFERROR(VLOOKUP(E$18,'Apoio - Posto'!$A:$AA,14,FALSE),"")</f>
        <v>Salário Mínimo</v>
      </c>
      <c r="F37" s="256" t="str">
        <f>IFERROR(VLOOKUP(F$18,'Apoio - Posto'!$A:$AA,14,FALSE),"")</f>
        <v/>
      </c>
      <c r="G37" s="256" t="str">
        <f>IFERROR(VLOOKUP(G$18,'Apoio - Posto'!$A:$AA,14,FALSE),"")</f>
        <v/>
      </c>
      <c r="H37" s="256" t="str">
        <f>IFERROR(VLOOKUP(H$18,'Apoio - Posto'!$A:$AA,14,FALSE),"")</f>
        <v/>
      </c>
      <c r="I37" s="256" t="str">
        <f>IFERROR(VLOOKUP(I$18,'Apoio - Posto'!$A:$AA,14,FALSE),"")</f>
        <v/>
      </c>
      <c r="J37" s="256" t="str">
        <f>IFERROR(VLOOKUP(J$18,'Apoio - Posto'!$A:$AA,14,FALSE),"")</f>
        <v/>
      </c>
      <c r="K37" s="256" t="str">
        <f>IFERROR(VLOOKUP(K$18,'Apoio - Posto'!$A:$AA,14,FALSE),"")</f>
        <v/>
      </c>
      <c r="L37" s="256" t="str">
        <f>IFERROR(VLOOKUP(L$18,'Apoio - Posto'!$A:$AA,14,FALSE),"")</f>
        <v/>
      </c>
      <c r="M37" s="256" t="str">
        <f>IFERROR(VLOOKUP(M$18,'Apoio - Posto'!$A:$AA,14,FALSE),"")</f>
        <v/>
      </c>
      <c r="N37" s="256" t="str">
        <f>IFERROR(VLOOKUP(N$18,'Apoio - Posto'!$A:$AA,14,FALSE),"")</f>
        <v/>
      </c>
    </row>
    <row r="38" spans="1:14">
      <c r="A38" s="100"/>
      <c r="B38" s="670"/>
      <c r="C38" s="117" t="s">
        <v>94</v>
      </c>
      <c r="D38" s="107"/>
      <c r="E38" s="257"/>
      <c r="F38" s="257"/>
      <c r="G38" s="257"/>
      <c r="H38" s="257"/>
      <c r="I38" s="257"/>
      <c r="J38" s="257"/>
      <c r="K38" s="257"/>
      <c r="L38" s="257"/>
      <c r="M38" s="257"/>
      <c r="N38" s="257"/>
    </row>
    <row r="39" spans="1:14">
      <c r="A39" s="100"/>
      <c r="B39" s="671"/>
      <c r="C39" s="111"/>
      <c r="D39" s="108" t="s">
        <v>43</v>
      </c>
      <c r="E39" s="115">
        <f>IF(E20="","",IFERROR(IF(E37="Salário Base",E$32,IF(E37="Salário Mínimo",$D$15,0))*E38,""))</f>
        <v>0</v>
      </c>
      <c r="F39" s="115" t="str">
        <f t="shared" ref="F39:H39" si="3">IF(F20="","",IFERROR(IF(F37="Salário Base",F$32,IF(F37="Salário Mínimo",$D$15,0))*F38,""))</f>
        <v/>
      </c>
      <c r="G39" s="115" t="str">
        <f t="shared" si="3"/>
        <v/>
      </c>
      <c r="H39" s="115" t="str">
        <f t="shared" si="3"/>
        <v/>
      </c>
      <c r="I39" s="115" t="str">
        <f t="shared" ref="I39:N39" si="4">IF(I20="","",IFERROR(IF(I37="Salário Base",I$32,IF(I37="Salário Mínimo",$D$15,0))*I38,""))</f>
        <v/>
      </c>
      <c r="J39" s="115" t="str">
        <f t="shared" si="4"/>
        <v/>
      </c>
      <c r="K39" s="115" t="str">
        <f t="shared" si="4"/>
        <v/>
      </c>
      <c r="L39" s="115" t="str">
        <f t="shared" si="4"/>
        <v/>
      </c>
      <c r="M39" s="115" t="str">
        <f t="shared" si="4"/>
        <v/>
      </c>
      <c r="N39" s="115" t="str">
        <f t="shared" si="4"/>
        <v/>
      </c>
    </row>
    <row r="40" spans="1:14">
      <c r="A40" s="241"/>
      <c r="B40" s="681" t="s">
        <v>3</v>
      </c>
      <c r="C40" s="236" t="s">
        <v>84</v>
      </c>
      <c r="D40" s="154"/>
      <c r="E40" s="246"/>
      <c r="F40" s="246"/>
      <c r="G40" s="246"/>
      <c r="H40" s="246"/>
      <c r="I40" s="246"/>
      <c r="J40" s="246"/>
      <c r="K40" s="246"/>
      <c r="L40" s="246"/>
      <c r="M40" s="246"/>
      <c r="N40" s="246"/>
    </row>
    <row r="41" spans="1:14">
      <c r="A41" s="241"/>
      <c r="B41" s="682"/>
      <c r="C41" s="242" t="s">
        <v>94</v>
      </c>
      <c r="D41" s="155"/>
      <c r="E41" s="243"/>
      <c r="F41" s="243"/>
      <c r="G41" s="243"/>
      <c r="H41" s="243"/>
      <c r="I41" s="243"/>
      <c r="J41" s="243"/>
      <c r="K41" s="243"/>
      <c r="L41" s="243"/>
      <c r="M41" s="243"/>
      <c r="N41" s="243"/>
    </row>
    <row r="42" spans="1:14">
      <c r="A42" s="241"/>
      <c r="B42" s="683"/>
      <c r="C42" s="111"/>
      <c r="D42" s="108" t="s">
        <v>43</v>
      </c>
      <c r="E42" s="115">
        <f>IFERROR(E41*E$32,"")</f>
        <v>0</v>
      </c>
      <c r="F42" s="115" t="str">
        <f t="shared" ref="F42:H42" si="5">IFERROR(F41*F$32,"")</f>
        <v/>
      </c>
      <c r="G42" s="115" t="str">
        <f t="shared" si="5"/>
        <v/>
      </c>
      <c r="H42" s="115" t="str">
        <f t="shared" si="5"/>
        <v/>
      </c>
      <c r="I42" s="115" t="str">
        <f t="shared" ref="I42:N42" si="6">IFERROR(I41*I$32,"")</f>
        <v/>
      </c>
      <c r="J42" s="115" t="str">
        <f t="shared" si="6"/>
        <v/>
      </c>
      <c r="K42" s="115" t="str">
        <f t="shared" si="6"/>
        <v/>
      </c>
      <c r="L42" s="115" t="str">
        <f t="shared" si="6"/>
        <v/>
      </c>
      <c r="M42" s="115" t="str">
        <f t="shared" si="6"/>
        <v/>
      </c>
      <c r="N42" s="115" t="str">
        <f t="shared" si="6"/>
        <v/>
      </c>
    </row>
    <row r="43" spans="1:14">
      <c r="A43" s="100"/>
      <c r="B43" s="670" t="s">
        <v>7</v>
      </c>
      <c r="C43" s="240" t="s">
        <v>62</v>
      </c>
      <c r="D43" s="239"/>
      <c r="E43" s="247"/>
      <c r="F43" s="247"/>
      <c r="G43" s="247"/>
      <c r="H43" s="247"/>
      <c r="I43" s="247"/>
      <c r="J43" s="247"/>
      <c r="K43" s="247"/>
      <c r="L43" s="247"/>
      <c r="M43" s="247"/>
      <c r="N43" s="247"/>
    </row>
    <row r="44" spans="1:14">
      <c r="A44" s="100"/>
      <c r="B44" s="670"/>
      <c r="C44" s="116" t="s">
        <v>88</v>
      </c>
      <c r="D44" s="152"/>
      <c r="E44" s="158" t="str">
        <f>IF(AND(E19=5173,E26="12x36 Noturno"),8,"")</f>
        <v/>
      </c>
      <c r="F44" s="158" t="str">
        <f t="shared" ref="F44:H44" si="7">IF(AND(F19=5173,F26="12x36 Noturno"),8,"")</f>
        <v/>
      </c>
      <c r="G44" s="158" t="str">
        <f t="shared" si="7"/>
        <v/>
      </c>
      <c r="H44" s="158" t="str">
        <f t="shared" si="7"/>
        <v/>
      </c>
      <c r="I44" s="158" t="str">
        <f t="shared" ref="I44:N44" si="8">IF(AND(I19=5173,I26="12x36 Noturno"),8,"")</f>
        <v/>
      </c>
      <c r="J44" s="158" t="str">
        <f t="shared" si="8"/>
        <v/>
      </c>
      <c r="K44" s="158" t="str">
        <f t="shared" si="8"/>
        <v/>
      </c>
      <c r="L44" s="158" t="str">
        <f t="shared" si="8"/>
        <v/>
      </c>
      <c r="M44" s="158" t="str">
        <f t="shared" si="8"/>
        <v/>
      </c>
      <c r="N44" s="158" t="str">
        <f t="shared" si="8"/>
        <v/>
      </c>
    </row>
    <row r="45" spans="1:14">
      <c r="A45" s="100"/>
      <c r="B45" s="670"/>
      <c r="C45" s="117" t="s">
        <v>170</v>
      </c>
      <c r="D45" s="153"/>
      <c r="E45" s="159" t="str">
        <f>IF(E44="","",VLOOKUP(E26,'Apoio - Regime de Trabalho'!$A:$I,7,FALSE))</f>
        <v/>
      </c>
      <c r="F45" s="159" t="str">
        <f>IF(F44="","",VLOOKUP(F26,'Apoio - Regime de Trabalho'!$A:$I,7,FALSE))</f>
        <v/>
      </c>
      <c r="G45" s="159" t="str">
        <f>IF(G44="","",VLOOKUP(G26,'Apoio - Regime de Trabalho'!$A:$I,7,FALSE))</f>
        <v/>
      </c>
      <c r="H45" s="159" t="str">
        <f>IF(H44="","",VLOOKUP(H26,'Apoio - Regime de Trabalho'!$A:$I,7,FALSE))</f>
        <v/>
      </c>
      <c r="I45" s="159" t="str">
        <f>IF(I44="","",VLOOKUP(I26,'Apoio - Regime de Trabalho'!$A:$I,7,FALSE))</f>
        <v/>
      </c>
      <c r="J45" s="159" t="str">
        <f>IF(J44="","",VLOOKUP(J26,'Apoio - Regime de Trabalho'!$A:$I,7,FALSE))</f>
        <v/>
      </c>
      <c r="K45" s="159" t="str">
        <f>IF(K44="","",VLOOKUP(K26,'Apoio - Regime de Trabalho'!$A:$I,7,FALSE))</f>
        <v/>
      </c>
      <c r="L45" s="159" t="str">
        <f>IF(L44="","",VLOOKUP(L26,'Apoio - Regime de Trabalho'!$A:$I,7,FALSE))</f>
        <v/>
      </c>
      <c r="M45" s="159" t="str">
        <f>IF(M44="","",VLOOKUP(M26,'Apoio - Regime de Trabalho'!$A:$I,7,FALSE))</f>
        <v/>
      </c>
      <c r="N45" s="159" t="str">
        <f>IF(N44="","",VLOOKUP(N26,'Apoio - Regime de Trabalho'!$A:$I,7,FALSE))</f>
        <v/>
      </c>
    </row>
    <row r="46" spans="1:14">
      <c r="A46" s="100"/>
      <c r="B46" s="671"/>
      <c r="C46" s="102"/>
      <c r="D46" s="108" t="s">
        <v>43</v>
      </c>
      <c r="E46" s="160" t="str">
        <f>IFERROR(SUM(E$32,E$35,E$39)/(VLOOKUP(E$26,'Apoio - Regime de Trabalho'!$A:$I,8,FALSE))*20%*E$44*E$45,"")</f>
        <v/>
      </c>
      <c r="F46" s="160" t="str">
        <f>IFERROR(SUM(F$32,F$35,F$39)/(VLOOKUP(F$26,'Apoio - Regime de Trabalho'!$A:$I,8,FALSE))*20%*F$44*F$45,"")</f>
        <v/>
      </c>
      <c r="G46" s="160" t="str">
        <f>IFERROR(SUM(G$32,G$35,G$39)/(VLOOKUP(G$26,'Apoio - Regime de Trabalho'!$A:$I,8,FALSE))*20%*G$44*G$45,"")</f>
        <v/>
      </c>
      <c r="H46" s="160" t="str">
        <f>IFERROR(SUM(H$32,H$35,H$39)/(VLOOKUP(H$26,'Apoio - Regime de Trabalho'!$A:$I,8,FALSE))*20%*H$44*H$45,"")</f>
        <v/>
      </c>
      <c r="I46" s="160" t="str">
        <f>IFERROR(SUM(I$32,I$35,I$39)/(VLOOKUP(I$26,'Apoio - Regime de Trabalho'!$A:$I,8,FALSE))*20%*I$44*I$45,"")</f>
        <v/>
      </c>
      <c r="J46" s="160" t="str">
        <f>IFERROR(SUM(J$32,J$35,J$39)/(VLOOKUP(J$26,'Apoio - Regime de Trabalho'!$A:$I,8,FALSE))*20%*J$44*J$45,"")</f>
        <v/>
      </c>
      <c r="K46" s="160" t="str">
        <f>IFERROR(SUM(K$32,K$35,K$39)/(VLOOKUP(K$26,'Apoio - Regime de Trabalho'!$A:$I,8,FALSE))*20%*K$44*K$45,"")</f>
        <v/>
      </c>
      <c r="L46" s="160" t="str">
        <f>IFERROR(SUM(L$32,L$35,L$39)/(VLOOKUP(L$26,'Apoio - Regime de Trabalho'!$A:$I,8,FALSE))*20%*L$44*L$45,"")</f>
        <v/>
      </c>
      <c r="M46" s="160" t="str">
        <f>IFERROR(SUM(M$32,M$35,M$39)/(VLOOKUP(M$26,'Apoio - Regime de Trabalho'!$A:$I,8,FALSE))*20%*M$44*M$45,"")</f>
        <v/>
      </c>
      <c r="N46" s="160" t="str">
        <f>IFERROR(SUM(N$32,N$35,N$39)/(VLOOKUP(N$26,'Apoio - Regime de Trabalho'!$A:$I,8,FALSE))*20%*N$44*N$45,"")</f>
        <v/>
      </c>
    </row>
    <row r="47" spans="1:14">
      <c r="A47" s="100"/>
      <c r="B47" s="672" t="s">
        <v>6</v>
      </c>
      <c r="C47" s="149" t="s">
        <v>168</v>
      </c>
      <c r="D47" s="154"/>
      <c r="E47" s="248"/>
      <c r="F47" s="248"/>
      <c r="G47" s="248"/>
      <c r="H47" s="248"/>
      <c r="I47" s="248"/>
      <c r="J47" s="248"/>
      <c r="K47" s="248"/>
      <c r="L47" s="248"/>
      <c r="M47" s="248"/>
      <c r="N47" s="248"/>
    </row>
    <row r="48" spans="1:14">
      <c r="A48" s="144"/>
      <c r="B48" s="673"/>
      <c r="C48" s="150" t="s">
        <v>19</v>
      </c>
      <c r="D48" s="155"/>
      <c r="E48" s="162" t="str">
        <f>IF(E44="","",E45*E44*('Apoio - Notas Explicativas'!$D$9/'Apoio - Notas Explicativas'!$D$10-1)
*IF(AND(E19=5173,E26="12x36 Noturno"),0,1))</f>
        <v/>
      </c>
      <c r="F48" s="162" t="str">
        <f>IF(F44="","",F45*F44*('Apoio - Notas Explicativas'!$D$9/'Apoio - Notas Explicativas'!$D$10-1)
*IF(AND(F19=5173,F26="12x36 Noturno"),0,1))</f>
        <v/>
      </c>
      <c r="G48" s="162" t="str">
        <f>IF(G44="","",G45*G44*('Apoio - Notas Explicativas'!$D$9/'Apoio - Notas Explicativas'!$D$10-1)
*IF(AND(G19=5173,G26="12x36 Noturno"),0,1))</f>
        <v/>
      </c>
      <c r="H48" s="162" t="str">
        <f>IF(H44="","",H45*H44*('Apoio - Notas Explicativas'!$D$9/'Apoio - Notas Explicativas'!$D$10-1)
*IF(AND(H19=5173,H26="12x36 Noturno"),0,1))</f>
        <v/>
      </c>
      <c r="I48" s="162" t="str">
        <f>IF(I44="","",I45*I44*('Apoio - Notas Explicativas'!$D$9/'Apoio - Notas Explicativas'!$D$10-1)
*IF(AND(I19=5173,I26="12x36 Noturno"),0,1))</f>
        <v/>
      </c>
      <c r="J48" s="162" t="str">
        <f>IF(J44="","",J45*J44*('Apoio - Notas Explicativas'!$D$9/'Apoio - Notas Explicativas'!$D$10-1)
*IF(AND(J19=5173,J26="12x36 Noturno"),0,1))</f>
        <v/>
      </c>
      <c r="K48" s="162" t="str">
        <f>IF(K44="","",K45*K44*('Apoio - Notas Explicativas'!$D$9/'Apoio - Notas Explicativas'!$D$10-1)
*IF(AND(K19=5173,K26="12x36 Noturno"),0,1))</f>
        <v/>
      </c>
      <c r="L48" s="162" t="str">
        <f>IF(L44="","",L45*L44*('Apoio - Notas Explicativas'!$D$9/'Apoio - Notas Explicativas'!$D$10-1)
*IF(AND(L19=5173,L26="12x36 Noturno"),0,1))</f>
        <v/>
      </c>
      <c r="M48" s="162" t="str">
        <f>IF(M44="","",M45*M44*('Apoio - Notas Explicativas'!$D$9/'Apoio - Notas Explicativas'!$D$10-1)
*IF(AND(M19=5173,M26="12x36 Noturno"),0,1))</f>
        <v/>
      </c>
      <c r="N48" s="162" t="str">
        <f>IF(N44="","",N45*N44*('Apoio - Notas Explicativas'!$D$9/'Apoio - Notas Explicativas'!$D$10-1)
*IF(AND(N19=5173,N26="12x36 Noturno"),0,1))</f>
        <v/>
      </c>
    </row>
    <row r="49" spans="1:49">
      <c r="A49" s="144"/>
      <c r="B49" s="674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IFERROR(I48*(SUM(I$32,I$35,I$39)/(VLOOKUP(I$26,'Apoio - Regime de Trabalho'!$A:$I,8,FALSE))*120%),"")</f>
        <v/>
      </c>
      <c r="J49" s="115" t="str">
        <f>IFERROR(J48*(SUM(J$32,J$35,J$39)/(VLOOKUP(J$26,'Apoio - Regime de Trabalho'!$A:$I,8,FALSE))*120%),"")</f>
        <v/>
      </c>
      <c r="K49" s="115" t="str">
        <f>IFERROR(K48*(SUM(K$32,K$35,K$39)/(VLOOKUP(K$26,'Apoio - Regime de Trabalho'!$A:$I,8,FALSE))*120%),"")</f>
        <v/>
      </c>
      <c r="L49" s="115" t="str">
        <f>IFERROR(L48*(SUM(L$32,L$35,L$39)/(VLOOKUP(L$26,'Apoio - Regime de Trabalho'!$A:$I,8,FALSE))*120%),"")</f>
        <v/>
      </c>
      <c r="M49" s="115" t="str">
        <f>IFERROR(M48*(SUM(M$32,M$35,M$39)/(VLOOKUP(M$26,'Apoio - Regime de Trabalho'!$A:$I,8,FALSE))*120%),"")</f>
        <v/>
      </c>
      <c r="N49" s="115" t="str">
        <f>IFERROR(N48*(SUM(N$32,N$35,N$39)/(VLOOKUP(N$26,'Apoio - Regime de Trabalho'!$A:$I,8,FALSE))*120%),"")</f>
        <v/>
      </c>
    </row>
    <row r="50" spans="1:49">
      <c r="A50" s="144"/>
      <c r="B50" s="669" t="s">
        <v>5</v>
      </c>
      <c r="C50" s="172" t="s">
        <v>182</v>
      </c>
      <c r="D50" s="154"/>
      <c r="E50" s="246"/>
      <c r="F50" s="246"/>
      <c r="G50" s="246"/>
      <c r="H50" s="246"/>
      <c r="I50" s="246"/>
      <c r="J50" s="246"/>
      <c r="K50" s="246"/>
      <c r="L50" s="246"/>
      <c r="M50" s="246"/>
      <c r="N50" s="246"/>
    </row>
    <row r="51" spans="1:49">
      <c r="A51" s="100"/>
      <c r="B51" s="670"/>
      <c r="C51" s="116" t="s">
        <v>94</v>
      </c>
      <c r="D51" s="170"/>
      <c r="E51" s="171">
        <f>IF(E$26="56h (7 dias)",100%,
IF(OR(E19=7823,E19=7825),50%,""))</f>
        <v>0.5</v>
      </c>
      <c r="F51" s="171" t="str">
        <f t="shared" ref="F51:H51" si="9">IF(F$26="56h (7 dias)",100%,
IF(OR(F19=7823,F19=7825),50%,""))</f>
        <v/>
      </c>
      <c r="G51" s="171" t="str">
        <f t="shared" si="9"/>
        <v/>
      </c>
      <c r="H51" s="171" t="str">
        <f t="shared" si="9"/>
        <v/>
      </c>
      <c r="I51" s="171" t="str">
        <f t="shared" ref="I51:N51" si="10">IF(I$26="56h (7 dias)",100%,
IF(OR(I19=7823,I19=7825),50%,""))</f>
        <v/>
      </c>
      <c r="J51" s="171" t="str">
        <f t="shared" si="10"/>
        <v/>
      </c>
      <c r="K51" s="171" t="str">
        <f t="shared" si="10"/>
        <v/>
      </c>
      <c r="L51" s="171" t="str">
        <f t="shared" si="10"/>
        <v/>
      </c>
      <c r="M51" s="171" t="str">
        <f t="shared" si="10"/>
        <v/>
      </c>
      <c r="N51" s="171" t="str">
        <f t="shared" si="10"/>
        <v/>
      </c>
    </row>
    <row r="52" spans="1:49">
      <c r="A52" s="100"/>
      <c r="B52" s="670"/>
      <c r="C52" s="117" t="s">
        <v>20</v>
      </c>
      <c r="D52" s="156"/>
      <c r="E52" s="163">
        <f>IF(OR(E$26="56h (7 dias)",E19=7823,E19=7825),8,"")</f>
        <v>8</v>
      </c>
      <c r="F52" s="163" t="str">
        <f t="shared" ref="F52:H52" si="11">IF(OR(F$26="56h (7 dias)",F19=7823,F19=7825),8,"")</f>
        <v/>
      </c>
      <c r="G52" s="163" t="str">
        <f t="shared" si="11"/>
        <v/>
      </c>
      <c r="H52" s="163" t="str">
        <f t="shared" si="11"/>
        <v/>
      </c>
      <c r="I52" s="163" t="str">
        <f t="shared" ref="I52:N52" si="12">IF(OR(I$26="56h (7 dias)",I19=7823,I19=7825),8,"")</f>
        <v/>
      </c>
      <c r="J52" s="163" t="str">
        <f t="shared" si="12"/>
        <v/>
      </c>
      <c r="K52" s="163" t="str">
        <f t="shared" si="12"/>
        <v/>
      </c>
      <c r="L52" s="163" t="str">
        <f t="shared" si="12"/>
        <v/>
      </c>
      <c r="M52" s="163" t="str">
        <f t="shared" si="12"/>
        <v/>
      </c>
      <c r="N52" s="163" t="str">
        <f t="shared" si="12"/>
        <v/>
      </c>
    </row>
    <row r="53" spans="1:49">
      <c r="A53" s="100"/>
      <c r="B53" s="671"/>
      <c r="C53" s="102"/>
      <c r="D53" s="108" t="s">
        <v>43</v>
      </c>
      <c r="E53" s="110">
        <f>IFERROR(SUM(E$32,E$35,E$39,E$46)/(VLOOKUP(E$26,'Apoio - Regime de Trabalho'!$A:$I,8,FALSE))*(1+E$51)*E$52,"")</f>
        <v>98.175272727272727</v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IFERROR(SUM(I$32,I$35,I$39,I$46)/(VLOOKUP(I$26,'Apoio - Regime de Trabalho'!$A:$I,8,FALSE))*(1+I$51)*I$52,"")</f>
        <v/>
      </c>
      <c r="J53" s="110" t="str">
        <f>IFERROR(SUM(J$32,J$35,J$39,J$46)/(VLOOKUP(J$26,'Apoio - Regime de Trabalho'!$A:$I,8,FALSE))*(1+J$51)*J$52,"")</f>
        <v/>
      </c>
      <c r="K53" s="110" t="str">
        <f>IFERROR(SUM(K$32,K$35,K$39,K$46)/(VLOOKUP(K$26,'Apoio - Regime de Trabalho'!$A:$I,8,FALSE))*(1+K$51)*K$52,"")</f>
        <v/>
      </c>
      <c r="L53" s="110" t="str">
        <f>IFERROR(SUM(L$32,L$35,L$39,L$46)/(VLOOKUP(L$26,'Apoio - Regime de Trabalho'!$A:$I,8,FALSE))*(1+L$51)*L$52,"")</f>
        <v/>
      </c>
      <c r="M53" s="110" t="str">
        <f>IFERROR(SUM(M$32,M$35,M$39,M$46)/(VLOOKUP(M$26,'Apoio - Regime de Trabalho'!$A:$I,8,FALSE))*(1+M$51)*M$52,"")</f>
        <v/>
      </c>
      <c r="N53" s="110" t="str">
        <f>IFERROR(SUM(N$32,N$35,N$39,N$46)/(VLOOKUP(N$26,'Apoio - Regime de Trabalho'!$A:$I,8,FALSE))*(1+N$51)*N$52,"")</f>
        <v/>
      </c>
    </row>
    <row r="54" spans="1:49">
      <c r="A54" s="100"/>
      <c r="B54" s="672" t="s">
        <v>4</v>
      </c>
      <c r="C54" s="149" t="s">
        <v>85</v>
      </c>
      <c r="D54" s="154"/>
      <c r="E54" s="249"/>
      <c r="F54" s="249"/>
      <c r="G54" s="249"/>
      <c r="H54" s="249"/>
      <c r="I54" s="249"/>
      <c r="J54" s="249"/>
      <c r="K54" s="249"/>
      <c r="L54" s="249"/>
      <c r="M54" s="249"/>
      <c r="N54" s="249"/>
    </row>
    <row r="55" spans="1:49">
      <c r="A55" s="100"/>
      <c r="B55" s="673"/>
      <c r="C55" s="150" t="s">
        <v>87</v>
      </c>
      <c r="D55" s="155"/>
      <c r="E55" s="428">
        <f>IF(E18="","",IFERROR(SUM(E$46,E49)*20%,""))</f>
        <v>0</v>
      </c>
      <c r="F55" s="428" t="str">
        <f t="shared" ref="F55:H55" si="13">IF(F18="","",IFERROR(SUM(F$46,F49)*20%,""))</f>
        <v/>
      </c>
      <c r="G55" s="428" t="str">
        <f t="shared" si="13"/>
        <v/>
      </c>
      <c r="H55" s="428" t="str">
        <f t="shared" si="13"/>
        <v/>
      </c>
      <c r="I55" s="428" t="str">
        <f t="shared" ref="I55:N55" si="14">IF(I18="","",IFERROR(SUM(I$46,I49)*20%,""))</f>
        <v/>
      </c>
      <c r="J55" s="428" t="str">
        <f t="shared" si="14"/>
        <v/>
      </c>
      <c r="K55" s="428" t="str">
        <f t="shared" si="14"/>
        <v/>
      </c>
      <c r="L55" s="428" t="str">
        <f t="shared" si="14"/>
        <v/>
      </c>
      <c r="M55" s="428" t="str">
        <f t="shared" si="14"/>
        <v/>
      </c>
      <c r="N55" s="428" t="str">
        <f t="shared" si="14"/>
        <v/>
      </c>
    </row>
    <row r="56" spans="1:49">
      <c r="A56" s="100"/>
      <c r="B56" s="673"/>
      <c r="C56" s="173" t="s">
        <v>86</v>
      </c>
      <c r="D56" s="157" t="s">
        <v>415</v>
      </c>
      <c r="E56" s="429">
        <f>IFERROR(IF(E18="","",IF(D56="Não",0,E53*20%)),"")</f>
        <v>19.635054545454548</v>
      </c>
      <c r="F56" s="429" t="str">
        <f t="shared" ref="F56:H56" si="15">IFERROR(IF(F18="","",IF(E56="Não",0,F53*20%)),"")</f>
        <v/>
      </c>
      <c r="G56" s="429" t="str">
        <f t="shared" si="15"/>
        <v/>
      </c>
      <c r="H56" s="429" t="str">
        <f t="shared" si="15"/>
        <v/>
      </c>
      <c r="I56" s="429" t="str">
        <f t="shared" ref="I56" si="16">IFERROR(IF(I18="","",IF(H56="Não",0,I53*20%)),"")</f>
        <v/>
      </c>
      <c r="J56" s="429" t="str">
        <f t="shared" ref="J56" si="17">IFERROR(IF(J18="","",IF(I56="Não",0,J53*20%)),"")</f>
        <v/>
      </c>
      <c r="K56" s="429" t="str">
        <f t="shared" ref="K56" si="18">IFERROR(IF(K18="","",IF(J56="Não",0,K53*20%)),"")</f>
        <v/>
      </c>
      <c r="L56" s="429" t="str">
        <f t="shared" ref="L56" si="19">IFERROR(IF(L18="","",IF(K56="Não",0,L53*20%)),"")</f>
        <v/>
      </c>
      <c r="M56" s="429" t="str">
        <f t="shared" ref="M56" si="20">IFERROR(IF(M18="","",IF(L56="Não",0,M53*20%)),"")</f>
        <v/>
      </c>
      <c r="N56" s="429" t="str">
        <f t="shared" ref="N56" si="21">IFERROR(IF(N18="","",IF(M56="Não",0,N53*20%)),"")</f>
        <v/>
      </c>
    </row>
    <row r="57" spans="1:49">
      <c r="A57" s="100"/>
      <c r="B57" s="673"/>
      <c r="C57" s="173" t="s">
        <v>167</v>
      </c>
      <c r="D57" s="157"/>
      <c r="E57" s="429">
        <f>IF(E20="","",IFERROR(E$59*20%,""))</f>
        <v>0</v>
      </c>
      <c r="F57" s="429" t="str">
        <f t="shared" ref="F57:H57" si="22">IF(F20="","",IFERROR(F$59*20%,""))</f>
        <v/>
      </c>
      <c r="G57" s="429" t="str">
        <f t="shared" si="22"/>
        <v/>
      </c>
      <c r="H57" s="429" t="str">
        <f t="shared" si="22"/>
        <v/>
      </c>
      <c r="I57" s="429" t="str">
        <f t="shared" ref="I57:N57" si="23">IF(I20="","",IFERROR(I$59*20%,""))</f>
        <v/>
      </c>
      <c r="J57" s="429" t="str">
        <f t="shared" si="23"/>
        <v/>
      </c>
      <c r="K57" s="429" t="str">
        <f t="shared" si="23"/>
        <v/>
      </c>
      <c r="L57" s="429" t="str">
        <f t="shared" si="23"/>
        <v/>
      </c>
      <c r="M57" s="429" t="str">
        <f t="shared" si="23"/>
        <v/>
      </c>
      <c r="N57" s="429" t="str">
        <f t="shared" si="23"/>
        <v/>
      </c>
    </row>
    <row r="58" spans="1:49">
      <c r="A58" s="100"/>
      <c r="B58" s="674"/>
      <c r="C58" s="114"/>
      <c r="D58" s="108" t="s">
        <v>43</v>
      </c>
      <c r="E58" s="216">
        <f>IF(SUM(E55:E57)=0,"",SUM(E55:E57))</f>
        <v>19.635054545454548</v>
      </c>
      <c r="F58" s="216" t="str">
        <f t="shared" ref="F58:H58" si="24">IF(SUM(F55:F57)=0,"",SUM(F55:F57))</f>
        <v/>
      </c>
      <c r="G58" s="216" t="str">
        <f t="shared" si="24"/>
        <v/>
      </c>
      <c r="H58" s="216" t="str">
        <f t="shared" si="24"/>
        <v/>
      </c>
      <c r="I58" s="216" t="str">
        <f t="shared" ref="I58:N58" si="25">IF(SUM(I55:I57)=0,"",SUM(I55:I57))</f>
        <v/>
      </c>
      <c r="J58" s="216" t="str">
        <f t="shared" si="25"/>
        <v/>
      </c>
      <c r="K58" s="216" t="str">
        <f t="shared" si="25"/>
        <v/>
      </c>
      <c r="L58" s="216" t="str">
        <f t="shared" si="25"/>
        <v/>
      </c>
      <c r="M58" s="216" t="str">
        <f t="shared" si="25"/>
        <v/>
      </c>
      <c r="N58" s="216" t="str">
        <f t="shared" si="25"/>
        <v/>
      </c>
    </row>
    <row r="59" spans="1:49">
      <c r="A59" s="100"/>
      <c r="B59" s="145" t="s">
        <v>142</v>
      </c>
      <c r="C59" s="146" t="s">
        <v>166</v>
      </c>
      <c r="D59" s="112"/>
      <c r="E59" s="269">
        <f>IFERROR(IFERROR(VLOOKUP(E$18,'Apoio - Posto'!$A:$AA,12,FALSE),"")*VLOOKUP(E26,'Apoio - Regime de Trabalho'!$A:$I,7,FALSE),"")</f>
        <v>0</v>
      </c>
      <c r="F59" s="269" t="str">
        <f>IFERROR(IFERROR(VLOOKUP(F$18,'Apoio - Posto'!$A:$AA,12,FALSE),"")*VLOOKUP(F26,'Apoio - Regime de Trabalho'!$A:$I,7,FALSE),"")</f>
        <v/>
      </c>
      <c r="G59" s="269" t="str">
        <f>IFERROR(IFERROR(VLOOKUP(G$18,'Apoio - Posto'!$A:$AA,12,FALSE),"")*VLOOKUP(G26,'Apoio - Regime de Trabalho'!$A:$I,7,FALSE),"")</f>
        <v/>
      </c>
      <c r="H59" s="269" t="str">
        <f>IFERROR(IFERROR(VLOOKUP(H$18,'Apoio - Posto'!$A:$AA,12,FALSE),"")*VLOOKUP(H26,'Apoio - Regime de Trabalho'!$A:$I,7,FALSE),"")</f>
        <v/>
      </c>
      <c r="I59" s="269" t="str">
        <f>IFERROR(IFERROR(VLOOKUP(I$18,'Apoio - Posto'!$A:$AA,12,FALSE),"")*VLOOKUP(I26,'Apoio - Regime de Trabalho'!$A:$I,7,FALSE),"")</f>
        <v/>
      </c>
      <c r="J59" s="269" t="str">
        <f>IFERROR(IFERROR(VLOOKUP(J$18,'Apoio - Posto'!$A:$AA,12,FALSE),"")*VLOOKUP(J26,'Apoio - Regime de Trabalho'!$A:$I,7,FALSE),"")</f>
        <v/>
      </c>
      <c r="K59" s="269" t="str">
        <f>IFERROR(IFERROR(VLOOKUP(K$18,'Apoio - Posto'!$A:$AA,12,FALSE),"")*VLOOKUP(K26,'Apoio - Regime de Trabalho'!$A:$I,7,FALSE),"")</f>
        <v/>
      </c>
      <c r="L59" s="269" t="str">
        <f>IFERROR(IFERROR(VLOOKUP(L$18,'Apoio - Posto'!$A:$AA,12,FALSE),"")*VLOOKUP(L26,'Apoio - Regime de Trabalho'!$A:$I,7,FALSE),"")</f>
        <v/>
      </c>
      <c r="M59" s="269" t="str">
        <f>IFERROR(IFERROR(VLOOKUP(M$18,'Apoio - Posto'!$A:$AA,12,FALSE),"")*VLOOKUP(M26,'Apoio - Regime de Trabalho'!$A:$I,7,FALSE),"")</f>
        <v/>
      </c>
      <c r="N59" s="269" t="str">
        <f>IFERROR(IFERROR(VLOOKUP(N$18,'Apoio - Posto'!$A:$AA,12,FALSE),"")*VLOOKUP(N26,'Apoio - Regime de Trabalho'!$A:$I,7,FALSE),"")</f>
        <v/>
      </c>
    </row>
    <row r="60" spans="1:49">
      <c r="A60" s="147"/>
      <c r="B60" s="148" t="s">
        <v>169</v>
      </c>
      <c r="C60" s="449" t="s">
        <v>223</v>
      </c>
      <c r="D60" s="450"/>
      <c r="E60" s="164"/>
      <c r="F60" s="164"/>
      <c r="G60" s="164"/>
      <c r="H60" s="164"/>
      <c r="I60" s="164"/>
      <c r="J60" s="164"/>
      <c r="K60" s="164"/>
      <c r="L60" s="164"/>
      <c r="M60" s="164"/>
      <c r="N60" s="164"/>
    </row>
    <row r="61" spans="1:49" s="5" customFormat="1">
      <c r="A61" s="87"/>
      <c r="B61" s="169"/>
      <c r="C61" s="104" t="s">
        <v>395</v>
      </c>
      <c r="D61" s="165"/>
      <c r="E61" s="167">
        <f>IF(E20="","",SUM(E32,E35,E39,E42,E46,E49,E53,E58,E59,E60))</f>
        <v>1754.0648727272726</v>
      </c>
      <c r="F61" s="168" t="str">
        <f t="shared" ref="F61:H61" si="26">IF(F20="","",SUM(F32,F35,F39,F42,F46,F49,F53,F58,F59,F60))</f>
        <v/>
      </c>
      <c r="G61" s="168" t="str">
        <f t="shared" si="26"/>
        <v/>
      </c>
      <c r="H61" s="166" t="str">
        <f t="shared" si="26"/>
        <v/>
      </c>
      <c r="I61" s="166" t="str">
        <f t="shared" ref="I61:N61" si="27">IF(I20="","",SUM(I32,I35,I39,I42,I46,I49,I53,I58,I59,I60))</f>
        <v/>
      </c>
      <c r="J61" s="166" t="str">
        <f t="shared" si="27"/>
        <v/>
      </c>
      <c r="K61" s="166" t="str">
        <f t="shared" si="27"/>
        <v/>
      </c>
      <c r="L61" s="166" t="str">
        <f t="shared" si="27"/>
        <v/>
      </c>
      <c r="M61" s="166" t="str">
        <f t="shared" si="27"/>
        <v/>
      </c>
      <c r="N61" s="166" t="str">
        <f t="shared" si="27"/>
        <v/>
      </c>
      <c r="O61" s="307"/>
      <c r="P61" s="307"/>
      <c r="Q61" s="307"/>
      <c r="R61" s="307"/>
      <c r="S61" s="307"/>
      <c r="T61" s="307"/>
      <c r="U61" s="307"/>
      <c r="V61" s="307"/>
      <c r="W61" s="307"/>
      <c r="X61" s="307"/>
      <c r="Y61" s="307"/>
      <c r="Z61" s="307"/>
      <c r="AA61" s="307"/>
      <c r="AB61" s="307"/>
      <c r="AC61" s="307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307"/>
      <c r="AW61" s="307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8"/>
      <c r="AE62" s="308"/>
      <c r="AF62" s="308"/>
      <c r="AG62" s="308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8"/>
      <c r="AT62" s="308"/>
      <c r="AU62" s="308"/>
      <c r="AV62" s="308"/>
      <c r="AW62" s="308"/>
    </row>
    <row r="63" spans="1:49" s="6" customFormat="1">
      <c r="A63" s="88"/>
      <c r="B63" s="103"/>
      <c r="C63" s="104" t="s">
        <v>153</v>
      </c>
      <c r="D63" s="10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09"/>
      <c r="AT63" s="309"/>
      <c r="AU63" s="309"/>
      <c r="AV63" s="309"/>
      <c r="AW63" s="309"/>
    </row>
    <row r="64" spans="1:49" customFormat="1" ht="3.75" customHeight="1"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</row>
    <row r="65" spans="1:49" s="6" customFormat="1">
      <c r="A65" s="89"/>
      <c r="B65" s="181"/>
      <c r="C65" s="182" t="s">
        <v>154</v>
      </c>
      <c r="D65" s="183"/>
      <c r="E65" s="186"/>
      <c r="F65" s="186"/>
      <c r="G65" s="186"/>
      <c r="H65" s="184"/>
      <c r="I65" s="184"/>
      <c r="J65" s="184"/>
      <c r="K65" s="184"/>
      <c r="L65" s="184"/>
      <c r="M65" s="184"/>
      <c r="N65" s="184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G65" s="309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309"/>
    </row>
    <row r="66" spans="1:49">
      <c r="A66" s="88"/>
      <c r="B66" s="101" t="s">
        <v>2</v>
      </c>
      <c r="C66" s="102" t="s">
        <v>58</v>
      </c>
      <c r="D66" s="187">
        <f>IFERROR(INDEX('Apoio - Notas Explicativas'!Q:Q,MATCH(C66,'Apoio - Notas Explicativas'!C:C,0)),"")</f>
        <v>8.3299999999999999E-2</v>
      </c>
      <c r="E66" s="113">
        <f>IFERROR($D66*E$61,"")</f>
        <v>146.11360389818179</v>
      </c>
      <c r="F66" s="113" t="str">
        <f t="shared" ref="F66:N68" si="28">IFERROR($D66*F$61,"")</f>
        <v/>
      </c>
      <c r="G66" s="113" t="str">
        <f t="shared" si="28"/>
        <v/>
      </c>
      <c r="H66" s="113" t="str">
        <f t="shared" si="28"/>
        <v/>
      </c>
      <c r="I66" s="113" t="str">
        <f t="shared" si="28"/>
        <v/>
      </c>
      <c r="J66" s="113" t="str">
        <f t="shared" si="28"/>
        <v/>
      </c>
      <c r="K66" s="113" t="str">
        <f t="shared" si="28"/>
        <v/>
      </c>
      <c r="L66" s="113" t="str">
        <f t="shared" si="28"/>
        <v/>
      </c>
      <c r="M66" s="113" t="str">
        <f t="shared" si="28"/>
        <v/>
      </c>
      <c r="N66" s="113" t="str">
        <f t="shared" si="28"/>
        <v/>
      </c>
    </row>
    <row r="67" spans="1:49">
      <c r="A67" s="88"/>
      <c r="B67" s="101" t="s">
        <v>1</v>
      </c>
      <c r="C67" s="102" t="s">
        <v>21</v>
      </c>
      <c r="D67" s="187">
        <f>IFERROR(INDEX('Apoio - Notas Explicativas'!Q:Q,MATCH(C67,'Apoio - Notas Explicativas'!C:C,0)),"")</f>
        <v>0.1111</v>
      </c>
      <c r="E67" s="113">
        <f>IFERROR($D67*E$61,"")</f>
        <v>194.87660735999998</v>
      </c>
      <c r="F67" s="113" t="str">
        <f t="shared" si="28"/>
        <v/>
      </c>
      <c r="G67" s="113" t="str">
        <f t="shared" si="28"/>
        <v/>
      </c>
      <c r="H67" s="113" t="str">
        <f t="shared" si="28"/>
        <v/>
      </c>
      <c r="I67" s="113" t="str">
        <f t="shared" si="28"/>
        <v/>
      </c>
      <c r="J67" s="113" t="str">
        <f t="shared" si="28"/>
        <v/>
      </c>
      <c r="K67" s="113" t="str">
        <f t="shared" si="28"/>
        <v/>
      </c>
      <c r="L67" s="113" t="str">
        <f t="shared" si="28"/>
        <v/>
      </c>
      <c r="M67" s="113" t="str">
        <f t="shared" si="28"/>
        <v/>
      </c>
      <c r="N67" s="113" t="str">
        <f t="shared" si="28"/>
        <v/>
      </c>
    </row>
    <row r="68" spans="1:49">
      <c r="A68" s="88"/>
      <c r="B68" s="101" t="s">
        <v>0</v>
      </c>
      <c r="C68" s="410" t="s">
        <v>83</v>
      </c>
      <c r="D68" s="187">
        <f>IFERROR(INDEX('Apoio - Notas Explicativas'!Q:Q,MATCH(C68,'Apoio - Notas Explicativas'!C:C,0)),"")</f>
        <v>7.1599999999999997E-2</v>
      </c>
      <c r="E68" s="113">
        <f>IFERROR($D68*E$61,"")</f>
        <v>125.59104488727272</v>
      </c>
      <c r="F68" s="113" t="str">
        <f t="shared" si="28"/>
        <v/>
      </c>
      <c r="G68" s="113" t="str">
        <f t="shared" si="28"/>
        <v/>
      </c>
      <c r="H68" s="113" t="str">
        <f t="shared" si="28"/>
        <v/>
      </c>
      <c r="I68" s="113" t="str">
        <f t="shared" si="28"/>
        <v/>
      </c>
      <c r="J68" s="113" t="str">
        <f t="shared" si="28"/>
        <v/>
      </c>
      <c r="K68" s="113" t="str">
        <f t="shared" si="28"/>
        <v/>
      </c>
      <c r="L68" s="113" t="str">
        <f t="shared" si="28"/>
        <v/>
      </c>
      <c r="M68" s="113" t="str">
        <f t="shared" si="28"/>
        <v/>
      </c>
      <c r="N68" s="113" t="str">
        <f t="shared" si="28"/>
        <v/>
      </c>
    </row>
    <row r="69" spans="1:49" s="5" customFormat="1">
      <c r="A69" s="90"/>
      <c r="B69" s="181"/>
      <c r="C69" s="182" t="s">
        <v>148</v>
      </c>
      <c r="D69" s="185"/>
      <c r="E69" s="186">
        <f>IF(SUM(E66:E68)=0,"",SUM(E66:E68))</f>
        <v>466.58125614545452</v>
      </c>
      <c r="F69" s="186" t="str">
        <f t="shared" ref="F69:H69" si="29">IF(SUM(F66:F68)=0,"",SUM(F66:F68))</f>
        <v/>
      </c>
      <c r="G69" s="184" t="str">
        <f t="shared" si="29"/>
        <v/>
      </c>
      <c r="H69" s="186" t="str">
        <f t="shared" si="29"/>
        <v/>
      </c>
      <c r="I69" s="186" t="str">
        <f t="shared" ref="I69:N69" si="30">IF(SUM(I66:I68)=0,"",SUM(I66:I68))</f>
        <v/>
      </c>
      <c r="J69" s="186" t="str">
        <f t="shared" si="30"/>
        <v/>
      </c>
      <c r="K69" s="186" t="str">
        <f t="shared" si="30"/>
        <v/>
      </c>
      <c r="L69" s="186" t="str">
        <f t="shared" si="30"/>
        <v/>
      </c>
      <c r="M69" s="186" t="str">
        <f t="shared" si="30"/>
        <v/>
      </c>
      <c r="N69" s="186" t="str">
        <f t="shared" si="30"/>
        <v/>
      </c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  <c r="AC69" s="307"/>
      <c r="AD69" s="307"/>
      <c r="AE69" s="307"/>
      <c r="AF69" s="307"/>
      <c r="AG69" s="307"/>
      <c r="AH69" s="307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07"/>
      <c r="AT69" s="307"/>
      <c r="AU69" s="307"/>
      <c r="AV69" s="307"/>
      <c r="AW69" s="307"/>
    </row>
    <row r="70" spans="1:49" customFormat="1" ht="3.75" customHeight="1"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</row>
    <row r="71" spans="1:49" s="6" customFormat="1">
      <c r="A71" s="90"/>
      <c r="B71" s="181"/>
      <c r="C71" s="182" t="s">
        <v>191</v>
      </c>
      <c r="D71" s="183"/>
      <c r="E71" s="186"/>
      <c r="F71" s="184"/>
      <c r="G71" s="184"/>
      <c r="H71" s="186"/>
      <c r="I71" s="186"/>
      <c r="J71" s="186"/>
      <c r="K71" s="186"/>
      <c r="L71" s="186"/>
      <c r="M71" s="186"/>
      <c r="N71" s="186"/>
      <c r="O71" s="309"/>
      <c r="P71" s="309"/>
      <c r="Q71" s="309"/>
      <c r="R71" s="309"/>
      <c r="S71" s="309"/>
      <c r="T71" s="309"/>
      <c r="U71" s="309"/>
      <c r="V71" s="309"/>
      <c r="W71" s="309"/>
      <c r="X71" s="309"/>
      <c r="Y71" s="309"/>
      <c r="Z71" s="309"/>
      <c r="AA71" s="309"/>
      <c r="AB71" s="309"/>
      <c r="AC71" s="309"/>
      <c r="AD71" s="309"/>
      <c r="AE71" s="309"/>
      <c r="AF71" s="309"/>
      <c r="AG71" s="309"/>
      <c r="AH71" s="309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09"/>
      <c r="AT71" s="309"/>
      <c r="AU71" s="309"/>
      <c r="AV71" s="309"/>
      <c r="AW71" s="309"/>
    </row>
    <row r="72" spans="1:49">
      <c r="A72" s="90"/>
      <c r="B72" s="101" t="s">
        <v>2</v>
      </c>
      <c r="C72" s="102" t="s">
        <v>51</v>
      </c>
      <c r="D72" s="187">
        <f>IFERROR(INDEX('Apoio - Notas Explicativas'!Q:Q,MATCH(C72,'Apoio - Notas Explicativas'!C:C,0)),"")</f>
        <v>0.2</v>
      </c>
      <c r="E72" s="113">
        <f t="shared" ref="E72:N77" si="31">IFERROR($D72*E$61,"")</f>
        <v>350.81297454545455</v>
      </c>
      <c r="F72" s="151" t="str">
        <f t="shared" si="31"/>
        <v/>
      </c>
      <c r="G72" s="151" t="str">
        <f t="shared" si="31"/>
        <v/>
      </c>
      <c r="H72" s="113" t="str">
        <f t="shared" si="31"/>
        <v/>
      </c>
      <c r="I72" s="113" t="str">
        <f t="shared" si="31"/>
        <v/>
      </c>
      <c r="J72" s="113" t="str">
        <f t="shared" si="31"/>
        <v/>
      </c>
      <c r="K72" s="113" t="str">
        <f t="shared" si="31"/>
        <v/>
      </c>
      <c r="L72" s="113" t="str">
        <f t="shared" si="31"/>
        <v/>
      </c>
      <c r="M72" s="113" t="str">
        <f t="shared" si="31"/>
        <v/>
      </c>
      <c r="N72" s="113" t="str">
        <f t="shared" si="31"/>
        <v/>
      </c>
    </row>
    <row r="73" spans="1:49">
      <c r="A73" s="88"/>
      <c r="B73" s="101" t="s">
        <v>1</v>
      </c>
      <c r="C73" s="146" t="s">
        <v>52</v>
      </c>
      <c r="D73" s="187">
        <f>IFERROR(INDEX('Apoio - Notas Explicativas'!Q:Q,MATCH(C73,'Apoio - Notas Explicativas'!C:C,0)),"")</f>
        <v>1.4999999999999999E-2</v>
      </c>
      <c r="E73" s="113">
        <f t="shared" si="31"/>
        <v>26.310973090909087</v>
      </c>
      <c r="F73" s="151" t="str">
        <f t="shared" si="31"/>
        <v/>
      </c>
      <c r="G73" s="151" t="str">
        <f t="shared" si="31"/>
        <v/>
      </c>
      <c r="H73" s="113" t="str">
        <f t="shared" si="31"/>
        <v/>
      </c>
      <c r="I73" s="113" t="str">
        <f t="shared" si="31"/>
        <v/>
      </c>
      <c r="J73" s="113" t="str">
        <f t="shared" si="31"/>
        <v/>
      </c>
      <c r="K73" s="113" t="str">
        <f t="shared" si="31"/>
        <v/>
      </c>
      <c r="L73" s="113" t="str">
        <f t="shared" si="31"/>
        <v/>
      </c>
      <c r="M73" s="113" t="str">
        <f t="shared" si="31"/>
        <v/>
      </c>
      <c r="N73" s="113" t="str">
        <f t="shared" si="31"/>
        <v/>
      </c>
    </row>
    <row r="74" spans="1:49">
      <c r="A74" s="88"/>
      <c r="B74" s="101" t="s">
        <v>0</v>
      </c>
      <c r="C74" s="102" t="s">
        <v>53</v>
      </c>
      <c r="D74" s="187">
        <f>IFERROR(INDEX('Apoio - Notas Explicativas'!Q:Q,MATCH(C74,'Apoio - Notas Explicativas'!C:C,0)),"")</f>
        <v>0.01</v>
      </c>
      <c r="E74" s="113">
        <f t="shared" si="31"/>
        <v>17.540648727272725</v>
      </c>
      <c r="F74" s="151" t="str">
        <f t="shared" si="31"/>
        <v/>
      </c>
      <c r="G74" s="151" t="str">
        <f t="shared" si="31"/>
        <v/>
      </c>
      <c r="H74" s="113" t="str">
        <f t="shared" si="31"/>
        <v/>
      </c>
      <c r="I74" s="113" t="str">
        <f t="shared" si="31"/>
        <v/>
      </c>
      <c r="J74" s="113" t="str">
        <f t="shared" si="31"/>
        <v/>
      </c>
      <c r="K74" s="113" t="str">
        <f t="shared" si="31"/>
        <v/>
      </c>
      <c r="L74" s="113" t="str">
        <f t="shared" si="31"/>
        <v/>
      </c>
      <c r="M74" s="113" t="str">
        <f t="shared" si="31"/>
        <v/>
      </c>
      <c r="N74" s="113" t="str">
        <f t="shared" si="31"/>
        <v/>
      </c>
    </row>
    <row r="75" spans="1:49">
      <c r="A75" s="88"/>
      <c r="B75" s="101" t="s">
        <v>3</v>
      </c>
      <c r="C75" s="102" t="s">
        <v>54</v>
      </c>
      <c r="D75" s="187">
        <f>IFERROR(INDEX('Apoio - Notas Explicativas'!Q:Q,MATCH(C75,'Apoio - Notas Explicativas'!C:C,0)),"")</f>
        <v>2E-3</v>
      </c>
      <c r="E75" s="113">
        <f t="shared" si="31"/>
        <v>3.508129745454545</v>
      </c>
      <c r="F75" s="151" t="str">
        <f t="shared" si="31"/>
        <v/>
      </c>
      <c r="G75" s="151" t="str">
        <f t="shared" si="31"/>
        <v/>
      </c>
      <c r="H75" s="113" t="str">
        <f t="shared" si="31"/>
        <v/>
      </c>
      <c r="I75" s="113" t="str">
        <f t="shared" si="31"/>
        <v/>
      </c>
      <c r="J75" s="113" t="str">
        <f t="shared" si="31"/>
        <v/>
      </c>
      <c r="K75" s="113" t="str">
        <f t="shared" si="31"/>
        <v/>
      </c>
      <c r="L75" s="113" t="str">
        <f t="shared" si="31"/>
        <v/>
      </c>
      <c r="M75" s="113" t="str">
        <f t="shared" si="31"/>
        <v/>
      </c>
      <c r="N75" s="113" t="str">
        <f t="shared" si="31"/>
        <v/>
      </c>
    </row>
    <row r="76" spans="1:49">
      <c r="A76" s="88"/>
      <c r="B76" s="101" t="s">
        <v>7</v>
      </c>
      <c r="C76" s="102" t="s">
        <v>55</v>
      </c>
      <c r="D76" s="187">
        <f>IFERROR(INDEX('Apoio - Notas Explicativas'!Q:Q,MATCH(C76,'Apoio - Notas Explicativas'!C:C,0)),"")</f>
        <v>2.5000000000000001E-2</v>
      </c>
      <c r="E76" s="113">
        <f t="shared" si="31"/>
        <v>43.851621818181819</v>
      </c>
      <c r="F76" s="151" t="str">
        <f t="shared" si="31"/>
        <v/>
      </c>
      <c r="G76" s="151" t="str">
        <f t="shared" si="31"/>
        <v/>
      </c>
      <c r="H76" s="113" t="str">
        <f t="shared" si="31"/>
        <v/>
      </c>
      <c r="I76" s="113" t="str">
        <f t="shared" si="31"/>
        <v/>
      </c>
      <c r="J76" s="113" t="str">
        <f t="shared" si="31"/>
        <v/>
      </c>
      <c r="K76" s="113" t="str">
        <f t="shared" si="31"/>
        <v/>
      </c>
      <c r="L76" s="113" t="str">
        <f t="shared" si="31"/>
        <v/>
      </c>
      <c r="M76" s="113" t="str">
        <f t="shared" si="31"/>
        <v/>
      </c>
      <c r="N76" s="113" t="str">
        <f t="shared" si="31"/>
        <v/>
      </c>
    </row>
    <row r="77" spans="1:49">
      <c r="A77" s="88"/>
      <c r="B77" s="101" t="s">
        <v>6</v>
      </c>
      <c r="C77" s="102" t="s">
        <v>56</v>
      </c>
      <c r="D77" s="187">
        <f>IFERROR(INDEX('Apoio - Notas Explicativas'!Q:Q,MATCH(C77,'Apoio - Notas Explicativas'!C:C,0)),"")</f>
        <v>0.08</v>
      </c>
      <c r="E77" s="113">
        <f t="shared" si="31"/>
        <v>140.3251898181818</v>
      </c>
      <c r="F77" s="151" t="str">
        <f t="shared" si="31"/>
        <v/>
      </c>
      <c r="G77" s="151" t="str">
        <f t="shared" si="31"/>
        <v/>
      </c>
      <c r="H77" s="113" t="str">
        <f t="shared" si="31"/>
        <v/>
      </c>
      <c r="I77" s="113" t="str">
        <f t="shared" si="31"/>
        <v/>
      </c>
      <c r="J77" s="113" t="str">
        <f t="shared" si="31"/>
        <v/>
      </c>
      <c r="K77" s="113" t="str">
        <f t="shared" si="31"/>
        <v/>
      </c>
      <c r="L77" s="113" t="str">
        <f t="shared" si="31"/>
        <v/>
      </c>
      <c r="M77" s="113" t="str">
        <f t="shared" si="31"/>
        <v/>
      </c>
      <c r="N77" s="113" t="str">
        <f t="shared" si="31"/>
        <v/>
      </c>
    </row>
    <row r="78" spans="1:49">
      <c r="A78" s="88"/>
      <c r="B78" s="666" t="s">
        <v>5</v>
      </c>
      <c r="C78" s="174" t="str">
        <f>CONCATENATE("GILL/RAT (RAT ",D79," x FAP ",D80,")")</f>
        <v>GILL/RAT (RAT 0,03 x FAP 1)</v>
      </c>
      <c r="D78" s="180"/>
      <c r="E78" s="248"/>
      <c r="F78" s="430"/>
      <c r="G78" s="430"/>
      <c r="H78" s="248"/>
      <c r="I78" s="248"/>
      <c r="J78" s="248"/>
      <c r="K78" s="248"/>
      <c r="L78" s="248"/>
      <c r="M78" s="248"/>
      <c r="N78" s="248"/>
    </row>
    <row r="79" spans="1:49">
      <c r="A79" s="88"/>
      <c r="B79" s="667"/>
      <c r="C79" s="175" t="s">
        <v>49</v>
      </c>
      <c r="D79" s="178">
        <f>VLOOKUP(C79,'Apoio - Notas Explicativas'!$C:$Q,14,FALSE)</f>
        <v>0.03</v>
      </c>
      <c r="E79" s="431"/>
      <c r="F79" s="431"/>
      <c r="G79" s="431"/>
      <c r="H79" s="464"/>
      <c r="I79" s="464"/>
      <c r="J79" s="464"/>
      <c r="K79" s="464"/>
      <c r="L79" s="464"/>
      <c r="M79" s="464"/>
      <c r="N79" s="464"/>
    </row>
    <row r="80" spans="1:49">
      <c r="A80" s="88"/>
      <c r="B80" s="675"/>
      <c r="C80" s="230" t="s">
        <v>44</v>
      </c>
      <c r="D80" s="315">
        <f>VLOOKUP(C80,'Apoio - Notas Explicativas'!$C:$Q,14,FALSE)</f>
        <v>1</v>
      </c>
      <c r="E80" s="432"/>
      <c r="F80" s="432"/>
      <c r="G80" s="432"/>
      <c r="H80" s="432"/>
      <c r="I80" s="432"/>
      <c r="J80" s="432"/>
      <c r="K80" s="432"/>
      <c r="L80" s="432"/>
      <c r="M80" s="432"/>
      <c r="N80" s="432"/>
    </row>
    <row r="81" spans="1:49">
      <c r="A81" s="88"/>
      <c r="B81" s="668"/>
      <c r="C81" s="102"/>
      <c r="D81" s="270">
        <f>D80*D79</f>
        <v>0.03</v>
      </c>
      <c r="E81" s="179">
        <f>IFERROR($D81*E$61,"")</f>
        <v>52.621946181818174</v>
      </c>
      <c r="F81" s="179" t="str">
        <f t="shared" ref="F81:N82" si="32">IFERROR($D81*F$61,"")</f>
        <v/>
      </c>
      <c r="G81" s="179" t="str">
        <f t="shared" si="32"/>
        <v/>
      </c>
      <c r="H81" s="179" t="str">
        <f t="shared" si="32"/>
        <v/>
      </c>
      <c r="I81" s="179" t="str">
        <f t="shared" si="32"/>
        <v/>
      </c>
      <c r="J81" s="179" t="str">
        <f t="shared" si="32"/>
        <v/>
      </c>
      <c r="K81" s="179" t="str">
        <f t="shared" si="32"/>
        <v/>
      </c>
      <c r="L81" s="179" t="str">
        <f t="shared" si="32"/>
        <v/>
      </c>
      <c r="M81" s="179" t="str">
        <f t="shared" si="32"/>
        <v/>
      </c>
      <c r="N81" s="179" t="str">
        <f t="shared" si="32"/>
        <v/>
      </c>
    </row>
    <row r="82" spans="1:49">
      <c r="A82" s="90"/>
      <c r="B82" s="101" t="s">
        <v>4</v>
      </c>
      <c r="C82" s="102" t="s">
        <v>57</v>
      </c>
      <c r="D82" s="187">
        <f>IFERROR(INDEX('Apoio - Notas Explicativas'!Q:Q,MATCH(C82,'Apoio - Notas Explicativas'!C:C,0)),"")</f>
        <v>6.0000000000000001E-3</v>
      </c>
      <c r="E82" s="151">
        <f>IFERROR($D82*E$61,"")</f>
        <v>10.524389236363636</v>
      </c>
      <c r="F82" s="151" t="str">
        <f t="shared" si="32"/>
        <v/>
      </c>
      <c r="G82" s="151" t="str">
        <f t="shared" si="32"/>
        <v/>
      </c>
      <c r="H82" s="151" t="str">
        <f t="shared" si="32"/>
        <v/>
      </c>
      <c r="I82" s="151" t="str">
        <f t="shared" si="32"/>
        <v/>
      </c>
      <c r="J82" s="151" t="str">
        <f t="shared" si="32"/>
        <v/>
      </c>
      <c r="K82" s="151" t="str">
        <f t="shared" si="32"/>
        <v/>
      </c>
      <c r="L82" s="151" t="str">
        <f t="shared" si="32"/>
        <v/>
      </c>
      <c r="M82" s="151" t="str">
        <f t="shared" si="32"/>
        <v/>
      </c>
      <c r="N82" s="151" t="str">
        <f t="shared" si="32"/>
        <v/>
      </c>
    </row>
    <row r="83" spans="1:49" s="5" customFormat="1">
      <c r="A83" s="90"/>
      <c r="B83" s="181"/>
      <c r="C83" s="182" t="s">
        <v>147</v>
      </c>
      <c r="D83" s="185"/>
      <c r="E83" s="186">
        <f>IF((SUM(E72:E77,E81,E82))=0,"",(SUM(E72:E77,E81,E82)))</f>
        <v>645.49587316363636</v>
      </c>
      <c r="F83" s="186" t="str">
        <f t="shared" ref="F83:H83" si="33">IF((SUM(F72:F77,F81,F82))=0,"",(SUM(F72:F77,F81,F82)))</f>
        <v/>
      </c>
      <c r="G83" s="186" t="str">
        <f t="shared" si="33"/>
        <v/>
      </c>
      <c r="H83" s="186" t="str">
        <f t="shared" si="33"/>
        <v/>
      </c>
      <c r="I83" s="186" t="str">
        <f t="shared" ref="I83:N83" si="34">IF((SUM(I72:I77,I81,I82))=0,"",(SUM(I72:I77,I81,I82)))</f>
        <v/>
      </c>
      <c r="J83" s="186" t="str">
        <f t="shared" si="34"/>
        <v/>
      </c>
      <c r="K83" s="186" t="str">
        <f t="shared" si="34"/>
        <v/>
      </c>
      <c r="L83" s="186" t="str">
        <f t="shared" si="34"/>
        <v/>
      </c>
      <c r="M83" s="186" t="str">
        <f t="shared" si="34"/>
        <v/>
      </c>
      <c r="N83" s="186" t="str">
        <f t="shared" si="34"/>
        <v/>
      </c>
      <c r="O83" s="307"/>
      <c r="P83" s="307"/>
      <c r="Q83" s="307"/>
      <c r="R83" s="307"/>
      <c r="S83" s="307"/>
      <c r="T83" s="307"/>
      <c r="U83" s="307"/>
      <c r="V83" s="307"/>
      <c r="W83" s="307"/>
      <c r="X83" s="307"/>
      <c r="Y83" s="307"/>
      <c r="Z83" s="307"/>
      <c r="AA83" s="307"/>
      <c r="AB83" s="307"/>
      <c r="AC83" s="307"/>
      <c r="AD83" s="307"/>
      <c r="AE83" s="307"/>
      <c r="AF83" s="307"/>
      <c r="AG83" s="307"/>
      <c r="AH83" s="307"/>
      <c r="AI83" s="307"/>
      <c r="AJ83" s="307"/>
      <c r="AK83" s="307"/>
      <c r="AL83" s="307"/>
      <c r="AM83" s="307"/>
      <c r="AN83" s="307"/>
      <c r="AO83" s="307"/>
      <c r="AP83" s="307"/>
      <c r="AQ83" s="307"/>
      <c r="AR83" s="307"/>
      <c r="AS83" s="307"/>
      <c r="AT83" s="307"/>
      <c r="AU83" s="307"/>
      <c r="AV83" s="307"/>
      <c r="AW83" s="307"/>
    </row>
    <row r="84" spans="1:49" customFormat="1" ht="3.75" customHeight="1"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</row>
    <row r="85" spans="1:49" s="6" customFormat="1">
      <c r="A85" s="90"/>
      <c r="B85" s="192"/>
      <c r="C85" s="193" t="s">
        <v>155</v>
      </c>
      <c r="D85" s="194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309"/>
      <c r="P85" s="309"/>
      <c r="Q85" s="309"/>
      <c r="R85" s="309"/>
      <c r="S85" s="309"/>
      <c r="T85" s="309"/>
      <c r="U85" s="309"/>
      <c r="V85" s="309"/>
      <c r="W85" s="309"/>
      <c r="X85" s="309"/>
      <c r="Y85" s="309"/>
      <c r="Z85" s="309"/>
      <c r="AA85" s="309"/>
      <c r="AB85" s="309"/>
      <c r="AC85" s="309"/>
      <c r="AD85" s="309"/>
      <c r="AE85" s="309"/>
      <c r="AF85" s="309"/>
      <c r="AG85" s="309"/>
      <c r="AH85" s="309"/>
      <c r="AI85" s="309"/>
      <c r="AJ85" s="309"/>
      <c r="AK85" s="309"/>
      <c r="AL85" s="309"/>
      <c r="AM85" s="309"/>
      <c r="AN85" s="309"/>
      <c r="AO85" s="309"/>
      <c r="AP85" s="309"/>
      <c r="AQ85" s="309"/>
      <c r="AR85" s="309"/>
      <c r="AS85" s="309"/>
      <c r="AT85" s="309"/>
      <c r="AU85" s="309"/>
      <c r="AV85" s="309"/>
      <c r="AW85" s="309"/>
    </row>
    <row r="86" spans="1:49" s="12" customFormat="1">
      <c r="A86" s="88"/>
      <c r="B86" s="666" t="s">
        <v>2</v>
      </c>
      <c r="C86" s="174" t="s">
        <v>89</v>
      </c>
      <c r="D86" s="204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G86" s="304"/>
      <c r="AH86" s="304"/>
      <c r="AI86" s="304"/>
      <c r="AJ86" s="304"/>
      <c r="AK86" s="304"/>
      <c r="AL86" s="304"/>
      <c r="AM86" s="304"/>
      <c r="AN86" s="304"/>
      <c r="AO86" s="304"/>
      <c r="AP86" s="304"/>
      <c r="AQ86" s="304"/>
      <c r="AR86" s="304"/>
      <c r="AS86" s="304"/>
      <c r="AT86" s="304"/>
      <c r="AU86" s="304"/>
      <c r="AV86" s="304"/>
      <c r="AW86" s="304"/>
    </row>
    <row r="87" spans="1:49">
      <c r="A87" s="88"/>
      <c r="B87" s="667"/>
      <c r="C87" s="175" t="s">
        <v>90</v>
      </c>
      <c r="D87" s="222"/>
      <c r="E87" s="425">
        <f>IF(E18="","",4.8)</f>
        <v>4.8</v>
      </c>
      <c r="F87" s="425" t="str">
        <f t="shared" ref="F87:H87" si="35">IF(F18="","",4.8)</f>
        <v/>
      </c>
      <c r="G87" s="425" t="str">
        <f t="shared" si="35"/>
        <v/>
      </c>
      <c r="H87" s="425" t="str">
        <f t="shared" si="35"/>
        <v/>
      </c>
      <c r="I87" s="425" t="str">
        <f t="shared" ref="I87:N87" si="36">IF(I18="","",4.8)</f>
        <v/>
      </c>
      <c r="J87" s="425" t="str">
        <f t="shared" si="36"/>
        <v/>
      </c>
      <c r="K87" s="425" t="str">
        <f t="shared" si="36"/>
        <v/>
      </c>
      <c r="L87" s="425" t="str">
        <f t="shared" si="36"/>
        <v/>
      </c>
      <c r="M87" s="425" t="str">
        <f t="shared" si="36"/>
        <v/>
      </c>
      <c r="N87" s="425" t="str">
        <f t="shared" si="36"/>
        <v/>
      </c>
    </row>
    <row r="88" spans="1:49">
      <c r="A88" s="88"/>
      <c r="B88" s="667"/>
      <c r="C88" s="117" t="s">
        <v>136</v>
      </c>
      <c r="D88" s="223"/>
      <c r="E88" s="207">
        <f>IF(E18="","",2)</f>
        <v>2</v>
      </c>
      <c r="F88" s="207" t="str">
        <f t="shared" ref="F88:H88" si="37">IF(F18="","",2)</f>
        <v/>
      </c>
      <c r="G88" s="207" t="str">
        <f t="shared" si="37"/>
        <v/>
      </c>
      <c r="H88" s="207" t="str">
        <f t="shared" si="37"/>
        <v/>
      </c>
      <c r="I88" s="207" t="str">
        <f t="shared" ref="I88:N88" si="38">IF(I18="","",2)</f>
        <v/>
      </c>
      <c r="J88" s="207" t="str">
        <f t="shared" si="38"/>
        <v/>
      </c>
      <c r="K88" s="207" t="str">
        <f t="shared" si="38"/>
        <v/>
      </c>
      <c r="L88" s="207" t="str">
        <f t="shared" si="38"/>
        <v/>
      </c>
      <c r="M88" s="207" t="str">
        <f t="shared" si="38"/>
        <v/>
      </c>
      <c r="N88" s="207" t="str">
        <f t="shared" si="38"/>
        <v/>
      </c>
    </row>
    <row r="89" spans="1:49">
      <c r="A89" s="88"/>
      <c r="B89" s="667"/>
      <c r="C89" s="117" t="s">
        <v>91</v>
      </c>
      <c r="D89" s="224"/>
      <c r="E89" s="208">
        <f>IFERROR(IF(E18="","",VLOOKUP(E26,'Apoio - Regime de Trabalho'!$A:$G,7,FALSE)),"")</f>
        <v>22</v>
      </c>
      <c r="F89" s="208" t="str">
        <f>IFERROR(IF(F18="","",VLOOKUP(F26,'Apoio - Regime de Trabalho'!$A:$G,7,FALSE)),"")</f>
        <v/>
      </c>
      <c r="G89" s="208" t="str">
        <f>IFERROR(IF(G18="","",VLOOKUP(G26,'Apoio - Regime de Trabalho'!$A:$G,7,FALSE)),"")</f>
        <v/>
      </c>
      <c r="H89" s="208" t="str">
        <f>IFERROR(IF(H18="","",VLOOKUP(H26,'Apoio - Regime de Trabalho'!$A:$G,7,FALSE)),"")</f>
        <v/>
      </c>
      <c r="I89" s="208" t="str">
        <f>IFERROR(IF(I18="","",VLOOKUP(I26,'Apoio - Regime de Trabalho'!$A:$G,7,FALSE)),"")</f>
        <v/>
      </c>
      <c r="J89" s="208" t="str">
        <f>IFERROR(IF(J18="","",VLOOKUP(J26,'Apoio - Regime de Trabalho'!$A:$G,7,FALSE)),"")</f>
        <v/>
      </c>
      <c r="K89" s="208" t="str">
        <f>IFERROR(IF(K18="","",VLOOKUP(K26,'Apoio - Regime de Trabalho'!$A:$G,7,FALSE)),"")</f>
        <v/>
      </c>
      <c r="L89" s="208" t="str">
        <f>IFERROR(IF(L18="","",VLOOKUP(L26,'Apoio - Regime de Trabalho'!$A:$G,7,FALSE)),"")</f>
        <v/>
      </c>
      <c r="M89" s="208" t="str">
        <f>IFERROR(IF(M18="","",VLOOKUP(M26,'Apoio - Regime de Trabalho'!$A:$G,7,FALSE)),"")</f>
        <v/>
      </c>
      <c r="N89" s="208" t="str">
        <f>IFERROR(IF(N18="","",VLOOKUP(N26,'Apoio - Regime de Trabalho'!$A:$G,7,FALSE)),"")</f>
        <v/>
      </c>
    </row>
    <row r="90" spans="1:49">
      <c r="A90" s="88"/>
      <c r="B90" s="667"/>
      <c r="C90" s="117" t="s">
        <v>22</v>
      </c>
      <c r="D90" s="223"/>
      <c r="E90" s="209">
        <f>IF(E18="","",IFERROR(VLOOKUP(E$18,'Apoio - Posto'!$A:$AA,16,FALSE),6%))</f>
        <v>0.06</v>
      </c>
      <c r="F90" s="209" t="str">
        <f>IF(F18="","",IFERROR(VLOOKUP(F$18,'Apoio - Posto'!$A:$AA,16,FALSE),6%))</f>
        <v/>
      </c>
      <c r="G90" s="209" t="str">
        <f>IF(G18="","",IFERROR(VLOOKUP(G$18,'Apoio - Posto'!$A:$AA,16,FALSE),6%))</f>
        <v/>
      </c>
      <c r="H90" s="209" t="str">
        <f>IF(H18="","",IFERROR(VLOOKUP(H$18,'Apoio - Posto'!$A:$AA,16,FALSE),6%))</f>
        <v/>
      </c>
      <c r="I90" s="209" t="str">
        <f>IF(I18="","",IFERROR(VLOOKUP(I$18,'Apoio - Posto'!$A:$AA,16,FALSE),6%))</f>
        <v/>
      </c>
      <c r="J90" s="209" t="str">
        <f>IF(J18="","",IFERROR(VLOOKUP(J$18,'Apoio - Posto'!$A:$AA,16,FALSE),6%))</f>
        <v/>
      </c>
      <c r="K90" s="209" t="str">
        <f>IF(K18="","",IFERROR(VLOOKUP(K$18,'Apoio - Posto'!$A:$AA,16,FALSE),6%))</f>
        <v/>
      </c>
      <c r="L90" s="209" t="str">
        <f>IF(L18="","",IFERROR(VLOOKUP(L$18,'Apoio - Posto'!$A:$AA,16,FALSE),6%))</f>
        <v/>
      </c>
      <c r="M90" s="209" t="str">
        <f>IF(M18="","",IFERROR(VLOOKUP(M$18,'Apoio - Posto'!$A:$AA,16,FALSE),6%))</f>
        <v/>
      </c>
      <c r="N90" s="209" t="str">
        <f>IF(N18="","",IFERROR(VLOOKUP(N$18,'Apoio - Posto'!$A:$AA,16,FALSE),6%))</f>
        <v/>
      </c>
    </row>
    <row r="91" spans="1:49">
      <c r="A91" s="88"/>
      <c r="B91" s="668"/>
      <c r="C91" s="229"/>
      <c r="D91" s="225" t="s">
        <v>43</v>
      </c>
      <c r="E91" s="160">
        <f>IFERROR((E87*E88*E89)-(E$90*E$32),"")</f>
        <v>113.02472727272726</v>
      </c>
      <c r="F91" s="160" t="str">
        <f t="shared" ref="F91:H91" si="39">IFERROR((F87*F88*F89)-(F$90*F$32),"")</f>
        <v/>
      </c>
      <c r="G91" s="160" t="str">
        <f t="shared" si="39"/>
        <v/>
      </c>
      <c r="H91" s="160" t="str">
        <f t="shared" si="39"/>
        <v/>
      </c>
      <c r="I91" s="160" t="str">
        <f t="shared" ref="I91:N91" si="40">IFERROR((I87*I88*I89)-(I$90*I$32),"")</f>
        <v/>
      </c>
      <c r="J91" s="160" t="str">
        <f t="shared" si="40"/>
        <v/>
      </c>
      <c r="K91" s="160" t="str">
        <f t="shared" si="40"/>
        <v/>
      </c>
      <c r="L91" s="160" t="str">
        <f t="shared" si="40"/>
        <v/>
      </c>
      <c r="M91" s="160" t="str">
        <f t="shared" si="40"/>
        <v/>
      </c>
      <c r="N91" s="160" t="str">
        <f t="shared" si="40"/>
        <v/>
      </c>
    </row>
    <row r="92" spans="1:49">
      <c r="A92" s="88"/>
      <c r="B92" s="666" t="s">
        <v>1</v>
      </c>
      <c r="C92" s="203" t="s">
        <v>23</v>
      </c>
      <c r="D92" s="226"/>
      <c r="E92" s="251"/>
      <c r="F92" s="251"/>
      <c r="G92" s="251"/>
      <c r="H92" s="251"/>
      <c r="I92" s="251"/>
      <c r="J92" s="251"/>
      <c r="K92" s="251"/>
      <c r="L92" s="251"/>
      <c r="M92" s="251"/>
      <c r="N92" s="251"/>
    </row>
    <row r="93" spans="1:49">
      <c r="A93" s="88"/>
      <c r="B93" s="667"/>
      <c r="C93" s="221" t="s">
        <v>24</v>
      </c>
      <c r="D93" s="217"/>
      <c r="E93" s="211">
        <f>IFERROR(VLOOKUP(E$18,'Apoio - Posto'!$A:$AA,IF(VLOOKUP(E26,'Apoio - Regime de Trabalho'!$A:$I,8,FALSE)&gt;=200,9,10),FALSE),"")</f>
        <v>22.366000000000003</v>
      </c>
      <c r="F93" s="211" t="str">
        <f>IFERROR(VLOOKUP(F$18,'Apoio - Posto'!$A:$AA,IF(VLOOKUP(F26,'Apoio - Regime de Trabalho'!$A:$I,8,FALSE)&gt;=200,9,10),FALSE),"")</f>
        <v/>
      </c>
      <c r="G93" s="211" t="str">
        <f>IFERROR(VLOOKUP(G$18,'Apoio - Posto'!$A:$AA,IF(VLOOKUP(G26,'Apoio - Regime de Trabalho'!$A:$I,8,FALSE)&gt;=200,9,10),FALSE),"")</f>
        <v/>
      </c>
      <c r="H93" s="211" t="str">
        <f>IFERROR(VLOOKUP(H$18,'Apoio - Posto'!$A:$AA,IF(VLOOKUP(H26,'Apoio - Regime de Trabalho'!$A:$I,8,FALSE)&gt;=200,9,10),FALSE),"")</f>
        <v/>
      </c>
      <c r="I93" s="211" t="str">
        <f>IFERROR(VLOOKUP(I$18,'Apoio - Posto'!$A:$AA,IF(VLOOKUP(I26,'Apoio - Regime de Trabalho'!$A:$I,8,FALSE)&gt;=200,9,10),FALSE),"")</f>
        <v/>
      </c>
      <c r="J93" s="211" t="str">
        <f>IFERROR(VLOOKUP(J$18,'Apoio - Posto'!$A:$AA,IF(VLOOKUP(J26,'Apoio - Regime de Trabalho'!$A:$I,8,FALSE)&gt;=200,9,10),FALSE),"")</f>
        <v/>
      </c>
      <c r="K93" s="211" t="str">
        <f>IFERROR(VLOOKUP(K$18,'Apoio - Posto'!$A:$AA,IF(VLOOKUP(K26,'Apoio - Regime de Trabalho'!$A:$I,8,FALSE)&gt;=200,9,10),FALSE),"")</f>
        <v/>
      </c>
      <c r="L93" s="211" t="str">
        <f>IFERROR(VLOOKUP(L$18,'Apoio - Posto'!$A:$AA,IF(VLOOKUP(L26,'Apoio - Regime de Trabalho'!$A:$I,8,FALSE)&gt;=200,9,10),FALSE),"")</f>
        <v/>
      </c>
      <c r="M93" s="211" t="str">
        <f>IFERROR(VLOOKUP(M$18,'Apoio - Posto'!$A:$AA,IF(VLOOKUP(M26,'Apoio - Regime de Trabalho'!$A:$I,8,FALSE)&gt;=200,9,10),FALSE),"")</f>
        <v/>
      </c>
      <c r="N93" s="211" t="str">
        <f>IFERROR(VLOOKUP(N$18,'Apoio - Posto'!$A:$AA,IF(VLOOKUP(N26,'Apoio - Regime de Trabalho'!$A:$I,8,FALSE)&gt;=200,9,10),FALSE),"")</f>
        <v/>
      </c>
    </row>
    <row r="94" spans="1:49">
      <c r="A94" s="88"/>
      <c r="B94" s="667"/>
      <c r="C94" s="173" t="s">
        <v>365</v>
      </c>
      <c r="D94" s="220"/>
      <c r="E94" s="213">
        <f>IFERROR(IF(E18="","",VLOOKUP(E26,'Apoio - Regime de Trabalho'!$A:$G,7,FALSE)),"")</f>
        <v>22</v>
      </c>
      <c r="F94" s="213" t="str">
        <f>IFERROR(IF(F18="","",VLOOKUP(F26,'Apoio - Regime de Trabalho'!$A:$G,7,FALSE)),"")</f>
        <v/>
      </c>
      <c r="G94" s="213" t="str">
        <f>IFERROR(IF(G18="","",VLOOKUP(G26,'Apoio - Regime de Trabalho'!$A:$G,7,FALSE)),"")</f>
        <v/>
      </c>
      <c r="H94" s="213" t="str">
        <f>IFERROR(IF(H18="","",VLOOKUP(H26,'Apoio - Regime de Trabalho'!$A:$G,7,FALSE)),"")</f>
        <v/>
      </c>
      <c r="I94" s="213" t="str">
        <f>IFERROR(IF(I18="","",VLOOKUP(I26,'Apoio - Regime de Trabalho'!$A:$G,7,FALSE)),"")</f>
        <v/>
      </c>
      <c r="J94" s="213" t="str">
        <f>IFERROR(IF(J18="","",VLOOKUP(J26,'Apoio - Regime de Trabalho'!$A:$G,7,FALSE)),"")</f>
        <v/>
      </c>
      <c r="K94" s="213" t="str">
        <f>IFERROR(IF(K18="","",VLOOKUP(K26,'Apoio - Regime de Trabalho'!$A:$G,7,FALSE)),"")</f>
        <v/>
      </c>
      <c r="L94" s="213" t="str">
        <f>IFERROR(IF(L18="","",VLOOKUP(L26,'Apoio - Regime de Trabalho'!$A:$G,7,FALSE)),"")</f>
        <v/>
      </c>
      <c r="M94" s="213" t="str">
        <f>IFERROR(IF(M18="","",VLOOKUP(M26,'Apoio - Regime de Trabalho'!$A:$G,7,FALSE)),"")</f>
        <v/>
      </c>
      <c r="N94" s="213" t="str">
        <f>IFERROR(IF(N18="","",VLOOKUP(N26,'Apoio - Regime de Trabalho'!$A:$G,7,FALSE)),"")</f>
        <v/>
      </c>
    </row>
    <row r="95" spans="1:49">
      <c r="A95" s="88"/>
      <c r="B95" s="667"/>
      <c r="C95" s="173" t="s">
        <v>361</v>
      </c>
      <c r="D95" s="220"/>
      <c r="E95" s="214">
        <f>IFERROR(VLOOKUP(E$18,'Apoio - Posto'!$A:$AA,17,FALSE),"")</f>
        <v>0.2</v>
      </c>
      <c r="F95" s="214" t="str">
        <f>IFERROR(VLOOKUP(F$18,'Apoio - Posto'!$A:$AA,17,FALSE),"")</f>
        <v/>
      </c>
      <c r="G95" s="214" t="str">
        <f>IFERROR(VLOOKUP(G$18,'Apoio - Posto'!$A:$AA,17,FALSE),"")</f>
        <v/>
      </c>
      <c r="H95" s="214" t="str">
        <f>IFERROR(VLOOKUP(H$18,'Apoio - Posto'!$A:$AA,17,FALSE),"")</f>
        <v/>
      </c>
      <c r="I95" s="214" t="str">
        <f>IFERROR(VLOOKUP(I$18,'Apoio - Posto'!$A:$AA,17,FALSE),"")</f>
        <v/>
      </c>
      <c r="J95" s="214" t="str">
        <f>IFERROR(VLOOKUP(J$18,'Apoio - Posto'!$A:$AA,17,FALSE),"")</f>
        <v/>
      </c>
      <c r="K95" s="214" t="str">
        <f>IFERROR(VLOOKUP(K$18,'Apoio - Posto'!$A:$AA,17,FALSE),"")</f>
        <v/>
      </c>
      <c r="L95" s="214" t="str">
        <f>IFERROR(VLOOKUP(L$18,'Apoio - Posto'!$A:$AA,17,FALSE),"")</f>
        <v/>
      </c>
      <c r="M95" s="214" t="str">
        <f>IFERROR(VLOOKUP(M$18,'Apoio - Posto'!$A:$AA,17,FALSE),"")</f>
        <v/>
      </c>
      <c r="N95" s="214" t="str">
        <f>IFERROR(VLOOKUP(N$18,'Apoio - Posto'!$A:$AA,17,FALSE),"")</f>
        <v/>
      </c>
    </row>
    <row r="96" spans="1:49">
      <c r="A96" s="88"/>
      <c r="B96" s="668"/>
      <c r="C96" s="229"/>
      <c r="D96" s="225" t="s">
        <v>43</v>
      </c>
      <c r="E96" s="115">
        <f>IFERROR((E93*E94)-(E$93*E$94*E$95),"")</f>
        <v>393.64160000000004</v>
      </c>
      <c r="F96" s="115" t="str">
        <f t="shared" ref="F96:H96" si="41">IFERROR((F93*F94)-(F$93*F$94*F$95),"")</f>
        <v/>
      </c>
      <c r="G96" s="115" t="str">
        <f t="shared" si="41"/>
        <v/>
      </c>
      <c r="H96" s="115" t="str">
        <f t="shared" si="41"/>
        <v/>
      </c>
      <c r="I96" s="115" t="str">
        <f t="shared" ref="I96:N96" si="42">IFERROR((I93*I94)-(I$93*I$94*I$95),"")</f>
        <v/>
      </c>
      <c r="J96" s="115" t="str">
        <f t="shared" si="42"/>
        <v/>
      </c>
      <c r="K96" s="115" t="str">
        <f t="shared" si="42"/>
        <v/>
      </c>
      <c r="L96" s="115" t="str">
        <f t="shared" si="42"/>
        <v/>
      </c>
      <c r="M96" s="115" t="str">
        <f t="shared" si="42"/>
        <v/>
      </c>
      <c r="N96" s="115" t="str">
        <f t="shared" si="42"/>
        <v/>
      </c>
    </row>
    <row r="97" spans="1:49">
      <c r="A97" s="88"/>
      <c r="B97" s="666" t="s">
        <v>0</v>
      </c>
      <c r="C97" s="172" t="s">
        <v>25</v>
      </c>
      <c r="D97" s="226"/>
      <c r="E97" s="252"/>
      <c r="F97" s="252"/>
      <c r="G97" s="252"/>
      <c r="H97" s="252"/>
      <c r="I97" s="252"/>
      <c r="J97" s="252"/>
      <c r="K97" s="252"/>
      <c r="L97" s="252"/>
      <c r="M97" s="252"/>
      <c r="N97" s="252"/>
    </row>
    <row r="98" spans="1:49">
      <c r="A98" s="88"/>
      <c r="B98" s="667"/>
      <c r="C98" s="205" t="s">
        <v>26</v>
      </c>
      <c r="D98" s="227"/>
      <c r="E98" s="215"/>
      <c r="F98" s="215"/>
      <c r="G98" s="215"/>
      <c r="H98" s="215"/>
      <c r="I98" s="215"/>
      <c r="J98" s="215"/>
      <c r="K98" s="215"/>
      <c r="L98" s="215"/>
      <c r="M98" s="215"/>
      <c r="N98" s="215"/>
    </row>
    <row r="99" spans="1:49">
      <c r="A99" s="88"/>
      <c r="B99" s="667"/>
      <c r="C99" s="206" t="s">
        <v>361</v>
      </c>
      <c r="D99" s="224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49">
      <c r="A100" s="88"/>
      <c r="B100" s="668"/>
      <c r="C100" s="229"/>
      <c r="D100" s="225" t="s">
        <v>43</v>
      </c>
      <c r="E100" s="258">
        <f>IF(E20="","",IFERROR((E$98)-(E$99*E$98),""))</f>
        <v>0</v>
      </c>
      <c r="F100" s="258" t="str">
        <f t="shared" ref="F100:H100" si="43">IF(F20="","",IFERROR((F$98)-(F$99*F$98),""))</f>
        <v/>
      </c>
      <c r="G100" s="258" t="str">
        <f t="shared" si="43"/>
        <v/>
      </c>
      <c r="H100" s="258" t="str">
        <f t="shared" si="43"/>
        <v/>
      </c>
      <c r="I100" s="258" t="str">
        <f t="shared" ref="I100:N100" si="44">IF(I20="","",IFERROR((I$98)-(I$99*I$98),""))</f>
        <v/>
      </c>
      <c r="J100" s="258" t="str">
        <f t="shared" si="44"/>
        <v/>
      </c>
      <c r="K100" s="258" t="str">
        <f t="shared" si="44"/>
        <v/>
      </c>
      <c r="L100" s="258" t="str">
        <f t="shared" si="44"/>
        <v/>
      </c>
      <c r="M100" s="258" t="str">
        <f t="shared" si="44"/>
        <v/>
      </c>
      <c r="N100" s="258" t="str">
        <f t="shared" si="44"/>
        <v/>
      </c>
    </row>
    <row r="101" spans="1:49">
      <c r="A101" s="88"/>
      <c r="B101" s="101" t="s">
        <v>3</v>
      </c>
      <c r="C101" s="102" t="s">
        <v>27</v>
      </c>
      <c r="D101" s="197"/>
      <c r="E101" s="406">
        <f>IFERROR(VLOOKUP(E$18,'Apoio - Posto'!$A:$AA,19,FALSE),"")</f>
        <v>19.420000000000002</v>
      </c>
      <c r="F101" s="406" t="str">
        <f>IFERROR(VLOOKUP(F$18,'Apoio - Posto'!$A:$AA,19,FALSE),"")</f>
        <v/>
      </c>
      <c r="G101" s="406" t="str">
        <f>IFERROR(VLOOKUP(G$18,'Apoio - Posto'!$A:$AA,19,FALSE),"")</f>
        <v/>
      </c>
      <c r="H101" s="406" t="str">
        <f>IFERROR(VLOOKUP(H$18,'Apoio - Posto'!$A:$AA,19,FALSE),"")</f>
        <v/>
      </c>
      <c r="I101" s="406" t="str">
        <f>IFERROR(VLOOKUP(I$18,'Apoio - Posto'!$A:$AA,19,FALSE),"")</f>
        <v/>
      </c>
      <c r="J101" s="406" t="str">
        <f>IFERROR(VLOOKUP(J$18,'Apoio - Posto'!$A:$AA,19,FALSE),"")</f>
        <v/>
      </c>
      <c r="K101" s="406" t="str">
        <f>IFERROR(VLOOKUP(K$18,'Apoio - Posto'!$A:$AA,19,FALSE),"")</f>
        <v/>
      </c>
      <c r="L101" s="406" t="str">
        <f>IFERROR(VLOOKUP(L$18,'Apoio - Posto'!$A:$AA,19,FALSE),"")</f>
        <v/>
      </c>
      <c r="M101" s="406" t="str">
        <f>IFERROR(VLOOKUP(M$18,'Apoio - Posto'!$A:$AA,19,FALSE),"")</f>
        <v/>
      </c>
      <c r="N101" s="406" t="str">
        <f>IFERROR(VLOOKUP(N$18,'Apoio - Posto'!$A:$AA,19,FALSE),"")</f>
        <v/>
      </c>
    </row>
    <row r="102" spans="1:49">
      <c r="A102" s="88"/>
      <c r="B102" s="195" t="s">
        <v>7</v>
      </c>
      <c r="C102" s="188" t="s">
        <v>28</v>
      </c>
      <c r="D102" s="196"/>
      <c r="E102" s="407"/>
      <c r="F102" s="407"/>
      <c r="G102" s="407"/>
      <c r="H102" s="407"/>
      <c r="I102" s="407"/>
      <c r="J102" s="407"/>
      <c r="K102" s="407"/>
      <c r="L102" s="407"/>
      <c r="M102" s="407"/>
      <c r="N102" s="407"/>
    </row>
    <row r="103" spans="1:49">
      <c r="A103" s="88"/>
      <c r="B103" s="666" t="s">
        <v>6</v>
      </c>
      <c r="C103" s="203" t="s">
        <v>29</v>
      </c>
      <c r="D103" s="196"/>
      <c r="E103" s="251"/>
      <c r="F103" s="251"/>
      <c r="G103" s="251"/>
      <c r="H103" s="251"/>
      <c r="I103" s="251"/>
      <c r="J103" s="251"/>
      <c r="K103" s="251"/>
      <c r="L103" s="251"/>
      <c r="M103" s="251"/>
      <c r="N103" s="251"/>
    </row>
    <row r="104" spans="1:49">
      <c r="A104" s="88"/>
      <c r="B104" s="667"/>
      <c r="C104" s="210" t="s">
        <v>26</v>
      </c>
      <c r="D104" s="228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</row>
    <row r="105" spans="1:49">
      <c r="A105" s="88"/>
      <c r="B105" s="667"/>
      <c r="C105" s="212" t="s">
        <v>137</v>
      </c>
      <c r="D105" s="220"/>
      <c r="E105" s="214"/>
      <c r="F105" s="214"/>
      <c r="G105" s="214"/>
      <c r="H105" s="214"/>
      <c r="I105" s="214"/>
      <c r="J105" s="214"/>
      <c r="K105" s="214"/>
      <c r="L105" s="214"/>
      <c r="M105" s="214"/>
      <c r="N105" s="214"/>
    </row>
    <row r="106" spans="1:49">
      <c r="A106" s="88"/>
      <c r="B106" s="668"/>
      <c r="C106" s="229"/>
      <c r="D106" s="225" t="s">
        <v>43</v>
      </c>
      <c r="E106" s="216">
        <f>IF(E20="","",IFERROR((E104)-(E$105*E$104),""))</f>
        <v>0</v>
      </c>
      <c r="F106" s="216" t="str">
        <f t="shared" ref="F106:H106" si="45">IF(F20="","",IFERROR((F104)-(F$105*F$104),""))</f>
        <v/>
      </c>
      <c r="G106" s="216" t="str">
        <f t="shared" si="45"/>
        <v/>
      </c>
      <c r="H106" s="216" t="str">
        <f t="shared" si="45"/>
        <v/>
      </c>
      <c r="I106" s="216" t="str">
        <f t="shared" ref="I106:N106" si="46">IF(I20="","",IFERROR((I104)-(I$105*I$104),""))</f>
        <v/>
      </c>
      <c r="J106" s="216" t="str">
        <f t="shared" si="46"/>
        <v/>
      </c>
      <c r="K106" s="216" t="str">
        <f t="shared" si="46"/>
        <v/>
      </c>
      <c r="L106" s="216" t="str">
        <f t="shared" si="46"/>
        <v/>
      </c>
      <c r="M106" s="216" t="str">
        <f t="shared" si="46"/>
        <v/>
      </c>
      <c r="N106" s="216" t="str">
        <f t="shared" si="46"/>
        <v/>
      </c>
    </row>
    <row r="107" spans="1:49">
      <c r="A107" s="88"/>
      <c r="B107" s="195" t="s">
        <v>5</v>
      </c>
      <c r="C107" s="188" t="s">
        <v>30</v>
      </c>
      <c r="D107" s="198" t="str">
        <f>IFERROR(VLOOKUP(E18,'Apoio - Posto'!A:J,14,FALSE),"")</f>
        <v/>
      </c>
      <c r="E107" s="426">
        <f>IFERROR(VLOOKUP(E$18,'Apoio - Posto'!$A:$AA,18,FALSE),"")</f>
        <v>0</v>
      </c>
      <c r="F107" s="426" t="str">
        <f>IFERROR(VLOOKUP(F$18,'Apoio - Posto'!$A:$AA,18,FALSE),"")</f>
        <v/>
      </c>
      <c r="G107" s="426" t="str">
        <f>IFERROR(VLOOKUP(G$18,'Apoio - Posto'!$A:$AA,18,FALSE),"")</f>
        <v/>
      </c>
      <c r="H107" s="426" t="str">
        <f>IFERROR(VLOOKUP(H$18,'Apoio - Posto'!$A:$AA,18,FALSE),"")</f>
        <v/>
      </c>
      <c r="I107" s="426" t="str">
        <f>IFERROR(VLOOKUP(I$18,'Apoio - Posto'!$A:$AA,18,FALSE),"")</f>
        <v/>
      </c>
      <c r="J107" s="426" t="str">
        <f>IFERROR(VLOOKUP(J$18,'Apoio - Posto'!$A:$AA,18,FALSE),"")</f>
        <v/>
      </c>
      <c r="K107" s="426" t="str">
        <f>IFERROR(VLOOKUP(K$18,'Apoio - Posto'!$A:$AA,18,FALSE),"")</f>
        <v/>
      </c>
      <c r="L107" s="426" t="str">
        <f>IFERROR(VLOOKUP(L$18,'Apoio - Posto'!$A:$AA,18,FALSE),"")</f>
        <v/>
      </c>
      <c r="M107" s="426" t="str">
        <f>IFERROR(VLOOKUP(M$18,'Apoio - Posto'!$A:$AA,18,FALSE),"")</f>
        <v/>
      </c>
      <c r="N107" s="426" t="str">
        <f>IFERROR(VLOOKUP(N$18,'Apoio - Posto'!$A:$AA,18,FALSE),"")</f>
        <v/>
      </c>
    </row>
    <row r="108" spans="1:49">
      <c r="A108" s="88"/>
      <c r="B108" s="666" t="s">
        <v>4</v>
      </c>
      <c r="C108" s="203" t="s">
        <v>143</v>
      </c>
      <c r="D108" s="196"/>
      <c r="E108" s="248"/>
      <c r="F108" s="248"/>
      <c r="G108" s="248"/>
      <c r="H108" s="248"/>
      <c r="I108" s="248"/>
      <c r="J108" s="248"/>
      <c r="K108" s="248"/>
      <c r="L108" s="248"/>
      <c r="M108" s="248"/>
      <c r="N108" s="248"/>
    </row>
    <row r="109" spans="1:49">
      <c r="A109" s="88"/>
      <c r="B109" s="667"/>
      <c r="C109" s="221" t="s">
        <v>360</v>
      </c>
      <c r="D109" s="228"/>
      <c r="E109" s="427"/>
      <c r="F109" s="427"/>
      <c r="G109" s="427"/>
      <c r="H109" s="427"/>
      <c r="I109" s="427"/>
      <c r="J109" s="427"/>
      <c r="K109" s="427"/>
      <c r="L109" s="427"/>
      <c r="M109" s="427"/>
      <c r="N109" s="427"/>
    </row>
    <row r="110" spans="1:49">
      <c r="A110" s="88"/>
      <c r="B110" s="667"/>
      <c r="C110" s="173" t="s">
        <v>361</v>
      </c>
      <c r="D110" s="220"/>
      <c r="E110" s="219"/>
      <c r="F110" s="219"/>
      <c r="G110" s="219"/>
      <c r="H110" s="219"/>
      <c r="I110" s="219"/>
      <c r="J110" s="219"/>
      <c r="K110" s="219"/>
      <c r="L110" s="219"/>
      <c r="M110" s="219"/>
      <c r="N110" s="219"/>
    </row>
    <row r="111" spans="1:49">
      <c r="A111" s="88"/>
      <c r="B111" s="668"/>
      <c r="C111" s="111"/>
      <c r="D111" s="233" t="s">
        <v>43</v>
      </c>
      <c r="E111" s="218">
        <f>IF(E18="","",E109*(1-E110))</f>
        <v>0</v>
      </c>
      <c r="F111" s="218" t="str">
        <f t="shared" ref="F111:H111" si="47">IF(F18="","",F109*(1-F110))</f>
        <v/>
      </c>
      <c r="G111" s="218" t="str">
        <f t="shared" si="47"/>
        <v/>
      </c>
      <c r="H111" s="218" t="str">
        <f t="shared" si="47"/>
        <v/>
      </c>
      <c r="I111" s="218" t="str">
        <f t="shared" ref="I111:N111" si="48">IF(I18="","",I109*(1-I110))</f>
        <v/>
      </c>
      <c r="J111" s="218" t="str">
        <f t="shared" si="48"/>
        <v/>
      </c>
      <c r="K111" s="218" t="str">
        <f t="shared" si="48"/>
        <v/>
      </c>
      <c r="L111" s="218" t="str">
        <f t="shared" si="48"/>
        <v/>
      </c>
      <c r="M111" s="218" t="str">
        <f t="shared" si="48"/>
        <v/>
      </c>
      <c r="N111" s="218" t="str">
        <f t="shared" si="48"/>
        <v/>
      </c>
    </row>
    <row r="112" spans="1:49" s="5" customFormat="1">
      <c r="A112" s="90"/>
      <c r="B112" s="199"/>
      <c r="C112" s="200" t="s">
        <v>146</v>
      </c>
      <c r="D112" s="201"/>
      <c r="E112" s="202">
        <f>IF(E20="","",SUM(E91,E96,E100,E101,E102,E106,E107,E111))</f>
        <v>526.08632727272732</v>
      </c>
      <c r="F112" s="202" t="str">
        <f t="shared" ref="F112:H112" si="49">IF(F20="","",SUM(F91,F96,F100,F101,F102,F106,F107,F111))</f>
        <v/>
      </c>
      <c r="G112" s="202" t="str">
        <f t="shared" si="49"/>
        <v/>
      </c>
      <c r="H112" s="202" t="str">
        <f t="shared" si="49"/>
        <v/>
      </c>
      <c r="I112" s="202" t="str">
        <f t="shared" ref="I112:N112" si="50">IF(I20="","",SUM(I91,I96,I100,I101,I102,I106,I107,I111))</f>
        <v/>
      </c>
      <c r="J112" s="202" t="str">
        <f t="shared" si="50"/>
        <v/>
      </c>
      <c r="K112" s="202" t="str">
        <f t="shared" si="50"/>
        <v/>
      </c>
      <c r="L112" s="202" t="str">
        <f t="shared" si="50"/>
        <v/>
      </c>
      <c r="M112" s="202" t="str">
        <f t="shared" si="50"/>
        <v/>
      </c>
      <c r="N112" s="202" t="str">
        <f t="shared" si="50"/>
        <v/>
      </c>
      <c r="O112" s="307"/>
      <c r="P112" s="307"/>
      <c r="Q112" s="307"/>
      <c r="R112" s="307"/>
      <c r="S112" s="307"/>
      <c r="T112" s="307"/>
      <c r="U112" s="307"/>
      <c r="V112" s="307"/>
      <c r="W112" s="307"/>
      <c r="X112" s="307"/>
      <c r="Y112" s="307"/>
      <c r="Z112" s="307"/>
      <c r="AA112" s="307"/>
      <c r="AB112" s="307"/>
      <c r="AC112" s="307"/>
      <c r="AD112" s="307"/>
      <c r="AE112" s="307"/>
      <c r="AF112" s="307"/>
      <c r="AG112" s="307"/>
      <c r="AH112" s="307"/>
      <c r="AI112" s="307"/>
      <c r="AJ112" s="307"/>
      <c r="AK112" s="307"/>
      <c r="AL112" s="307"/>
      <c r="AM112" s="307"/>
      <c r="AN112" s="307"/>
      <c r="AO112" s="307"/>
      <c r="AP112" s="307"/>
      <c r="AQ112" s="307"/>
      <c r="AR112" s="307"/>
      <c r="AS112" s="307"/>
      <c r="AT112" s="307"/>
      <c r="AU112" s="307"/>
      <c r="AV112" s="307"/>
      <c r="AW112" s="307"/>
    </row>
    <row r="113" spans="1:49" customFormat="1" ht="3.75" customHeight="1"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</row>
    <row r="114" spans="1:49" s="5" customFormat="1">
      <c r="A114" s="87"/>
      <c r="B114" s="169"/>
      <c r="C114" s="104" t="s">
        <v>144</v>
      </c>
      <c r="D114" s="165"/>
      <c r="E114" s="166">
        <f>IF(E20="","",IFERROR(SUM(E112,E83,E69),""))</f>
        <v>1638.1634565818181</v>
      </c>
      <c r="F114" s="167" t="str">
        <f t="shared" ref="F114:H114" si="51">IF(F20="","",IFERROR(SUM(F112,F83,F69),""))</f>
        <v/>
      </c>
      <c r="G114" s="463" t="str">
        <f t="shared" si="51"/>
        <v/>
      </c>
      <c r="H114" s="167" t="str">
        <f t="shared" si="51"/>
        <v/>
      </c>
      <c r="I114" s="167" t="str">
        <f t="shared" ref="I114:N114" si="52">IF(I20="","",IFERROR(SUM(I112,I83,I69),""))</f>
        <v/>
      </c>
      <c r="J114" s="167" t="str">
        <f t="shared" si="52"/>
        <v/>
      </c>
      <c r="K114" s="167" t="str">
        <f t="shared" si="52"/>
        <v/>
      </c>
      <c r="L114" s="167" t="str">
        <f t="shared" si="52"/>
        <v/>
      </c>
      <c r="M114" s="167" t="str">
        <f t="shared" si="52"/>
        <v/>
      </c>
      <c r="N114" s="167" t="str">
        <f t="shared" si="52"/>
        <v/>
      </c>
      <c r="O114" s="307"/>
      <c r="P114" s="307"/>
      <c r="Q114" s="307"/>
      <c r="R114" s="307"/>
      <c r="S114" s="307"/>
      <c r="T114" s="307"/>
      <c r="U114" s="307"/>
      <c r="V114" s="307"/>
      <c r="W114" s="307"/>
      <c r="X114" s="307"/>
      <c r="Y114" s="307"/>
      <c r="Z114" s="307"/>
      <c r="AA114" s="307"/>
      <c r="AB114" s="307"/>
      <c r="AC114" s="307"/>
      <c r="AD114" s="307"/>
      <c r="AE114" s="307"/>
      <c r="AF114" s="307"/>
      <c r="AG114" s="307"/>
      <c r="AH114" s="307"/>
      <c r="AI114" s="307"/>
      <c r="AJ114" s="307"/>
      <c r="AK114" s="307"/>
      <c r="AL114" s="307"/>
      <c r="AM114" s="307"/>
      <c r="AN114" s="307"/>
      <c r="AO114" s="307"/>
      <c r="AP114" s="307"/>
      <c r="AQ114" s="307"/>
      <c r="AR114" s="307"/>
      <c r="AS114" s="307"/>
      <c r="AT114" s="307"/>
      <c r="AU114" s="307"/>
      <c r="AV114" s="307"/>
      <c r="AW114" s="307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  <c r="AG115" s="309"/>
      <c r="AH115" s="309"/>
      <c r="AI115" s="309"/>
      <c r="AJ115" s="309"/>
      <c r="AK115" s="309"/>
      <c r="AL115" s="309"/>
      <c r="AM115" s="309"/>
      <c r="AN115" s="309"/>
      <c r="AO115" s="309"/>
      <c r="AP115" s="309"/>
      <c r="AQ115" s="309"/>
      <c r="AR115" s="309"/>
      <c r="AS115" s="309"/>
      <c r="AT115" s="309"/>
      <c r="AU115" s="309"/>
      <c r="AV115" s="309"/>
      <c r="AW115" s="309"/>
    </row>
    <row r="116" spans="1:49" s="6" customFormat="1">
      <c r="A116" s="88"/>
      <c r="B116" s="103"/>
      <c r="C116" s="104" t="s">
        <v>156</v>
      </c>
      <c r="D116" s="105"/>
      <c r="E116" s="385"/>
      <c r="F116" s="462"/>
      <c r="G116" s="385"/>
      <c r="H116" s="385"/>
      <c r="I116" s="385"/>
      <c r="J116" s="385"/>
      <c r="K116" s="385"/>
      <c r="L116" s="385"/>
      <c r="M116" s="385"/>
      <c r="N116" s="385"/>
      <c r="O116" s="309"/>
      <c r="P116" s="309"/>
      <c r="Q116" s="309"/>
      <c r="R116" s="309"/>
      <c r="S116" s="309"/>
      <c r="T116" s="309"/>
      <c r="U116" s="309"/>
      <c r="V116" s="309"/>
      <c r="W116" s="309"/>
      <c r="X116" s="309"/>
      <c r="Y116" s="309"/>
      <c r="Z116" s="309"/>
      <c r="AA116" s="309"/>
      <c r="AB116" s="309"/>
      <c r="AC116" s="309"/>
      <c r="AD116" s="309"/>
      <c r="AE116" s="309"/>
      <c r="AF116" s="309"/>
      <c r="AG116" s="309"/>
      <c r="AH116" s="309"/>
      <c r="AI116" s="309"/>
      <c r="AJ116" s="309"/>
      <c r="AK116" s="309"/>
      <c r="AL116" s="309"/>
      <c r="AM116" s="309"/>
      <c r="AN116" s="309"/>
      <c r="AO116" s="309"/>
      <c r="AP116" s="309"/>
      <c r="AQ116" s="309"/>
      <c r="AR116" s="309"/>
      <c r="AS116" s="309"/>
      <c r="AT116" s="309"/>
      <c r="AU116" s="309"/>
      <c r="AV116" s="309"/>
      <c r="AW116" s="309"/>
    </row>
    <row r="117" spans="1:49" s="13" customFormat="1">
      <c r="A117" s="91"/>
      <c r="B117" s="101" t="s">
        <v>2</v>
      </c>
      <c r="C117" s="102" t="s">
        <v>273</v>
      </c>
      <c r="D117" s="421">
        <f>INDEX('Apoio - Notas Explicativas'!Q:Q,MATCH(C117,'Apoio - Notas Explicativas'!C:C,0))</f>
        <v>4.1999999999999997E-3</v>
      </c>
      <c r="E117" s="113">
        <f t="shared" ref="E117:N122" si="53">IFERROR($D117*E$61,"")</f>
        <v>7.3670724654545445</v>
      </c>
      <c r="F117" s="113" t="str">
        <f t="shared" si="53"/>
        <v/>
      </c>
      <c r="G117" s="113" t="str">
        <f t="shared" si="53"/>
        <v/>
      </c>
      <c r="H117" s="113" t="str">
        <f t="shared" si="53"/>
        <v/>
      </c>
      <c r="I117" s="113" t="str">
        <f t="shared" si="53"/>
        <v/>
      </c>
      <c r="J117" s="113" t="str">
        <f t="shared" si="53"/>
        <v/>
      </c>
      <c r="K117" s="113" t="str">
        <f t="shared" si="53"/>
        <v/>
      </c>
      <c r="L117" s="113" t="str">
        <f t="shared" si="53"/>
        <v/>
      </c>
      <c r="M117" s="113" t="str">
        <f t="shared" si="53"/>
        <v/>
      </c>
      <c r="N117" s="113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91"/>
      <c r="B118" s="101" t="s">
        <v>1</v>
      </c>
      <c r="C118" s="102" t="s">
        <v>31</v>
      </c>
      <c r="D118" s="421">
        <f>INDEX('Apoio - Notas Explicativas'!Q:Q,MATCH(C118,'Apoio - Notas Explicativas'!C:C,0))</f>
        <v>2.9999999999999997E-4</v>
      </c>
      <c r="E118" s="113">
        <f t="shared" si="53"/>
        <v>0.52621946181818169</v>
      </c>
      <c r="F118" s="113" t="str">
        <f t="shared" si="53"/>
        <v/>
      </c>
      <c r="G118" s="113" t="str">
        <f t="shared" si="53"/>
        <v/>
      </c>
      <c r="H118" s="113" t="str">
        <f t="shared" si="53"/>
        <v/>
      </c>
      <c r="I118" s="113" t="str">
        <f t="shared" si="53"/>
        <v/>
      </c>
      <c r="J118" s="113" t="str">
        <f t="shared" si="53"/>
        <v/>
      </c>
      <c r="K118" s="113" t="str">
        <f t="shared" si="53"/>
        <v/>
      </c>
      <c r="L118" s="113" t="str">
        <f t="shared" si="53"/>
        <v/>
      </c>
      <c r="M118" s="113" t="str">
        <f t="shared" si="53"/>
        <v/>
      </c>
      <c r="N118" s="113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91"/>
      <c r="B119" s="101" t="s">
        <v>0</v>
      </c>
      <c r="C119" s="102" t="s">
        <v>32</v>
      </c>
      <c r="D119" s="421">
        <f>INDEX('Apoio - Notas Explicativas'!Q:Q,MATCH(C119,'Apoio - Notas Explicativas'!C:C,0))</f>
        <v>1E-4</v>
      </c>
      <c r="E119" s="113">
        <f t="shared" si="53"/>
        <v>0.17540648727272726</v>
      </c>
      <c r="F119" s="113" t="str">
        <f t="shared" si="53"/>
        <v/>
      </c>
      <c r="G119" s="113" t="str">
        <f t="shared" si="53"/>
        <v/>
      </c>
      <c r="H119" s="113" t="str">
        <f t="shared" si="53"/>
        <v/>
      </c>
      <c r="I119" s="113" t="str">
        <f t="shared" si="53"/>
        <v/>
      </c>
      <c r="J119" s="113" t="str">
        <f t="shared" si="53"/>
        <v/>
      </c>
      <c r="K119" s="113" t="str">
        <f t="shared" si="53"/>
        <v/>
      </c>
      <c r="L119" s="113" t="str">
        <f t="shared" si="53"/>
        <v/>
      </c>
      <c r="M119" s="113" t="str">
        <f t="shared" si="53"/>
        <v/>
      </c>
      <c r="N119" s="113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91"/>
      <c r="B120" s="101" t="s">
        <v>3</v>
      </c>
      <c r="C120" s="102" t="s">
        <v>33</v>
      </c>
      <c r="D120" s="421">
        <f>INDEX('Apoio - Notas Explicativas'!Q:Q,MATCH(C120,'Apoio - Notas Explicativas'!C:C,0))</f>
        <v>1.9800000000000002E-2</v>
      </c>
      <c r="E120" s="113">
        <f t="shared" si="53"/>
        <v>34.730484480000001</v>
      </c>
      <c r="F120" s="113" t="str">
        <f t="shared" si="53"/>
        <v/>
      </c>
      <c r="G120" s="113" t="str">
        <f t="shared" si="53"/>
        <v/>
      </c>
      <c r="H120" s="113" t="str">
        <f t="shared" si="53"/>
        <v/>
      </c>
      <c r="I120" s="113" t="str">
        <f t="shared" si="53"/>
        <v/>
      </c>
      <c r="J120" s="113" t="str">
        <f t="shared" si="53"/>
        <v/>
      </c>
      <c r="K120" s="113" t="str">
        <f t="shared" si="53"/>
        <v/>
      </c>
      <c r="L120" s="113" t="str">
        <f t="shared" si="53"/>
        <v/>
      </c>
      <c r="M120" s="113" t="str">
        <f t="shared" si="53"/>
        <v/>
      </c>
      <c r="N120" s="113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91"/>
      <c r="B121" s="101" t="s">
        <v>7</v>
      </c>
      <c r="C121" s="102" t="s">
        <v>34</v>
      </c>
      <c r="D121" s="421">
        <f>INDEX('Apoio - Notas Explicativas'!Q:Q,MATCH(C121,'Apoio - Notas Explicativas'!C:C,0))</f>
        <v>7.3000000000000001E-3</v>
      </c>
      <c r="E121" s="113">
        <f t="shared" si="53"/>
        <v>12.80467357090909</v>
      </c>
      <c r="F121" s="113" t="str">
        <f t="shared" si="53"/>
        <v/>
      </c>
      <c r="G121" s="113" t="str">
        <f t="shared" si="53"/>
        <v/>
      </c>
      <c r="H121" s="113" t="str">
        <f t="shared" si="53"/>
        <v/>
      </c>
      <c r="I121" s="113" t="str">
        <f t="shared" si="53"/>
        <v/>
      </c>
      <c r="J121" s="113" t="str">
        <f t="shared" si="53"/>
        <v/>
      </c>
      <c r="K121" s="113" t="str">
        <f t="shared" si="53"/>
        <v/>
      </c>
      <c r="L121" s="113" t="str">
        <f t="shared" si="53"/>
        <v/>
      </c>
      <c r="M121" s="113" t="str">
        <f t="shared" si="53"/>
        <v/>
      </c>
      <c r="N121" s="113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91"/>
      <c r="B122" s="101" t="s">
        <v>6</v>
      </c>
      <c r="C122" s="102" t="s">
        <v>35</v>
      </c>
      <c r="D122" s="421">
        <f>INDEX('Apoio - Notas Explicativas'!Q:Q,MATCH(C122,'Apoio - Notas Explicativas'!C:C,0))</f>
        <v>0.04</v>
      </c>
      <c r="E122" s="113">
        <f t="shared" si="53"/>
        <v>70.162594909090899</v>
      </c>
      <c r="F122" s="113" t="str">
        <f t="shared" si="53"/>
        <v/>
      </c>
      <c r="G122" s="113" t="str">
        <f t="shared" si="53"/>
        <v/>
      </c>
      <c r="H122" s="113" t="str">
        <f t="shared" si="53"/>
        <v/>
      </c>
      <c r="I122" s="113" t="str">
        <f t="shared" si="53"/>
        <v/>
      </c>
      <c r="J122" s="113" t="str">
        <f t="shared" si="53"/>
        <v/>
      </c>
      <c r="K122" s="113" t="str">
        <f t="shared" si="53"/>
        <v/>
      </c>
      <c r="L122" s="113" t="str">
        <f t="shared" si="53"/>
        <v/>
      </c>
      <c r="M122" s="113" t="str">
        <f t="shared" si="53"/>
        <v/>
      </c>
      <c r="N122" s="113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87"/>
      <c r="B123" s="169"/>
      <c r="C123" s="104" t="s">
        <v>145</v>
      </c>
      <c r="D123" s="165"/>
      <c r="E123" s="167">
        <f>IF(SUM(E117:E122)=0,"",SUM(E117:E122))</f>
        <v>125.76645137454544</v>
      </c>
      <c r="F123" s="167" t="str">
        <f t="shared" ref="F123:H123" si="54">IF(SUM(F117:F122)=0,"",SUM(F117:F122))</f>
        <v/>
      </c>
      <c r="G123" s="167" t="str">
        <f t="shared" si="54"/>
        <v/>
      </c>
      <c r="H123" s="167" t="str">
        <f t="shared" si="54"/>
        <v/>
      </c>
      <c r="I123" s="167" t="str">
        <f t="shared" ref="I123:N123" si="55">IF(SUM(I117:I122)=0,"",SUM(I117:I122))</f>
        <v/>
      </c>
      <c r="J123" s="167" t="str">
        <f t="shared" si="55"/>
        <v/>
      </c>
      <c r="K123" s="167" t="str">
        <f t="shared" si="55"/>
        <v/>
      </c>
      <c r="L123" s="167" t="str">
        <f t="shared" si="55"/>
        <v/>
      </c>
      <c r="M123" s="167" t="str">
        <f t="shared" si="55"/>
        <v/>
      </c>
      <c r="N123" s="167" t="str">
        <f t="shared" si="55"/>
        <v/>
      </c>
      <c r="O123" s="307"/>
      <c r="P123" s="307"/>
      <c r="Q123" s="307"/>
      <c r="R123" s="307"/>
      <c r="S123" s="307"/>
      <c r="T123" s="307"/>
      <c r="U123" s="307"/>
      <c r="V123" s="307"/>
      <c r="W123" s="307"/>
      <c r="X123" s="307"/>
      <c r="Y123" s="307"/>
      <c r="Z123" s="307"/>
      <c r="AA123" s="307"/>
      <c r="AB123" s="307"/>
      <c r="AC123" s="307"/>
      <c r="AD123" s="307"/>
      <c r="AE123" s="307"/>
      <c r="AF123" s="307"/>
      <c r="AG123" s="307"/>
      <c r="AH123" s="307"/>
      <c r="AI123" s="307"/>
      <c r="AJ123" s="307"/>
      <c r="AK123" s="307"/>
      <c r="AL123" s="307"/>
      <c r="AM123" s="307"/>
      <c r="AN123" s="307"/>
      <c r="AO123" s="307"/>
      <c r="AP123" s="307"/>
      <c r="AQ123" s="307"/>
      <c r="AR123" s="307"/>
      <c r="AS123" s="307"/>
      <c r="AT123" s="307"/>
      <c r="AU123" s="307"/>
      <c r="AV123" s="307"/>
      <c r="AW123" s="307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10"/>
      <c r="P124" s="310"/>
      <c r="Q124" s="310"/>
      <c r="R124" s="310"/>
      <c r="S124" s="310"/>
      <c r="T124" s="310"/>
      <c r="U124" s="310"/>
      <c r="V124" s="310"/>
      <c r="W124" s="310"/>
      <c r="X124" s="310"/>
      <c r="Y124" s="310"/>
      <c r="Z124" s="310"/>
      <c r="AA124" s="310"/>
      <c r="AB124" s="310"/>
      <c r="AC124" s="310"/>
      <c r="AD124" s="310"/>
      <c r="AE124" s="310"/>
      <c r="AF124" s="310"/>
      <c r="AG124" s="310"/>
      <c r="AH124" s="310"/>
      <c r="AI124" s="310"/>
      <c r="AJ124" s="310"/>
      <c r="AK124" s="310"/>
      <c r="AL124" s="310"/>
      <c r="AM124" s="310"/>
      <c r="AN124" s="310"/>
      <c r="AO124" s="310"/>
      <c r="AP124" s="310"/>
      <c r="AQ124" s="310"/>
      <c r="AR124" s="310"/>
      <c r="AS124" s="310"/>
      <c r="AT124" s="310"/>
      <c r="AU124" s="310"/>
      <c r="AV124" s="310"/>
      <c r="AW124" s="310"/>
    </row>
    <row r="125" spans="1:49" s="6" customFormat="1">
      <c r="A125" s="88"/>
      <c r="B125" s="103"/>
      <c r="C125" s="104" t="s">
        <v>157</v>
      </c>
      <c r="D125" s="105"/>
      <c r="E125" s="385"/>
      <c r="F125" s="385"/>
      <c r="G125" s="385"/>
      <c r="H125" s="385"/>
      <c r="I125" s="385"/>
      <c r="J125" s="385"/>
      <c r="K125" s="385"/>
      <c r="L125" s="385"/>
      <c r="M125" s="385"/>
      <c r="N125" s="385"/>
      <c r="O125" s="309"/>
      <c r="P125" s="309"/>
      <c r="Q125" s="309"/>
      <c r="R125" s="309"/>
      <c r="S125" s="309"/>
      <c r="T125" s="309"/>
      <c r="U125" s="309"/>
      <c r="V125" s="309"/>
      <c r="W125" s="309"/>
      <c r="X125" s="309"/>
      <c r="Y125" s="309"/>
      <c r="Z125" s="309"/>
      <c r="AA125" s="309"/>
      <c r="AB125" s="309"/>
      <c r="AC125" s="309"/>
      <c r="AD125" s="309"/>
      <c r="AE125" s="309"/>
      <c r="AF125" s="309"/>
      <c r="AG125" s="309"/>
      <c r="AH125" s="309"/>
      <c r="AI125" s="309"/>
      <c r="AJ125" s="309"/>
      <c r="AK125" s="309"/>
      <c r="AL125" s="309"/>
      <c r="AM125" s="309"/>
      <c r="AN125" s="309"/>
      <c r="AO125" s="309"/>
      <c r="AP125" s="309"/>
      <c r="AQ125" s="309"/>
      <c r="AR125" s="309"/>
      <c r="AS125" s="309"/>
      <c r="AT125" s="309"/>
      <c r="AU125" s="309"/>
      <c r="AV125" s="309"/>
      <c r="AW125" s="309"/>
    </row>
    <row r="126" spans="1:49" customFormat="1" ht="3.75" customHeight="1"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</row>
    <row r="127" spans="1:49" s="6" customFormat="1">
      <c r="A127" s="89"/>
      <c r="B127" s="181"/>
      <c r="C127" s="182" t="s">
        <v>231</v>
      </c>
      <c r="D127" s="183"/>
      <c r="E127" s="186"/>
      <c r="F127" s="184"/>
      <c r="G127" s="184"/>
      <c r="H127" s="184"/>
      <c r="I127" s="184"/>
      <c r="J127" s="184"/>
      <c r="K127" s="184"/>
      <c r="L127" s="184"/>
      <c r="M127" s="184"/>
      <c r="N127" s="184"/>
      <c r="O127" s="309"/>
      <c r="P127" s="309"/>
      <c r="Q127" s="309"/>
      <c r="R127" s="309"/>
      <c r="S127" s="309"/>
      <c r="T127" s="309"/>
      <c r="U127" s="309"/>
      <c r="V127" s="309"/>
      <c r="W127" s="309"/>
      <c r="X127" s="309"/>
      <c r="Y127" s="309"/>
      <c r="Z127" s="309"/>
      <c r="AA127" s="309"/>
      <c r="AB127" s="309"/>
      <c r="AC127" s="309"/>
      <c r="AD127" s="309"/>
      <c r="AE127" s="309"/>
      <c r="AF127" s="309"/>
      <c r="AG127" s="309"/>
      <c r="AH127" s="309"/>
      <c r="AI127" s="309"/>
      <c r="AJ127" s="309"/>
      <c r="AK127" s="309"/>
      <c r="AL127" s="309"/>
      <c r="AM127" s="309"/>
      <c r="AN127" s="309"/>
      <c r="AO127" s="309"/>
      <c r="AP127" s="309"/>
      <c r="AQ127" s="309"/>
      <c r="AR127" s="309"/>
      <c r="AS127" s="309"/>
      <c r="AT127" s="309"/>
      <c r="AU127" s="309"/>
      <c r="AV127" s="309"/>
      <c r="AW127" s="309"/>
    </row>
    <row r="128" spans="1:49" s="13" customFormat="1">
      <c r="A128" s="92"/>
      <c r="B128" s="101" t="s">
        <v>2</v>
      </c>
      <c r="C128" s="102" t="s">
        <v>36</v>
      </c>
      <c r="D128" s="421">
        <f>INDEX('Apoio - Notas Explicativas'!$Q:$Q,MATCH(C128,'Apoio - Notas Explicativas'!$C:$C,0))</f>
        <v>1.6199999999999999E-2</v>
      </c>
      <c r="E128" s="113">
        <f>IF(E20="","",IFERROR($D128*SUM(E$61),""))</f>
        <v>28.415850938181816</v>
      </c>
      <c r="F128" s="151" t="str">
        <f t="shared" ref="F128:H128" si="56">IF(F20="","",IFERROR($D128*SUM(F$61),""))</f>
        <v/>
      </c>
      <c r="G128" s="151" t="str">
        <f t="shared" si="56"/>
        <v/>
      </c>
      <c r="H128" s="151" t="str">
        <f t="shared" si="56"/>
        <v/>
      </c>
      <c r="I128" s="151" t="str">
        <f t="shared" ref="I128:N128" si="57">IF(I20="","",IFERROR($D128*SUM(I$61),""))</f>
        <v/>
      </c>
      <c r="J128" s="151" t="str">
        <f t="shared" si="57"/>
        <v/>
      </c>
      <c r="K128" s="151" t="str">
        <f t="shared" si="57"/>
        <v/>
      </c>
      <c r="L128" s="151" t="str">
        <f t="shared" si="57"/>
        <v/>
      </c>
      <c r="M128" s="151" t="str">
        <f t="shared" si="57"/>
        <v/>
      </c>
      <c r="N128" s="151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92"/>
      <c r="B129" s="101" t="s">
        <v>1</v>
      </c>
      <c r="C129" s="102" t="s">
        <v>239</v>
      </c>
      <c r="D129" s="421">
        <f>INDEX('Apoio - Notas Explicativas'!$Q:$Q,MATCH(C129,'Apoio - Notas Explicativas'!$C:$C,0))</f>
        <v>1.3899999999999999E-2</v>
      </c>
      <c r="E129" s="113">
        <f>IFERROR($D129*(E61+E66+E67),"")</f>
        <v>29.121265667397811</v>
      </c>
      <c r="F129" s="151" t="str">
        <f t="shared" ref="F129:H129" si="58">IFERROR($D129*(F61+F66+F67),"")</f>
        <v/>
      </c>
      <c r="G129" s="151" t="str">
        <f t="shared" si="58"/>
        <v/>
      </c>
      <c r="H129" s="151" t="str">
        <f t="shared" si="58"/>
        <v/>
      </c>
      <c r="I129" s="151" t="str">
        <f t="shared" ref="I129:N129" si="59">IFERROR($D129*(I61+I66+I67),"")</f>
        <v/>
      </c>
      <c r="J129" s="151" t="str">
        <f t="shared" si="59"/>
        <v/>
      </c>
      <c r="K129" s="151" t="str">
        <f t="shared" si="59"/>
        <v/>
      </c>
      <c r="L129" s="151" t="str">
        <f t="shared" si="59"/>
        <v/>
      </c>
      <c r="M129" s="151" t="str">
        <f t="shared" si="59"/>
        <v/>
      </c>
      <c r="N129" s="151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92"/>
      <c r="B130" s="101" t="s">
        <v>0</v>
      </c>
      <c r="C130" s="102" t="s">
        <v>37</v>
      </c>
      <c r="D130" s="421">
        <f>INDEX('Apoio - Notas Explicativas'!$Q:$Q,MATCH(C130,'Apoio - Notas Explicativas'!$C:$C,0))</f>
        <v>2.0000000000000001E-4</v>
      </c>
      <c r="E130" s="113">
        <f>IFERROR($D130*(E61+E66+E67),"")</f>
        <v>0.41901101679709085</v>
      </c>
      <c r="F130" s="151" t="str">
        <f t="shared" ref="F130:H130" si="60">IFERROR($D130*(F61+F66+F67),"")</f>
        <v/>
      </c>
      <c r="G130" s="151" t="str">
        <f t="shared" si="60"/>
        <v/>
      </c>
      <c r="H130" s="151" t="str">
        <f t="shared" si="60"/>
        <v/>
      </c>
      <c r="I130" s="151" t="str">
        <f t="shared" ref="I130:N130" si="61">IFERROR($D130*(I61+I66+I67),"")</f>
        <v/>
      </c>
      <c r="J130" s="151" t="str">
        <f t="shared" si="61"/>
        <v/>
      </c>
      <c r="K130" s="151" t="str">
        <f t="shared" si="61"/>
        <v/>
      </c>
      <c r="L130" s="151" t="str">
        <f t="shared" si="61"/>
        <v/>
      </c>
      <c r="M130" s="151" t="str">
        <f t="shared" si="61"/>
        <v/>
      </c>
      <c r="N130" s="151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92"/>
      <c r="B131" s="101" t="s">
        <v>3</v>
      </c>
      <c r="C131" s="102" t="s">
        <v>38</v>
      </c>
      <c r="D131" s="421">
        <f>INDEX('Apoio - Notas Explicativas'!$Q:$Q,MATCH(C131,'Apoio - Notas Explicativas'!$C:$C,0))</f>
        <v>8.2000000000000007E-3</v>
      </c>
      <c r="E131" s="113">
        <f>IFERROR($D131*(E61+E66+E67),"")</f>
        <v>17.179451688680725</v>
      </c>
      <c r="F131" s="151" t="str">
        <f t="shared" ref="F131:H131" si="62">IFERROR($D131*(F61+F66+F67),"")</f>
        <v/>
      </c>
      <c r="G131" s="151" t="str">
        <f t="shared" si="62"/>
        <v/>
      </c>
      <c r="H131" s="151" t="str">
        <f t="shared" si="62"/>
        <v/>
      </c>
      <c r="I131" s="151" t="str">
        <f t="shared" ref="I131:N131" si="63">IFERROR($D131*(I61+I66+I67),"")</f>
        <v/>
      </c>
      <c r="J131" s="151" t="str">
        <f t="shared" si="63"/>
        <v/>
      </c>
      <c r="K131" s="151" t="str">
        <f t="shared" si="63"/>
        <v/>
      </c>
      <c r="L131" s="151" t="str">
        <f t="shared" si="63"/>
        <v/>
      </c>
      <c r="M131" s="151" t="str">
        <f t="shared" si="63"/>
        <v/>
      </c>
      <c r="N131" s="151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92"/>
      <c r="B132" s="101" t="s">
        <v>7</v>
      </c>
      <c r="C132" s="102" t="s">
        <v>240</v>
      </c>
      <c r="D132" s="421">
        <f>INDEX('Apoio - Notas Explicativas'!$Q:$Q,MATCH(C132,'Apoio - Notas Explicativas'!$C:$C,0))</f>
        <v>2.9999999999999997E-4</v>
      </c>
      <c r="E132" s="113">
        <f>IFERROR($D132*(E61+E66+E67),"")</f>
        <v>0.62851652519563617</v>
      </c>
      <c r="F132" s="151" t="str">
        <f t="shared" ref="F132:H132" si="64">IFERROR($D132*(F61+F66+F67),"")</f>
        <v/>
      </c>
      <c r="G132" s="151" t="str">
        <f t="shared" si="64"/>
        <v/>
      </c>
      <c r="H132" s="151" t="str">
        <f t="shared" si="64"/>
        <v/>
      </c>
      <c r="I132" s="151" t="str">
        <f t="shared" ref="I132:N132" si="65">IFERROR($D132*(I61+I66+I67),"")</f>
        <v/>
      </c>
      <c r="J132" s="151" t="str">
        <f t="shared" si="65"/>
        <v/>
      </c>
      <c r="K132" s="151" t="str">
        <f t="shared" si="65"/>
        <v/>
      </c>
      <c r="L132" s="151" t="str">
        <f t="shared" si="65"/>
        <v/>
      </c>
      <c r="M132" s="151" t="str">
        <f t="shared" si="65"/>
        <v/>
      </c>
      <c r="N132" s="151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92"/>
      <c r="B133" s="101" t="s">
        <v>6</v>
      </c>
      <c r="C133" s="102" t="s">
        <v>39</v>
      </c>
      <c r="D133" s="421">
        <f>INDEX('Apoio - Notas Explicativas'!$Q:$Q,MATCH(C133,'Apoio - Notas Explicativas'!$C:$C,0))</f>
        <v>6.9999999999999999E-4</v>
      </c>
      <c r="E133" s="113">
        <f>IFERROR((E$61+E67)*$D$133,"")</f>
        <v>1.3642590360610909</v>
      </c>
      <c r="F133" s="151" t="str">
        <f t="shared" ref="F133:H133" si="66">IFERROR((F$61+F67)*$D$133,"")</f>
        <v/>
      </c>
      <c r="G133" s="151" t="str">
        <f t="shared" si="66"/>
        <v/>
      </c>
      <c r="H133" s="151" t="str">
        <f t="shared" si="66"/>
        <v/>
      </c>
      <c r="I133" s="151" t="str">
        <f t="shared" ref="I133:N133" si="67">IFERROR((I$61+I67)*$D$133,"")</f>
        <v/>
      </c>
      <c r="J133" s="151" t="str">
        <f t="shared" si="67"/>
        <v/>
      </c>
      <c r="K133" s="151" t="str">
        <f t="shared" si="67"/>
        <v/>
      </c>
      <c r="L133" s="151" t="str">
        <f t="shared" si="67"/>
        <v/>
      </c>
      <c r="M133" s="151" t="str">
        <f t="shared" si="67"/>
        <v/>
      </c>
      <c r="N133" s="151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92"/>
      <c r="B134" s="101" t="s">
        <v>5</v>
      </c>
      <c r="C134" s="102" t="s">
        <v>95</v>
      </c>
      <c r="D134" s="421">
        <f>SUM(D128:D133)*SUM(D81:D82,D72:D77)</f>
        <v>1.4536000000000002E-2</v>
      </c>
      <c r="E134" s="113">
        <f>IF(E18="","",SUM(E128:E133)*SUM($D$72:$D$77,$D$81:$D$82))</f>
        <v>28.383234593011618</v>
      </c>
      <c r="F134" s="151" t="str">
        <f t="shared" ref="F134:H134" si="68">IF(F18="","",SUM(F128:F133)*SUM($D$72:$D$77,$D$81:$D$82))</f>
        <v/>
      </c>
      <c r="G134" s="151" t="str">
        <f t="shared" si="68"/>
        <v/>
      </c>
      <c r="H134" s="151" t="str">
        <f t="shared" si="68"/>
        <v/>
      </c>
      <c r="I134" s="151" t="str">
        <f t="shared" ref="I134:N134" si="69">IF(I18="","",SUM(I128:I133)*SUM($D$72:$D$77,$D$81:$D$82))</f>
        <v/>
      </c>
      <c r="J134" s="151" t="str">
        <f t="shared" si="69"/>
        <v/>
      </c>
      <c r="K134" s="151" t="str">
        <f t="shared" si="69"/>
        <v/>
      </c>
      <c r="L134" s="151" t="str">
        <f t="shared" si="69"/>
        <v/>
      </c>
      <c r="M134" s="151" t="str">
        <f t="shared" si="69"/>
        <v/>
      </c>
      <c r="N134" s="151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92"/>
      <c r="B135" s="101" t="s">
        <v>4</v>
      </c>
      <c r="C135" s="102" t="s">
        <v>92</v>
      </c>
      <c r="D135" s="422">
        <f>INDEX('Apoio - Notas Explicativas'!$Q:$Q,MATCH(C135,'Apoio - Notas Explicativas'!$C:$C,0))</f>
        <v>37.96</v>
      </c>
      <c r="E135" s="113">
        <f>IFERROR(((E112-SUM(E91,E96))/(30*12))*$D$135,"")</f>
        <v>2.0477311111111129</v>
      </c>
      <c r="F135" s="151" t="str">
        <f t="shared" ref="F135:H135" si="70">IFERROR(((F112-SUM(F91,F96))/(30*12))*$D$135,"")</f>
        <v/>
      </c>
      <c r="G135" s="151" t="str">
        <f t="shared" si="70"/>
        <v/>
      </c>
      <c r="H135" s="151" t="str">
        <f t="shared" si="70"/>
        <v/>
      </c>
      <c r="I135" s="151" t="str">
        <f t="shared" ref="I135:N135" si="71">IFERROR(((I112-SUM(I91,I96))/(30*12))*$D$135,"")</f>
        <v/>
      </c>
      <c r="J135" s="151" t="str">
        <f t="shared" si="71"/>
        <v/>
      </c>
      <c r="K135" s="151" t="str">
        <f t="shared" si="71"/>
        <v/>
      </c>
      <c r="L135" s="151" t="str">
        <f t="shared" si="71"/>
        <v/>
      </c>
      <c r="M135" s="151" t="str">
        <f t="shared" si="71"/>
        <v/>
      </c>
      <c r="N135" s="151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92"/>
      <c r="B136" s="101" t="s">
        <v>142</v>
      </c>
      <c r="C136" s="102" t="s">
        <v>40</v>
      </c>
      <c r="D136" s="422">
        <f>INDEX('Apoio - Notas Explicativas'!$Q:$Q,MATCH(C136,'Apoio - Notas Explicativas'!$C:$C,0))</f>
        <v>37.96</v>
      </c>
      <c r="E136" s="113">
        <f>IFERROR(((((E$123/12)*$D$136))/30),"")</f>
        <v>13.261373594938181</v>
      </c>
      <c r="F136" s="151" t="str">
        <f t="shared" ref="F136:N136" si="72">IFERROR(((((F$123/12)*$D$136))/30),"")</f>
        <v/>
      </c>
      <c r="G136" s="151" t="str">
        <f t="shared" si="72"/>
        <v/>
      </c>
      <c r="H136" s="151" t="str">
        <f t="shared" si="72"/>
        <v/>
      </c>
      <c r="I136" s="151" t="str">
        <f t="shared" si="72"/>
        <v/>
      </c>
      <c r="J136" s="151" t="str">
        <f t="shared" si="72"/>
        <v/>
      </c>
      <c r="K136" s="151" t="str">
        <f t="shared" si="72"/>
        <v/>
      </c>
      <c r="L136" s="151" t="str">
        <f t="shared" si="72"/>
        <v/>
      </c>
      <c r="M136" s="151" t="str">
        <f t="shared" si="72"/>
        <v/>
      </c>
      <c r="N136" s="151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90"/>
      <c r="B137" s="181"/>
      <c r="C137" s="182" t="s">
        <v>149</v>
      </c>
      <c r="D137" s="185"/>
      <c r="E137" s="186">
        <f>IF(SUM(E128:E136)=0,"",SUM(E128:E136))</f>
        <v>120.82069417137508</v>
      </c>
      <c r="F137" s="184" t="str">
        <f t="shared" ref="F137:H137" si="73">IF(SUM(F128:F136)=0,"",SUM(F128:F136))</f>
        <v/>
      </c>
      <c r="G137" s="186" t="str">
        <f t="shared" si="73"/>
        <v/>
      </c>
      <c r="H137" s="184" t="str">
        <f t="shared" si="73"/>
        <v/>
      </c>
      <c r="I137" s="184" t="str">
        <f t="shared" ref="I137:N137" si="74">IF(SUM(I128:I136)=0,"",SUM(I128:I136))</f>
        <v/>
      </c>
      <c r="J137" s="184" t="str">
        <f t="shared" si="74"/>
        <v/>
      </c>
      <c r="K137" s="184" t="str">
        <f t="shared" si="74"/>
        <v/>
      </c>
      <c r="L137" s="184" t="str">
        <f t="shared" si="74"/>
        <v/>
      </c>
      <c r="M137" s="184" t="str">
        <f t="shared" si="74"/>
        <v/>
      </c>
      <c r="N137" s="184" t="str">
        <f t="shared" si="74"/>
        <v/>
      </c>
      <c r="O137" s="307"/>
      <c r="P137" s="307"/>
      <c r="Q137" s="307"/>
      <c r="R137" s="307"/>
      <c r="S137" s="307"/>
      <c r="T137" s="307"/>
      <c r="U137" s="307"/>
      <c r="V137" s="307"/>
      <c r="W137" s="307"/>
      <c r="X137" s="307"/>
      <c r="Y137" s="307"/>
      <c r="Z137" s="307"/>
      <c r="AA137" s="307"/>
      <c r="AB137" s="307"/>
      <c r="AC137" s="307"/>
      <c r="AD137" s="307"/>
      <c r="AE137" s="307"/>
      <c r="AF137" s="307"/>
      <c r="AG137" s="307"/>
      <c r="AH137" s="307"/>
      <c r="AI137" s="307"/>
      <c r="AJ137" s="307"/>
      <c r="AK137" s="307"/>
      <c r="AL137" s="307"/>
      <c r="AM137" s="307"/>
      <c r="AN137" s="307"/>
      <c r="AO137" s="307"/>
      <c r="AP137" s="307"/>
      <c r="AQ137" s="307"/>
      <c r="AR137" s="307"/>
      <c r="AS137" s="307"/>
      <c r="AT137" s="307"/>
      <c r="AU137" s="307"/>
      <c r="AV137" s="307"/>
      <c r="AW137" s="307"/>
    </row>
    <row r="138" spans="1:49" customFormat="1"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</row>
    <row r="139" spans="1:49" s="6" customFormat="1">
      <c r="A139" s="89"/>
      <c r="B139" s="181"/>
      <c r="C139" s="182" t="s">
        <v>438</v>
      </c>
      <c r="D139" s="183"/>
      <c r="E139" s="186"/>
      <c r="F139" s="186"/>
      <c r="G139" s="186"/>
      <c r="H139" s="186"/>
      <c r="I139" s="186"/>
      <c r="J139" s="186"/>
      <c r="K139" s="186"/>
      <c r="L139" s="186"/>
      <c r="M139" s="186"/>
      <c r="N139" s="186"/>
      <c r="O139" s="309"/>
      <c r="P139" s="309"/>
      <c r="Q139" s="309"/>
      <c r="R139" s="309"/>
      <c r="S139" s="309"/>
      <c r="T139" s="309"/>
      <c r="U139" s="309"/>
      <c r="V139" s="309"/>
      <c r="W139" s="309"/>
      <c r="X139" s="309"/>
      <c r="Y139" s="309"/>
      <c r="Z139" s="309"/>
      <c r="AA139" s="309"/>
      <c r="AB139" s="309"/>
      <c r="AC139" s="309"/>
      <c r="AD139" s="309"/>
      <c r="AE139" s="309"/>
      <c r="AF139" s="309"/>
      <c r="AG139" s="309"/>
      <c r="AH139" s="309"/>
      <c r="AI139" s="309"/>
      <c r="AJ139" s="309"/>
      <c r="AK139" s="309"/>
      <c r="AL139" s="309"/>
      <c r="AM139" s="309"/>
      <c r="AN139" s="309"/>
      <c r="AO139" s="309"/>
      <c r="AP139" s="309"/>
      <c r="AQ139" s="309"/>
      <c r="AR139" s="309"/>
      <c r="AS139" s="309"/>
      <c r="AT139" s="309"/>
      <c r="AU139" s="309"/>
      <c r="AV139" s="309"/>
      <c r="AW139" s="309"/>
    </row>
    <row r="140" spans="1:49" s="13" customFormat="1">
      <c r="A140" s="93"/>
      <c r="B140" s="666" t="s">
        <v>2</v>
      </c>
      <c r="C140" s="149" t="s">
        <v>403</v>
      </c>
      <c r="D140" s="196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93"/>
      <c r="B141" s="667"/>
      <c r="C141" s="150" t="s">
        <v>366</v>
      </c>
      <c r="D141" s="189"/>
      <c r="E141" s="190" t="s">
        <v>596</v>
      </c>
      <c r="F141" s="190"/>
      <c r="G141" s="190"/>
      <c r="H141" s="190"/>
      <c r="I141" s="190"/>
      <c r="J141" s="190"/>
      <c r="K141" s="190"/>
      <c r="L141" s="190"/>
      <c r="M141" s="190"/>
      <c r="N141" s="190"/>
    </row>
    <row r="142" spans="1:49" s="24" customFormat="1">
      <c r="A142" s="93"/>
      <c r="B142" s="668"/>
      <c r="C142" s="231"/>
      <c r="D142" s="232" t="s">
        <v>43</v>
      </c>
      <c r="E142" s="115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115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
IF(I141="Não",0,
IF(I141="Indenização",(((SUM(I32,I42)/VLOOKUP(I$26,'Apoio - Regime de Trabalho'!$A:$I,8,FALSE))*1.5)*VLOOKUP(I$26,'Apoio - Regime de Trabalho'!$A:$I,7,FALSE)),"")))</f>
        <v/>
      </c>
      <c r="J142" s="115" t="str">
        <f>IF(J141="Rendição",(((SUM(J61,J$83,J$112,J148)/VLOOKUP(J$26,'Apoio - Regime de Trabalho'!$A:$I,8,FALSE)))*VLOOKUP(J$26,'Apoio - Regime de Trabalho'!$A:$I,7,FALSE)),
IF(J141="Não",0,
IF(J141="Indenização",(((SUM(J32,J42)/VLOOKUP(J$26,'Apoio - Regime de Trabalho'!$A:$I,8,FALSE))*1.5)*VLOOKUP(J$26,'Apoio - Regime de Trabalho'!$A:$I,7,FALSE)),"")))</f>
        <v/>
      </c>
      <c r="K142" s="115" t="str">
        <f>IF(K141="Rendição",(((SUM(K61,K$83,K$112,K148)/VLOOKUP(K$26,'Apoio - Regime de Trabalho'!$A:$I,8,FALSE)))*VLOOKUP(K$26,'Apoio - Regime de Trabalho'!$A:$I,7,FALSE)),
IF(K141="Não",0,
IF(K141="Indenização",(((SUM(K32,K42)/VLOOKUP(K$26,'Apoio - Regime de Trabalho'!$A:$I,8,FALSE))*1.5)*VLOOKUP(K$26,'Apoio - Regime de Trabalho'!$A:$I,7,FALSE)),"")))</f>
        <v/>
      </c>
      <c r="L142" s="115" t="str">
        <f>IF(L141="Rendição",(((SUM(L61,L$83,L$112,L148)/VLOOKUP(L$26,'Apoio - Regime de Trabalho'!$A:$I,8,FALSE)))*VLOOKUP(L$26,'Apoio - Regime de Trabalho'!$A:$I,7,FALSE)),
IF(L141="Não",0,
IF(L141="Indenização",(((SUM(L32,L42)/VLOOKUP(L$26,'Apoio - Regime de Trabalho'!$A:$I,8,FALSE))*1.5)*VLOOKUP(L$26,'Apoio - Regime de Trabalho'!$A:$I,7,FALSE)),"")))</f>
        <v/>
      </c>
      <c r="M142" s="115" t="str">
        <f>IF(M141="Rendição",(((SUM(M61,M$83,M$112,M148)/VLOOKUP(M$26,'Apoio - Regime de Trabalho'!$A:$I,8,FALSE)))*VLOOKUP(M$26,'Apoio - Regime de Trabalho'!$A:$I,7,FALSE)),
IF(M141="Não",0,
IF(M141="Indenização",(((SUM(M32,M42)/VLOOKUP(M$26,'Apoio - Regime de Trabalho'!$A:$I,8,FALSE))*1.5)*VLOOKUP(M$26,'Apoio - Regime de Trabalho'!$A:$I,7,FALSE)),"")))</f>
        <v/>
      </c>
      <c r="N142" s="115" t="str">
        <f>IF(N141="Rendição",(((SUM(N61,N$83,N$112,N148)/VLOOKUP(N$26,'Apoio - Regime de Trabalho'!$A:$I,8,FALSE)))*VLOOKUP(N$26,'Apoio - Regime de Trabalho'!$A:$I,7,FALSE)),
IF(N141="Não",0,
IF(N141="Indenização",(((SUM(N32,N42)/VLOOKUP(N$26,'Apoio - Regime de Trabalho'!$A:$I,8,FALSE))*1.5)*VLOOKUP(N$26,'Apoio - Regime de Trabalho'!$A:$I,7,FALSE)),"")))</f>
        <v/>
      </c>
    </row>
    <row r="143" spans="1:49" s="5" customFormat="1">
      <c r="A143" s="90"/>
      <c r="B143" s="181"/>
      <c r="C143" s="182" t="s">
        <v>150</v>
      </c>
      <c r="D143" s="185"/>
      <c r="E143" s="184">
        <f>E142</f>
        <v>0</v>
      </c>
      <c r="F143" s="184" t="str">
        <f t="shared" ref="F143:H143" si="75">F142</f>
        <v/>
      </c>
      <c r="G143" s="184" t="str">
        <f t="shared" si="75"/>
        <v/>
      </c>
      <c r="H143" s="184" t="str">
        <f t="shared" si="75"/>
        <v/>
      </c>
      <c r="I143" s="184" t="str">
        <f t="shared" ref="I143:N143" si="76">I142</f>
        <v/>
      </c>
      <c r="J143" s="184" t="str">
        <f t="shared" si="76"/>
        <v/>
      </c>
      <c r="K143" s="184" t="str">
        <f t="shared" si="76"/>
        <v/>
      </c>
      <c r="L143" s="184" t="str">
        <f t="shared" si="76"/>
        <v/>
      </c>
      <c r="M143" s="184" t="str">
        <f t="shared" si="76"/>
        <v/>
      </c>
      <c r="N143" s="184" t="str">
        <f t="shared" si="76"/>
        <v/>
      </c>
      <c r="O143" s="307"/>
      <c r="P143" s="307"/>
      <c r="Q143" s="307"/>
      <c r="R143" s="307"/>
      <c r="S143" s="307"/>
      <c r="T143" s="307"/>
      <c r="U143" s="307"/>
      <c r="V143" s="307"/>
      <c r="W143" s="307"/>
      <c r="X143" s="307"/>
      <c r="Y143" s="307"/>
      <c r="Z143" s="307"/>
      <c r="AA143" s="307"/>
      <c r="AB143" s="307"/>
      <c r="AC143" s="307"/>
      <c r="AD143" s="307"/>
      <c r="AE143" s="307"/>
      <c r="AF143" s="307"/>
      <c r="AG143" s="307"/>
      <c r="AH143" s="307"/>
      <c r="AI143" s="307"/>
      <c r="AJ143" s="307"/>
      <c r="AK143" s="307"/>
      <c r="AL143" s="307"/>
      <c r="AM143" s="307"/>
      <c r="AN143" s="307"/>
      <c r="AO143" s="307"/>
      <c r="AP143" s="307"/>
      <c r="AQ143" s="307"/>
      <c r="AR143" s="307"/>
      <c r="AS143" s="307"/>
      <c r="AT143" s="307"/>
      <c r="AU143" s="307"/>
      <c r="AV143" s="307"/>
      <c r="AW143" s="307"/>
    </row>
    <row r="144" spans="1:49" customFormat="1" ht="3.75" customHeight="1"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</row>
    <row r="145" spans="1:49" s="5" customFormat="1">
      <c r="A145" s="87"/>
      <c r="B145" s="169"/>
      <c r="C145" s="104" t="s">
        <v>151</v>
      </c>
      <c r="D145" s="165"/>
      <c r="E145" s="167">
        <f>IF(E143="",E137,SUM(E143,E137))</f>
        <v>120.82069417137508</v>
      </c>
      <c r="F145" s="167" t="str">
        <f t="shared" ref="F145:H145" si="77">IF(F143="",F137,SUM(F143,F137))</f>
        <v/>
      </c>
      <c r="G145" s="166" t="str">
        <f t="shared" si="77"/>
        <v/>
      </c>
      <c r="H145" s="463" t="str">
        <f t="shared" si="77"/>
        <v/>
      </c>
      <c r="I145" s="463" t="str">
        <f t="shared" ref="I145:N145" si="78">IF(I143="",I137,SUM(I143,I137))</f>
        <v/>
      </c>
      <c r="J145" s="463" t="str">
        <f t="shared" si="78"/>
        <v/>
      </c>
      <c r="K145" s="463" t="str">
        <f t="shared" si="78"/>
        <v/>
      </c>
      <c r="L145" s="463" t="str">
        <f t="shared" si="78"/>
        <v/>
      </c>
      <c r="M145" s="463" t="str">
        <f t="shared" si="78"/>
        <v/>
      </c>
      <c r="N145" s="463" t="str">
        <f t="shared" si="78"/>
        <v/>
      </c>
      <c r="O145" s="307"/>
      <c r="P145" s="307"/>
      <c r="Q145" s="307"/>
      <c r="R145" s="307"/>
      <c r="S145" s="307"/>
      <c r="T145" s="307"/>
      <c r="U145" s="307"/>
      <c r="V145" s="307"/>
      <c r="W145" s="307"/>
      <c r="X145" s="307"/>
      <c r="Y145" s="307"/>
      <c r="Z145" s="307"/>
      <c r="AA145" s="307"/>
      <c r="AB145" s="307"/>
      <c r="AC145" s="307"/>
      <c r="AD145" s="307"/>
      <c r="AE145" s="307"/>
      <c r="AF145" s="307"/>
      <c r="AG145" s="307"/>
      <c r="AH145" s="307"/>
      <c r="AI145" s="307"/>
      <c r="AJ145" s="307"/>
      <c r="AK145" s="307"/>
      <c r="AL145" s="307"/>
      <c r="AM145" s="307"/>
      <c r="AN145" s="307"/>
      <c r="AO145" s="307"/>
      <c r="AP145" s="307"/>
      <c r="AQ145" s="307"/>
      <c r="AR145" s="307"/>
      <c r="AS145" s="307"/>
      <c r="AT145" s="307"/>
      <c r="AU145" s="307"/>
      <c r="AV145" s="307"/>
      <c r="AW145" s="307"/>
    </row>
    <row r="146" spans="1:49" s="5" customFormat="1">
      <c r="B146" s="99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307"/>
      <c r="P146" s="307"/>
      <c r="Q146" s="307"/>
      <c r="R146" s="307"/>
      <c r="S146" s="307"/>
      <c r="T146" s="307"/>
      <c r="U146" s="307"/>
      <c r="V146" s="307"/>
      <c r="W146" s="307"/>
      <c r="X146" s="307"/>
      <c r="Y146" s="307"/>
      <c r="Z146" s="307"/>
      <c r="AA146" s="307"/>
      <c r="AB146" s="307"/>
      <c r="AC146" s="307"/>
      <c r="AD146" s="307"/>
      <c r="AE146" s="307"/>
      <c r="AF146" s="307"/>
      <c r="AG146" s="307"/>
      <c r="AH146" s="307"/>
      <c r="AI146" s="307"/>
      <c r="AJ146" s="307"/>
      <c r="AK146" s="307"/>
      <c r="AL146" s="307"/>
      <c r="AM146" s="307"/>
      <c r="AN146" s="307"/>
      <c r="AO146" s="307"/>
      <c r="AP146" s="307"/>
      <c r="AQ146" s="307"/>
      <c r="AR146" s="307"/>
      <c r="AS146" s="307"/>
      <c r="AT146" s="307"/>
      <c r="AU146" s="307"/>
      <c r="AV146" s="307"/>
      <c r="AW146" s="307"/>
    </row>
    <row r="147" spans="1:49" s="6" customFormat="1">
      <c r="A147" s="88"/>
      <c r="B147" s="103"/>
      <c r="C147" s="104" t="s">
        <v>418</v>
      </c>
      <c r="D147" s="105"/>
      <c r="E147" s="385"/>
      <c r="F147" s="385"/>
      <c r="G147" s="385"/>
      <c r="H147" s="385"/>
      <c r="I147" s="385"/>
      <c r="J147" s="385"/>
      <c r="K147" s="385"/>
      <c r="L147" s="385"/>
      <c r="M147" s="385"/>
      <c r="N147" s="385"/>
      <c r="O147" s="309"/>
      <c r="P147" s="309"/>
      <c r="Q147" s="309"/>
      <c r="R147" s="309"/>
      <c r="S147" s="309"/>
      <c r="T147" s="309"/>
      <c r="U147" s="309"/>
      <c r="V147" s="309"/>
      <c r="W147" s="309"/>
      <c r="X147" s="309"/>
      <c r="Y147" s="309"/>
      <c r="Z147" s="309"/>
      <c r="AA147" s="309"/>
      <c r="AB147" s="309"/>
      <c r="AC147" s="309"/>
      <c r="AD147" s="309"/>
      <c r="AE147" s="309"/>
      <c r="AF147" s="309"/>
      <c r="AG147" s="309"/>
      <c r="AH147" s="309"/>
      <c r="AI147" s="309"/>
      <c r="AJ147" s="309"/>
      <c r="AK147" s="309"/>
      <c r="AL147" s="309"/>
      <c r="AM147" s="309"/>
      <c r="AN147" s="309"/>
      <c r="AO147" s="309"/>
      <c r="AP147" s="309"/>
      <c r="AQ147" s="309"/>
      <c r="AR147" s="309"/>
      <c r="AS147" s="309"/>
      <c r="AT147" s="309"/>
      <c r="AU147" s="309"/>
      <c r="AV147" s="309"/>
      <c r="AW147" s="309"/>
    </row>
    <row r="148" spans="1:49" s="6" customFormat="1">
      <c r="A148" s="92"/>
      <c r="B148" s="101" t="s">
        <v>2</v>
      </c>
      <c r="C148" s="327" t="s">
        <v>276</v>
      </c>
      <c r="D148" s="421"/>
      <c r="E148" s="113">
        <f>IF(E18="","",ROUND(IF($D$148&lt;&gt;"",$D$148*E170,IFERROR('Mat Individual e Uniformes func'!H26/Proposta!$J$6,"")),2))</f>
        <v>0</v>
      </c>
      <c r="F148" s="113" t="str">
        <f>IF(F18="","",ROUND(IF($D$148&lt;&gt;"",$D$148*F170,IFERROR('Mat Individual e Uniformes func'!I26/Proposta!$J$6,"")),2))</f>
        <v/>
      </c>
      <c r="G148" s="113" t="str">
        <f>IF(G18="","",ROUND(IF($D$148&lt;&gt;"",$D$148*G170,IFERROR('Mat Individual e Uniformes func'!J26/Proposta!$J$6,"")),2))</f>
        <v/>
      </c>
      <c r="H148" s="113" t="str">
        <f>IF(H18="","",ROUND(IF($D$148&lt;&gt;"",$D$148*H170,IFERROR('Mat Individual e Uniformes func'!K26/Proposta!$J$6,"")),2))</f>
        <v/>
      </c>
      <c r="I148" s="113" t="str">
        <f>IF(I18="","",ROUND(IF($D$148&lt;&gt;"",$D$148*I170,IFERROR('Mat Individual e Uniformes func'!L26/Proposta!$J$6,"")),2))</f>
        <v/>
      </c>
      <c r="J148" s="113" t="str">
        <f>IF(J18="","",ROUND(IF($D$148&lt;&gt;"",$D$148*J170,IFERROR('Mat Individual e Uniformes func'!M26/Proposta!$J$6,"")),2))</f>
        <v/>
      </c>
      <c r="K148" s="113" t="str">
        <f>IF(K18="","",ROUND(IF($D$148&lt;&gt;"",$D$148*K170,IFERROR('Mat Individual e Uniformes func'!N26/Proposta!$J$6,"")),2))</f>
        <v/>
      </c>
      <c r="L148" s="113" t="str">
        <f>IF(L18="","",ROUND(IF($D$148&lt;&gt;"",$D$148*L170,IFERROR('Mat Individual e Uniformes func'!O26/Proposta!$J$6,"")),2))</f>
        <v/>
      </c>
      <c r="M148" s="113" t="str">
        <f>IF(M18="","",ROUND(IF($D$148&lt;&gt;"",$D$148*M170,IFERROR('Mat Individual e Uniformes func'!P26/Proposta!$J$6,"")),2))</f>
        <v/>
      </c>
      <c r="N148" s="113" t="str">
        <f>IF(N18="","",ROUND(IF($D$148&lt;&gt;"",$D$148*N170,IFERROR('Mat Individual e Uniformes func'!Q26/Proposta!$J$6,"")),2))</f>
        <v/>
      </c>
      <c r="O148" s="309"/>
      <c r="P148" s="309"/>
      <c r="Q148" s="309"/>
      <c r="R148" s="309"/>
      <c r="S148" s="309"/>
      <c r="T148" s="309"/>
      <c r="U148" s="309"/>
      <c r="V148" s="309"/>
      <c r="W148" s="309"/>
      <c r="X148" s="309"/>
      <c r="Y148" s="309"/>
      <c r="Z148" s="309"/>
      <c r="AA148" s="309"/>
      <c r="AB148" s="309"/>
      <c r="AC148" s="309"/>
      <c r="AD148" s="309"/>
      <c r="AE148" s="309"/>
      <c r="AF148" s="309"/>
      <c r="AG148" s="309"/>
      <c r="AH148" s="309"/>
      <c r="AI148" s="309"/>
      <c r="AJ148" s="309"/>
      <c r="AK148" s="309"/>
      <c r="AL148" s="309"/>
      <c r="AM148" s="309"/>
      <c r="AN148" s="309"/>
      <c r="AO148" s="309"/>
      <c r="AP148" s="309"/>
      <c r="AQ148" s="309"/>
      <c r="AR148" s="309"/>
      <c r="AS148" s="309"/>
      <c r="AT148" s="309"/>
      <c r="AU148" s="309"/>
      <c r="AV148" s="309"/>
      <c r="AW148" s="309"/>
    </row>
    <row r="149" spans="1:49" s="6" customFormat="1">
      <c r="A149" s="92"/>
      <c r="B149" s="101" t="s">
        <v>1</v>
      </c>
      <c r="C149" s="327" t="s">
        <v>277</v>
      </c>
      <c r="D149" s="421"/>
      <c r="E149" s="113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>139.44</v>
      </c>
      <c r="F149" s="113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113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113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113" t="str">
        <f>IFERROR(
IF(I18="","",ROUND(
IF($D$149&lt;&gt;"",$D$149*SUM(I148,I179),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49" s="113" t="str">
        <f>IFERROR(
IF(J18="","",ROUND(
IF($D$149&lt;&gt;"",$D$149*SUM(J148,J179),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49" s="113" t="str">
        <f>IFERROR(
IF(K18="","",ROUND(
IF($D$149&lt;&gt;"",$D$149*SUM(K148,K179),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49" s="113" t="str">
        <f>IFERROR(
IF(L18="","",ROUND(
IF($D$149&lt;&gt;"",$D$149*SUM(L148,L179),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49" s="113" t="str">
        <f>IFERROR(
IF(M18="","",ROUND(
IF($D$149&lt;&gt;"",$D$149*SUM(M148,M179),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49" s="113" t="str">
        <f>IFERROR(
IF(N18="","",ROUND(
IF($D$149&lt;&gt;"",$D$149*SUM(N148,N179),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49" s="309"/>
      <c r="P149" s="309"/>
      <c r="Q149" s="309"/>
      <c r="R149" s="309"/>
      <c r="S149" s="309"/>
      <c r="T149" s="309"/>
      <c r="U149" s="309"/>
      <c r="V149" s="309"/>
      <c r="W149" s="309"/>
      <c r="X149" s="309"/>
      <c r="Y149" s="309"/>
      <c r="Z149" s="309"/>
      <c r="AA149" s="309"/>
      <c r="AB149" s="309"/>
      <c r="AC149" s="309"/>
      <c r="AD149" s="309"/>
      <c r="AE149" s="309"/>
      <c r="AF149" s="309"/>
      <c r="AG149" s="309"/>
      <c r="AH149" s="309"/>
      <c r="AI149" s="309"/>
      <c r="AJ149" s="309"/>
      <c r="AK149" s="309"/>
      <c r="AL149" s="309"/>
      <c r="AM149" s="309"/>
      <c r="AN149" s="309"/>
      <c r="AO149" s="309"/>
      <c r="AP149" s="309"/>
      <c r="AQ149" s="309"/>
      <c r="AR149" s="309"/>
      <c r="AS149" s="309"/>
      <c r="AT149" s="309"/>
      <c r="AU149" s="309"/>
      <c r="AV149" s="309"/>
      <c r="AW149" s="309"/>
    </row>
    <row r="150" spans="1:49" s="5" customFormat="1">
      <c r="A150" s="87"/>
      <c r="B150" s="169"/>
      <c r="C150" s="104" t="s">
        <v>271</v>
      </c>
      <c r="D150" s="165"/>
      <c r="E150" s="167">
        <f>IF(E18="","",SUM(E148:E149))</f>
        <v>139.44</v>
      </c>
      <c r="F150" s="167" t="str">
        <f t="shared" ref="F150:H150" si="79">IF(F18="","",SUM(F148:F149))</f>
        <v/>
      </c>
      <c r="G150" s="167" t="str">
        <f t="shared" si="79"/>
        <v/>
      </c>
      <c r="H150" s="167" t="str">
        <f t="shared" si="79"/>
        <v/>
      </c>
      <c r="I150" s="167" t="str">
        <f t="shared" ref="I150:N150" si="80">IF(I18="","",SUM(I148:I149))</f>
        <v/>
      </c>
      <c r="J150" s="167" t="str">
        <f t="shared" si="80"/>
        <v/>
      </c>
      <c r="K150" s="167" t="str">
        <f t="shared" si="80"/>
        <v/>
      </c>
      <c r="L150" s="167" t="str">
        <f t="shared" si="80"/>
        <v/>
      </c>
      <c r="M150" s="167" t="str">
        <f t="shared" si="80"/>
        <v/>
      </c>
      <c r="N150" s="167" t="str">
        <f t="shared" si="80"/>
        <v/>
      </c>
      <c r="O150" s="307"/>
      <c r="P150" s="307"/>
      <c r="Q150" s="307"/>
      <c r="R150" s="307"/>
      <c r="S150" s="307"/>
      <c r="T150" s="307"/>
      <c r="U150" s="307"/>
      <c r="V150" s="307"/>
      <c r="W150" s="307"/>
      <c r="X150" s="307"/>
      <c r="Y150" s="307"/>
      <c r="Z150" s="307"/>
      <c r="AA150" s="307"/>
      <c r="AB150" s="307"/>
      <c r="AC150" s="307"/>
      <c r="AD150" s="307"/>
      <c r="AE150" s="307"/>
      <c r="AF150" s="307"/>
      <c r="AG150" s="307"/>
      <c r="AH150" s="307"/>
      <c r="AI150" s="307"/>
      <c r="AJ150" s="307"/>
      <c r="AK150" s="307"/>
      <c r="AL150" s="307"/>
      <c r="AM150" s="307"/>
      <c r="AN150" s="307"/>
      <c r="AO150" s="307"/>
      <c r="AP150" s="307"/>
      <c r="AQ150" s="307"/>
      <c r="AR150" s="307"/>
      <c r="AS150" s="307"/>
      <c r="AT150" s="307"/>
      <c r="AU150" s="307"/>
      <c r="AV150" s="307"/>
      <c r="AW150" s="307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88"/>
      <c r="B152" s="103"/>
      <c r="C152" s="104" t="s">
        <v>278</v>
      </c>
      <c r="D152" s="105"/>
      <c r="E152" s="385"/>
      <c r="F152" s="385"/>
      <c r="G152" s="385"/>
      <c r="H152" s="385"/>
      <c r="I152" s="385"/>
      <c r="J152" s="385"/>
      <c r="K152" s="385"/>
      <c r="L152" s="385"/>
      <c r="M152" s="385"/>
      <c r="N152" s="385"/>
      <c r="O152" s="309"/>
      <c r="P152" s="309"/>
      <c r="Q152" s="309"/>
      <c r="R152" s="309"/>
      <c r="S152" s="309"/>
      <c r="T152" s="309"/>
      <c r="U152" s="309"/>
      <c r="V152" s="309"/>
      <c r="W152" s="309"/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9"/>
      <c r="AI152" s="309"/>
      <c r="AJ152" s="309"/>
      <c r="AK152" s="309"/>
      <c r="AL152" s="309"/>
      <c r="AM152" s="309"/>
      <c r="AN152" s="309"/>
      <c r="AO152" s="309"/>
      <c r="AP152" s="309"/>
      <c r="AQ152" s="309"/>
      <c r="AR152" s="309"/>
      <c r="AS152" s="309"/>
      <c r="AT152" s="309"/>
      <c r="AU152" s="309"/>
      <c r="AV152" s="309"/>
      <c r="AW152" s="309"/>
    </row>
    <row r="153" spans="1:49" customFormat="1" ht="3.75" customHeight="1"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</row>
    <row r="154" spans="1:49" s="6" customFormat="1">
      <c r="A154" s="89"/>
      <c r="B154" s="181"/>
      <c r="C154" s="182" t="s">
        <v>282</v>
      </c>
      <c r="D154" s="183"/>
      <c r="E154" s="186"/>
      <c r="F154" s="186"/>
      <c r="G154" s="186"/>
      <c r="H154" s="186"/>
      <c r="I154" s="186"/>
      <c r="J154" s="186"/>
      <c r="K154" s="186"/>
      <c r="L154" s="186"/>
      <c r="M154" s="186"/>
      <c r="N154" s="186"/>
      <c r="O154" s="309"/>
      <c r="P154" s="309"/>
      <c r="Q154" s="309"/>
      <c r="R154" s="309"/>
      <c r="S154" s="309"/>
      <c r="T154" s="309"/>
      <c r="U154" s="309"/>
      <c r="V154" s="309"/>
      <c r="W154" s="309"/>
      <c r="X154" s="309"/>
      <c r="Y154" s="309"/>
      <c r="Z154" s="309"/>
      <c r="AA154" s="309"/>
      <c r="AB154" s="309"/>
      <c r="AC154" s="309"/>
      <c r="AD154" s="309"/>
      <c r="AE154" s="309"/>
      <c r="AF154" s="309"/>
      <c r="AG154" s="309"/>
      <c r="AH154" s="309"/>
      <c r="AI154" s="309"/>
      <c r="AJ154" s="309"/>
      <c r="AK154" s="309"/>
      <c r="AL154" s="309"/>
      <c r="AM154" s="309"/>
      <c r="AN154" s="309"/>
      <c r="AO154" s="309"/>
      <c r="AP154" s="309"/>
      <c r="AQ154" s="309"/>
      <c r="AR154" s="309"/>
      <c r="AS154" s="309"/>
      <c r="AT154" s="309"/>
      <c r="AU154" s="309"/>
      <c r="AV154" s="309"/>
      <c r="AW154" s="309"/>
    </row>
    <row r="155" spans="1:49">
      <c r="A155" s="93"/>
      <c r="B155" s="101" t="s">
        <v>2</v>
      </c>
      <c r="C155" s="102" t="s">
        <v>279</v>
      </c>
      <c r="D155" s="421">
        <f>IFERROR(INDEX('Apoio - Notas Explicativas'!Q:Q,MATCH(C155,'Apoio - Notas Explicativas'!C:C,0)),"")</f>
        <v>0.05</v>
      </c>
      <c r="E155" s="113">
        <f>IF(E18="","",IFERROR(ROUND($D$155*SUM(E61,E114,E123,E145,E150),2),""))</f>
        <v>188.91</v>
      </c>
      <c r="F155" s="113" t="str">
        <f t="shared" ref="F155:H155" si="81">IF(F18="","",IFERROR(ROUND($D$155*SUM(F61,F114,F123,F145,F150),2),""))</f>
        <v/>
      </c>
      <c r="G155" s="113" t="str">
        <f t="shared" si="81"/>
        <v/>
      </c>
      <c r="H155" s="113" t="str">
        <f t="shared" si="81"/>
        <v/>
      </c>
      <c r="I155" s="113" t="str">
        <f t="shared" ref="I155:N155" si="82">IF(I18="","",IFERROR(ROUND($D$155*SUM(I61,I114,I123,I145,I150),2),""))</f>
        <v/>
      </c>
      <c r="J155" s="113" t="str">
        <f t="shared" si="82"/>
        <v/>
      </c>
      <c r="K155" s="113" t="str">
        <f t="shared" si="82"/>
        <v/>
      </c>
      <c r="L155" s="113" t="str">
        <f t="shared" si="82"/>
        <v/>
      </c>
      <c r="M155" s="113" t="str">
        <f t="shared" si="82"/>
        <v/>
      </c>
      <c r="N155" s="113" t="str">
        <f t="shared" si="82"/>
        <v/>
      </c>
    </row>
    <row r="156" spans="1:49">
      <c r="A156" s="92"/>
      <c r="B156" s="101" t="s">
        <v>1</v>
      </c>
      <c r="C156" s="102" t="s">
        <v>280</v>
      </c>
      <c r="D156" s="421">
        <f>IFERROR(INDEX('Apoio - Notas Explicativas'!Q:Q,MATCH(C156,'Apoio - Notas Explicativas'!C:C,0)),"")</f>
        <v>0.1</v>
      </c>
      <c r="E156" s="113">
        <f>IF(E18="","",IFERROR(ROUND($D$156*SUM(E155,E61,E114,E123,E145,E150),2),""))</f>
        <v>396.72</v>
      </c>
      <c r="F156" s="113" t="str">
        <f t="shared" ref="F156:H156" si="83">IF(F18="","",IFERROR(ROUND($D$156*SUM(F155,F61,F114,F123,F145,F150),2),""))</f>
        <v/>
      </c>
      <c r="G156" s="113" t="str">
        <f t="shared" si="83"/>
        <v/>
      </c>
      <c r="H156" s="113" t="str">
        <f t="shared" si="83"/>
        <v/>
      </c>
      <c r="I156" s="113" t="str">
        <f t="shared" ref="I156:N156" si="84">IF(I18="","",IFERROR(ROUND($D$156*SUM(I155,I61,I114,I123,I145,I150),2),""))</f>
        <v/>
      </c>
      <c r="J156" s="113" t="str">
        <f t="shared" si="84"/>
        <v/>
      </c>
      <c r="K156" s="113" t="str">
        <f t="shared" si="84"/>
        <v/>
      </c>
      <c r="L156" s="113" t="str">
        <f t="shared" si="84"/>
        <v/>
      </c>
      <c r="M156" s="113" t="str">
        <f t="shared" si="84"/>
        <v/>
      </c>
      <c r="N156" s="113" t="str">
        <f t="shared" si="84"/>
        <v/>
      </c>
    </row>
    <row r="157" spans="1:49" s="5" customFormat="1">
      <c r="A157" s="90"/>
      <c r="B157" s="181"/>
      <c r="C157" s="182" t="s">
        <v>283</v>
      </c>
      <c r="D157" s="185"/>
      <c r="E157" s="186">
        <f>IF(E18="","",SUM(E155:E156))</f>
        <v>585.63</v>
      </c>
      <c r="F157" s="186" t="str">
        <f t="shared" ref="F157:H157" si="85">IF(F18="","",SUM(F155:F156))</f>
        <v/>
      </c>
      <c r="G157" s="186" t="str">
        <f t="shared" si="85"/>
        <v/>
      </c>
      <c r="H157" s="186" t="str">
        <f t="shared" si="85"/>
        <v/>
      </c>
      <c r="I157" s="186" t="str">
        <f t="shared" ref="I157:N157" si="86">IF(I18="","",SUM(I155:I156))</f>
        <v/>
      </c>
      <c r="J157" s="186" t="str">
        <f t="shared" si="86"/>
        <v/>
      </c>
      <c r="K157" s="186" t="str">
        <f t="shared" si="86"/>
        <v/>
      </c>
      <c r="L157" s="186" t="str">
        <f t="shared" si="86"/>
        <v/>
      </c>
      <c r="M157" s="186" t="str">
        <f t="shared" si="86"/>
        <v/>
      </c>
      <c r="N157" s="186" t="str">
        <f t="shared" si="86"/>
        <v/>
      </c>
      <c r="O157" s="307"/>
      <c r="P157" s="307"/>
      <c r="Q157" s="307"/>
      <c r="R157" s="307"/>
      <c r="S157" s="307"/>
      <c r="T157" s="307"/>
      <c r="U157" s="307"/>
      <c r="V157" s="307"/>
      <c r="W157" s="307"/>
      <c r="X157" s="307"/>
      <c r="Y157" s="307"/>
      <c r="Z157" s="307"/>
      <c r="AA157" s="307"/>
      <c r="AB157" s="307"/>
      <c r="AC157" s="307"/>
      <c r="AD157" s="307"/>
      <c r="AE157" s="307"/>
      <c r="AF157" s="307"/>
      <c r="AG157" s="307"/>
      <c r="AH157" s="307"/>
      <c r="AI157" s="307"/>
      <c r="AJ157" s="307"/>
      <c r="AK157" s="307"/>
      <c r="AL157" s="307"/>
      <c r="AM157" s="307"/>
      <c r="AN157" s="307"/>
      <c r="AO157" s="307"/>
      <c r="AP157" s="307"/>
      <c r="AQ157" s="307"/>
      <c r="AR157" s="307"/>
      <c r="AS157" s="307"/>
      <c r="AT157" s="307"/>
      <c r="AU157" s="307"/>
      <c r="AV157" s="307"/>
      <c r="AW157" s="307"/>
    </row>
    <row r="158" spans="1:49" customFormat="1" ht="3.75" customHeight="1"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</row>
    <row r="159" spans="1:49" s="6" customFormat="1">
      <c r="A159" s="89"/>
      <c r="B159" s="181"/>
      <c r="C159" s="182" t="s">
        <v>400</v>
      </c>
      <c r="D159" s="183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309"/>
      <c r="P159" s="309"/>
      <c r="Q159" s="309"/>
      <c r="R159" s="309"/>
      <c r="S159" s="309"/>
      <c r="T159" s="309"/>
      <c r="U159" s="309"/>
      <c r="V159" s="309"/>
      <c r="W159" s="309"/>
      <c r="X159" s="309"/>
      <c r="Y159" s="309"/>
      <c r="Z159" s="309"/>
      <c r="AA159" s="309"/>
      <c r="AB159" s="309"/>
      <c r="AC159" s="309"/>
      <c r="AD159" s="309"/>
      <c r="AE159" s="309"/>
      <c r="AF159" s="309"/>
      <c r="AG159" s="309"/>
      <c r="AH159" s="309"/>
      <c r="AI159" s="309"/>
      <c r="AJ159" s="309"/>
      <c r="AK159" s="309"/>
      <c r="AL159" s="309"/>
      <c r="AM159" s="309"/>
      <c r="AN159" s="309"/>
      <c r="AO159" s="309"/>
      <c r="AP159" s="309"/>
      <c r="AQ159" s="309"/>
      <c r="AR159" s="309"/>
      <c r="AS159" s="309"/>
      <c r="AT159" s="309"/>
      <c r="AU159" s="309"/>
      <c r="AV159" s="309"/>
      <c r="AW159" s="309"/>
    </row>
    <row r="160" spans="1:49">
      <c r="A160" s="92"/>
      <c r="B160" s="101" t="s">
        <v>2</v>
      </c>
      <c r="C160" s="102" t="s">
        <v>45</v>
      </c>
      <c r="D160" s="415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139.5</v>
      </c>
      <c r="F160" s="113" t="str">
        <f t="shared" ref="F160:H161" si="87">IF(F18="","",IFERROR(ROUND(SUM(F$157,F$61,F$114,F$123,F$145,F$150)*$D160/(1-SUM($D$160:$D$165,F$163)),2),""))</f>
        <v/>
      </c>
      <c r="G160" s="113" t="str">
        <f t="shared" si="87"/>
        <v/>
      </c>
      <c r="H160" s="113" t="str">
        <f t="shared" si="87"/>
        <v/>
      </c>
      <c r="I160" s="113" t="str">
        <f t="shared" ref="I160:N160" si="88">IF(I18="","",IFERROR(ROUND(SUM(I$157,I$61,I$114,I$123,I$145,I$150)*$D160/(1-SUM($D$160:$D$165,I$163)),2),""))</f>
        <v/>
      </c>
      <c r="J160" s="113" t="str">
        <f t="shared" si="88"/>
        <v/>
      </c>
      <c r="K160" s="113" t="str">
        <f t="shared" si="88"/>
        <v/>
      </c>
      <c r="L160" s="113" t="str">
        <f t="shared" si="88"/>
        <v/>
      </c>
      <c r="M160" s="113" t="str">
        <f t="shared" si="88"/>
        <v/>
      </c>
      <c r="N160" s="113" t="str">
        <f t="shared" si="88"/>
        <v/>
      </c>
    </row>
    <row r="161" spans="1:49">
      <c r="A161" s="93"/>
      <c r="B161" s="101" t="s">
        <v>1</v>
      </c>
      <c r="C161" s="102" t="s">
        <v>135</v>
      </c>
      <c r="D161" s="415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30.22</v>
      </c>
      <c r="F161" s="113" t="str">
        <f t="shared" si="87"/>
        <v/>
      </c>
      <c r="G161" s="113" t="str">
        <f t="shared" si="87"/>
        <v/>
      </c>
      <c r="H161" s="113" t="str">
        <f t="shared" si="87"/>
        <v/>
      </c>
      <c r="I161" s="113" t="str">
        <f t="shared" ref="I161:N161" si="89">IF(I19="","",IFERROR(ROUND(SUM(I$157,I$61,I$114,I$123,I$145,I$150)*$D161/(1-SUM($D$160:$D$165,I$163)),2),""))</f>
        <v/>
      </c>
      <c r="J161" s="113" t="str">
        <f t="shared" si="89"/>
        <v/>
      </c>
      <c r="K161" s="113" t="str">
        <f t="shared" si="89"/>
        <v/>
      </c>
      <c r="L161" s="113" t="str">
        <f t="shared" si="89"/>
        <v/>
      </c>
      <c r="M161" s="113" t="str">
        <f t="shared" si="89"/>
        <v/>
      </c>
      <c r="N161" s="113" t="str">
        <f t="shared" si="89"/>
        <v/>
      </c>
    </row>
    <row r="162" spans="1:49">
      <c r="A162" s="93"/>
      <c r="B162" s="669" t="s">
        <v>0</v>
      </c>
      <c r="C162" s="172" t="s">
        <v>46</v>
      </c>
      <c r="D162" s="423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</row>
    <row r="163" spans="1:49">
      <c r="A163" s="93"/>
      <c r="B163" s="670"/>
      <c r="C163" s="150" t="s">
        <v>449</v>
      </c>
      <c r="D163" s="191"/>
      <c r="E163" s="411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411" t="str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/>
      </c>
      <c r="G163" s="411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411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11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411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411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411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411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411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92"/>
      <c r="B164" s="671"/>
      <c r="C164" s="102"/>
      <c r="D164" s="424" t="s">
        <v>43</v>
      </c>
      <c r="E164" s="160">
        <f>IF(E20="","",IFERROR(ROUND(SUM(E$157,E$61,E$114,E$123,E$145,E$150)*E163/(1-SUM($D$160:$D$165,E163)),2),""))</f>
        <v>116.25</v>
      </c>
      <c r="F164" s="160" t="str">
        <f t="shared" ref="F164:H164" si="90">IF(F20="","",IFERROR(ROUND(SUM(F$157,F$61,F$114,F$123,F$145,F$150)*F163/(1-SUM($D$160:$D$165,F163)),2),""))</f>
        <v/>
      </c>
      <c r="G164" s="160" t="str">
        <f t="shared" si="90"/>
        <v/>
      </c>
      <c r="H164" s="160" t="str">
        <f t="shared" si="90"/>
        <v/>
      </c>
      <c r="I164" s="160" t="str">
        <f t="shared" ref="I164:N164" si="91">IF(I20="","",IFERROR(ROUND(SUM(I$157,I$61,I$114,I$123,I$145,I$150)*I163/(1-SUM($D$160:$D$165,I163)),2),""))</f>
        <v/>
      </c>
      <c r="J164" s="160" t="str">
        <f t="shared" si="91"/>
        <v/>
      </c>
      <c r="K164" s="160" t="str">
        <f t="shared" si="91"/>
        <v/>
      </c>
      <c r="L164" s="160" t="str">
        <f t="shared" si="91"/>
        <v/>
      </c>
      <c r="M164" s="160" t="str">
        <f t="shared" si="91"/>
        <v/>
      </c>
      <c r="N164" s="160" t="str">
        <f t="shared" si="91"/>
        <v/>
      </c>
    </row>
    <row r="165" spans="1:49">
      <c r="A165" s="92"/>
      <c r="B165" s="413" t="s">
        <v>3</v>
      </c>
      <c r="C165" s="414" t="s">
        <v>394</v>
      </c>
      <c r="D165" s="415">
        <v>0</v>
      </c>
      <c r="E165" s="113">
        <f>IF(E21="","",IFERROR(ROUND(SUM(E$157,E$61,E$114,E$123,E$145,E$150)*$D165/(1-SUM($D$160:$D$165,E$163)),2),""))</f>
        <v>0</v>
      </c>
      <c r="F165" s="113" t="str">
        <f t="shared" ref="F165:H165" si="92">IF(F21="","",IFERROR(ROUND(SUM(F$157,F$61,F$114,F$123,F$145,F$150)*$D165/(1-SUM($D$160:$D$165,F$163)),2),""))</f>
        <v/>
      </c>
      <c r="G165" s="113" t="str">
        <f t="shared" si="92"/>
        <v/>
      </c>
      <c r="H165" s="113" t="str">
        <f t="shared" si="92"/>
        <v/>
      </c>
      <c r="I165" s="113" t="str">
        <f t="shared" ref="I165:N165" si="93">IF(I21="","",IFERROR(ROUND(SUM(I$157,I$61,I$114,I$123,I$145,I$150)*$D165/(1-SUM($D$160:$D$165,I$163)),2),""))</f>
        <v/>
      </c>
      <c r="J165" s="113" t="str">
        <f t="shared" si="93"/>
        <v/>
      </c>
      <c r="K165" s="113" t="str">
        <f t="shared" si="93"/>
        <v/>
      </c>
      <c r="L165" s="113" t="str">
        <f t="shared" si="93"/>
        <v/>
      </c>
      <c r="M165" s="113" t="str">
        <f t="shared" si="93"/>
        <v/>
      </c>
      <c r="N165" s="113" t="str">
        <f t="shared" si="93"/>
        <v/>
      </c>
    </row>
    <row r="166" spans="1:49" s="5" customFormat="1">
      <c r="A166" s="90"/>
      <c r="B166" s="181"/>
      <c r="C166" s="182" t="s">
        <v>284</v>
      </c>
      <c r="D166" s="185"/>
      <c r="E166" s="202">
        <f>IF(E18="","",SUM(E160:E161,E164:E165))</f>
        <v>285.97000000000003</v>
      </c>
      <c r="F166" s="202" t="str">
        <f t="shared" ref="F166:H166" si="94">IF(F18="","",SUM(F160:F161,F164:F165))</f>
        <v/>
      </c>
      <c r="G166" s="202" t="str">
        <f t="shared" si="94"/>
        <v/>
      </c>
      <c r="H166" s="202" t="str">
        <f t="shared" si="94"/>
        <v/>
      </c>
      <c r="I166" s="202" t="str">
        <f t="shared" ref="I166:N166" si="95">IF(I18="","",SUM(I160:I161,I164:I165))</f>
        <v/>
      </c>
      <c r="J166" s="202" t="str">
        <f t="shared" si="95"/>
        <v/>
      </c>
      <c r="K166" s="202" t="str">
        <f t="shared" si="95"/>
        <v/>
      </c>
      <c r="L166" s="202" t="str">
        <f t="shared" si="95"/>
        <v/>
      </c>
      <c r="M166" s="202" t="str">
        <f t="shared" si="95"/>
        <v/>
      </c>
      <c r="N166" s="202" t="str">
        <f t="shared" si="95"/>
        <v/>
      </c>
      <c r="O166" s="307"/>
      <c r="P166" s="307"/>
      <c r="Q166" s="307"/>
      <c r="R166" s="307"/>
      <c r="S166" s="307"/>
      <c r="T166" s="307"/>
      <c r="U166" s="307"/>
      <c r="V166" s="307"/>
      <c r="W166" s="307"/>
      <c r="X166" s="307"/>
      <c r="Y166" s="307"/>
      <c r="Z166" s="307"/>
      <c r="AA166" s="307"/>
      <c r="AB166" s="307"/>
      <c r="AC166" s="307"/>
      <c r="AD166" s="307"/>
      <c r="AE166" s="307"/>
      <c r="AF166" s="307"/>
      <c r="AG166" s="307"/>
      <c r="AH166" s="307"/>
      <c r="AI166" s="307"/>
      <c r="AJ166" s="307"/>
      <c r="AK166" s="307"/>
      <c r="AL166" s="307"/>
      <c r="AM166" s="307"/>
      <c r="AN166" s="307"/>
      <c r="AO166" s="307"/>
      <c r="AP166" s="307"/>
      <c r="AQ166" s="307"/>
      <c r="AR166" s="307"/>
      <c r="AS166" s="307"/>
      <c r="AT166" s="307"/>
      <c r="AU166" s="307"/>
      <c r="AV166" s="307"/>
      <c r="AW166" s="307"/>
    </row>
    <row r="167" spans="1:49" customFormat="1" ht="3.75" customHeight="1"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</row>
    <row r="168" spans="1:49" s="5" customFormat="1">
      <c r="A168" s="87"/>
      <c r="B168" s="169"/>
      <c r="C168" s="104" t="s">
        <v>272</v>
      </c>
      <c r="D168" s="165"/>
      <c r="E168" s="167">
        <f>IF(E18="","",SUM(E166,E157))</f>
        <v>871.6</v>
      </c>
      <c r="F168" s="167" t="str">
        <f t="shared" ref="F168:H168" si="96">IF(F18="","",SUM(F166,F157))</f>
        <v/>
      </c>
      <c r="G168" s="167" t="str">
        <f t="shared" si="96"/>
        <v/>
      </c>
      <c r="H168" s="167" t="str">
        <f t="shared" si="96"/>
        <v/>
      </c>
      <c r="I168" s="167" t="str">
        <f t="shared" ref="I168:N168" si="97">IF(I18="","",SUM(I166,I157))</f>
        <v/>
      </c>
      <c r="J168" s="167" t="str">
        <f t="shared" si="97"/>
        <v/>
      </c>
      <c r="K168" s="167" t="str">
        <f t="shared" si="97"/>
        <v/>
      </c>
      <c r="L168" s="167" t="str">
        <f t="shared" si="97"/>
        <v/>
      </c>
      <c r="M168" s="167" t="str">
        <f t="shared" si="97"/>
        <v/>
      </c>
      <c r="N168" s="167" t="str">
        <f t="shared" si="97"/>
        <v/>
      </c>
      <c r="O168" s="307"/>
      <c r="P168" s="307"/>
      <c r="Q168" s="307"/>
      <c r="R168" s="307"/>
      <c r="S168" s="307"/>
      <c r="T168" s="307"/>
      <c r="U168" s="307"/>
      <c r="V168" s="307"/>
      <c r="W168" s="307"/>
      <c r="X168" s="307"/>
      <c r="Y168" s="307"/>
      <c r="Z168" s="307"/>
      <c r="AA168" s="307"/>
      <c r="AB168" s="307"/>
      <c r="AC168" s="307"/>
      <c r="AD168" s="307"/>
      <c r="AE168" s="307"/>
      <c r="AF168" s="307"/>
      <c r="AG168" s="307"/>
      <c r="AH168" s="307"/>
      <c r="AI168" s="307"/>
      <c r="AJ168" s="307"/>
      <c r="AK168" s="307"/>
      <c r="AL168" s="307"/>
      <c r="AM168" s="307"/>
      <c r="AN168" s="307"/>
      <c r="AO168" s="307"/>
      <c r="AP168" s="307"/>
      <c r="AQ168" s="307"/>
      <c r="AR168" s="307"/>
      <c r="AS168" s="307"/>
      <c r="AT168" s="307"/>
      <c r="AU168" s="307"/>
      <c r="AV168" s="307"/>
      <c r="AW168" s="307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88"/>
      <c r="B170" s="103"/>
      <c r="C170" s="104" t="s">
        <v>465</v>
      </c>
      <c r="D170" s="105"/>
      <c r="E170" s="385"/>
      <c r="F170" s="385"/>
      <c r="G170" s="385"/>
      <c r="H170" s="385"/>
      <c r="I170" s="385"/>
      <c r="J170" s="385"/>
      <c r="K170" s="385"/>
      <c r="L170" s="385"/>
      <c r="M170" s="385"/>
      <c r="N170" s="385"/>
      <c r="O170" s="309"/>
      <c r="P170" s="309"/>
      <c r="Q170" s="309"/>
      <c r="R170" s="309"/>
      <c r="S170" s="309"/>
      <c r="T170" s="309"/>
      <c r="U170" s="309"/>
      <c r="V170" s="309"/>
      <c r="W170" s="309"/>
      <c r="X170" s="309"/>
      <c r="Y170" s="309"/>
      <c r="Z170" s="309"/>
      <c r="AA170" s="309"/>
      <c r="AB170" s="309"/>
      <c r="AC170" s="309"/>
      <c r="AD170" s="309"/>
      <c r="AE170" s="309"/>
      <c r="AF170" s="309"/>
      <c r="AG170" s="309"/>
      <c r="AH170" s="309"/>
      <c r="AI170" s="309"/>
      <c r="AJ170" s="309"/>
      <c r="AK170" s="309"/>
      <c r="AL170" s="309"/>
      <c r="AM170" s="309"/>
      <c r="AN170" s="309"/>
      <c r="AO170" s="309"/>
      <c r="AP170" s="309"/>
      <c r="AQ170" s="309"/>
      <c r="AR170" s="309"/>
      <c r="AS170" s="309"/>
      <c r="AT170" s="309"/>
      <c r="AU170" s="309"/>
      <c r="AV170" s="309"/>
      <c r="AW170" s="309"/>
    </row>
    <row r="171" spans="1:49" ht="3.75" customHeight="1">
      <c r="A171" s="30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301"/>
      <c r="B172" s="181"/>
      <c r="C172" s="182" t="s">
        <v>529</v>
      </c>
      <c r="D172" s="303"/>
      <c r="E172" s="417"/>
      <c r="F172" s="417"/>
      <c r="G172" s="417"/>
      <c r="H172" s="417"/>
      <c r="I172" s="417"/>
      <c r="J172" s="417"/>
      <c r="K172" s="417"/>
      <c r="L172" s="417"/>
      <c r="M172" s="417"/>
      <c r="N172" s="417"/>
    </row>
    <row r="173" spans="1:49">
      <c r="A173" s="94"/>
      <c r="B173" s="101" t="s">
        <v>2</v>
      </c>
      <c r="C173" s="102" t="s">
        <v>466</v>
      </c>
      <c r="D173" s="187"/>
      <c r="E173" s="113">
        <f>IFERROR(IF(E18="","",ROUND(E175/SUM(E52,INDEX('Apoio - Regime de Trabalho'!$I:$I,MATCH(E26,'Apoio - Regime de Trabalho'!$A:$A,0))),2)),"")</f>
        <v>25.27</v>
      </c>
      <c r="F173" s="113" t="str">
        <f>IFERROR(IF(F18="","",ROUND(F175/SUM(F52,INDEX('Apoio - Regime de Trabalho'!$I:$I,MATCH(F26,'Apoio - Regime de Trabalho'!$A:$A,0))),2)),"")</f>
        <v/>
      </c>
      <c r="G173" s="113" t="str">
        <f>IFERROR(IF(G18="","",ROUND(G175/SUM(G52,INDEX('Apoio - Regime de Trabalho'!$I:$I,MATCH(G26,'Apoio - Regime de Trabalho'!$A:$A,0))),2)),"")</f>
        <v/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IFERROR(IF(I18="","",ROUND(I175/SUM(I52,INDEX('Apoio - Regime de Trabalho'!$I:$I,MATCH(I26,'Apoio - Regime de Trabalho'!$A:$A,0))),2)),"")</f>
        <v/>
      </c>
      <c r="J173" s="113" t="str">
        <f>IFERROR(IF(J18="","",ROUND(J175/SUM(J52,INDEX('Apoio - Regime de Trabalho'!$I:$I,MATCH(J26,'Apoio - Regime de Trabalho'!$A:$A,0))),2)),"")</f>
        <v/>
      </c>
      <c r="K173" s="113" t="str">
        <f>IFERROR(IF(K18="","",ROUND(K175/SUM(K52,INDEX('Apoio - Regime de Trabalho'!$I:$I,MATCH(K26,'Apoio - Regime de Trabalho'!$A:$A,0))),2)),"")</f>
        <v/>
      </c>
      <c r="L173" s="113" t="str">
        <f>IFERROR(IF(L18="","",ROUND(L175/SUM(L52,INDEX('Apoio - Regime de Trabalho'!$I:$I,MATCH(L26,'Apoio - Regime de Trabalho'!$A:$A,0))),2)),"")</f>
        <v/>
      </c>
      <c r="M173" s="113" t="str">
        <f>IFERROR(IF(M18="","",ROUND(M175/SUM(M52,INDEX('Apoio - Regime de Trabalho'!$I:$I,MATCH(M26,'Apoio - Regime de Trabalho'!$A:$A,0))),2)),"")</f>
        <v/>
      </c>
      <c r="N173" s="113" t="str">
        <f>IFERROR(IF(N18="","",ROUND(N175/SUM(N52,INDEX('Apoio - Regime de Trabalho'!$I:$I,MATCH(N26,'Apoio - Regime de Trabalho'!$A:$A,0))),2)),"")</f>
        <v/>
      </c>
    </row>
    <row r="174" spans="1:49">
      <c r="A174" s="94"/>
      <c r="B174" s="101" t="s">
        <v>1</v>
      </c>
      <c r="C174" s="102" t="s">
        <v>470</v>
      </c>
      <c r="D174" s="187"/>
      <c r="E174" s="113">
        <f>IF(E18="","",ROUND(SUM(E61,E114,E123,E145,E150,E168)/INDEX('Apoio - Regime de Trabalho'!$G:$G,MATCH(E26,'Apoio - Regime de Trabalho'!$A:$A,0)),2))</f>
        <v>211.36</v>
      </c>
      <c r="F174" s="113" t="str">
        <f>IF(F18="","",ROUND(SUM(F61,F114,F123,F145,F150,F168)/INDEX('Apoio - Regime de Trabalho'!$G:$G,MATCH(F26,'Apoio - Regime de Trabalho'!$A:$A,0)),2))</f>
        <v/>
      </c>
      <c r="G174" s="113" t="str">
        <f>IF(G18="","",ROUND(SUM(G61,G114,G123,G145,G150,G168)/INDEX('Apoio - Regime de Trabalho'!$G:$G,MATCH(G26,'Apoio - Regime de Trabalho'!$A:$A,0)),2))</f>
        <v/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IF(I18="","",ROUND(SUM(I61,I114,I123,I145,I150,I168)/INDEX('Apoio - Regime de Trabalho'!$G:$G,MATCH(I26,'Apoio - Regime de Trabalho'!$A:$A,0)),2))</f>
        <v/>
      </c>
      <c r="J174" s="113" t="str">
        <f>IF(J18="","",ROUND(SUM(J61,J114,J123,J145,J150,J168)/INDEX('Apoio - Regime de Trabalho'!$G:$G,MATCH(J26,'Apoio - Regime de Trabalho'!$A:$A,0)),2))</f>
        <v/>
      </c>
      <c r="K174" s="113" t="str">
        <f>IF(K18="","",ROUND(SUM(K61,K114,K123,K145,K150,K168)/INDEX('Apoio - Regime de Trabalho'!$G:$G,MATCH(K26,'Apoio - Regime de Trabalho'!$A:$A,0)),2))</f>
        <v/>
      </c>
      <c r="L174" s="113" t="str">
        <f>IF(L18="","",ROUND(SUM(L61,L114,L123,L145,L150,L168)/INDEX('Apoio - Regime de Trabalho'!$G:$G,MATCH(L26,'Apoio - Regime de Trabalho'!$A:$A,0)),2))</f>
        <v/>
      </c>
      <c r="M174" s="113" t="str">
        <f>IF(M18="","",ROUND(SUM(M61,M114,M123,M145,M150,M168)/INDEX('Apoio - Regime de Trabalho'!$G:$G,MATCH(M26,'Apoio - Regime de Trabalho'!$A:$A,0)),2))</f>
        <v/>
      </c>
      <c r="N174" s="113" t="str">
        <f>IF(N18="","",ROUND(SUM(N61,N114,N123,N145,N150,N168)/INDEX('Apoio - Regime de Trabalho'!$G:$G,MATCH(N26,'Apoio - Regime de Trabalho'!$A:$A,0)),2))</f>
        <v/>
      </c>
    </row>
    <row r="175" spans="1:49">
      <c r="A175" s="94"/>
      <c r="B175" s="101" t="s">
        <v>0</v>
      </c>
      <c r="C175" s="102" t="s">
        <v>532</v>
      </c>
      <c r="D175" s="187"/>
      <c r="E175" s="113">
        <f>IF(E18="","",ROUND(SUM(E61,E114,E123,E145,E150,E168),2))</f>
        <v>4649.8599999999997</v>
      </c>
      <c r="F175" s="113" t="str">
        <f t="shared" ref="F175:H175" si="98">IF(F18="","",ROUND(SUM(F61,F114,F123,F145,F150,F168),2))</f>
        <v/>
      </c>
      <c r="G175" s="113" t="str">
        <f t="shared" si="98"/>
        <v/>
      </c>
      <c r="H175" s="113" t="str">
        <f t="shared" si="98"/>
        <v/>
      </c>
      <c r="I175" s="113" t="str">
        <f t="shared" ref="I175:N175" si="99">IF(I18="","",ROUND(SUM(I61,I114,I123,I145,I150,I168),2))</f>
        <v/>
      </c>
      <c r="J175" s="113" t="str">
        <f t="shared" si="99"/>
        <v/>
      </c>
      <c r="K175" s="113" t="str">
        <f t="shared" si="99"/>
        <v/>
      </c>
      <c r="L175" s="113" t="str">
        <f t="shared" si="99"/>
        <v/>
      </c>
      <c r="M175" s="113" t="str">
        <f t="shared" si="99"/>
        <v/>
      </c>
      <c r="N175" s="113" t="str">
        <f t="shared" si="99"/>
        <v/>
      </c>
    </row>
    <row r="176" spans="1:49">
      <c r="A176" s="94"/>
      <c r="B176" s="101" t="s">
        <v>3</v>
      </c>
      <c r="C176" s="102" t="s">
        <v>531</v>
      </c>
      <c r="D176" s="187"/>
      <c r="E176" s="113">
        <f>IFERROR(ROUND(E175*E28,2),"")</f>
        <v>4649.8599999999997</v>
      </c>
      <c r="F176" s="113" t="str">
        <f t="shared" ref="F176:H176" si="100">IFERROR(ROUND(F175*F28,2),"")</f>
        <v/>
      </c>
      <c r="G176" s="113" t="str">
        <f t="shared" si="100"/>
        <v/>
      </c>
      <c r="H176" s="113" t="str">
        <f t="shared" si="100"/>
        <v/>
      </c>
      <c r="I176" s="113" t="str">
        <f t="shared" ref="I176:N176" si="101">IFERROR(ROUND(I175*I28,2),"")</f>
        <v/>
      </c>
      <c r="J176" s="113" t="str">
        <f t="shared" si="101"/>
        <v/>
      </c>
      <c r="K176" s="113" t="str">
        <f t="shared" si="101"/>
        <v/>
      </c>
      <c r="L176" s="113" t="str">
        <f t="shared" si="101"/>
        <v/>
      </c>
      <c r="M176" s="113" t="str">
        <f t="shared" si="101"/>
        <v/>
      </c>
      <c r="N176" s="113" t="str">
        <f t="shared" si="101"/>
        <v/>
      </c>
    </row>
    <row r="177" spans="1:49" ht="3.75" customHeight="1">
      <c r="A177" s="30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A178" s="301"/>
      <c r="B178" s="181"/>
      <c r="C178" s="182" t="s">
        <v>578</v>
      </c>
      <c r="D178" s="303"/>
      <c r="E178" s="417"/>
      <c r="F178" s="417"/>
      <c r="G178" s="417"/>
      <c r="H178" s="417"/>
      <c r="I178" s="417"/>
      <c r="J178" s="417"/>
      <c r="K178" s="417"/>
      <c r="L178" s="417"/>
      <c r="M178" s="417"/>
      <c r="N178" s="41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>
      <c r="A179" s="94"/>
      <c r="B179" s="101" t="s">
        <v>2</v>
      </c>
      <c r="C179" s="102" t="s">
        <v>467</v>
      </c>
      <c r="D179" s="187"/>
      <c r="E179" s="113">
        <f>IFERROR(ROUND(SUM(E61,E114,E123,E145)*E29,2),"")</f>
        <v>3638.82</v>
      </c>
      <c r="F179" s="113" t="str">
        <f t="shared" ref="F179:H179" si="102">IFERROR(ROUND(SUM(F61,F114,F123,F145)*F29,2),"")</f>
        <v/>
      </c>
      <c r="G179" s="113" t="str">
        <f t="shared" si="102"/>
        <v/>
      </c>
      <c r="H179" s="113" t="str">
        <f t="shared" si="102"/>
        <v/>
      </c>
      <c r="I179" s="113" t="str">
        <f t="shared" ref="I179:N179" si="103">IFERROR(ROUND(SUM(I61,I114,I123,I145)*I29,2),"")</f>
        <v/>
      </c>
      <c r="J179" s="113" t="str">
        <f t="shared" si="103"/>
        <v/>
      </c>
      <c r="K179" s="113" t="str">
        <f t="shared" si="103"/>
        <v/>
      </c>
      <c r="L179" s="113" t="str">
        <f t="shared" si="103"/>
        <v/>
      </c>
      <c r="M179" s="113" t="str">
        <f t="shared" si="103"/>
        <v/>
      </c>
      <c r="N179" s="113" t="str">
        <f t="shared" si="103"/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>
      <c r="A180" s="94"/>
      <c r="B180" s="101" t="s">
        <v>1</v>
      </c>
      <c r="C180" s="102" t="s">
        <v>526</v>
      </c>
      <c r="D180" s="187"/>
      <c r="E180" s="113">
        <f>IFERROR(ROUND(E150*E29,2),"")</f>
        <v>139.44</v>
      </c>
      <c r="F180" s="113" t="str">
        <f t="shared" ref="F180:H180" si="104">IFERROR(ROUND(F150*F29,2),"")</f>
        <v/>
      </c>
      <c r="G180" s="113" t="str">
        <f t="shared" si="104"/>
        <v/>
      </c>
      <c r="H180" s="113" t="str">
        <f t="shared" si="104"/>
        <v/>
      </c>
      <c r="I180" s="113" t="str">
        <f t="shared" ref="I180:N180" si="105">IFERROR(ROUND(I150*I29,2),"")</f>
        <v/>
      </c>
      <c r="J180" s="113" t="str">
        <f t="shared" si="105"/>
        <v/>
      </c>
      <c r="K180" s="113" t="str">
        <f t="shared" si="105"/>
        <v/>
      </c>
      <c r="L180" s="113" t="str">
        <f t="shared" si="105"/>
        <v/>
      </c>
      <c r="M180" s="113" t="str">
        <f t="shared" si="105"/>
        <v/>
      </c>
      <c r="N180" s="113" t="str">
        <f t="shared" si="105"/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>
      <c r="A181" s="95"/>
      <c r="B181" s="101" t="s">
        <v>0</v>
      </c>
      <c r="C181" s="102" t="s">
        <v>225</v>
      </c>
      <c r="D181" s="187"/>
      <c r="E181" s="113">
        <f>IFERROR(ROUND(E168*E29,2),"")</f>
        <v>871.6</v>
      </c>
      <c r="F181" s="113" t="str">
        <f t="shared" ref="F181:H181" si="106">IFERROR(ROUND(F168*F29,2),"")</f>
        <v/>
      </c>
      <c r="G181" s="113" t="str">
        <f t="shared" si="106"/>
        <v/>
      </c>
      <c r="H181" s="113" t="str">
        <f t="shared" si="106"/>
        <v/>
      </c>
      <c r="I181" s="113" t="str">
        <f t="shared" ref="I181:N181" si="107">IFERROR(ROUND(I168*I29,2),"")</f>
        <v/>
      </c>
      <c r="J181" s="113" t="str">
        <f t="shared" si="107"/>
        <v/>
      </c>
      <c r="K181" s="113" t="str">
        <f t="shared" si="107"/>
        <v/>
      </c>
      <c r="L181" s="113" t="str">
        <f t="shared" si="107"/>
        <v/>
      </c>
      <c r="M181" s="113" t="str">
        <f t="shared" si="107"/>
        <v/>
      </c>
      <c r="N181" s="113" t="str">
        <f t="shared" si="107"/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>
      <c r="A182" s="95"/>
      <c r="B182" s="101" t="s">
        <v>3</v>
      </c>
      <c r="C182" s="102" t="s">
        <v>577</v>
      </c>
      <c r="D182" s="187"/>
      <c r="E182" s="113">
        <f>IFERROR(ROUND((E179+E180+E181),2),"")</f>
        <v>4649.8599999999997</v>
      </c>
      <c r="F182" s="113" t="str">
        <f t="shared" ref="F182:H182" si="108">IFERROR(ROUND((F179+F180+F181),2),"")</f>
        <v/>
      </c>
      <c r="G182" s="113" t="str">
        <f t="shared" si="108"/>
        <v/>
      </c>
      <c r="H182" s="113" t="str">
        <f t="shared" si="108"/>
        <v/>
      </c>
      <c r="I182" s="113" t="str">
        <f t="shared" ref="I182:N182" si="109">IFERROR(ROUND((I179+I180+I181),2),"")</f>
        <v/>
      </c>
      <c r="J182" s="113" t="str">
        <f t="shared" si="109"/>
        <v/>
      </c>
      <c r="K182" s="113" t="str">
        <f t="shared" si="109"/>
        <v/>
      </c>
      <c r="L182" s="113" t="str">
        <f t="shared" si="109"/>
        <v/>
      </c>
      <c r="M182" s="113" t="str">
        <f t="shared" si="109"/>
        <v/>
      </c>
      <c r="N182" s="113" t="str">
        <f t="shared" si="109"/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3.75" customHeight="1">
      <c r="A183" s="30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301"/>
      <c r="B184" s="181"/>
      <c r="C184" s="182" t="s">
        <v>530</v>
      </c>
      <c r="D184" s="303"/>
      <c r="E184" s="417"/>
      <c r="F184" s="417"/>
      <c r="G184" s="417"/>
      <c r="H184" s="417"/>
      <c r="I184" s="417"/>
      <c r="J184" s="417"/>
      <c r="K184" s="417"/>
      <c r="L184" s="417"/>
      <c r="M184" s="417"/>
      <c r="N184" s="41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idden="1">
      <c r="A185" s="461"/>
      <c r="B185" s="199"/>
      <c r="C185" s="200"/>
      <c r="D185" s="303"/>
      <c r="E185" s="417">
        <f>IFERROR(IF(INDEX('Apoio - Regime de Trabalho'!$C:$C,MATCH(E26,'Apoio - Regime de Trabalho'!$A:$A,0))="Diária",0,1),"")</f>
        <v>1</v>
      </c>
      <c r="F185" s="417" t="str">
        <f>IFERROR(IF(INDEX('Apoio - Regime de Trabalho'!$C:$C,MATCH(F26,'Apoio - Regime de Trabalho'!$A:$A,0))="Diária",0,1),"")</f>
        <v/>
      </c>
      <c r="G185" s="417" t="str">
        <f>IFERROR(IF(INDEX('Apoio - Regime de Trabalho'!$C:$C,MATCH(G26,'Apoio - Regime de Trabalho'!$A:$A,0))="Diária",0,1),"")</f>
        <v/>
      </c>
      <c r="H185" s="417" t="str">
        <f>IFERROR(IF(INDEX('Apoio - Regime de Trabalho'!$C:$C,MATCH(H26,'Apoio - Regime de Trabalho'!$A:$A,0))="Diária",0,1),"")</f>
        <v/>
      </c>
      <c r="I185" s="417" t="str">
        <f>IFERROR(IF(INDEX('Apoio - Regime de Trabalho'!$C:$C,MATCH(I26,'Apoio - Regime de Trabalho'!$A:$A,0))="Diária",0,1),"")</f>
        <v/>
      </c>
      <c r="J185" s="417" t="str">
        <f>IFERROR(IF(INDEX('Apoio - Regime de Trabalho'!$C:$C,MATCH(J26,'Apoio - Regime de Trabalho'!$A:$A,0))="Diária",0,1),"")</f>
        <v/>
      </c>
      <c r="K185" s="417" t="str">
        <f>IFERROR(IF(INDEX('Apoio - Regime de Trabalho'!$C:$C,MATCH(K26,'Apoio - Regime de Trabalho'!$A:$A,0))="Diária",0,1),"")</f>
        <v/>
      </c>
      <c r="L185" s="417" t="str">
        <f>IFERROR(IF(INDEX('Apoio - Regime de Trabalho'!$C:$C,MATCH(L26,'Apoio - Regime de Trabalho'!$A:$A,0))="Diária",0,1),"")</f>
        <v/>
      </c>
      <c r="M185" s="417" t="str">
        <f>IFERROR(IF(INDEX('Apoio - Regime de Trabalho'!$C:$C,MATCH(M26,'Apoio - Regime de Trabalho'!$A:$A,0))="Diária",0,1),"")</f>
        <v/>
      </c>
      <c r="N185" s="417" t="str">
        <f>IFERROR(IF(INDEX('Apoio - Regime de Trabalho'!$C:$C,MATCH(N26,'Apoio - Regime de Trabalho'!$A:$A,0))="Diária",0,1),"")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idden="1">
      <c r="A186" s="461"/>
      <c r="B186" s="199"/>
      <c r="C186" s="200"/>
      <c r="D186" s="303"/>
      <c r="E186" s="417">
        <f>IF(E185=1,$D$12,1)</f>
        <v>12</v>
      </c>
      <c r="F186" s="417">
        <f t="shared" ref="F186:H186" si="110">IF(F185=1,$D$12,1)</f>
        <v>1</v>
      </c>
      <c r="G186" s="417">
        <f t="shared" si="110"/>
        <v>1</v>
      </c>
      <c r="H186" s="417">
        <f t="shared" si="110"/>
        <v>1</v>
      </c>
      <c r="I186" s="417">
        <f t="shared" ref="I186:N186" si="111">IF(I185=1,$D$12,1)</f>
        <v>1</v>
      </c>
      <c r="J186" s="417">
        <f t="shared" si="111"/>
        <v>1</v>
      </c>
      <c r="K186" s="417">
        <f t="shared" si="111"/>
        <v>1</v>
      </c>
      <c r="L186" s="417">
        <f t="shared" si="111"/>
        <v>1</v>
      </c>
      <c r="M186" s="417">
        <f t="shared" si="111"/>
        <v>1</v>
      </c>
      <c r="N186" s="417">
        <f t="shared" si="111"/>
        <v>1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95"/>
      <c r="B187" s="101" t="s">
        <v>2</v>
      </c>
      <c r="C187" s="102" t="s">
        <v>467</v>
      </c>
      <c r="D187" s="187"/>
      <c r="E187" s="113">
        <f>IFERROR(ROUND(E179*IF(VLOOKUP(E$26,'Apoio - Regime de Trabalho'!$A:$I,3,FALSE)="Diária",1,$D$12),2),"")</f>
        <v>43665.84</v>
      </c>
      <c r="F187" s="113" t="str">
        <f>IFERROR(ROUND(F179*IF(VLOOKUP(F$26,'Apoio - Regime de Trabalho'!$A:$I,3,FALSE)="Diária",1,$D$12),2),"")</f>
        <v/>
      </c>
      <c r="G187" s="113" t="str">
        <f>IFERROR(ROUND(G179*IF(VLOOKUP(G$26,'Apoio - Regime de Trabalho'!$A:$I,3,FALSE)="Diária",1,$D$12),2),"")</f>
        <v/>
      </c>
      <c r="H187" s="113" t="str">
        <f>IFERROR(ROUND(H179*IF(VLOOKUP(H$26,'Apoio - Regime de Trabalho'!$A:$I,3,FALSE)="Diária",1,$D$12),2),"")</f>
        <v/>
      </c>
      <c r="I187" s="113" t="str">
        <f>IFERROR(ROUND(I179*IF(VLOOKUP(I$26,'Apoio - Regime de Trabalho'!$A:$I,3,FALSE)="Diária",1,$D$12),2),"")</f>
        <v/>
      </c>
      <c r="J187" s="113" t="str">
        <f>IFERROR(ROUND(J179*IF(VLOOKUP(J$26,'Apoio - Regime de Trabalho'!$A:$I,3,FALSE)="Diária",1,$D$12),2),"")</f>
        <v/>
      </c>
      <c r="K187" s="113" t="str">
        <f>IFERROR(ROUND(K179*IF(VLOOKUP(K$26,'Apoio - Regime de Trabalho'!$A:$I,3,FALSE)="Diária",1,$D$12),2),"")</f>
        <v/>
      </c>
      <c r="L187" s="113" t="str">
        <f>IFERROR(ROUND(L179*IF(VLOOKUP(L$26,'Apoio - Regime de Trabalho'!$A:$I,3,FALSE)="Diária",1,$D$12),2),"")</f>
        <v/>
      </c>
      <c r="M187" s="113" t="str">
        <f>IFERROR(ROUND(M179*IF(VLOOKUP(M$26,'Apoio - Regime de Trabalho'!$A:$I,3,FALSE)="Diária",1,$D$12),2),"")</f>
        <v/>
      </c>
      <c r="N187" s="113" t="str">
        <f>IFERROR(ROUND(N179*IF(VLOOKUP(N$26,'Apoio - Regime de Trabalho'!$A:$I,3,FALSE)="Diária",1,$D$12),2),"")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95"/>
      <c r="B188" s="101" t="s">
        <v>1</v>
      </c>
      <c r="C188" s="102" t="s">
        <v>526</v>
      </c>
      <c r="D188" s="187"/>
      <c r="E188" s="113">
        <f>IFERROR(ROUND(E180*IF(VLOOKUP(E$26,'Apoio - Regime de Trabalho'!$A:$I,3,FALSE)="Diária",1,$D$12),2),"")</f>
        <v>1673.28</v>
      </c>
      <c r="F188" s="113" t="str">
        <f>IFERROR(ROUND(F180*IF(VLOOKUP(F$26,'Apoio - Regime de Trabalho'!$A:$I,3,FALSE)="Diária",1,$D$12),2),"")</f>
        <v/>
      </c>
      <c r="G188" s="113" t="str">
        <f>IFERROR(ROUND(G180*IF(VLOOKUP(G$26,'Apoio - Regime de Trabalho'!$A:$I,3,FALSE)="Diária",1,$D$12),2),"")</f>
        <v/>
      </c>
      <c r="H188" s="113" t="str">
        <f>IFERROR(ROUND(H180*IF(VLOOKUP(H$26,'Apoio - Regime de Trabalho'!$A:$I,3,FALSE)="Diária",1,$D$12),2),"")</f>
        <v/>
      </c>
      <c r="I188" s="113" t="str">
        <f>IFERROR(ROUND(I180*IF(VLOOKUP(I$26,'Apoio - Regime de Trabalho'!$A:$I,3,FALSE)="Diária",1,$D$12),2),"")</f>
        <v/>
      </c>
      <c r="J188" s="113" t="str">
        <f>IFERROR(ROUND(J180*IF(VLOOKUP(J$26,'Apoio - Regime de Trabalho'!$A:$I,3,FALSE)="Diária",1,$D$12),2),"")</f>
        <v/>
      </c>
      <c r="K188" s="113" t="str">
        <f>IFERROR(ROUND(K180*IF(VLOOKUP(K$26,'Apoio - Regime de Trabalho'!$A:$I,3,FALSE)="Diária",1,$D$12),2),"")</f>
        <v/>
      </c>
      <c r="L188" s="113" t="str">
        <f>IFERROR(ROUND(L180*IF(VLOOKUP(L$26,'Apoio - Regime de Trabalho'!$A:$I,3,FALSE)="Diária",1,$D$12),2),"")</f>
        <v/>
      </c>
      <c r="M188" s="113" t="str">
        <f>IFERROR(ROUND(M180*IF(VLOOKUP(M$26,'Apoio - Regime de Trabalho'!$A:$I,3,FALSE)="Diária",1,$D$12),2),"")</f>
        <v/>
      </c>
      <c r="N188" s="113" t="str">
        <f>IFERROR(ROUND(N180*IF(VLOOKUP(N$26,'Apoio - Regime de Trabalho'!$A:$I,3,FALSE)="Diária",1,$D$12),2),"")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95"/>
      <c r="B189" s="101" t="s">
        <v>0</v>
      </c>
      <c r="C189" s="102" t="s">
        <v>225</v>
      </c>
      <c r="D189" s="187"/>
      <c r="E189" s="113">
        <f>IFERROR(ROUND(E181*IF(VLOOKUP(E$26,'Apoio - Regime de Trabalho'!$A:$I,3,FALSE)="Diária",1,$D$12),2),"")</f>
        <v>10459.200000000001</v>
      </c>
      <c r="F189" s="113" t="str">
        <f>IFERROR(ROUND(F181*IF(VLOOKUP(F$26,'Apoio - Regime de Trabalho'!$A:$I,3,FALSE)="Diária",1,$D$12),2),"")</f>
        <v/>
      </c>
      <c r="G189" s="113" t="str">
        <f>IFERROR(ROUND(G181*IF(VLOOKUP(G$26,'Apoio - Regime de Trabalho'!$A:$I,3,FALSE)="Diária",1,$D$12),2),"")</f>
        <v/>
      </c>
      <c r="H189" s="113" t="str">
        <f>IFERROR(ROUND(H181*IF(VLOOKUP(H$26,'Apoio - Regime de Trabalho'!$A:$I,3,FALSE)="Diária",1,$D$12),2),"")</f>
        <v/>
      </c>
      <c r="I189" s="113" t="str">
        <f>IFERROR(ROUND(I181*IF(VLOOKUP(I$26,'Apoio - Regime de Trabalho'!$A:$I,3,FALSE)="Diária",1,$D$12),2),"")</f>
        <v/>
      </c>
      <c r="J189" s="113" t="str">
        <f>IFERROR(ROUND(J181*IF(VLOOKUP(J$26,'Apoio - Regime de Trabalho'!$A:$I,3,FALSE)="Diária",1,$D$12),2),"")</f>
        <v/>
      </c>
      <c r="K189" s="113" t="str">
        <f>IFERROR(ROUND(K181*IF(VLOOKUP(K$26,'Apoio - Regime de Trabalho'!$A:$I,3,FALSE)="Diária",1,$D$12),2),"")</f>
        <v/>
      </c>
      <c r="L189" s="113" t="str">
        <f>IFERROR(ROUND(L181*IF(VLOOKUP(L$26,'Apoio - Regime de Trabalho'!$A:$I,3,FALSE)="Diária",1,$D$12),2),"")</f>
        <v/>
      </c>
      <c r="M189" s="113" t="str">
        <f>IFERROR(ROUND(M181*IF(VLOOKUP(M$26,'Apoio - Regime de Trabalho'!$A:$I,3,FALSE)="Diária",1,$D$12),2),"")</f>
        <v/>
      </c>
      <c r="N189" s="113" t="str">
        <f>IFERROR(ROUND(N181*IF(VLOOKUP(N$26,'Apoio - Regime de Trabalho'!$A:$I,3,FALSE)="Diária",1,$D$12),2),"")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95"/>
      <c r="B190" s="101" t="s">
        <v>3</v>
      </c>
      <c r="C190" s="102" t="s">
        <v>527</v>
      </c>
      <c r="D190" s="187"/>
      <c r="E190" s="113">
        <f>IFERROR(ROUND(E182*IF(VLOOKUP(E$26,'Apoio - Regime de Trabalho'!$A:$I,3,FALSE)="Diária",1,$D$12),2),"")</f>
        <v>55798.32</v>
      </c>
      <c r="F190" s="113" t="str">
        <f>IFERROR(ROUND(F182*IF(VLOOKUP(F$26,'Apoio - Regime de Trabalho'!$A:$I,3,FALSE)="Diária",1,$D$12),2),"")</f>
        <v/>
      </c>
      <c r="G190" s="113" t="str">
        <f>IFERROR(ROUND(G182*IF(VLOOKUP(G$26,'Apoio - Regime de Trabalho'!$A:$I,3,FALSE)="Diária",1,$D$12),2),"")</f>
        <v/>
      </c>
      <c r="H190" s="113" t="str">
        <f>IFERROR(ROUND(H182*IF(VLOOKUP(H$26,'Apoio - Regime de Trabalho'!$A:$I,3,FALSE)="Diária",1,$D$12),2),"")</f>
        <v/>
      </c>
      <c r="I190" s="113" t="str">
        <f>IFERROR(ROUND(I182*IF(VLOOKUP(I$26,'Apoio - Regime de Trabalho'!$A:$I,3,FALSE)="Diária",1,$D$12),2),"")</f>
        <v/>
      </c>
      <c r="J190" s="113" t="str">
        <f>IFERROR(ROUND(J182*IF(VLOOKUP(J$26,'Apoio - Regime de Trabalho'!$A:$I,3,FALSE)="Diária",1,$D$12),2),"")</f>
        <v/>
      </c>
      <c r="K190" s="113" t="str">
        <f>IFERROR(ROUND(K182*IF(VLOOKUP(K$26,'Apoio - Regime de Trabalho'!$A:$I,3,FALSE)="Diária",1,$D$12),2),"")</f>
        <v/>
      </c>
      <c r="L190" s="113" t="str">
        <f>IFERROR(ROUND(L182*IF(VLOOKUP(L$26,'Apoio - Regime de Trabalho'!$A:$I,3,FALSE)="Diária",1,$D$12),2),"")</f>
        <v/>
      </c>
      <c r="M190" s="113" t="str">
        <f>IFERROR(ROUND(M182*IF(VLOOKUP(M$26,'Apoio - Regime de Trabalho'!$A:$I,3,FALSE)="Diária",1,$D$12),2),"")</f>
        <v/>
      </c>
      <c r="N190" s="113" t="str">
        <f>IFERROR(ROUND(N182*IF(VLOOKUP(N$26,'Apoio - Regime de Trabalho'!$A:$I,3,FALSE)="Diária",1,$D$12),2),"")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F191" s="9"/>
      <c r="G191" s="9"/>
      <c r="H191" s="9"/>
      <c r="I191" s="9"/>
      <c r="J191" s="9"/>
      <c r="K191" s="9"/>
      <c r="L191" s="9"/>
      <c r="M191" s="9"/>
      <c r="N191" s="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</sheetData>
  <sheetProtection algorithmName="SHA-512" hashValue="hgfYfIK08X8sQaqgGgpOXI56cz9HpK9rlBhJhRDy67pgwG122BsGFTemvPzVJZ3vWAe/gN4GWTbJjaZyGyo3fQ==" saltValue="ebz/5JCv714gSiZJ6nwdCw==" spinCount="100000" sheet="1" objects="1" scenarios="1" formatCells="0" formatColumns="0" formatRows="0" insertColumns="0" autoFilter="0"/>
  <dataConsolidate link="1"/>
  <mergeCells count="25">
    <mergeCell ref="A2:H2"/>
    <mergeCell ref="D5:E5"/>
    <mergeCell ref="D6:E6"/>
    <mergeCell ref="D7:E7"/>
    <mergeCell ref="D8:E8"/>
    <mergeCell ref="B50:B53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N27 E34:N34 E37:N38 E41:N41 E44:N45 E59:N60 E87:N90 E93:N95 E98:N99 E104:N105 E141:N141">
    <cfRule type="expression" dxfId="12" priority="6">
      <formula>$H$5=1</formula>
    </cfRule>
  </conditionalFormatting>
  <conditionalFormatting sqref="D9:D10 D13:D15 E19:N24 E34:N34 E37:N38 E41:N41 E44:N45 E59:N60 D79:D80 E88:N90 E93:N95 E98:N99 E104:N105 D128:D136 E141:N141">
    <cfRule type="expression" dxfId="11" priority="7">
      <formula>$H$5=2</formula>
    </cfRule>
  </conditionalFormatting>
  <conditionalFormatting sqref="D15 E20:N20 E23:N24 E87:N87 E93:N93 E98:N98 E101:N102 E104:N104 E107:N107 E109:N109">
    <cfRule type="expression" dxfId="10" priority="5">
      <formula>$H$5=4</formula>
    </cfRule>
  </conditionalFormatting>
  <conditionalFormatting sqref="E51:N52">
    <cfRule type="expression" dxfId="9" priority="3">
      <formula>$H$5=1</formula>
    </cfRule>
    <cfRule type="expression" dxfId="8" priority="4">
      <formula>$H$5=2</formula>
    </cfRule>
  </conditionalFormatting>
  <conditionalFormatting sqref="E163:N163">
    <cfRule type="expression" dxfId="7" priority="1">
      <formula>$H$5=1</formula>
    </cfRule>
    <cfRule type="expression" dxfId="6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0"/>
  <dimension ref="A1:AA96"/>
  <sheetViews>
    <sheetView showGridLines="0" tabSelected="1" topLeftCell="A61" workbookViewId="0">
      <selection activeCell="K81" sqref="K81"/>
    </sheetView>
  </sheetViews>
  <sheetFormatPr defaultRowHeight="15"/>
  <cols>
    <col min="1" max="1" width="1.85546875" customWidth="1"/>
    <col min="2" max="2" width="4.85546875" style="314" customWidth="1"/>
    <col min="3" max="3" width="49" style="40" customWidth="1"/>
    <col min="4" max="4" width="21.28515625" style="40" customWidth="1"/>
    <col min="5" max="6" width="19.7109375" style="41" customWidth="1"/>
    <col min="7" max="9" width="19.7109375" customWidth="1"/>
    <col min="11" max="11" width="12.140625" bestFit="1" customWidth="1"/>
  </cols>
  <sheetData>
    <row r="1" spans="1:27" ht="9.75" customHeight="1">
      <c r="B1" s="351"/>
      <c r="C1" s="50"/>
      <c r="D1" s="50"/>
      <c r="E1" s="51"/>
      <c r="F1" s="51"/>
    </row>
    <row r="2" spans="1:27" s="12" customFormat="1">
      <c r="A2" s="86"/>
      <c r="B2" s="103"/>
      <c r="C2" s="104" t="s">
        <v>232</v>
      </c>
      <c r="D2" s="105"/>
      <c r="E2" s="167" t="s">
        <v>439</v>
      </c>
      <c r="F2" s="167" t="s">
        <v>440</v>
      </c>
      <c r="G2" s="167" t="s">
        <v>441</v>
      </c>
      <c r="H2" s="167" t="s">
        <v>442</v>
      </c>
      <c r="I2" s="167" t="s">
        <v>443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</row>
    <row r="3" spans="1:27" s="3" customFormat="1">
      <c r="B3" s="328"/>
      <c r="C3" s="329" t="s">
        <v>336</v>
      </c>
      <c r="D3" s="334"/>
      <c r="E3" s="401" t="s">
        <v>597</v>
      </c>
      <c r="F3" s="402"/>
      <c r="G3" s="402"/>
      <c r="H3" s="402"/>
      <c r="I3" s="40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</row>
    <row r="4" spans="1:27">
      <c r="B4" s="330"/>
      <c r="C4" s="331" t="s">
        <v>325</v>
      </c>
      <c r="D4" s="138"/>
      <c r="E4" s="403">
        <v>1</v>
      </c>
      <c r="F4" s="403"/>
      <c r="G4" s="403"/>
      <c r="H4" s="403"/>
      <c r="I4" s="403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7">
      <c r="B5" s="332"/>
      <c r="C5" s="333" t="s">
        <v>329</v>
      </c>
      <c r="D5" s="335"/>
      <c r="E5" s="404">
        <v>1250</v>
      </c>
      <c r="F5" s="405"/>
      <c r="G5" s="405"/>
      <c r="H5" s="405"/>
      <c r="I5" s="40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</row>
    <row r="6" spans="1:27">
      <c r="A6" s="44"/>
      <c r="C6" s="50"/>
      <c r="G6" s="41"/>
      <c r="H6" s="41"/>
      <c r="I6" s="41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s="12" customFormat="1">
      <c r="A7" s="86"/>
      <c r="B7" s="103"/>
      <c r="C7" s="104" t="s">
        <v>564</v>
      </c>
      <c r="D7" s="105"/>
      <c r="E7" s="385"/>
      <c r="F7" s="385"/>
      <c r="G7" s="385"/>
      <c r="H7" s="385"/>
      <c r="I7" s="385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</row>
    <row r="8" spans="1:27">
      <c r="B8" s="689" t="s">
        <v>424</v>
      </c>
      <c r="C8" s="319" t="s">
        <v>321</v>
      </c>
      <c r="D8" s="320"/>
      <c r="E8" s="322"/>
      <c r="F8" s="322"/>
      <c r="G8" s="322"/>
      <c r="H8" s="322"/>
      <c r="I8" s="322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</row>
    <row r="9" spans="1:27">
      <c r="B9" s="690"/>
      <c r="C9" s="346" t="s">
        <v>317</v>
      </c>
      <c r="D9" s="340"/>
      <c r="E9" s="433">
        <v>12</v>
      </c>
      <c r="F9" s="433"/>
      <c r="G9" s="433"/>
      <c r="H9" s="433"/>
      <c r="I9" s="433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>
      <c r="B10" s="690"/>
      <c r="C10" s="347" t="s">
        <v>318</v>
      </c>
      <c r="D10" s="341"/>
      <c r="E10" s="434" t="s">
        <v>598</v>
      </c>
      <c r="F10" s="434"/>
      <c r="G10" s="434"/>
      <c r="H10" s="434"/>
      <c r="I10" s="434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>
      <c r="B11" s="690"/>
      <c r="C11" s="347" t="s">
        <v>319</v>
      </c>
      <c r="D11" s="341"/>
      <c r="E11" s="435">
        <v>5.75</v>
      </c>
      <c r="F11" s="435"/>
      <c r="G11" s="435"/>
      <c r="H11" s="435"/>
      <c r="I11" s="435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>
      <c r="B12" s="691"/>
      <c r="C12" s="321"/>
      <c r="D12" s="321" t="s">
        <v>43</v>
      </c>
      <c r="E12" s="381">
        <f>IFERROR(E5*E11/E9,"")</f>
        <v>598.95833333333337</v>
      </c>
      <c r="F12" s="381" t="str">
        <f t="shared" ref="F12:I12" si="0">IFERROR(F5*F11/F9,"")</f>
        <v/>
      </c>
      <c r="G12" s="381" t="str">
        <f t="shared" si="0"/>
        <v/>
      </c>
      <c r="H12" s="381" t="str">
        <f t="shared" si="0"/>
        <v/>
      </c>
      <c r="I12" s="381" t="str">
        <f t="shared" si="0"/>
        <v/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>
      <c r="B13" s="693" t="s">
        <v>425</v>
      </c>
      <c r="C13" s="348" t="s">
        <v>320</v>
      </c>
      <c r="D13" s="342"/>
      <c r="E13" s="323"/>
      <c r="F13" s="323"/>
      <c r="G13" s="323"/>
      <c r="H13" s="323"/>
      <c r="I13" s="323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>
      <c r="B14" s="675"/>
      <c r="C14" s="349" t="s">
        <v>333</v>
      </c>
      <c r="D14" s="343"/>
      <c r="E14" s="436">
        <v>12</v>
      </c>
      <c r="F14" s="436"/>
      <c r="G14" s="436"/>
      <c r="H14" s="436"/>
      <c r="I14" s="436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B15" s="675"/>
      <c r="C15" s="230" t="s">
        <v>334</v>
      </c>
      <c r="D15" s="344"/>
      <c r="E15" s="437">
        <v>10000</v>
      </c>
      <c r="F15" s="437"/>
      <c r="G15" s="437"/>
      <c r="H15" s="437"/>
      <c r="I15" s="43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>
      <c r="B16" s="675"/>
      <c r="C16" s="230" t="s">
        <v>16</v>
      </c>
      <c r="D16" s="345"/>
      <c r="E16" s="438">
        <v>30</v>
      </c>
      <c r="F16" s="438"/>
      <c r="G16" s="438"/>
      <c r="H16" s="438"/>
      <c r="I16" s="438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2:27">
      <c r="B17" s="692"/>
      <c r="C17" s="321"/>
      <c r="D17" s="321" t="s">
        <v>43</v>
      </c>
      <c r="E17" s="380">
        <f>IFERROR(IF(E3="","",E16*E14*E5/E15),"")</f>
        <v>45</v>
      </c>
      <c r="F17" s="380" t="str">
        <f t="shared" ref="F17:I17" si="1">IFERROR(IF(F3="","",F16*F14*F5/F15),"")</f>
        <v/>
      </c>
      <c r="G17" s="380" t="str">
        <f t="shared" si="1"/>
        <v/>
      </c>
      <c r="H17" s="380" t="str">
        <f t="shared" si="1"/>
        <v/>
      </c>
      <c r="I17" s="380" t="str">
        <f t="shared" si="1"/>
        <v/>
      </c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2:27">
      <c r="B18" s="675" t="s">
        <v>426</v>
      </c>
      <c r="C18" s="379" t="s">
        <v>423</v>
      </c>
      <c r="D18" s="382"/>
      <c r="E18" s="383"/>
      <c r="F18" s="383"/>
      <c r="G18" s="383"/>
      <c r="H18" s="383"/>
      <c r="I18" s="38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2:27">
      <c r="B19" s="675"/>
      <c r="C19" s="230" t="s">
        <v>334</v>
      </c>
      <c r="D19" s="661"/>
      <c r="E19" s="437">
        <v>10000</v>
      </c>
      <c r="F19" s="437"/>
      <c r="G19" s="437"/>
      <c r="H19" s="437"/>
      <c r="I19" s="43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2:27">
      <c r="B20" s="675"/>
      <c r="C20" s="230" t="s">
        <v>429</v>
      </c>
      <c r="D20" s="345"/>
      <c r="E20" s="448">
        <v>30</v>
      </c>
      <c r="F20" s="448"/>
      <c r="G20" s="448"/>
      <c r="H20" s="448"/>
      <c r="I20" s="448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2:27">
      <c r="B21" s="692"/>
      <c r="C21" s="321"/>
      <c r="D21" s="321" t="s">
        <v>43</v>
      </c>
      <c r="E21" s="380">
        <f>IFERROR(IF(E3="","",E20*E5/E19),"")</f>
        <v>3.75</v>
      </c>
      <c r="F21" s="380" t="str">
        <f t="shared" ref="F21:I21" si="2">IFERROR(IF(F3="","",F20*F5/F19),"")</f>
        <v/>
      </c>
      <c r="G21" s="380" t="str">
        <f t="shared" si="2"/>
        <v/>
      </c>
      <c r="H21" s="380" t="str">
        <f t="shared" si="2"/>
        <v/>
      </c>
      <c r="I21" s="380" t="str">
        <f t="shared" si="2"/>
        <v/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2:27">
      <c r="B22" s="694" t="s">
        <v>427</v>
      </c>
      <c r="C22" s="379" t="s">
        <v>322</v>
      </c>
      <c r="D22" s="382"/>
      <c r="E22" s="383"/>
      <c r="F22" s="383"/>
      <c r="G22" s="383"/>
      <c r="H22" s="383"/>
      <c r="I22" s="38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2:27">
      <c r="B23" s="695"/>
      <c r="C23" s="336" t="s">
        <v>323</v>
      </c>
      <c r="D23" s="337"/>
      <c r="E23" s="439">
        <v>1000</v>
      </c>
      <c r="F23" s="439"/>
      <c r="G23" s="439"/>
      <c r="H23" s="439"/>
      <c r="I23" s="439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2:27">
      <c r="B24" s="695"/>
      <c r="C24" s="338" t="s">
        <v>15</v>
      </c>
      <c r="D24" s="339"/>
      <c r="E24" s="440">
        <v>4</v>
      </c>
      <c r="F24" s="440"/>
      <c r="G24" s="440"/>
      <c r="H24" s="440"/>
      <c r="I24" s="440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2:27">
      <c r="B25" s="695"/>
      <c r="C25" s="230" t="s">
        <v>548</v>
      </c>
      <c r="D25" s="345"/>
      <c r="E25" s="437">
        <v>50000</v>
      </c>
      <c r="F25" s="437"/>
      <c r="G25" s="437"/>
      <c r="H25" s="437"/>
      <c r="I25" s="43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2:27">
      <c r="B26" s="696"/>
      <c r="C26" s="321"/>
      <c r="D26" s="321" t="s">
        <v>43</v>
      </c>
      <c r="E26" s="380">
        <f>IFERROR((E23*E24*E5/E25),"")</f>
        <v>100</v>
      </c>
      <c r="F26" s="380" t="str">
        <f>IFERROR((F23*F24*F5/F25),"")</f>
        <v/>
      </c>
      <c r="G26" s="380" t="str">
        <f>IFERROR((G23*G24*G5/G25),"")</f>
        <v/>
      </c>
      <c r="H26" s="380" t="str">
        <f>IFERROR((H23*H24*H5/H25),"")</f>
        <v/>
      </c>
      <c r="I26" s="380" t="str">
        <f>IFERROR((I23*I24*I5/I25),"")</f>
        <v/>
      </c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2:27">
      <c r="B27" s="694" t="s">
        <v>428</v>
      </c>
      <c r="C27" s="319" t="s">
        <v>14</v>
      </c>
      <c r="D27" s="354"/>
      <c r="E27" s="322"/>
      <c r="F27" s="322"/>
      <c r="G27" s="322"/>
      <c r="H27" s="322"/>
      <c r="I27" s="322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2:27">
      <c r="B28" s="695"/>
      <c r="C28" s="346" t="s">
        <v>412</v>
      </c>
      <c r="D28" s="355"/>
      <c r="E28" s="441">
        <v>0.03</v>
      </c>
      <c r="F28" s="441"/>
      <c r="G28" s="441"/>
      <c r="H28" s="441"/>
      <c r="I28" s="441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</row>
    <row r="29" spans="2:27">
      <c r="B29" s="695"/>
      <c r="C29" s="659" t="s">
        <v>330</v>
      </c>
      <c r="D29" s="356"/>
      <c r="E29" s="442">
        <v>159394.67000000001</v>
      </c>
      <c r="F29" s="442"/>
      <c r="G29" s="442"/>
      <c r="H29" s="442"/>
      <c r="I29" s="442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</row>
    <row r="30" spans="2:27">
      <c r="B30" s="695"/>
      <c r="C30" s="660" t="s">
        <v>576</v>
      </c>
      <c r="D30" s="357"/>
      <c r="E30" s="443"/>
      <c r="F30" s="443"/>
      <c r="G30" s="443"/>
      <c r="H30" s="443"/>
      <c r="I30" s="44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2:27">
      <c r="B31" s="695"/>
      <c r="C31" s="660" t="s">
        <v>576</v>
      </c>
      <c r="D31" s="350"/>
      <c r="E31" s="434"/>
      <c r="F31" s="434"/>
      <c r="G31" s="434"/>
      <c r="H31" s="434"/>
      <c r="I31" s="43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</row>
    <row r="32" spans="2:27">
      <c r="B32" s="695"/>
      <c r="C32" s="353" t="s">
        <v>326</v>
      </c>
      <c r="D32" s="352"/>
      <c r="E32" s="434">
        <f>IF(E3="","",SUM(E29:E31))</f>
        <v>159394.67000000001</v>
      </c>
      <c r="F32" s="434" t="str">
        <f>IF(F3="","",SUM(F29:F31))</f>
        <v/>
      </c>
      <c r="G32" s="434" t="str">
        <f>IF(G3="","",SUM(G29:G31))</f>
        <v/>
      </c>
      <c r="H32" s="434" t="str">
        <f>IF(H3="","",SUM(H29:H31))</f>
        <v/>
      </c>
      <c r="I32" s="434" t="str">
        <f>IF(I3="","",SUM(I29:I31))</f>
        <v/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>
      <c r="B33" s="696"/>
      <c r="C33" s="321"/>
      <c r="D33" s="321" t="s">
        <v>43</v>
      </c>
      <c r="E33" s="384">
        <f>IF(E3="","",E28*E32/12)</f>
        <v>398.48667500000005</v>
      </c>
      <c r="F33" s="384" t="str">
        <f>IF(F3="","",F28*F32/12)</f>
        <v/>
      </c>
      <c r="G33" s="384" t="str">
        <f>IF(G3="","",G28*G32/12)</f>
        <v/>
      </c>
      <c r="H33" s="384" t="str">
        <f>IF(H3="","",H28*H32/12)</f>
        <v/>
      </c>
      <c r="I33" s="384" t="str">
        <f>IF(I3="","",I28*I32/12)</f>
        <v/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</row>
    <row r="34" spans="1:27" s="12" customFormat="1">
      <c r="A34" s="86"/>
      <c r="B34" s="103"/>
      <c r="C34" s="105" t="s">
        <v>565</v>
      </c>
      <c r="D34" s="105"/>
      <c r="E34" s="385">
        <f>IF(E3="","",SUM(E12,E17,E21,E26,E33))</f>
        <v>1146.1950083333334</v>
      </c>
      <c r="F34" s="385" t="str">
        <f>IF(F3="","",SUM(F12,F17,F21,F26,F33))</f>
        <v/>
      </c>
      <c r="G34" s="385" t="str">
        <f>IF(G3="","",SUM(G12,G17,G21,G26,G33))</f>
        <v/>
      </c>
      <c r="H34" s="385" t="str">
        <f>IF(H3="","",SUM(H12,H17,H21,H26,H33))</f>
        <v/>
      </c>
      <c r="I34" s="385" t="str">
        <f>IF(I3="","",SUM(I12,I17,I21,I26,I33))</f>
        <v/>
      </c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</row>
    <row r="35" spans="1:27">
      <c r="A35" s="44"/>
      <c r="C35" s="42"/>
      <c r="D35" s="43"/>
      <c r="G35" s="41"/>
      <c r="H35" s="41"/>
      <c r="I35" s="4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</row>
    <row r="36" spans="1:27" s="12" customFormat="1">
      <c r="A36" s="86"/>
      <c r="B36" s="103"/>
      <c r="C36" s="104" t="s">
        <v>566</v>
      </c>
      <c r="D36" s="105"/>
      <c r="E36" s="385"/>
      <c r="F36" s="385"/>
      <c r="G36" s="385"/>
      <c r="H36" s="385"/>
      <c r="I36" s="385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</row>
    <row r="37" spans="1:27">
      <c r="B37" s="324" t="s">
        <v>430</v>
      </c>
      <c r="C37" s="325" t="s">
        <v>13</v>
      </c>
      <c r="D37" s="451">
        <v>0.01</v>
      </c>
      <c r="E37" s="326">
        <f>IF(E3="","",E29*$D$37/Proposta!$J$6)</f>
        <v>132.82889166666669</v>
      </c>
      <c r="F37" s="326" t="str">
        <f>IF(F3="","",F29*$D$37/Proposta!$J$6)</f>
        <v/>
      </c>
      <c r="G37" s="326" t="str">
        <f>IF(G3="","",G29*$D$37/Proposta!$J$6)</f>
        <v/>
      </c>
      <c r="H37" s="326" t="str">
        <f>IF(H3="","",H29*$D$37/Proposta!$J$6)</f>
        <v/>
      </c>
      <c r="I37" s="326" t="str">
        <f>IF(I3="","",I29*$D$37/Proposta!$J$6)</f>
        <v/>
      </c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</row>
    <row r="38" spans="1:27">
      <c r="B38" s="324" t="s">
        <v>431</v>
      </c>
      <c r="C38" s="325" t="s">
        <v>12</v>
      </c>
      <c r="D38" s="452">
        <v>286.94</v>
      </c>
      <c r="E38" s="326">
        <f>IF(E$3="","",$D$38/Proposta!$J$6)</f>
        <v>23.911666666666665</v>
      </c>
      <c r="F38" s="326" t="str">
        <f>IF(F$3="","",$D$38/Proposta!$J$6)</f>
        <v/>
      </c>
      <c r="G38" s="326" t="str">
        <f>IF(G$3="","",$D$38/Proposta!$J$6)</f>
        <v/>
      </c>
      <c r="H38" s="326" t="str">
        <f>IF(H$3="","",$D$38/Proposta!$J$6)</f>
        <v/>
      </c>
      <c r="I38" s="326" t="str">
        <f>IF(I$3="","",$D$38/Proposta!$J$6)</f>
        <v/>
      </c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</row>
    <row r="39" spans="1:27">
      <c r="B39" s="697" t="s">
        <v>432</v>
      </c>
      <c r="C39" s="319" t="s">
        <v>11</v>
      </c>
      <c r="D39" s="453"/>
      <c r="E39" s="322"/>
      <c r="F39" s="322"/>
      <c r="G39" s="322"/>
      <c r="H39" s="322"/>
      <c r="I39" s="322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</row>
    <row r="40" spans="1:27">
      <c r="B40" s="698"/>
      <c r="C40" s="336" t="s">
        <v>536</v>
      </c>
      <c r="D40" s="454"/>
      <c r="E40" s="465">
        <v>2</v>
      </c>
      <c r="F40" s="465"/>
      <c r="G40" s="465"/>
      <c r="H40" s="465"/>
      <c r="I40" s="465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</row>
    <row r="41" spans="1:27">
      <c r="B41" s="698"/>
      <c r="C41" s="353" t="s">
        <v>537</v>
      </c>
      <c r="D41" s="466">
        <v>77.88</v>
      </c>
      <c r="E41" s="434">
        <f>IF(E3="","",$D$41)</f>
        <v>77.88</v>
      </c>
      <c r="F41" s="434" t="str">
        <f>IF(F3="","",$D$41)</f>
        <v/>
      </c>
      <c r="G41" s="434" t="str">
        <f>IF(G3="","",$D$41)</f>
        <v/>
      </c>
      <c r="H41" s="434" t="str">
        <f>IF(H3="","",$D$41)</f>
        <v/>
      </c>
      <c r="I41" s="434" t="str">
        <f>IF(I3="","",$D$41)</f>
        <v/>
      </c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>
      <c r="B42" s="699"/>
      <c r="C42" s="321"/>
      <c r="D42" s="321" t="s">
        <v>43</v>
      </c>
      <c r="E42" s="467">
        <f>IF(E$3="","",E40*E41/Proposta!$J$6)</f>
        <v>12.979999999999999</v>
      </c>
      <c r="F42" s="467" t="str">
        <f>IF(F$3="","",F40*F41/Proposta!$J$6)</f>
        <v/>
      </c>
      <c r="G42" s="467" t="str">
        <f>IF(G$3="","",G40*G41/Proposta!$J$6)</f>
        <v/>
      </c>
      <c r="H42" s="467" t="str">
        <f>IF(H$3="","",H40*H41/Proposta!$J$6)</f>
        <v/>
      </c>
      <c r="I42" s="467" t="str">
        <f>IF(I$3="","",I40*I41/Proposta!$J$6)</f>
        <v/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>
      <c r="B43" s="324" t="s">
        <v>433</v>
      </c>
      <c r="C43" s="325" t="s">
        <v>10</v>
      </c>
      <c r="D43" s="451">
        <v>0.02</v>
      </c>
      <c r="E43" s="326">
        <f>IF(E3="","",E32*$D$43/Proposta!$J$6)</f>
        <v>265.65778333333338</v>
      </c>
      <c r="F43" s="326" t="str">
        <f>IF(F3="","",F32*$D$43/Proposta!$J$6)</f>
        <v/>
      </c>
      <c r="G43" s="326" t="str">
        <f>IF(G3="","",G32*$D$43/Proposta!$J$6)</f>
        <v/>
      </c>
      <c r="H43" s="326" t="str">
        <f>IF(H3="","",H32*$D$43/Proposta!$J$6)</f>
        <v/>
      </c>
      <c r="I43" s="326" t="str">
        <f>IF(I3="","",I32*$D$43/Proposta!$J$6)</f>
        <v/>
      </c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>
      <c r="B44" s="697" t="s">
        <v>434</v>
      </c>
      <c r="C44" s="319" t="s">
        <v>9</v>
      </c>
      <c r="D44" s="453"/>
      <c r="E44" s="322"/>
      <c r="F44" s="322"/>
      <c r="G44" s="322"/>
      <c r="H44" s="322"/>
      <c r="I44" s="322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>
      <c r="B45" s="698"/>
      <c r="C45" s="336" t="s">
        <v>328</v>
      </c>
      <c r="D45" s="454"/>
      <c r="E45" s="444"/>
      <c r="F45" s="444"/>
      <c r="G45" s="444"/>
      <c r="H45" s="444"/>
      <c r="I45" s="4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>
      <c r="B46" s="698"/>
      <c r="C46" s="353" t="s">
        <v>327</v>
      </c>
      <c r="D46" s="455"/>
      <c r="E46" s="434"/>
      <c r="F46" s="434"/>
      <c r="G46" s="434"/>
      <c r="H46" s="434"/>
      <c r="I46" s="434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>
      <c r="B47" s="699"/>
      <c r="C47" s="321"/>
      <c r="D47" s="321" t="s">
        <v>43</v>
      </c>
      <c r="E47" s="384">
        <f>IF(E3="","",IFERROR((E45/Proposta!$J$6)+E46,0))</f>
        <v>0</v>
      </c>
      <c r="F47" s="384" t="str">
        <f>IF(F3="","",IFERROR((F45/Proposta!$J$6)+F46,0))</f>
        <v/>
      </c>
      <c r="G47" s="384" t="str">
        <f>IF(G3="","",IFERROR((G45/Proposta!$J$6)+G46,0))</f>
        <v/>
      </c>
      <c r="H47" s="384" t="str">
        <f>IF(H3="","",IFERROR((H45/Proposta!$J$6)+H46,0))</f>
        <v/>
      </c>
      <c r="I47" s="384" t="str">
        <f>IF(I3="","",IFERROR((I45/Proposta!$J$6)+I46,0))</f>
        <v/>
      </c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 s="12" customFormat="1">
      <c r="A48" s="86"/>
      <c r="B48" s="103"/>
      <c r="C48" s="105" t="s">
        <v>567</v>
      </c>
      <c r="D48" s="105"/>
      <c r="E48" s="385">
        <f>IF(E3="","",SUM(E37,E38,E42,E43,E47))</f>
        <v>435.37834166666676</v>
      </c>
      <c r="F48" s="385" t="str">
        <f>IF(F3="","",SUM(F37,F38,F42,F43,F47))</f>
        <v/>
      </c>
      <c r="G48" s="385" t="str">
        <f>IF(G3="","",SUM(G37,G38,G42,G43,G47))</f>
        <v/>
      </c>
      <c r="H48" s="385" t="str">
        <f>IF(H3="","",SUM(H37,H38,H42,H43,H47))</f>
        <v/>
      </c>
      <c r="I48" s="385" t="str">
        <f>IF(I3="","",SUM(I37,I38,I42,I43,I47))</f>
        <v/>
      </c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</row>
    <row r="49" spans="1:27">
      <c r="A49" s="44"/>
      <c r="C49" s="42"/>
      <c r="D49" s="43"/>
      <c r="G49" s="41"/>
      <c r="H49" s="41"/>
      <c r="I49" s="41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2" customFormat="1">
      <c r="A50" s="86"/>
      <c r="B50" s="103"/>
      <c r="C50" s="104" t="s">
        <v>568</v>
      </c>
      <c r="D50" s="105"/>
      <c r="E50" s="385"/>
      <c r="F50" s="385"/>
      <c r="G50" s="385"/>
      <c r="H50" s="385"/>
      <c r="I50" s="385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</row>
    <row r="51" spans="1:27">
      <c r="B51" s="700" t="s">
        <v>435</v>
      </c>
      <c r="C51" s="319" t="s">
        <v>324</v>
      </c>
      <c r="D51" s="445">
        <f>IFERROR(($D$53)/D52,"")</f>
        <v>6.6666666666666671E-3</v>
      </c>
      <c r="E51" s="322"/>
      <c r="F51" s="322"/>
      <c r="G51" s="322"/>
      <c r="H51" s="322"/>
      <c r="I51" s="322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</row>
    <row r="52" spans="1:27">
      <c r="B52" s="701"/>
      <c r="C52" s="336" t="s">
        <v>59</v>
      </c>
      <c r="D52" s="446">
        <v>60</v>
      </c>
      <c r="E52" s="444"/>
      <c r="F52" s="444"/>
      <c r="G52" s="444"/>
      <c r="H52" s="444"/>
      <c r="I52" s="4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>
      <c r="B53" s="701"/>
      <c r="C53" s="353" t="s">
        <v>519</v>
      </c>
      <c r="D53" s="447">
        <v>0.4</v>
      </c>
      <c r="E53" s="434">
        <f>IF(E3="","",IFERROR(E32*$D$53,""))</f>
        <v>63757.868000000009</v>
      </c>
      <c r="F53" s="434" t="str">
        <f>IF(F3="","",IFERROR(F32*$D$53,""))</f>
        <v/>
      </c>
      <c r="G53" s="434" t="str">
        <f>IF(G3="","",IFERROR(G32*$D$53,""))</f>
        <v/>
      </c>
      <c r="H53" s="434" t="str">
        <f>IF(H3="","",IFERROR(H32*$D$53,""))</f>
        <v/>
      </c>
      <c r="I53" s="434" t="str">
        <f>IF(I3="","",IFERROR(I32*$D$53,""))</f>
        <v/>
      </c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</row>
    <row r="54" spans="1:27">
      <c r="B54" s="702"/>
      <c r="C54" s="321"/>
      <c r="D54" s="468" t="s">
        <v>43</v>
      </c>
      <c r="E54" s="384">
        <f>IF(E3="","",IFERROR(E32*$D$51,""))</f>
        <v>1062.6311333333335</v>
      </c>
      <c r="F54" s="384" t="str">
        <f>IF(F3="","",IFERROR(F32*$D$51,""))</f>
        <v/>
      </c>
      <c r="G54" s="384" t="str">
        <f>IF(G3="","",IFERROR(G32*$D$51,""))</f>
        <v/>
      </c>
      <c r="H54" s="384" t="str">
        <f>IF(H3="","",IFERROR(H32*$D$51,""))</f>
        <v/>
      </c>
      <c r="I54" s="384" t="str">
        <f>IF(I3="","",IFERROR(I32*$D$51,""))</f>
        <v/>
      </c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B55" s="700" t="s">
        <v>436</v>
      </c>
      <c r="C55" s="319" t="s">
        <v>8</v>
      </c>
      <c r="D55" s="445"/>
      <c r="E55" s="322"/>
      <c r="F55" s="322"/>
      <c r="G55" s="322"/>
      <c r="H55" s="322"/>
      <c r="I55" s="322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</row>
    <row r="56" spans="1:27">
      <c r="B56" s="701"/>
      <c r="C56" s="336" t="s">
        <v>557</v>
      </c>
      <c r="D56" s="505">
        <v>0.105</v>
      </c>
      <c r="E56" s="444"/>
      <c r="F56" s="444"/>
      <c r="G56" s="444"/>
      <c r="H56" s="444"/>
      <c r="I56" s="444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7">
      <c r="B57" s="701"/>
      <c r="C57" s="353" t="s">
        <v>563</v>
      </c>
      <c r="D57" s="447">
        <f>ROUND(POWER((100%+D56),1/12)-100%,4)</f>
        <v>8.3999999999999995E-3</v>
      </c>
      <c r="E57" s="434"/>
      <c r="F57" s="434"/>
      <c r="G57" s="434"/>
      <c r="H57" s="434"/>
      <c r="I57" s="434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</row>
    <row r="58" spans="1:27">
      <c r="B58" s="702"/>
      <c r="C58" s="321"/>
      <c r="D58" s="468" t="s">
        <v>43</v>
      </c>
      <c r="E58" s="384">
        <f>IF(E3="","",IFERROR(E32*$D$57,""))</f>
        <v>1338.9152280000001</v>
      </c>
      <c r="F58" s="384" t="str">
        <f>IF(F3="","",IFERROR(F32*$D$57,""))</f>
        <v/>
      </c>
      <c r="G58" s="384" t="str">
        <f>IF(G3="","",IFERROR(G32*$D$57,""))</f>
        <v/>
      </c>
      <c r="H58" s="384" t="str">
        <f>IF(H3="","",IFERROR(H32*$D$57,""))</f>
        <v/>
      </c>
      <c r="I58" s="384" t="str">
        <f>IF(I3="","",IFERROR(I32*$D$57,""))</f>
        <v/>
      </c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</row>
    <row r="59" spans="1:27" s="12" customFormat="1">
      <c r="A59" s="86"/>
      <c r="B59" s="103"/>
      <c r="C59" s="105" t="s">
        <v>569</v>
      </c>
      <c r="D59" s="105"/>
      <c r="E59" s="385">
        <f>IF(E3="","",SUM(E58,E54))</f>
        <v>2401.5463613333336</v>
      </c>
      <c r="F59" s="385" t="str">
        <f>IF(F3="","",SUM(F58,F54))</f>
        <v/>
      </c>
      <c r="G59" s="385" t="str">
        <f>IF(G3="","",SUM(G58,G54))</f>
        <v/>
      </c>
      <c r="H59" s="385" t="str">
        <f>IF(H3="","",SUM(H58,H54))</f>
        <v/>
      </c>
      <c r="I59" s="385" t="str">
        <f>IF(I3="","",SUM(I58,I54))</f>
        <v/>
      </c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</row>
    <row r="60" spans="1:27">
      <c r="B60"/>
      <c r="C60"/>
      <c r="D60"/>
      <c r="E60"/>
      <c r="F60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</row>
    <row r="61" spans="1:27">
      <c r="B61" s="103"/>
      <c r="C61" s="104" t="s">
        <v>570</v>
      </c>
      <c r="D61" s="105"/>
      <c r="E61" s="385"/>
      <c r="F61" s="385"/>
      <c r="G61" s="385"/>
      <c r="H61" s="385"/>
      <c r="I61" s="385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27" ht="3.75" customHeight="1">
      <c r="B62"/>
      <c r="C62"/>
      <c r="D62"/>
      <c r="E62"/>
      <c r="F62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</row>
    <row r="63" spans="1:27">
      <c r="B63" s="181"/>
      <c r="C63" s="182" t="s">
        <v>571</v>
      </c>
      <c r="D63" s="183"/>
      <c r="E63" s="186"/>
      <c r="F63" s="186"/>
      <c r="G63" s="186"/>
      <c r="H63" s="186"/>
      <c r="I63" s="18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</row>
    <row r="64" spans="1:27">
      <c r="B64" s="101" t="s">
        <v>2</v>
      </c>
      <c r="C64" s="102" t="s">
        <v>279</v>
      </c>
      <c r="D64" s="421">
        <f>'Mão de Obra'!D155</f>
        <v>0.05</v>
      </c>
      <c r="E64" s="113">
        <f>IF(E3="","",IFERROR(ROUND($D64*E$88,2),""))</f>
        <v>199.16</v>
      </c>
      <c r="F64" s="113" t="str">
        <f>IF(F3="","",IFERROR(ROUND($D64*F$88,2),""))</f>
        <v/>
      </c>
      <c r="G64" s="113" t="str">
        <f>IF(G3="","",IFERROR(ROUND($D64*G$88,2),""))</f>
        <v/>
      </c>
      <c r="H64" s="113" t="str">
        <f>IF(H3="","",IFERROR(ROUND($D64*H$88,2),""))</f>
        <v/>
      </c>
      <c r="I64" s="113" t="str">
        <f>IF(I3="","",IFERROR(ROUND($D64*I$88,2),""))</f>
        <v/>
      </c>
      <c r="J64" s="47"/>
      <c r="K64" s="50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</row>
    <row r="65" spans="2:27">
      <c r="B65" s="101" t="s">
        <v>1</v>
      </c>
      <c r="C65" s="102" t="s">
        <v>280</v>
      </c>
      <c r="D65" s="421">
        <f>'Mão de Obra'!D156</f>
        <v>0.1</v>
      </c>
      <c r="E65" s="113">
        <f>IF(E4="","",IFERROR(ROUND($D65*SUM(E$64,E$88),2),""))</f>
        <v>418.23</v>
      </c>
      <c r="F65" s="113" t="str">
        <f>IF(F4="","",IFERROR(ROUND($D65*SUM(F$64,F$88),2),""))</f>
        <v/>
      </c>
      <c r="G65" s="113" t="str">
        <f>IF(G4="","",IFERROR(ROUND($D65*SUM(G$64,G$88),2),""))</f>
        <v/>
      </c>
      <c r="H65" s="113" t="str">
        <f>IF(H4="","",IFERROR(ROUND($D65*SUM(H$64,H$88),2),""))</f>
        <v/>
      </c>
      <c r="I65" s="113" t="str">
        <f>IF(I4="","",IFERROR(ROUND($D65*SUM(I$64,I$88),2),""))</f>
        <v/>
      </c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</row>
    <row r="66" spans="2:27">
      <c r="B66" s="181"/>
      <c r="C66" s="182" t="s">
        <v>572</v>
      </c>
      <c r="D66" s="185"/>
      <c r="E66" s="186">
        <f>IF(E3="","",SUM(E64:E65))</f>
        <v>617.39</v>
      </c>
      <c r="F66" s="186" t="str">
        <f>IF(F3="","",SUM(F64:F65))</f>
        <v/>
      </c>
      <c r="G66" s="186" t="str">
        <f>IF(G3="","",SUM(G64:G65))</f>
        <v/>
      </c>
      <c r="H66" s="186" t="str">
        <f>IF(H3="","",SUM(H64:H65))</f>
        <v/>
      </c>
      <c r="I66" s="186" t="str">
        <f>IF(I3="","",SUM(I64:I65))</f>
        <v/>
      </c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</row>
    <row r="67" spans="2:27" ht="3.75" customHeight="1">
      <c r="B67"/>
      <c r="C67"/>
      <c r="D67"/>
      <c r="E67"/>
      <c r="F6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</row>
    <row r="68" spans="2:27">
      <c r="B68" s="181"/>
      <c r="C68" s="182" t="s">
        <v>573</v>
      </c>
      <c r="D68" s="183"/>
      <c r="E68" s="186"/>
      <c r="F68" s="186"/>
      <c r="G68" s="186"/>
      <c r="H68" s="186"/>
      <c r="I68" s="186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2:27">
      <c r="B69" s="101" t="s">
        <v>2</v>
      </c>
      <c r="C69" s="102" t="s">
        <v>45</v>
      </c>
      <c r="D69" s="421">
        <f>'Mão de Obra'!D160</f>
        <v>0.03</v>
      </c>
      <c r="E69" s="113">
        <f t="shared" ref="E69:I70" si="3">IF(E$3="","",IFERROR(ROUND(SUM(E$88,E$66)*$D69/(1-SUM($D$69:$D$74,E$72)),2),""))</f>
        <v>147.06</v>
      </c>
      <c r="F69" s="113" t="str">
        <f t="shared" si="3"/>
        <v/>
      </c>
      <c r="G69" s="113" t="str">
        <f t="shared" si="3"/>
        <v/>
      </c>
      <c r="H69" s="113" t="str">
        <f t="shared" si="3"/>
        <v/>
      </c>
      <c r="I69" s="113" t="str">
        <f t="shared" si="3"/>
        <v/>
      </c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</row>
    <row r="70" spans="2:27">
      <c r="B70" s="101" t="s">
        <v>1</v>
      </c>
      <c r="C70" s="102" t="s">
        <v>135</v>
      </c>
      <c r="D70" s="421">
        <f>'Mão de Obra'!D161</f>
        <v>6.4999999999999997E-3</v>
      </c>
      <c r="E70" s="113">
        <f t="shared" si="3"/>
        <v>31.86</v>
      </c>
      <c r="F70" s="113" t="str">
        <f t="shared" si="3"/>
        <v/>
      </c>
      <c r="G70" s="113" t="str">
        <f t="shared" si="3"/>
        <v/>
      </c>
      <c r="H70" s="113" t="str">
        <f t="shared" si="3"/>
        <v/>
      </c>
      <c r="I70" s="113" t="str">
        <f t="shared" si="3"/>
        <v/>
      </c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</row>
    <row r="71" spans="2:27">
      <c r="B71" s="669" t="s">
        <v>0</v>
      </c>
      <c r="C71" s="172" t="s">
        <v>46</v>
      </c>
      <c r="D71" s="423"/>
      <c r="E71" s="161"/>
      <c r="F71" s="161"/>
      <c r="G71" s="161"/>
      <c r="H71" s="161"/>
      <c r="I71" s="161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</row>
    <row r="72" spans="2:27">
      <c r="B72" s="670"/>
      <c r="C72" s="353" t="s">
        <v>449</v>
      </c>
      <c r="D72" s="447"/>
      <c r="E72" s="471">
        <v>2.5000000000000001E-2</v>
      </c>
      <c r="F72" s="471">
        <v>2.5000000000000001E-2</v>
      </c>
      <c r="G72" s="471">
        <v>2.5000000000000001E-2</v>
      </c>
      <c r="H72" s="471">
        <v>2.5000000000000001E-2</v>
      </c>
      <c r="I72" s="471">
        <v>2.5000000000000001E-2</v>
      </c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</row>
    <row r="73" spans="2:27">
      <c r="B73" s="671"/>
      <c r="C73" s="321"/>
      <c r="D73" s="468" t="s">
        <v>43</v>
      </c>
      <c r="E73" s="384">
        <f>IF(E$3="","",IFERROR(ROUND(SUM(E$88,E$66)*$E72/(1-SUM($D$69:$D$74,E$72)),2),""))</f>
        <v>122.55</v>
      </c>
      <c r="F73" s="384" t="str">
        <f>IF(F$3="","",IFERROR(ROUND(SUM(F$88,F$66)*$E72/(1-SUM($D$69:$D$74,F$72)),2),""))</f>
        <v/>
      </c>
      <c r="G73" s="384" t="str">
        <f>IF(G$3="","",IFERROR(ROUND(SUM(G$88,G$66)*$E72/(1-SUM($D$69:$D$74,G$72)),2),""))</f>
        <v/>
      </c>
      <c r="H73" s="384" t="str">
        <f>IF(H$3="","",IFERROR(ROUND(SUM(H$88,H$66)*$E72/(1-SUM($D$69:$D$74,H$72)),2),""))</f>
        <v/>
      </c>
      <c r="I73" s="384" t="str">
        <f>IF(I$3="","",IFERROR(ROUND(SUM(I$88,I$66)*$E72/(1-SUM($D$69:$D$74,I$72)),2),""))</f>
        <v/>
      </c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2:27">
      <c r="B74" s="413" t="s">
        <v>3</v>
      </c>
      <c r="C74" s="414" t="s">
        <v>394</v>
      </c>
      <c r="D74" s="421">
        <f>'Mão de Obra'!D165</f>
        <v>0</v>
      </c>
      <c r="E74" s="113">
        <f>IF(E$3="","",IFERROR(ROUND(SUM(E$88,E$66)*$D74/(1-SUM($D$69:$D$74,E$72)),2),""))</f>
        <v>0</v>
      </c>
      <c r="F74" s="113" t="str">
        <f>IF(F$3="","",IFERROR(ROUND(SUM(F$88,F$66)*$D74/(1-SUM($D$69:$D$74,F$72)),2),""))</f>
        <v/>
      </c>
      <c r="G74" s="113" t="str">
        <f>IF(G$3="","",IFERROR(ROUND(SUM(G$88,G$66)*$D74/(1-SUM($D$69:$D$74,G$72)),2),""))</f>
        <v/>
      </c>
      <c r="H74" s="113" t="str">
        <f>IF(H$3="","",IFERROR(ROUND(SUM(H$88,H$66)*$D74/(1-SUM($D$69:$D$74,H$72)),2),""))</f>
        <v/>
      </c>
      <c r="I74" s="113" t="str">
        <f>IF(I$3="","",IFERROR(ROUND(SUM(I$88,I$66)*$D74/(1-SUM($D$69:$D$74,I$72)),2),""))</f>
        <v/>
      </c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</row>
    <row r="75" spans="2:27">
      <c r="B75" s="181"/>
      <c r="C75" s="182" t="s">
        <v>574</v>
      </c>
      <c r="D75" s="185"/>
      <c r="E75" s="202">
        <f>IF(E4="","",SUM(E69:E70,E73:E74))</f>
        <v>301.47000000000003</v>
      </c>
      <c r="F75" s="202" t="str">
        <f>IF(F4="","",SUM(F69:F70,F73:F74))</f>
        <v/>
      </c>
      <c r="G75" s="202" t="str">
        <f>IF(G4="","",SUM(G69:G70,G73:G74))</f>
        <v/>
      </c>
      <c r="H75" s="202" t="str">
        <f>IF(H4="","",SUM(H69:H70,H73:H74))</f>
        <v/>
      </c>
      <c r="I75" s="202" t="str">
        <f>IF(I4="","",SUM(I69:I70,I73:I74))</f>
        <v/>
      </c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</row>
    <row r="76" spans="2:27" ht="3.75" customHeight="1">
      <c r="B76"/>
      <c r="C76"/>
      <c r="D76"/>
      <c r="E76"/>
      <c r="F76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</row>
    <row r="77" spans="2:27">
      <c r="B77" s="169"/>
      <c r="C77" s="104" t="s">
        <v>575</v>
      </c>
      <c r="D77" s="165"/>
      <c r="E77" s="167">
        <f>IF(E$3="","",SUM(E75,E66))</f>
        <v>918.86</v>
      </c>
      <c r="F77" s="167" t="str">
        <f>IF(F$3="","",SUM(F75,F66))</f>
        <v/>
      </c>
      <c r="G77" s="167" t="str">
        <f>IF(G$3="","",SUM(G75,G66))</f>
        <v/>
      </c>
      <c r="H77" s="167" t="str">
        <f>IF(H$3="","",SUM(H75,H66))</f>
        <v/>
      </c>
      <c r="I77" s="167" t="str">
        <f>IF(I$3="","",SUM(I75,I66))</f>
        <v/>
      </c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</row>
    <row r="78" spans="2:27"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</row>
    <row r="79" spans="2:27">
      <c r="B79" s="103"/>
      <c r="C79" s="104" t="s">
        <v>513</v>
      </c>
      <c r="D79" s="105"/>
      <c r="E79" s="385"/>
      <c r="F79" s="385"/>
      <c r="G79" s="385"/>
      <c r="H79" s="385"/>
      <c r="I79" s="385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>
      <c r="B81" s="181"/>
      <c r="C81" s="182" t="s">
        <v>539</v>
      </c>
      <c r="D81" s="303"/>
      <c r="E81" s="417"/>
      <c r="F81" s="417"/>
      <c r="G81" s="417"/>
      <c r="H81" s="417"/>
      <c r="I81" s="41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</row>
    <row r="82" spans="2:27">
      <c r="B82" s="101" t="s">
        <v>2</v>
      </c>
      <c r="C82" s="102" t="s">
        <v>540</v>
      </c>
      <c r="D82" s="187"/>
      <c r="E82" s="113">
        <f>IFERROR(ROUND(E34*(1+E89/E88),2)/E5,"")</f>
        <v>1.1284879999999999</v>
      </c>
      <c r="F82" s="113" t="str">
        <f t="shared" ref="F82:I82" si="4">IFERROR(ROUND(F34*(1+F89/F88),2)/F5,"")</f>
        <v/>
      </c>
      <c r="G82" s="113" t="str">
        <f t="shared" si="4"/>
        <v/>
      </c>
      <c r="H82" s="113" t="str">
        <f t="shared" si="4"/>
        <v/>
      </c>
      <c r="I82" s="113" t="str">
        <f t="shared" si="4"/>
        <v/>
      </c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</row>
    <row r="83" spans="2:27">
      <c r="B83" s="669" t="s">
        <v>1</v>
      </c>
      <c r="C83" s="172" t="s">
        <v>466</v>
      </c>
      <c r="D83" s="423"/>
      <c r="E83" s="161"/>
      <c r="F83" s="161"/>
      <c r="G83" s="161"/>
      <c r="H83" s="161"/>
      <c r="I83" s="161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</row>
    <row r="84" spans="2:27">
      <c r="B84" s="670"/>
      <c r="C84" s="353" t="s">
        <v>541</v>
      </c>
      <c r="D84" s="447"/>
      <c r="E84" s="470">
        <f>IF(E3="","",200)</f>
        <v>200</v>
      </c>
      <c r="F84" s="470" t="str">
        <f t="shared" ref="F84:I84" si="5">IF(F3="","",200)</f>
        <v/>
      </c>
      <c r="G84" s="470" t="str">
        <f t="shared" si="5"/>
        <v/>
      </c>
      <c r="H84" s="470" t="str">
        <f t="shared" si="5"/>
        <v/>
      </c>
      <c r="I84" s="470" t="str">
        <f t="shared" si="5"/>
        <v/>
      </c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</row>
    <row r="85" spans="2:27">
      <c r="B85" s="671"/>
      <c r="C85" s="321"/>
      <c r="D85" s="468" t="s">
        <v>43</v>
      </c>
      <c r="E85" s="469">
        <f>IFERROR(ROUND(SUM(E48,E59)*(1+E89/E88),2)/E84,"")</f>
        <v>17.456849999999999</v>
      </c>
      <c r="F85" s="469" t="str">
        <f t="shared" ref="F85:I85" si="6">IFERROR(ROUND(SUM(F48,F59)*(1+F89/F88),2)/F84,"")</f>
        <v/>
      </c>
      <c r="G85" s="469" t="str">
        <f t="shared" si="6"/>
        <v/>
      </c>
      <c r="H85" s="469" t="str">
        <f t="shared" si="6"/>
        <v/>
      </c>
      <c r="I85" s="469" t="str">
        <f t="shared" si="6"/>
        <v/>
      </c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</row>
    <row r="87" spans="2:27">
      <c r="B87" s="181"/>
      <c r="C87" s="182" t="s">
        <v>511</v>
      </c>
      <c r="D87" s="303"/>
      <c r="E87" s="417"/>
      <c r="F87" s="417"/>
      <c r="G87" s="417"/>
      <c r="H87" s="417"/>
      <c r="I87" s="41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</row>
    <row r="88" spans="2:27">
      <c r="B88" s="101" t="s">
        <v>2</v>
      </c>
      <c r="C88" s="102" t="s">
        <v>512</v>
      </c>
      <c r="D88" s="187"/>
      <c r="E88" s="113">
        <f>IF(E3="","",ROUND(SUM(E59,E48,E34),2))</f>
        <v>3983.12</v>
      </c>
      <c r="F88" s="113" t="str">
        <f>IF(F3="","",ROUND(SUM(F59,F48,F34),2))</f>
        <v/>
      </c>
      <c r="G88" s="113" t="str">
        <f>IF(G3="","",ROUND(SUM(G59,G48,G34),2))</f>
        <v/>
      </c>
      <c r="H88" s="113" t="str">
        <f>IF(H3="","",ROUND(SUM(H59,H48,H34),2))</f>
        <v/>
      </c>
      <c r="I88" s="113" t="str">
        <f>IF(I3="","",ROUND(SUM(I59,I48,I34),2))</f>
        <v/>
      </c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</row>
    <row r="89" spans="2:27">
      <c r="B89" s="101" t="s">
        <v>1</v>
      </c>
      <c r="C89" s="102" t="s">
        <v>468</v>
      </c>
      <c r="D89" s="187"/>
      <c r="E89" s="113">
        <f>IFERROR(ROUND(E77,2),"")</f>
        <v>918.86</v>
      </c>
      <c r="F89" s="113" t="str">
        <f t="shared" ref="F89:I89" si="7">IFERROR(ROUND(F77,2),"")</f>
        <v/>
      </c>
      <c r="G89" s="113" t="str">
        <f t="shared" si="7"/>
        <v/>
      </c>
      <c r="H89" s="113" t="str">
        <f t="shared" si="7"/>
        <v/>
      </c>
      <c r="I89" s="113" t="str">
        <f t="shared" si="7"/>
        <v/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</row>
    <row r="90" spans="2:27">
      <c r="B90" s="101" t="s">
        <v>0</v>
      </c>
      <c r="C90" s="102" t="s">
        <v>469</v>
      </c>
      <c r="D90" s="187"/>
      <c r="E90" s="113">
        <f>IF(E3="","",IFERROR(SUM(E88:E89),2))</f>
        <v>4901.9799999999996</v>
      </c>
      <c r="F90" s="113" t="str">
        <f>IF(F3="","",IFERROR(SUM(F88:F89),2))</f>
        <v/>
      </c>
      <c r="G90" s="113" t="str">
        <f>IF(G3="","",IFERROR(SUM(G88:G89),2))</f>
        <v/>
      </c>
      <c r="H90" s="113" t="str">
        <f>IF(H3="","",IFERROR(SUM(H88:H89),2))</f>
        <v/>
      </c>
      <c r="I90" s="113" t="str">
        <f>IF(I3="","",IFERROR(SUM(I88:I89),2))</f>
        <v/>
      </c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</row>
    <row r="92" spans="2:27">
      <c r="B92" s="181"/>
      <c r="C92" s="182" t="s">
        <v>510</v>
      </c>
      <c r="D92" s="303"/>
      <c r="E92" s="417"/>
      <c r="F92" s="417"/>
      <c r="G92" s="417"/>
      <c r="H92" s="417"/>
      <c r="I92" s="41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</row>
    <row r="93" spans="2:27">
      <c r="B93" s="101" t="s">
        <v>2</v>
      </c>
      <c r="C93" s="102" t="s">
        <v>512</v>
      </c>
      <c r="D93" s="187"/>
      <c r="E93" s="113">
        <f>IF(E$3="","",ROUND(E88*E$4,2))</f>
        <v>3983.12</v>
      </c>
      <c r="F93" s="113" t="str">
        <f t="shared" ref="F93:I93" si="8">IF(F$3="","",ROUND(F88*F$4,2))</f>
        <v/>
      </c>
      <c r="G93" s="113" t="str">
        <f t="shared" si="8"/>
        <v/>
      </c>
      <c r="H93" s="113" t="str">
        <f t="shared" si="8"/>
        <v/>
      </c>
      <c r="I93" s="113" t="str">
        <f t="shared" si="8"/>
        <v/>
      </c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</row>
    <row r="94" spans="2:27">
      <c r="B94" s="101" t="s">
        <v>1</v>
      </c>
      <c r="C94" s="102" t="s">
        <v>468</v>
      </c>
      <c r="D94" s="187"/>
      <c r="E94" s="113">
        <f>IF(E$3="","",ROUND(E89*E$4,2))</f>
        <v>918.86</v>
      </c>
      <c r="F94" s="113" t="str">
        <f t="shared" ref="F94:I94" si="9">IF(F$3="","",ROUND(F89*F$4,2))</f>
        <v/>
      </c>
      <c r="G94" s="113" t="str">
        <f t="shared" si="9"/>
        <v/>
      </c>
      <c r="H94" s="113" t="str">
        <f t="shared" si="9"/>
        <v/>
      </c>
      <c r="I94" s="113" t="str">
        <f t="shared" si="9"/>
        <v/>
      </c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</row>
    <row r="95" spans="2:27">
      <c r="B95" s="101" t="s">
        <v>0</v>
      </c>
      <c r="C95" s="102" t="s">
        <v>469</v>
      </c>
      <c r="D95" s="187"/>
      <c r="E95" s="113">
        <f>IF(E$3="","",ROUND(E90*E$4,2))</f>
        <v>4901.9799999999996</v>
      </c>
      <c r="F95" s="113" t="str">
        <f t="shared" ref="F95:I95" si="10">IF(F$3="","",ROUND(F90*F$4,2))</f>
        <v/>
      </c>
      <c r="G95" s="113" t="str">
        <f t="shared" si="10"/>
        <v/>
      </c>
      <c r="H95" s="113" t="str">
        <f t="shared" si="10"/>
        <v/>
      </c>
      <c r="I95" s="113" t="str">
        <f t="shared" si="10"/>
        <v/>
      </c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</row>
    <row r="96" spans="2:27">
      <c r="B96" s="101" t="s">
        <v>3</v>
      </c>
      <c r="C96" s="102" t="s">
        <v>472</v>
      </c>
      <c r="D96" s="187"/>
      <c r="E96" s="113">
        <f>IF(E3="","",IFERROR(ROUND(E95*Proposta!$J$6,2),""))</f>
        <v>58823.76</v>
      </c>
      <c r="F96" s="113" t="str">
        <f>IF(F3="","",IFERROR(ROUND(F95*Proposta!$J$6,2),""))</f>
        <v/>
      </c>
      <c r="G96" s="113" t="str">
        <f>IF(G3="","",IFERROR(ROUND(G95*Proposta!$J$6,2),""))</f>
        <v/>
      </c>
      <c r="H96" s="113" t="str">
        <f>IF(H3="","",IFERROR(ROUND(H95*Proposta!$J$6,2),""))</f>
        <v/>
      </c>
      <c r="I96" s="113" t="str">
        <f>IF(I3="","",IFERROR(ROUND(I95*Proposta!$J$6,2),""))</f>
        <v/>
      </c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100-000000000000}">
      <formula1>"Etanol,Gasolina,Diesel,Elétrico"</formula1>
    </dataValidation>
    <dataValidation showInputMessage="1" sqref="D73 D54:D56 D85 D58" xr:uid="{00000000-0002-0000-01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6"/>
  <dimension ref="B1:EO169"/>
  <sheetViews>
    <sheetView showGridLines="0" zoomScaleNormal="100" workbookViewId="0">
      <pane ySplit="3" topLeftCell="A4" activePane="bottomLeft" state="frozen"/>
      <selection pane="bottomLeft" activeCell="D8" sqref="D8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12" width="14.7109375" customWidth="1"/>
    <col min="13" max="13" width="9.140625" style="47" customWidth="1"/>
    <col min="14" max="145" width="9.140625" style="47"/>
  </cols>
  <sheetData>
    <row r="1" spans="2:12" ht="9.75" customHeight="1"/>
    <row r="2" spans="2:12">
      <c r="B2" s="420" t="s">
        <v>444</v>
      </c>
      <c r="C2" s="420"/>
      <c r="D2" s="420"/>
      <c r="E2" s="420"/>
      <c r="F2" s="420"/>
      <c r="H2" s="472" t="s">
        <v>496</v>
      </c>
      <c r="I2" s="472"/>
      <c r="J2" s="473"/>
      <c r="K2" s="475"/>
      <c r="L2" s="474"/>
    </row>
    <row r="3" spans="2:12">
      <c r="B3" s="419" t="s">
        <v>236</v>
      </c>
      <c r="C3" s="419" t="s">
        <v>482</v>
      </c>
      <c r="D3" s="419" t="s">
        <v>42</v>
      </c>
      <c r="E3" s="419" t="s">
        <v>483</v>
      </c>
      <c r="F3" s="419" t="s">
        <v>43</v>
      </c>
      <c r="H3" s="419" t="str">
        <f xml:space="preserve">
IF(IFERROR(SUM(#REF!)&gt;0,FALSE()),#REF!,'Mão de Obra'!E17)</f>
        <v>Posto A</v>
      </c>
      <c r="I3" s="419" t="str">
        <f xml:space="preserve">
IF(IFERROR(SUM(#REF!)&gt;0,FALSE()),#REF!,'Mão de Obra'!F17)</f>
        <v>Posto B</v>
      </c>
      <c r="J3" s="419" t="str">
        <f xml:space="preserve">
IF(IFERROR(SUM(#REF!)&gt;0,FALSE()),#REF!,'Mão de Obra'!G17)</f>
        <v>Posto C</v>
      </c>
      <c r="K3" s="419" t="str">
        <f xml:space="preserve">
IF(IFERROR(SUM(#REF!)&gt;0,FALSE()),#REF!,'Mão de Obra'!H17)</f>
        <v>Posto D</v>
      </c>
      <c r="L3" s="419" t="str">
        <f xml:space="preserve">
IF(IFERROR(SUM(#REF!)&gt;0,FALSE()),#REF!,'Mão de Obra'!I17)</f>
        <v>Posto E</v>
      </c>
    </row>
    <row r="4" spans="2:12" s="47" customFormat="1"/>
    <row r="5" spans="2:12" s="47" customFormat="1">
      <c r="B5" s="259">
        <v>1</v>
      </c>
      <c r="C5" s="260"/>
      <c r="D5" s="261"/>
      <c r="E5" s="259"/>
      <c r="F5" s="262"/>
      <c r="G5"/>
      <c r="H5" s="259"/>
      <c r="I5" s="259"/>
      <c r="J5" s="259"/>
      <c r="K5" s="259"/>
      <c r="L5" s="259"/>
    </row>
    <row r="6" spans="2:12" s="47" customFormat="1">
      <c r="B6" s="259">
        <v>2</v>
      </c>
      <c r="C6" s="260"/>
      <c r="D6" s="261"/>
      <c r="E6" s="259"/>
      <c r="F6" s="262"/>
      <c r="G6"/>
      <c r="H6" s="259"/>
      <c r="I6" s="259"/>
      <c r="J6" s="259"/>
      <c r="K6" s="259"/>
      <c r="L6" s="259"/>
    </row>
    <row r="7" spans="2:12" s="47" customFormat="1">
      <c r="B7" s="259">
        <v>3</v>
      </c>
      <c r="C7" s="260"/>
      <c r="D7" s="261"/>
      <c r="E7" s="259"/>
      <c r="F7" s="262"/>
      <c r="G7"/>
      <c r="H7" s="259"/>
      <c r="I7" s="259"/>
      <c r="J7" s="259"/>
      <c r="K7" s="259"/>
      <c r="L7" s="259"/>
    </row>
    <row r="8" spans="2:12" s="47" customFormat="1">
      <c r="B8" s="259">
        <v>4</v>
      </c>
      <c r="C8" s="260"/>
      <c r="D8" s="261"/>
      <c r="E8" s="259"/>
      <c r="F8" s="262"/>
      <c r="G8"/>
      <c r="H8" s="259"/>
      <c r="I8" s="259"/>
      <c r="J8" s="259"/>
      <c r="K8" s="259"/>
      <c r="L8" s="259"/>
    </row>
    <row r="9" spans="2:12" s="47" customFormat="1">
      <c r="B9" s="259">
        <v>5</v>
      </c>
      <c r="C9" s="260"/>
      <c r="D9" s="261"/>
      <c r="E9" s="259"/>
      <c r="F9" s="262"/>
      <c r="G9"/>
      <c r="H9" s="259"/>
      <c r="I9" s="259"/>
      <c r="J9" s="259"/>
      <c r="K9" s="259"/>
      <c r="L9" s="259"/>
    </row>
    <row r="10" spans="2:12" s="47" customFormat="1">
      <c r="B10" s="259">
        <v>6</v>
      </c>
      <c r="C10" s="260"/>
      <c r="D10" s="261"/>
      <c r="E10" s="259"/>
      <c r="F10" s="262"/>
      <c r="G10"/>
      <c r="H10" s="259"/>
      <c r="I10" s="259"/>
      <c r="J10" s="259"/>
      <c r="K10" s="259"/>
      <c r="L10" s="259"/>
    </row>
    <row r="11" spans="2:12" s="47" customFormat="1">
      <c r="B11" s="259">
        <v>7</v>
      </c>
      <c r="C11" s="260"/>
      <c r="D11" s="261"/>
      <c r="E11" s="259"/>
      <c r="F11" s="262"/>
      <c r="G11"/>
      <c r="H11" s="259"/>
      <c r="I11" s="259"/>
      <c r="J11" s="259"/>
      <c r="K11" s="259"/>
      <c r="L11" s="259"/>
    </row>
    <row r="12" spans="2:12" s="47" customFormat="1">
      <c r="B12" s="259">
        <v>8</v>
      </c>
      <c r="C12" s="260"/>
      <c r="D12" s="261"/>
      <c r="E12" s="259"/>
      <c r="F12" s="262"/>
      <c r="G12"/>
      <c r="H12" s="259"/>
      <c r="I12" s="259"/>
      <c r="J12" s="259"/>
      <c r="K12" s="259"/>
      <c r="L12" s="259"/>
    </row>
    <row r="13" spans="2:12" s="47" customFormat="1">
      <c r="B13" s="259">
        <v>9</v>
      </c>
      <c r="C13" s="260"/>
      <c r="D13" s="261"/>
      <c r="E13" s="259"/>
      <c r="F13" s="262"/>
      <c r="G13"/>
      <c r="H13" s="259"/>
      <c r="I13" s="259"/>
      <c r="J13" s="259"/>
      <c r="K13" s="259"/>
      <c r="L13" s="259"/>
    </row>
    <row r="14" spans="2:12" s="47" customFormat="1">
      <c r="B14" s="259">
        <v>10</v>
      </c>
      <c r="C14" s="260"/>
      <c r="D14" s="261"/>
      <c r="E14" s="259"/>
      <c r="F14" s="262"/>
      <c r="G14"/>
      <c r="H14" s="259"/>
      <c r="I14" s="259"/>
      <c r="J14" s="259"/>
      <c r="K14" s="259"/>
      <c r="L14" s="259"/>
    </row>
    <row r="15" spans="2:12">
      <c r="B15" s="259">
        <v>11</v>
      </c>
      <c r="C15" s="260"/>
      <c r="D15" s="261"/>
      <c r="E15" s="259"/>
      <c r="F15" s="262"/>
      <c r="H15" s="259"/>
      <c r="I15" s="259"/>
      <c r="J15" s="259"/>
      <c r="K15" s="259"/>
      <c r="L15" s="259"/>
    </row>
    <row r="16" spans="2:12">
      <c r="B16" s="259">
        <v>12</v>
      </c>
      <c r="C16" s="260"/>
      <c r="D16" s="261"/>
      <c r="E16" s="259"/>
      <c r="F16" s="262"/>
      <c r="H16" s="259"/>
      <c r="I16" s="259"/>
      <c r="J16" s="259"/>
      <c r="K16" s="259"/>
      <c r="L16" s="259"/>
    </row>
    <row r="17" spans="2:12">
      <c r="B17" s="259">
        <v>13</v>
      </c>
      <c r="C17" s="260"/>
      <c r="D17" s="261"/>
      <c r="E17" s="259"/>
      <c r="F17" s="262"/>
      <c r="H17" s="259"/>
      <c r="I17" s="259"/>
      <c r="J17" s="259"/>
      <c r="K17" s="259"/>
      <c r="L17" s="259"/>
    </row>
    <row r="18" spans="2:12">
      <c r="B18" s="259">
        <v>14</v>
      </c>
      <c r="C18" s="260"/>
      <c r="D18" s="261"/>
      <c r="E18" s="259"/>
      <c r="F18" s="262"/>
      <c r="H18" s="259"/>
      <c r="I18" s="259"/>
      <c r="J18" s="259"/>
      <c r="K18" s="259"/>
      <c r="L18" s="259"/>
    </row>
    <row r="19" spans="2:12">
      <c r="B19" s="259">
        <v>15</v>
      </c>
      <c r="C19" s="260"/>
      <c r="D19" s="261"/>
      <c r="E19" s="259"/>
      <c r="F19" s="262"/>
      <c r="H19" s="259"/>
      <c r="I19" s="259"/>
      <c r="J19" s="259"/>
      <c r="K19" s="259"/>
      <c r="L19" s="259"/>
    </row>
    <row r="20" spans="2:12">
      <c r="B20" s="259">
        <v>16</v>
      </c>
      <c r="C20" s="260"/>
      <c r="D20" s="261"/>
      <c r="E20" s="259"/>
      <c r="F20" s="262"/>
      <c r="H20" s="259"/>
      <c r="I20" s="259"/>
      <c r="J20" s="259"/>
      <c r="K20" s="259"/>
      <c r="L20" s="259"/>
    </row>
    <row r="21" spans="2:12">
      <c r="B21" s="259">
        <v>17</v>
      </c>
      <c r="C21" s="260"/>
      <c r="D21" s="261"/>
      <c r="E21" s="259"/>
      <c r="F21" s="262"/>
      <c r="H21" s="259"/>
      <c r="I21" s="259"/>
      <c r="J21" s="259"/>
      <c r="K21" s="259"/>
      <c r="L21" s="259"/>
    </row>
    <row r="22" spans="2:12">
      <c r="B22" s="259">
        <v>18</v>
      </c>
      <c r="C22" s="260"/>
      <c r="D22" s="261"/>
      <c r="E22" s="259"/>
      <c r="F22" s="262"/>
      <c r="H22" s="259"/>
      <c r="I22" s="259"/>
      <c r="J22" s="259"/>
      <c r="K22" s="259"/>
      <c r="L22" s="259"/>
    </row>
    <row r="23" spans="2:12">
      <c r="B23" s="259">
        <v>19</v>
      </c>
      <c r="C23" s="260"/>
      <c r="D23" s="261"/>
      <c r="E23" s="259"/>
      <c r="F23" s="262"/>
      <c r="H23" s="259"/>
      <c r="I23" s="259"/>
      <c r="J23" s="259"/>
      <c r="K23" s="259"/>
      <c r="L23" s="259"/>
    </row>
    <row r="24" spans="2:12">
      <c r="B24" s="259">
        <v>20</v>
      </c>
      <c r="C24" s="260"/>
      <c r="D24" s="261"/>
      <c r="E24" s="259"/>
      <c r="F24" s="262"/>
      <c r="H24" s="259"/>
      <c r="I24" s="259"/>
      <c r="J24" s="259"/>
      <c r="K24" s="259"/>
      <c r="L24" s="259"/>
    </row>
    <row r="25" spans="2:12" s="47" customFormat="1">
      <c r="C25" s="304"/>
      <c r="E25" s="311"/>
      <c r="G25"/>
    </row>
    <row r="26" spans="2:12" s="47" customFormat="1">
      <c r="C26" s="304"/>
      <c r="E26" s="311"/>
      <c r="F26" s="263" t="s">
        <v>518</v>
      </c>
      <c r="G26"/>
      <c r="H26" s="264">
        <f>IFERROR(ROUND(SUMPRODUCT(H4:H25,$F$4:$F$25),2),"")</f>
        <v>0</v>
      </c>
      <c r="I26" s="264">
        <f>IFERROR(ROUND(SUMPRODUCT(I4:I25,$F$4:$F$25),2),"")</f>
        <v>0</v>
      </c>
      <c r="J26" s="264">
        <f>IFERROR(ROUND(SUMPRODUCT(J4:J25,$F$4:$F$25),2),"")</f>
        <v>0</v>
      </c>
      <c r="K26" s="264">
        <f>IFERROR(ROUND(SUMPRODUCT(K4:K25,$F$4:$F$25),2),"")</f>
        <v>0</v>
      </c>
      <c r="L26" s="264">
        <f>IFERROR(ROUND(SUMPRODUCT(L4:L25,$F$4:$F$25),2),"")</f>
        <v>0</v>
      </c>
    </row>
    <row r="27" spans="2:12" s="47" customFormat="1">
      <c r="C27" s="304"/>
      <c r="E27" s="311"/>
      <c r="G27"/>
    </row>
    <row r="28" spans="2:12" s="47" customFormat="1">
      <c r="C28" s="304"/>
      <c r="E28" s="311"/>
      <c r="G28"/>
    </row>
    <row r="29" spans="2:12" s="47" customFormat="1">
      <c r="C29" s="304"/>
      <c r="E29" s="311"/>
      <c r="G29"/>
    </row>
    <row r="30" spans="2:12" s="47" customFormat="1">
      <c r="C30" s="304"/>
      <c r="E30" s="311"/>
      <c r="G30"/>
    </row>
    <row r="31" spans="2:12" s="47" customFormat="1">
      <c r="C31" s="304"/>
      <c r="E31" s="311"/>
      <c r="G31"/>
    </row>
    <row r="32" spans="2:12" s="47" customFormat="1">
      <c r="C32" s="304"/>
      <c r="E32" s="311"/>
      <c r="G32"/>
    </row>
    <row r="33" spans="3:7" s="47" customFormat="1">
      <c r="C33" s="304"/>
      <c r="E33" s="311"/>
      <c r="G33"/>
    </row>
    <row r="34" spans="3:7" s="47" customFormat="1">
      <c r="C34" s="304"/>
      <c r="E34" s="311"/>
      <c r="G34"/>
    </row>
    <row r="35" spans="3:7" s="47" customFormat="1">
      <c r="C35" s="304"/>
      <c r="E35" s="311"/>
      <c r="G35"/>
    </row>
    <row r="36" spans="3:7" s="47" customFormat="1">
      <c r="C36" s="304"/>
      <c r="E36" s="311"/>
      <c r="G36"/>
    </row>
    <row r="37" spans="3:7" s="47" customFormat="1">
      <c r="C37" s="304"/>
      <c r="E37" s="311"/>
      <c r="G37"/>
    </row>
    <row r="38" spans="3:7" s="47" customFormat="1">
      <c r="C38" s="304"/>
      <c r="E38" s="311"/>
      <c r="G38"/>
    </row>
    <row r="39" spans="3:7" s="47" customFormat="1">
      <c r="C39" s="304"/>
      <c r="E39" s="311"/>
      <c r="G39"/>
    </row>
    <row r="40" spans="3:7" s="47" customFormat="1">
      <c r="C40" s="304"/>
      <c r="E40" s="311"/>
      <c r="G40"/>
    </row>
    <row r="41" spans="3:7" s="47" customFormat="1">
      <c r="C41" s="304"/>
      <c r="E41" s="311"/>
      <c r="G41"/>
    </row>
    <row r="42" spans="3:7" s="47" customFormat="1">
      <c r="C42" s="304"/>
      <c r="E42" s="311"/>
      <c r="G42"/>
    </row>
    <row r="43" spans="3:7" s="47" customFormat="1">
      <c r="C43" s="304"/>
      <c r="E43" s="311"/>
      <c r="G43"/>
    </row>
    <row r="44" spans="3:7" s="47" customFormat="1">
      <c r="C44" s="304"/>
      <c r="E44" s="311"/>
      <c r="G44"/>
    </row>
    <row r="45" spans="3:7" s="47" customFormat="1">
      <c r="C45" s="304"/>
      <c r="E45" s="311"/>
      <c r="G45"/>
    </row>
    <row r="46" spans="3:7" s="47" customFormat="1">
      <c r="C46" s="304"/>
      <c r="E46" s="311"/>
      <c r="G46"/>
    </row>
    <row r="47" spans="3:7" s="47" customFormat="1">
      <c r="C47" s="304"/>
      <c r="E47" s="311"/>
      <c r="G47"/>
    </row>
    <row r="48" spans="3:7" s="47" customFormat="1">
      <c r="C48" s="304"/>
      <c r="E48" s="311"/>
      <c r="G48"/>
    </row>
    <row r="49" spans="3:7" s="47" customFormat="1">
      <c r="C49" s="304"/>
      <c r="E49" s="311"/>
      <c r="G49"/>
    </row>
    <row r="50" spans="3:7" s="47" customFormat="1">
      <c r="C50" s="304"/>
      <c r="E50" s="311"/>
      <c r="G50"/>
    </row>
    <row r="51" spans="3:7" s="47" customFormat="1">
      <c r="C51" s="304"/>
      <c r="E51" s="311"/>
      <c r="G51"/>
    </row>
    <row r="52" spans="3:7" s="47" customFormat="1">
      <c r="C52" s="304"/>
      <c r="E52" s="311"/>
      <c r="G52"/>
    </row>
    <row r="53" spans="3:7" s="47" customFormat="1">
      <c r="C53" s="304"/>
      <c r="E53" s="311"/>
      <c r="G53"/>
    </row>
    <row r="54" spans="3:7" s="47" customFormat="1">
      <c r="C54" s="304"/>
      <c r="E54" s="311"/>
      <c r="G54"/>
    </row>
    <row r="55" spans="3:7" s="47" customFormat="1">
      <c r="C55" s="304"/>
      <c r="E55" s="311"/>
      <c r="G55"/>
    </row>
    <row r="56" spans="3:7" s="47" customFormat="1">
      <c r="C56" s="304"/>
      <c r="E56" s="311"/>
      <c r="G56"/>
    </row>
    <row r="57" spans="3:7" s="47" customFormat="1">
      <c r="C57" s="304"/>
      <c r="E57" s="311"/>
      <c r="G57"/>
    </row>
    <row r="58" spans="3:7" s="47" customFormat="1">
      <c r="C58" s="304"/>
      <c r="E58" s="311"/>
      <c r="G58"/>
    </row>
    <row r="59" spans="3:7" s="47" customFormat="1">
      <c r="C59" s="304"/>
      <c r="E59" s="311"/>
      <c r="G59"/>
    </row>
    <row r="60" spans="3:7" s="47" customFormat="1">
      <c r="C60" s="304"/>
      <c r="E60" s="311"/>
      <c r="G60"/>
    </row>
    <row r="61" spans="3:7" s="47" customFormat="1">
      <c r="C61" s="304"/>
      <c r="E61" s="311"/>
      <c r="G61"/>
    </row>
    <row r="62" spans="3:7" s="47" customFormat="1">
      <c r="C62" s="304"/>
      <c r="E62" s="311"/>
      <c r="G62"/>
    </row>
    <row r="63" spans="3:7" s="47" customFormat="1">
      <c r="C63" s="304"/>
      <c r="E63" s="311"/>
      <c r="G63"/>
    </row>
    <row r="64" spans="3:7" s="47" customFormat="1">
      <c r="C64" s="304"/>
      <c r="E64" s="311"/>
      <c r="G64"/>
    </row>
    <row r="65" spans="3:7" s="47" customFormat="1">
      <c r="C65" s="304"/>
      <c r="E65" s="311"/>
      <c r="G65"/>
    </row>
    <row r="66" spans="3:7" s="47" customFormat="1">
      <c r="C66" s="304"/>
      <c r="E66" s="311"/>
      <c r="G66"/>
    </row>
    <row r="67" spans="3:7" s="47" customFormat="1">
      <c r="C67" s="304"/>
      <c r="E67" s="311"/>
      <c r="G67"/>
    </row>
    <row r="68" spans="3:7" s="47" customFormat="1">
      <c r="C68" s="304"/>
      <c r="E68" s="311"/>
      <c r="G68"/>
    </row>
    <row r="69" spans="3:7" s="47" customFormat="1">
      <c r="C69" s="304"/>
      <c r="E69" s="311"/>
      <c r="G69"/>
    </row>
    <row r="70" spans="3:7" s="47" customFormat="1">
      <c r="C70" s="304"/>
      <c r="E70" s="311"/>
      <c r="G70"/>
    </row>
    <row r="71" spans="3:7" s="47" customFormat="1">
      <c r="C71" s="304"/>
      <c r="E71" s="311"/>
      <c r="G71"/>
    </row>
    <row r="72" spans="3:7" s="47" customFormat="1">
      <c r="C72" s="304"/>
      <c r="E72" s="311"/>
      <c r="G72"/>
    </row>
    <row r="73" spans="3:7" s="47" customFormat="1">
      <c r="C73" s="304"/>
      <c r="E73" s="311"/>
      <c r="G73"/>
    </row>
    <row r="74" spans="3:7" s="47" customFormat="1">
      <c r="C74" s="304"/>
      <c r="E74" s="311"/>
      <c r="G74"/>
    </row>
    <row r="75" spans="3:7" s="47" customFormat="1">
      <c r="C75" s="304"/>
      <c r="E75" s="311"/>
      <c r="G75"/>
    </row>
    <row r="76" spans="3:7" s="47" customFormat="1">
      <c r="C76" s="304"/>
      <c r="E76" s="311"/>
      <c r="G76"/>
    </row>
    <row r="77" spans="3:7" s="47" customFormat="1">
      <c r="C77" s="304"/>
      <c r="E77" s="311"/>
      <c r="G77"/>
    </row>
    <row r="78" spans="3:7" s="47" customFormat="1">
      <c r="C78" s="304"/>
      <c r="E78" s="311"/>
      <c r="G78"/>
    </row>
    <row r="79" spans="3:7" s="47" customFormat="1">
      <c r="C79" s="304"/>
      <c r="E79" s="311"/>
      <c r="G79"/>
    </row>
    <row r="80" spans="3:7" s="47" customFormat="1">
      <c r="C80" s="304"/>
      <c r="E80" s="311"/>
      <c r="G80"/>
    </row>
    <row r="81" spans="3:7" s="47" customFormat="1">
      <c r="C81" s="304"/>
      <c r="E81" s="311"/>
      <c r="G81"/>
    </row>
    <row r="82" spans="3:7" s="47" customFormat="1">
      <c r="C82" s="304"/>
      <c r="E82" s="311"/>
      <c r="G82"/>
    </row>
    <row r="83" spans="3:7" s="47" customFormat="1">
      <c r="C83" s="304"/>
      <c r="E83" s="311"/>
      <c r="G83"/>
    </row>
    <row r="84" spans="3:7" s="47" customFormat="1">
      <c r="C84" s="304"/>
      <c r="E84" s="311"/>
      <c r="G84"/>
    </row>
    <row r="85" spans="3:7" s="47" customFormat="1">
      <c r="C85" s="304"/>
      <c r="E85" s="311"/>
      <c r="G85"/>
    </row>
    <row r="86" spans="3:7" s="47" customFormat="1">
      <c r="C86" s="304"/>
      <c r="E86" s="311"/>
      <c r="G86"/>
    </row>
    <row r="87" spans="3:7" s="47" customFormat="1">
      <c r="C87" s="304"/>
      <c r="E87" s="311"/>
      <c r="G87"/>
    </row>
    <row r="88" spans="3:7" s="47" customFormat="1">
      <c r="C88" s="304"/>
      <c r="E88" s="311"/>
      <c r="G88"/>
    </row>
    <row r="89" spans="3:7" s="47" customFormat="1">
      <c r="C89" s="304"/>
      <c r="E89" s="311"/>
      <c r="G89"/>
    </row>
    <row r="90" spans="3:7" s="47" customFormat="1">
      <c r="C90" s="304"/>
      <c r="E90" s="311"/>
      <c r="G90"/>
    </row>
    <row r="91" spans="3:7" s="47" customFormat="1">
      <c r="C91" s="304"/>
      <c r="E91" s="311"/>
      <c r="G91"/>
    </row>
    <row r="92" spans="3:7" s="47" customFormat="1">
      <c r="C92" s="304"/>
      <c r="E92" s="311"/>
      <c r="G92"/>
    </row>
    <row r="93" spans="3:7" s="47" customFormat="1">
      <c r="C93" s="304"/>
      <c r="E93" s="311"/>
      <c r="G93"/>
    </row>
    <row r="94" spans="3:7" s="47" customFormat="1">
      <c r="C94" s="304"/>
      <c r="E94" s="311"/>
      <c r="G94"/>
    </row>
    <row r="95" spans="3:7" s="47" customFormat="1">
      <c r="C95" s="304"/>
      <c r="E95" s="311"/>
      <c r="G95"/>
    </row>
    <row r="96" spans="3:7" s="47" customFormat="1">
      <c r="C96" s="304"/>
      <c r="E96" s="311"/>
      <c r="G96"/>
    </row>
    <row r="97" spans="3:7" s="47" customFormat="1">
      <c r="C97" s="304"/>
      <c r="E97" s="311"/>
      <c r="G97"/>
    </row>
    <row r="98" spans="3:7" s="47" customFormat="1">
      <c r="C98" s="304"/>
      <c r="E98" s="311"/>
      <c r="G98"/>
    </row>
    <row r="99" spans="3:7" s="47" customFormat="1">
      <c r="C99" s="304"/>
      <c r="E99" s="311"/>
      <c r="G99"/>
    </row>
    <row r="100" spans="3:7" s="47" customFormat="1">
      <c r="C100" s="304"/>
      <c r="E100" s="311"/>
      <c r="G100"/>
    </row>
    <row r="101" spans="3:7" s="47" customFormat="1">
      <c r="C101" s="304"/>
      <c r="E101" s="311"/>
      <c r="G101"/>
    </row>
    <row r="102" spans="3:7" s="47" customFormat="1">
      <c r="C102" s="304"/>
      <c r="E102" s="311"/>
      <c r="G102"/>
    </row>
    <row r="103" spans="3:7" s="47" customFormat="1">
      <c r="C103" s="304"/>
      <c r="E103" s="311"/>
      <c r="G103"/>
    </row>
    <row r="104" spans="3:7" s="47" customFormat="1">
      <c r="C104" s="304"/>
      <c r="E104" s="311"/>
      <c r="G104"/>
    </row>
    <row r="105" spans="3:7" s="47" customFormat="1">
      <c r="C105" s="304"/>
      <c r="E105" s="311"/>
      <c r="G105"/>
    </row>
    <row r="106" spans="3:7" s="47" customFormat="1">
      <c r="C106" s="304"/>
      <c r="E106" s="311"/>
      <c r="G106"/>
    </row>
    <row r="107" spans="3:7" s="47" customFormat="1">
      <c r="C107" s="304"/>
      <c r="E107" s="311"/>
      <c r="G107"/>
    </row>
    <row r="108" spans="3:7" s="47" customFormat="1">
      <c r="C108" s="304"/>
      <c r="E108" s="311"/>
      <c r="G108"/>
    </row>
    <row r="109" spans="3:7" s="47" customFormat="1">
      <c r="C109" s="304"/>
      <c r="E109" s="311"/>
      <c r="G109"/>
    </row>
    <row r="110" spans="3:7" s="47" customFormat="1">
      <c r="C110" s="304"/>
      <c r="E110" s="311"/>
      <c r="G110"/>
    </row>
    <row r="111" spans="3:7" s="47" customFormat="1">
      <c r="C111" s="304"/>
      <c r="E111" s="311"/>
      <c r="G111"/>
    </row>
    <row r="112" spans="3:7" s="47" customFormat="1">
      <c r="C112" s="304"/>
      <c r="E112" s="311"/>
      <c r="G112"/>
    </row>
    <row r="113" spans="3:7" s="47" customFormat="1">
      <c r="C113" s="304"/>
      <c r="E113" s="311"/>
      <c r="G113"/>
    </row>
    <row r="114" spans="3:7" s="47" customFormat="1">
      <c r="C114" s="304"/>
      <c r="E114" s="311"/>
      <c r="G114"/>
    </row>
    <row r="115" spans="3:7" s="47" customFormat="1">
      <c r="C115" s="304"/>
      <c r="E115" s="311"/>
      <c r="G115"/>
    </row>
    <row r="116" spans="3:7" s="47" customFormat="1">
      <c r="C116" s="304"/>
      <c r="E116" s="311"/>
      <c r="G116"/>
    </row>
    <row r="117" spans="3:7" s="47" customFormat="1">
      <c r="C117" s="304"/>
      <c r="E117" s="311"/>
      <c r="G117"/>
    </row>
    <row r="118" spans="3:7" s="47" customFormat="1">
      <c r="C118" s="304"/>
      <c r="E118" s="311"/>
      <c r="G118"/>
    </row>
    <row r="119" spans="3:7" s="47" customFormat="1">
      <c r="C119" s="304"/>
      <c r="E119" s="311"/>
      <c r="G119"/>
    </row>
    <row r="120" spans="3:7" s="47" customFormat="1">
      <c r="C120" s="304"/>
      <c r="E120" s="311"/>
      <c r="G120"/>
    </row>
    <row r="121" spans="3:7" s="47" customFormat="1">
      <c r="C121" s="304"/>
      <c r="E121" s="311"/>
      <c r="G121"/>
    </row>
    <row r="122" spans="3:7" s="47" customFormat="1">
      <c r="C122" s="304"/>
      <c r="E122" s="311"/>
      <c r="G122"/>
    </row>
    <row r="123" spans="3:7" s="47" customFormat="1">
      <c r="C123" s="304"/>
      <c r="E123" s="311"/>
      <c r="G123"/>
    </row>
    <row r="124" spans="3:7" s="47" customFormat="1">
      <c r="C124" s="304"/>
      <c r="E124" s="311"/>
      <c r="G124"/>
    </row>
    <row r="125" spans="3:7" s="47" customFormat="1">
      <c r="C125" s="304"/>
      <c r="E125" s="311"/>
      <c r="G125"/>
    </row>
    <row r="126" spans="3:7" s="47" customFormat="1">
      <c r="C126" s="304"/>
      <c r="E126" s="311"/>
      <c r="G126"/>
    </row>
    <row r="127" spans="3:7" s="47" customFormat="1">
      <c r="C127" s="304"/>
      <c r="E127" s="311"/>
      <c r="G127"/>
    </row>
    <row r="128" spans="3:7" s="47" customFormat="1">
      <c r="C128" s="304"/>
      <c r="E128" s="311"/>
      <c r="G128"/>
    </row>
    <row r="129" spans="3:7" s="47" customFormat="1">
      <c r="C129" s="304"/>
      <c r="E129" s="311"/>
      <c r="G129"/>
    </row>
    <row r="130" spans="3:7" s="47" customFormat="1">
      <c r="C130" s="304"/>
      <c r="E130" s="311"/>
      <c r="G130"/>
    </row>
    <row r="131" spans="3:7" s="47" customFormat="1">
      <c r="C131" s="304"/>
      <c r="E131" s="311"/>
      <c r="G131"/>
    </row>
    <row r="132" spans="3:7" s="47" customFormat="1">
      <c r="C132" s="304"/>
      <c r="E132" s="311"/>
      <c r="G132"/>
    </row>
    <row r="133" spans="3:7" s="47" customFormat="1">
      <c r="C133" s="304"/>
      <c r="E133" s="311"/>
      <c r="G133"/>
    </row>
    <row r="134" spans="3:7" s="47" customFormat="1">
      <c r="C134" s="304"/>
      <c r="E134" s="311"/>
      <c r="G134"/>
    </row>
    <row r="135" spans="3:7" s="47" customFormat="1">
      <c r="C135" s="304"/>
      <c r="E135" s="311"/>
      <c r="G135"/>
    </row>
    <row r="136" spans="3:7" s="47" customFormat="1">
      <c r="C136" s="304"/>
      <c r="E136" s="311"/>
      <c r="G136"/>
    </row>
    <row r="137" spans="3:7" s="47" customFormat="1">
      <c r="C137" s="304"/>
      <c r="E137" s="311"/>
      <c r="G137"/>
    </row>
    <row r="138" spans="3:7" s="47" customFormat="1">
      <c r="C138" s="304"/>
      <c r="E138" s="311"/>
      <c r="G138"/>
    </row>
    <row r="139" spans="3:7" s="47" customFormat="1">
      <c r="C139" s="304"/>
      <c r="E139" s="311"/>
      <c r="G139"/>
    </row>
    <row r="140" spans="3:7" s="47" customFormat="1">
      <c r="C140" s="304"/>
      <c r="E140" s="311"/>
      <c r="G140"/>
    </row>
    <row r="141" spans="3:7" s="47" customFormat="1">
      <c r="C141" s="304"/>
      <c r="E141" s="311"/>
      <c r="G141"/>
    </row>
    <row r="142" spans="3:7" s="47" customFormat="1">
      <c r="C142" s="304"/>
      <c r="E142" s="311"/>
      <c r="G142"/>
    </row>
    <row r="143" spans="3:7" s="47" customFormat="1">
      <c r="C143" s="304"/>
      <c r="E143" s="311"/>
      <c r="G143"/>
    </row>
    <row r="144" spans="3:7" s="47" customFormat="1">
      <c r="C144" s="304"/>
      <c r="E144" s="311"/>
      <c r="G144"/>
    </row>
    <row r="145" spans="3:7" s="47" customFormat="1">
      <c r="C145" s="304"/>
      <c r="E145" s="311"/>
      <c r="G145"/>
    </row>
    <row r="146" spans="3:7" s="47" customFormat="1">
      <c r="C146" s="304"/>
      <c r="E146" s="311"/>
      <c r="G146"/>
    </row>
    <row r="147" spans="3:7" s="47" customFormat="1">
      <c r="C147" s="304"/>
      <c r="E147" s="311"/>
      <c r="G147"/>
    </row>
    <row r="148" spans="3:7" s="47" customFormat="1">
      <c r="C148" s="304"/>
      <c r="E148" s="311"/>
      <c r="G148"/>
    </row>
    <row r="149" spans="3:7" s="47" customFormat="1">
      <c r="C149" s="304"/>
      <c r="E149" s="311"/>
      <c r="G149"/>
    </row>
    <row r="150" spans="3:7" s="47" customFormat="1">
      <c r="C150" s="304"/>
      <c r="E150" s="311"/>
      <c r="G150"/>
    </row>
    <row r="151" spans="3:7" s="47" customFormat="1">
      <c r="C151" s="304"/>
      <c r="E151" s="311"/>
      <c r="G151"/>
    </row>
    <row r="152" spans="3:7" s="47" customFormat="1">
      <c r="C152" s="304"/>
      <c r="E152" s="311"/>
      <c r="G152"/>
    </row>
    <row r="153" spans="3:7" s="47" customFormat="1">
      <c r="C153" s="304"/>
      <c r="E153" s="311"/>
      <c r="G153"/>
    </row>
    <row r="154" spans="3:7" s="47" customFormat="1">
      <c r="C154" s="304"/>
      <c r="E154" s="311"/>
      <c r="G154"/>
    </row>
    <row r="155" spans="3:7" s="47" customFormat="1">
      <c r="C155" s="304"/>
      <c r="E155" s="311"/>
      <c r="G155"/>
    </row>
    <row r="156" spans="3:7" s="47" customFormat="1">
      <c r="C156" s="304"/>
      <c r="E156" s="311"/>
      <c r="G156"/>
    </row>
    <row r="157" spans="3:7" s="47" customFormat="1">
      <c r="C157" s="304"/>
      <c r="E157" s="311"/>
      <c r="G157"/>
    </row>
    <row r="158" spans="3:7" s="47" customFormat="1">
      <c r="C158" s="304"/>
      <c r="E158" s="311"/>
      <c r="G158"/>
    </row>
    <row r="159" spans="3:7" s="47" customFormat="1">
      <c r="C159" s="304"/>
      <c r="E159" s="311"/>
      <c r="G159"/>
    </row>
    <row r="160" spans="3:7" s="47" customFormat="1">
      <c r="C160" s="304"/>
      <c r="E160" s="311"/>
      <c r="G160"/>
    </row>
    <row r="161" spans="3:7" s="47" customFormat="1">
      <c r="C161" s="304"/>
      <c r="E161" s="311"/>
      <c r="G161"/>
    </row>
    <row r="162" spans="3:7" s="47" customFormat="1">
      <c r="C162" s="304"/>
      <c r="E162" s="311"/>
      <c r="G162"/>
    </row>
    <row r="163" spans="3:7" s="47" customFormat="1">
      <c r="C163" s="304"/>
      <c r="E163" s="311"/>
      <c r="G163"/>
    </row>
    <row r="164" spans="3:7" s="47" customFormat="1">
      <c r="C164" s="304"/>
      <c r="E164" s="311"/>
      <c r="G164"/>
    </row>
    <row r="165" spans="3:7" s="47" customFormat="1">
      <c r="C165" s="304"/>
      <c r="E165" s="311"/>
      <c r="G165"/>
    </row>
    <row r="166" spans="3:7" s="47" customFormat="1">
      <c r="C166" s="304"/>
      <c r="E166" s="311"/>
      <c r="G166"/>
    </row>
    <row r="167" spans="3:7" s="47" customFormat="1">
      <c r="C167" s="304"/>
      <c r="E167" s="311"/>
      <c r="G167"/>
    </row>
    <row r="168" spans="3:7" s="47" customFormat="1">
      <c r="C168" s="304"/>
      <c r="E168" s="311"/>
      <c r="G168"/>
    </row>
    <row r="169" spans="3:7" s="47" customFormat="1">
      <c r="C169" s="304"/>
      <c r="E169" s="311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7"/>
  <dimension ref="B1:L143"/>
  <sheetViews>
    <sheetView showGridLines="0" zoomScaleNormal="100" workbookViewId="0">
      <selection activeCell="J34" sqref="J33:J34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46" customWidth="1"/>
    <col min="10" max="10" width="14.85546875" style="47" customWidth="1"/>
    <col min="11" max="11" width="13.42578125" style="46" bestFit="1" customWidth="1"/>
    <col min="12" max="12" width="20.28515625" style="46" customWidth="1"/>
    <col min="13" max="15" width="16" customWidth="1"/>
  </cols>
  <sheetData>
    <row r="1" spans="2:12" ht="9" customHeight="1">
      <c r="J1"/>
    </row>
    <row r="2" spans="2:12">
      <c r="B2" s="703" t="s">
        <v>332</v>
      </c>
      <c r="C2" s="704"/>
      <c r="D2" s="704"/>
      <c r="E2" s="704"/>
      <c r="F2" s="704"/>
      <c r="G2" s="704"/>
      <c r="H2" s="704"/>
      <c r="I2" s="704"/>
      <c r="J2" s="704"/>
      <c r="K2" s="704"/>
      <c r="L2" s="705"/>
    </row>
    <row r="3" spans="2:12" ht="45">
      <c r="B3" s="265" t="s">
        <v>236</v>
      </c>
      <c r="C3" s="265" t="s">
        <v>41</v>
      </c>
      <c r="D3" s="265" t="s">
        <v>42</v>
      </c>
      <c r="E3" s="265" t="s">
        <v>72</v>
      </c>
      <c r="F3" s="265" t="s">
        <v>138</v>
      </c>
      <c r="G3" s="265" t="s">
        <v>445</v>
      </c>
      <c r="H3" s="265" t="s">
        <v>401</v>
      </c>
      <c r="I3" s="265" t="s">
        <v>447</v>
      </c>
      <c r="J3" s="662" t="s">
        <v>446</v>
      </c>
      <c r="K3" s="266" t="s">
        <v>414</v>
      </c>
      <c r="L3" s="265" t="s">
        <v>448</v>
      </c>
    </row>
    <row r="4" spans="2:12">
      <c r="C4"/>
      <c r="I4"/>
      <c r="K4" s="313">
        <f>SUM(K5:K250)</f>
        <v>139.43643600000001</v>
      </c>
      <c r="L4" s="313">
        <f>SUM(L5:L250)</f>
        <v>1673.2372319999999</v>
      </c>
    </row>
    <row r="5" spans="2:12" ht="3.75" customHeight="1">
      <c r="C5"/>
      <c r="I5"/>
      <c r="K5"/>
      <c r="L5"/>
    </row>
    <row r="6" spans="2:12">
      <c r="B6" s="260">
        <v>1</v>
      </c>
      <c r="C6" s="260"/>
      <c r="D6" s="408" t="s">
        <v>599</v>
      </c>
      <c r="E6" s="260"/>
      <c r="F6" s="260"/>
      <c r="G6" s="260" t="s">
        <v>601</v>
      </c>
      <c r="H6" s="459">
        <v>1</v>
      </c>
      <c r="I6" s="267">
        <v>568.46</v>
      </c>
      <c r="J6" s="663">
        <v>1.66E-2</v>
      </c>
      <c r="K6" s="658">
        <f>IFERROR(L6/'Mão de Obra'!$D$12,"")</f>
        <v>9.4364360000000005</v>
      </c>
      <c r="L6" s="658">
        <f>IFERROR(IF(ISNUMBER(J6),J6*'Mão de Obra'!$D$12,1)*I6*H6,"")</f>
        <v>113.23723200000001</v>
      </c>
    </row>
    <row r="7" spans="2:12">
      <c r="B7" s="260">
        <v>2</v>
      </c>
      <c r="C7" s="260"/>
      <c r="D7" s="408" t="s">
        <v>600</v>
      </c>
      <c r="E7" s="260"/>
      <c r="F7" s="260"/>
      <c r="G7" s="260" t="s">
        <v>601</v>
      </c>
      <c r="H7" s="459">
        <v>12</v>
      </c>
      <c r="I7" s="267">
        <v>126.25</v>
      </c>
      <c r="J7" s="663"/>
      <c r="K7" s="658">
        <f>IFERROR(L7/'Mão de Obra'!$D$12,"")</f>
        <v>126.25</v>
      </c>
      <c r="L7" s="658">
        <f>IFERROR(IF(ISNUMBER(J7),J7*'Mão de Obra'!$D$12,1)*I7*H7,"")</f>
        <v>1515</v>
      </c>
    </row>
    <row r="8" spans="2:12">
      <c r="B8" s="260">
        <v>3</v>
      </c>
      <c r="C8" s="260"/>
      <c r="D8" s="408" t="s">
        <v>602</v>
      </c>
      <c r="E8" s="260"/>
      <c r="F8" s="260"/>
      <c r="G8" s="260" t="s">
        <v>601</v>
      </c>
      <c r="H8" s="459">
        <v>12</v>
      </c>
      <c r="I8" s="267">
        <v>3.75</v>
      </c>
      <c r="J8" s="663"/>
      <c r="K8" s="658">
        <f>IFERROR(L8/'Mão de Obra'!$D$12,"")</f>
        <v>3.75</v>
      </c>
      <c r="L8" s="658">
        <f>IFERROR(IF(ISNUMBER(J8),J8*'Mão de Obra'!$D$12,1)*I8*H8,"")</f>
        <v>45</v>
      </c>
    </row>
    <row r="9" spans="2:12">
      <c r="B9" s="260">
        <v>4</v>
      </c>
      <c r="C9" s="260"/>
      <c r="D9" s="408"/>
      <c r="E9" s="260"/>
      <c r="F9" s="260"/>
      <c r="G9" s="260"/>
      <c r="H9" s="459"/>
      <c r="I9" s="267"/>
      <c r="J9" s="663"/>
      <c r="K9" s="658">
        <f>IFERROR(L9/'Mão de Obra'!$D$12,"")</f>
        <v>0</v>
      </c>
      <c r="L9" s="658">
        <f>IFERROR(IF(ISNUMBER(J9),J9*'Mão de Obra'!$D$12,1)*I9*H9,"")</f>
        <v>0</v>
      </c>
    </row>
    <row r="10" spans="2:12">
      <c r="B10" s="260">
        <v>5</v>
      </c>
      <c r="C10" s="260"/>
      <c r="D10" s="408"/>
      <c r="E10" s="260"/>
      <c r="F10" s="260"/>
      <c r="G10" s="260"/>
      <c r="H10" s="459"/>
      <c r="I10" s="267"/>
      <c r="J10" s="663"/>
      <c r="K10" s="658">
        <f>IFERROR(L10/'Mão de Obra'!$D$12,"")</f>
        <v>0</v>
      </c>
      <c r="L10" s="658">
        <f>IFERROR(IF(ISNUMBER(J10),J10*'Mão de Obra'!$D$12,1)*I10*H10,"")</f>
        <v>0</v>
      </c>
    </row>
    <row r="11" spans="2:12">
      <c r="B11" s="260">
        <v>6</v>
      </c>
      <c r="C11" s="260"/>
      <c r="D11" s="408"/>
      <c r="E11" s="260"/>
      <c r="F11" s="260"/>
      <c r="G11" s="260"/>
      <c r="H11" s="459"/>
      <c r="I11" s="267"/>
      <c r="J11" s="663"/>
      <c r="K11" s="658">
        <f>IFERROR(L11/'Mão de Obra'!$D$12,"")</f>
        <v>0</v>
      </c>
      <c r="L11" s="658">
        <f>IFERROR(IF(ISNUMBER(J11),J11*'Mão de Obra'!$D$12,1)*I11*H11,"")</f>
        <v>0</v>
      </c>
    </row>
    <row r="12" spans="2:12">
      <c r="B12" s="260">
        <v>7</v>
      </c>
      <c r="C12" s="260"/>
      <c r="D12" s="408"/>
      <c r="E12" s="260"/>
      <c r="F12" s="260"/>
      <c r="G12" s="260"/>
      <c r="H12" s="459"/>
      <c r="I12" s="267"/>
      <c r="J12" s="663"/>
      <c r="K12" s="658">
        <f>IFERROR(L12/'Mão de Obra'!$D$12,"")</f>
        <v>0</v>
      </c>
      <c r="L12" s="658">
        <f>IFERROR(IF(ISNUMBER(J12),J12*'Mão de Obra'!$D$12,1)*I12*H12,"")</f>
        <v>0</v>
      </c>
    </row>
    <row r="13" spans="2:12">
      <c r="B13" s="260">
        <v>8</v>
      </c>
      <c r="C13" s="260"/>
      <c r="D13" s="408"/>
      <c r="E13" s="260"/>
      <c r="F13" s="260"/>
      <c r="G13" s="260"/>
      <c r="H13" s="459"/>
      <c r="I13" s="267"/>
      <c r="J13" s="663"/>
      <c r="K13" s="658">
        <f>IFERROR(L13/'Mão de Obra'!$D$12,"")</f>
        <v>0</v>
      </c>
      <c r="L13" s="658">
        <f>IFERROR(IF(ISNUMBER(J13),J13*'Mão de Obra'!$D$12,1)*I13*H13,"")</f>
        <v>0</v>
      </c>
    </row>
    <row r="14" spans="2:12">
      <c r="B14" s="260">
        <v>9</v>
      </c>
      <c r="C14" s="260"/>
      <c r="D14" s="408"/>
      <c r="E14" s="260"/>
      <c r="F14" s="260"/>
      <c r="G14" s="260"/>
      <c r="H14" s="459"/>
      <c r="I14" s="267"/>
      <c r="J14" s="663"/>
      <c r="K14" s="658">
        <f>IFERROR(L14/'Mão de Obra'!$D$12,"")</f>
        <v>0</v>
      </c>
      <c r="L14" s="658">
        <f>IFERROR(IF(ISNUMBER(J14),J14*'Mão de Obra'!$D$12,1)*I14*H14,"")</f>
        <v>0</v>
      </c>
    </row>
    <row r="15" spans="2:12">
      <c r="B15" s="260">
        <v>10</v>
      </c>
      <c r="C15" s="260"/>
      <c r="D15" s="408"/>
      <c r="E15" s="260"/>
      <c r="F15" s="260"/>
      <c r="G15" s="260"/>
      <c r="H15" s="459"/>
      <c r="I15" s="267"/>
      <c r="J15" s="663"/>
      <c r="K15" s="658">
        <f>IFERROR(L15/'Mão de Obra'!$D$12,"")</f>
        <v>0</v>
      </c>
      <c r="L15" s="658">
        <f>IFERROR(IF(ISNUMBER(J15),J15*'Mão de Obra'!$D$12,1)*I15*H15,"")</f>
        <v>0</v>
      </c>
    </row>
    <row r="16" spans="2:12">
      <c r="B16" s="260">
        <v>11</v>
      </c>
      <c r="C16" s="260"/>
      <c r="D16" s="408"/>
      <c r="E16" s="260"/>
      <c r="F16" s="260"/>
      <c r="G16" s="260"/>
      <c r="H16" s="459"/>
      <c r="I16" s="267"/>
      <c r="J16" s="663"/>
      <c r="K16" s="658">
        <f>IFERROR(L16/'Mão de Obra'!$D$12,"")</f>
        <v>0</v>
      </c>
      <c r="L16" s="658">
        <f>IFERROR(IF(ISNUMBER(J16),J16*'Mão de Obra'!$D$12,1)*I16*H16,"")</f>
        <v>0</v>
      </c>
    </row>
    <row r="17" spans="2:12">
      <c r="B17" s="260">
        <v>12</v>
      </c>
      <c r="C17" s="260"/>
      <c r="D17" s="408"/>
      <c r="E17" s="260"/>
      <c r="F17" s="260"/>
      <c r="G17" s="260"/>
      <c r="H17" s="459"/>
      <c r="I17" s="267"/>
      <c r="J17" s="663"/>
      <c r="K17" s="658">
        <f>IFERROR(L17/'Mão de Obra'!$D$12,"")</f>
        <v>0</v>
      </c>
      <c r="L17" s="658">
        <f>IFERROR(IF(ISNUMBER(J17),J17*'Mão de Obra'!$D$12,1)*I17*H17,"")</f>
        <v>0</v>
      </c>
    </row>
    <row r="18" spans="2:12">
      <c r="B18" s="260">
        <v>13</v>
      </c>
      <c r="C18" s="260"/>
      <c r="D18" s="408"/>
      <c r="E18" s="260"/>
      <c r="F18" s="260"/>
      <c r="G18" s="260"/>
      <c r="H18" s="459"/>
      <c r="I18" s="267"/>
      <c r="J18" s="663"/>
      <c r="K18" s="658">
        <f>IFERROR(L18/'Mão de Obra'!$D$12,"")</f>
        <v>0</v>
      </c>
      <c r="L18" s="658">
        <f>IFERROR(IF(ISNUMBER(J18),J18*'Mão de Obra'!$D$12,1)*I18*H18,"")</f>
        <v>0</v>
      </c>
    </row>
    <row r="19" spans="2:12">
      <c r="B19" s="260">
        <v>14</v>
      </c>
      <c r="C19" s="260"/>
      <c r="D19" s="408"/>
      <c r="E19" s="260"/>
      <c r="F19" s="260"/>
      <c r="G19" s="260"/>
      <c r="H19" s="459"/>
      <c r="I19" s="267"/>
      <c r="J19" s="663"/>
      <c r="K19" s="658">
        <f>IFERROR(L19/'Mão de Obra'!$D$12,"")</f>
        <v>0</v>
      </c>
      <c r="L19" s="658">
        <f>IFERROR(IF(ISNUMBER(J19),J19*'Mão de Obra'!$D$12,1)*I19*H19,"")</f>
        <v>0</v>
      </c>
    </row>
    <row r="20" spans="2:12">
      <c r="B20" s="260">
        <v>15</v>
      </c>
      <c r="C20" s="260"/>
      <c r="D20" s="408"/>
      <c r="E20" s="260"/>
      <c r="F20" s="260"/>
      <c r="G20" s="260"/>
      <c r="H20" s="459"/>
      <c r="I20" s="267"/>
      <c r="J20" s="663"/>
      <c r="K20" s="658">
        <f>IFERROR(L20/'Mão de Obra'!$D$12,"")</f>
        <v>0</v>
      </c>
      <c r="L20" s="658">
        <f>IFERROR(IF(ISNUMBER(J20),J20*'Mão de Obra'!$D$12,1)*I20*H20,"")</f>
        <v>0</v>
      </c>
    </row>
    <row r="21" spans="2:12">
      <c r="B21" s="260">
        <v>16</v>
      </c>
      <c r="C21" s="260"/>
      <c r="D21" s="408"/>
      <c r="E21" s="260"/>
      <c r="F21" s="260"/>
      <c r="G21" s="260"/>
      <c r="H21" s="459"/>
      <c r="I21" s="267"/>
      <c r="J21" s="663"/>
      <c r="K21" s="658">
        <f>IFERROR(L21/'Mão de Obra'!$D$12,"")</f>
        <v>0</v>
      </c>
      <c r="L21" s="658">
        <f>IFERROR(IF(ISNUMBER(J21),J21*'Mão de Obra'!$D$12,1)*I21*H21,"")</f>
        <v>0</v>
      </c>
    </row>
    <row r="22" spans="2:12">
      <c r="B22" s="260">
        <v>17</v>
      </c>
      <c r="C22" s="260"/>
      <c r="D22" s="408"/>
      <c r="E22" s="260"/>
      <c r="F22" s="260"/>
      <c r="G22" s="260"/>
      <c r="H22" s="459"/>
      <c r="I22" s="267"/>
      <c r="J22" s="663"/>
      <c r="K22" s="658">
        <f>IFERROR(L22/'Mão de Obra'!$D$12,"")</f>
        <v>0</v>
      </c>
      <c r="L22" s="658">
        <f>IFERROR(IF(ISNUMBER(J22),J22*'Mão de Obra'!$D$12,1)*I22*H22,"")</f>
        <v>0</v>
      </c>
    </row>
    <row r="23" spans="2:12">
      <c r="B23" s="260">
        <v>18</v>
      </c>
      <c r="C23" s="260"/>
      <c r="D23" s="408"/>
      <c r="E23" s="260"/>
      <c r="F23" s="260"/>
      <c r="G23" s="260"/>
      <c r="H23" s="459"/>
      <c r="I23" s="267"/>
      <c r="J23" s="663"/>
      <c r="K23" s="658">
        <f>IFERROR(L23/'Mão de Obra'!$D$12,"")</f>
        <v>0</v>
      </c>
      <c r="L23" s="658">
        <f>IFERROR(IF(ISNUMBER(J23),J23*'Mão de Obra'!$D$12,1)*I23*H23,"")</f>
        <v>0</v>
      </c>
    </row>
    <row r="24" spans="2:12">
      <c r="B24" s="260">
        <v>19</v>
      </c>
      <c r="C24" s="260"/>
      <c r="D24" s="408"/>
      <c r="E24" s="260"/>
      <c r="F24" s="260"/>
      <c r="G24" s="260"/>
      <c r="H24" s="459"/>
      <c r="I24" s="267"/>
      <c r="J24" s="663"/>
      <c r="K24" s="658">
        <f>IFERROR(L24/'Mão de Obra'!$D$12,"")</f>
        <v>0</v>
      </c>
      <c r="L24" s="658">
        <f>IFERROR(IF(ISNUMBER(J24),J24*'Mão de Obra'!$D$12,1)*I24*H24,"")</f>
        <v>0</v>
      </c>
    </row>
    <row r="25" spans="2:12">
      <c r="B25" s="260">
        <v>20</v>
      </c>
      <c r="C25" s="260"/>
      <c r="D25" s="408"/>
      <c r="E25" s="260"/>
      <c r="F25" s="260"/>
      <c r="G25" s="260"/>
      <c r="H25" s="459"/>
      <c r="I25" s="267"/>
      <c r="J25" s="663"/>
      <c r="K25" s="658">
        <f>IFERROR(L25/'Mão de Obra'!$D$12,"")</f>
        <v>0</v>
      </c>
      <c r="L25" s="658">
        <f>IFERROR(IF(ISNUMBER(J25),J25*'Mão de Obra'!$D$12,1)*I25*H25,"")</f>
        <v>0</v>
      </c>
    </row>
    <row r="26" spans="2:12" s="47" customFormat="1">
      <c r="C26" s="304"/>
      <c r="I26" s="312"/>
      <c r="K26" s="312"/>
      <c r="L26" s="312"/>
    </row>
    <row r="27" spans="2:12" s="47" customFormat="1">
      <c r="C27" s="304"/>
      <c r="I27" s="312"/>
      <c r="K27" s="312"/>
      <c r="L27" s="312"/>
    </row>
    <row r="28" spans="2:12" s="47" customFormat="1">
      <c r="C28" s="304"/>
      <c r="I28" s="312"/>
      <c r="K28" s="312"/>
      <c r="L28" s="312"/>
    </row>
    <row r="29" spans="2:12" s="47" customFormat="1">
      <c r="C29" s="304"/>
      <c r="I29" s="312"/>
      <c r="K29" s="312"/>
      <c r="L29" s="312"/>
    </row>
    <row r="30" spans="2:12" s="47" customFormat="1">
      <c r="C30" s="304"/>
      <c r="I30" s="312"/>
      <c r="K30" s="312"/>
      <c r="L30" s="312"/>
    </row>
    <row r="31" spans="2:12" s="47" customFormat="1">
      <c r="C31" s="304"/>
      <c r="I31" s="312"/>
      <c r="K31" s="312"/>
      <c r="L31" s="312"/>
    </row>
    <row r="32" spans="2:12" s="47" customFormat="1">
      <c r="C32" s="304"/>
      <c r="I32" s="312"/>
      <c r="K32" s="312"/>
      <c r="L32" s="312"/>
    </row>
    <row r="33" spans="3:12" s="47" customFormat="1">
      <c r="C33" s="304"/>
      <c r="I33" s="312"/>
      <c r="K33" s="312"/>
      <c r="L33" s="312"/>
    </row>
    <row r="34" spans="3:12" s="47" customFormat="1">
      <c r="C34" s="304"/>
      <c r="I34" s="312"/>
      <c r="K34" s="312"/>
      <c r="L34" s="312"/>
    </row>
    <row r="35" spans="3:12" s="47" customFormat="1">
      <c r="C35" s="304"/>
      <c r="I35" s="312"/>
      <c r="K35" s="312"/>
      <c r="L35" s="312"/>
    </row>
    <row r="36" spans="3:12" s="47" customFormat="1">
      <c r="C36" s="304"/>
      <c r="I36" s="312"/>
      <c r="K36" s="312"/>
      <c r="L36" s="312"/>
    </row>
    <row r="37" spans="3:12" s="47" customFormat="1">
      <c r="C37" s="304"/>
      <c r="I37" s="312"/>
      <c r="K37" s="312"/>
      <c r="L37" s="312"/>
    </row>
    <row r="38" spans="3:12" s="47" customFormat="1">
      <c r="C38" s="304"/>
      <c r="I38" s="312"/>
      <c r="K38" s="312"/>
      <c r="L38" s="312"/>
    </row>
    <row r="39" spans="3:12" s="47" customFormat="1">
      <c r="C39" s="304"/>
      <c r="I39" s="312"/>
      <c r="K39" s="312"/>
      <c r="L39" s="312"/>
    </row>
    <row r="40" spans="3:12" s="47" customFormat="1">
      <c r="C40" s="304"/>
      <c r="I40" s="312"/>
      <c r="K40" s="312"/>
      <c r="L40" s="312"/>
    </row>
    <row r="41" spans="3:12" s="47" customFormat="1">
      <c r="C41" s="304"/>
      <c r="I41" s="312"/>
      <c r="K41" s="312"/>
      <c r="L41" s="312"/>
    </row>
    <row r="42" spans="3:12" s="47" customFormat="1">
      <c r="C42" s="304"/>
      <c r="I42" s="312"/>
      <c r="K42" s="312"/>
      <c r="L42" s="312"/>
    </row>
    <row r="43" spans="3:12" s="47" customFormat="1">
      <c r="C43" s="304"/>
      <c r="I43" s="312"/>
      <c r="K43" s="312"/>
      <c r="L43" s="312"/>
    </row>
    <row r="44" spans="3:12" s="47" customFormat="1">
      <c r="C44" s="304"/>
      <c r="I44" s="312"/>
      <c r="K44" s="312"/>
      <c r="L44" s="312"/>
    </row>
    <row r="45" spans="3:12" s="47" customFormat="1">
      <c r="C45" s="304"/>
      <c r="I45" s="312"/>
      <c r="K45" s="312"/>
      <c r="L45" s="312"/>
    </row>
    <row r="46" spans="3:12" s="47" customFormat="1">
      <c r="C46" s="304"/>
      <c r="I46" s="312"/>
      <c r="K46" s="312"/>
      <c r="L46" s="312"/>
    </row>
    <row r="47" spans="3:12" s="47" customFormat="1">
      <c r="C47" s="304"/>
      <c r="I47" s="312"/>
      <c r="K47" s="312"/>
      <c r="L47" s="312"/>
    </row>
    <row r="48" spans="3:12" s="47" customFormat="1">
      <c r="C48" s="304"/>
      <c r="I48" s="312"/>
      <c r="K48" s="312"/>
      <c r="L48" s="312"/>
    </row>
    <row r="49" spans="3:12" s="47" customFormat="1">
      <c r="C49" s="304"/>
      <c r="I49" s="312"/>
      <c r="K49" s="312"/>
      <c r="L49" s="312"/>
    </row>
    <row r="50" spans="3:12" s="47" customFormat="1">
      <c r="C50" s="304"/>
      <c r="I50" s="312"/>
      <c r="K50" s="312"/>
      <c r="L50" s="312"/>
    </row>
    <row r="51" spans="3:12" s="47" customFormat="1">
      <c r="C51" s="304"/>
      <c r="I51" s="312"/>
      <c r="K51" s="312"/>
      <c r="L51" s="312"/>
    </row>
    <row r="52" spans="3:12" s="47" customFormat="1">
      <c r="C52" s="304"/>
      <c r="I52" s="312"/>
      <c r="K52" s="312"/>
      <c r="L52" s="312"/>
    </row>
    <row r="53" spans="3:12" s="47" customFormat="1">
      <c r="C53" s="304"/>
      <c r="I53" s="312"/>
      <c r="K53" s="312"/>
      <c r="L53" s="312"/>
    </row>
    <row r="54" spans="3:12" s="47" customFormat="1">
      <c r="C54" s="304"/>
      <c r="I54" s="312"/>
      <c r="K54" s="312"/>
      <c r="L54" s="312"/>
    </row>
    <row r="55" spans="3:12" s="47" customFormat="1">
      <c r="C55" s="304"/>
      <c r="I55" s="312"/>
      <c r="K55" s="312"/>
      <c r="L55" s="312"/>
    </row>
    <row r="56" spans="3:12" s="47" customFormat="1">
      <c r="C56" s="304"/>
      <c r="I56" s="312"/>
      <c r="K56" s="312"/>
      <c r="L56" s="312"/>
    </row>
    <row r="57" spans="3:12" s="47" customFormat="1">
      <c r="C57" s="304"/>
      <c r="I57" s="312"/>
      <c r="K57" s="312"/>
      <c r="L57" s="312"/>
    </row>
    <row r="58" spans="3:12" s="47" customFormat="1">
      <c r="C58" s="304"/>
      <c r="I58" s="312"/>
      <c r="K58" s="312"/>
      <c r="L58" s="312"/>
    </row>
    <row r="59" spans="3:12" s="47" customFormat="1">
      <c r="C59" s="304"/>
      <c r="I59" s="312"/>
      <c r="K59" s="312"/>
      <c r="L59" s="312"/>
    </row>
    <row r="60" spans="3:12" s="47" customFormat="1">
      <c r="C60" s="304"/>
      <c r="I60" s="312"/>
      <c r="K60" s="312"/>
      <c r="L60" s="312"/>
    </row>
    <row r="61" spans="3:12" s="47" customFormat="1">
      <c r="C61" s="304"/>
      <c r="I61" s="312"/>
      <c r="K61" s="312"/>
      <c r="L61" s="312"/>
    </row>
    <row r="62" spans="3:12" s="47" customFormat="1">
      <c r="C62" s="304"/>
      <c r="I62" s="312"/>
      <c r="K62" s="312"/>
      <c r="L62" s="312"/>
    </row>
    <row r="63" spans="3:12" s="47" customFormat="1">
      <c r="C63" s="304"/>
      <c r="I63" s="312"/>
      <c r="K63" s="312"/>
      <c r="L63" s="312"/>
    </row>
    <row r="64" spans="3:12" s="47" customFormat="1">
      <c r="C64" s="304"/>
      <c r="I64" s="312"/>
      <c r="K64" s="312"/>
      <c r="L64" s="312"/>
    </row>
    <row r="65" spans="3:12" s="47" customFormat="1">
      <c r="C65" s="304"/>
      <c r="I65" s="312"/>
      <c r="K65" s="312"/>
      <c r="L65" s="312"/>
    </row>
    <row r="66" spans="3:12" s="47" customFormat="1">
      <c r="C66" s="304"/>
      <c r="I66" s="312"/>
      <c r="K66" s="312"/>
      <c r="L66" s="312"/>
    </row>
    <row r="67" spans="3:12" s="47" customFormat="1">
      <c r="C67" s="304"/>
      <c r="I67" s="312"/>
      <c r="K67" s="312"/>
      <c r="L67" s="312"/>
    </row>
    <row r="68" spans="3:12" s="47" customFormat="1">
      <c r="C68" s="304"/>
      <c r="I68" s="312"/>
      <c r="K68" s="312"/>
      <c r="L68" s="312"/>
    </row>
    <row r="69" spans="3:12" s="47" customFormat="1">
      <c r="C69" s="304"/>
      <c r="I69" s="312"/>
      <c r="K69" s="312"/>
      <c r="L69" s="312"/>
    </row>
    <row r="70" spans="3:12" s="47" customFormat="1">
      <c r="C70" s="304"/>
      <c r="I70" s="312"/>
      <c r="K70" s="312"/>
      <c r="L70" s="312"/>
    </row>
    <row r="71" spans="3:12" s="47" customFormat="1">
      <c r="C71" s="304"/>
      <c r="I71" s="312"/>
      <c r="K71" s="312"/>
      <c r="L71" s="312"/>
    </row>
    <row r="72" spans="3:12" s="47" customFormat="1">
      <c r="C72" s="304"/>
      <c r="I72" s="312"/>
      <c r="K72" s="312"/>
      <c r="L72" s="312"/>
    </row>
    <row r="73" spans="3:12" s="47" customFormat="1">
      <c r="C73" s="304"/>
      <c r="I73" s="312"/>
      <c r="K73" s="312"/>
      <c r="L73" s="312"/>
    </row>
    <row r="74" spans="3:12" s="47" customFormat="1">
      <c r="C74" s="304"/>
      <c r="I74" s="312"/>
      <c r="K74" s="312"/>
      <c r="L74" s="312"/>
    </row>
    <row r="75" spans="3:12" s="47" customFormat="1">
      <c r="C75" s="304"/>
      <c r="I75" s="312"/>
      <c r="K75" s="312"/>
      <c r="L75" s="312"/>
    </row>
    <row r="76" spans="3:12" s="47" customFormat="1">
      <c r="C76" s="304"/>
      <c r="I76" s="312"/>
      <c r="K76" s="312"/>
      <c r="L76" s="312"/>
    </row>
    <row r="77" spans="3:12" s="47" customFormat="1">
      <c r="C77" s="304"/>
      <c r="I77" s="312"/>
      <c r="K77" s="312"/>
      <c r="L77" s="312"/>
    </row>
    <row r="78" spans="3:12" s="47" customFormat="1">
      <c r="C78" s="304"/>
      <c r="I78" s="312"/>
      <c r="K78" s="312"/>
      <c r="L78" s="312"/>
    </row>
    <row r="79" spans="3:12" s="47" customFormat="1">
      <c r="C79" s="304"/>
      <c r="I79" s="312"/>
      <c r="K79" s="312"/>
      <c r="L79" s="312"/>
    </row>
    <row r="80" spans="3:12" s="47" customFormat="1">
      <c r="C80" s="304"/>
      <c r="I80" s="312"/>
      <c r="K80" s="312"/>
      <c r="L80" s="312"/>
    </row>
    <row r="81" spans="3:12" s="47" customFormat="1">
      <c r="C81" s="304"/>
      <c r="I81" s="312"/>
      <c r="K81" s="312"/>
      <c r="L81" s="312"/>
    </row>
    <row r="82" spans="3:12" s="47" customFormat="1">
      <c r="C82" s="304"/>
      <c r="I82" s="312"/>
      <c r="K82" s="312"/>
      <c r="L82" s="312"/>
    </row>
    <row r="83" spans="3:12" s="47" customFormat="1">
      <c r="C83" s="304"/>
      <c r="I83" s="312"/>
      <c r="K83" s="312"/>
      <c r="L83" s="312"/>
    </row>
    <row r="84" spans="3:12" s="47" customFormat="1">
      <c r="C84" s="304"/>
      <c r="I84" s="312"/>
      <c r="K84" s="312"/>
      <c r="L84" s="312"/>
    </row>
    <row r="85" spans="3:12" s="47" customFormat="1">
      <c r="C85" s="304"/>
      <c r="I85" s="312"/>
      <c r="K85" s="312"/>
      <c r="L85" s="312"/>
    </row>
    <row r="86" spans="3:12" s="47" customFormat="1">
      <c r="C86" s="304"/>
      <c r="I86" s="312"/>
      <c r="K86" s="312"/>
      <c r="L86" s="312"/>
    </row>
    <row r="87" spans="3:12" s="47" customFormat="1">
      <c r="C87" s="304"/>
      <c r="I87" s="312"/>
      <c r="K87" s="312"/>
      <c r="L87" s="312"/>
    </row>
    <row r="88" spans="3:12" s="47" customFormat="1">
      <c r="C88" s="304"/>
      <c r="I88" s="312"/>
      <c r="K88" s="312"/>
      <c r="L88" s="312"/>
    </row>
    <row r="89" spans="3:12" s="47" customFormat="1">
      <c r="C89" s="304"/>
      <c r="I89" s="312"/>
      <c r="K89" s="312"/>
      <c r="L89" s="312"/>
    </row>
    <row r="90" spans="3:12" s="47" customFormat="1">
      <c r="C90" s="304"/>
      <c r="I90" s="312"/>
      <c r="K90" s="312"/>
      <c r="L90" s="312"/>
    </row>
    <row r="91" spans="3:12" s="47" customFormat="1">
      <c r="C91" s="304"/>
      <c r="I91" s="312"/>
      <c r="K91" s="312"/>
      <c r="L91" s="312"/>
    </row>
    <row r="92" spans="3:12" s="47" customFormat="1">
      <c r="C92" s="304"/>
      <c r="I92" s="312"/>
      <c r="K92" s="312"/>
      <c r="L92" s="312"/>
    </row>
    <row r="93" spans="3:12" s="47" customFormat="1">
      <c r="C93" s="304"/>
      <c r="I93" s="312"/>
      <c r="K93" s="312"/>
      <c r="L93" s="312"/>
    </row>
    <row r="94" spans="3:12" s="47" customFormat="1">
      <c r="C94" s="304"/>
      <c r="I94" s="312"/>
      <c r="K94" s="312"/>
      <c r="L94" s="312"/>
    </row>
    <row r="95" spans="3:12" s="47" customFormat="1">
      <c r="C95" s="304"/>
      <c r="I95" s="312"/>
      <c r="K95" s="312"/>
      <c r="L95" s="312"/>
    </row>
    <row r="96" spans="3:12" s="47" customFormat="1">
      <c r="C96" s="304"/>
      <c r="I96" s="312"/>
      <c r="K96" s="312"/>
      <c r="L96" s="312"/>
    </row>
    <row r="97" spans="3:12" s="47" customFormat="1">
      <c r="C97" s="304"/>
      <c r="I97" s="312"/>
      <c r="K97" s="312"/>
      <c r="L97" s="312"/>
    </row>
    <row r="98" spans="3:12" s="47" customFormat="1">
      <c r="C98" s="304"/>
      <c r="I98" s="312"/>
      <c r="K98" s="312"/>
      <c r="L98" s="312"/>
    </row>
    <row r="99" spans="3:12" s="47" customFormat="1">
      <c r="C99" s="304"/>
      <c r="I99" s="312"/>
      <c r="K99" s="312"/>
      <c r="L99" s="312"/>
    </row>
    <row r="100" spans="3:12" s="47" customFormat="1">
      <c r="C100" s="304"/>
      <c r="I100" s="312"/>
      <c r="K100" s="312"/>
      <c r="L100" s="312"/>
    </row>
    <row r="101" spans="3:12" s="47" customFormat="1">
      <c r="C101" s="304"/>
      <c r="I101" s="312"/>
      <c r="K101" s="312"/>
      <c r="L101" s="312"/>
    </row>
    <row r="102" spans="3:12" s="47" customFormat="1">
      <c r="C102" s="304"/>
      <c r="I102" s="312"/>
      <c r="K102" s="312"/>
      <c r="L102" s="312"/>
    </row>
    <row r="103" spans="3:12" s="47" customFormat="1">
      <c r="C103" s="304"/>
      <c r="I103" s="312"/>
      <c r="K103" s="312"/>
      <c r="L103" s="312"/>
    </row>
    <row r="104" spans="3:12" s="47" customFormat="1">
      <c r="C104" s="304"/>
      <c r="I104" s="312"/>
      <c r="K104" s="312"/>
      <c r="L104" s="312"/>
    </row>
    <row r="105" spans="3:12" s="47" customFormat="1">
      <c r="C105" s="304"/>
      <c r="I105" s="312"/>
      <c r="K105" s="312"/>
      <c r="L105" s="312"/>
    </row>
    <row r="106" spans="3:12" s="47" customFormat="1">
      <c r="C106" s="304"/>
      <c r="I106" s="312"/>
      <c r="K106" s="312"/>
      <c r="L106" s="312"/>
    </row>
    <row r="107" spans="3:12" s="47" customFormat="1">
      <c r="C107" s="304"/>
      <c r="I107" s="312"/>
      <c r="K107" s="312"/>
      <c r="L107" s="312"/>
    </row>
    <row r="108" spans="3:12" s="47" customFormat="1">
      <c r="C108" s="304"/>
      <c r="I108" s="312"/>
      <c r="K108" s="312"/>
      <c r="L108" s="312"/>
    </row>
    <row r="109" spans="3:12" s="47" customFormat="1">
      <c r="C109" s="304"/>
      <c r="I109" s="312"/>
      <c r="K109" s="312"/>
      <c r="L109" s="312"/>
    </row>
    <row r="110" spans="3:12" s="47" customFormat="1">
      <c r="C110" s="304"/>
      <c r="I110" s="312"/>
      <c r="K110" s="312"/>
      <c r="L110" s="312"/>
    </row>
    <row r="111" spans="3:12" s="47" customFormat="1">
      <c r="C111" s="304"/>
      <c r="I111" s="312"/>
      <c r="K111" s="312"/>
      <c r="L111" s="312"/>
    </row>
    <row r="112" spans="3:12" s="47" customFormat="1">
      <c r="C112" s="304"/>
      <c r="I112" s="312"/>
      <c r="K112" s="312"/>
      <c r="L112" s="312"/>
    </row>
    <row r="113" spans="3:12" s="47" customFormat="1">
      <c r="C113" s="304"/>
      <c r="I113" s="312"/>
      <c r="K113" s="312"/>
      <c r="L113" s="312"/>
    </row>
    <row r="114" spans="3:12" s="47" customFormat="1">
      <c r="C114" s="304"/>
      <c r="I114" s="312"/>
      <c r="K114" s="312"/>
      <c r="L114" s="312"/>
    </row>
    <row r="115" spans="3:12" s="47" customFormat="1">
      <c r="C115" s="304"/>
      <c r="I115" s="312"/>
      <c r="K115" s="312"/>
      <c r="L115" s="312"/>
    </row>
    <row r="116" spans="3:12" s="47" customFormat="1">
      <c r="C116" s="304"/>
      <c r="I116" s="312"/>
      <c r="K116" s="312"/>
      <c r="L116" s="312"/>
    </row>
    <row r="117" spans="3:12" s="47" customFormat="1">
      <c r="C117" s="304"/>
      <c r="I117" s="312"/>
      <c r="K117" s="312"/>
      <c r="L117" s="312"/>
    </row>
    <row r="118" spans="3:12" s="47" customFormat="1">
      <c r="C118" s="304"/>
      <c r="I118" s="312"/>
      <c r="K118" s="312"/>
      <c r="L118" s="312"/>
    </row>
    <row r="119" spans="3:12" s="47" customFormat="1">
      <c r="C119" s="304"/>
      <c r="I119" s="312"/>
      <c r="K119" s="312"/>
      <c r="L119" s="312"/>
    </row>
    <row r="120" spans="3:12" s="47" customFormat="1">
      <c r="C120" s="304"/>
      <c r="I120" s="312"/>
      <c r="K120" s="312"/>
      <c r="L120" s="312"/>
    </row>
    <row r="121" spans="3:12" s="47" customFormat="1">
      <c r="C121" s="304"/>
      <c r="I121" s="312"/>
      <c r="K121" s="312"/>
      <c r="L121" s="312"/>
    </row>
    <row r="122" spans="3:12" s="47" customFormat="1">
      <c r="C122" s="304"/>
      <c r="I122" s="312"/>
      <c r="K122" s="312"/>
      <c r="L122" s="312"/>
    </row>
    <row r="123" spans="3:12" s="47" customFormat="1">
      <c r="C123" s="304"/>
      <c r="I123" s="312"/>
      <c r="K123" s="312"/>
      <c r="L123" s="312"/>
    </row>
    <row r="124" spans="3:12" s="47" customFormat="1">
      <c r="C124" s="304"/>
      <c r="I124" s="312"/>
      <c r="K124" s="312"/>
      <c r="L124" s="312"/>
    </row>
    <row r="125" spans="3:12" s="47" customFormat="1">
      <c r="C125" s="304"/>
      <c r="I125" s="312"/>
      <c r="K125" s="312"/>
      <c r="L125" s="312"/>
    </row>
    <row r="126" spans="3:12" s="47" customFormat="1">
      <c r="C126" s="304"/>
      <c r="I126" s="312"/>
      <c r="K126" s="312"/>
      <c r="L126" s="312"/>
    </row>
    <row r="127" spans="3:12" s="47" customFormat="1">
      <c r="C127" s="304"/>
      <c r="I127" s="312"/>
      <c r="K127" s="312"/>
      <c r="L127" s="312"/>
    </row>
    <row r="128" spans="3:12" s="47" customFormat="1">
      <c r="C128" s="304"/>
      <c r="I128" s="312"/>
      <c r="K128" s="312"/>
      <c r="L128" s="312"/>
    </row>
    <row r="129" spans="3:12" s="47" customFormat="1">
      <c r="C129" s="304"/>
      <c r="I129" s="312"/>
      <c r="K129" s="312"/>
      <c r="L129" s="312"/>
    </row>
    <row r="130" spans="3:12" s="47" customFormat="1">
      <c r="C130" s="304"/>
      <c r="I130" s="312"/>
      <c r="K130" s="312"/>
      <c r="L130" s="312"/>
    </row>
    <row r="131" spans="3:12" s="47" customFormat="1">
      <c r="C131" s="304"/>
      <c r="I131" s="312"/>
      <c r="K131" s="312"/>
      <c r="L131" s="312"/>
    </row>
    <row r="132" spans="3:12" s="47" customFormat="1">
      <c r="C132" s="304"/>
      <c r="I132" s="312"/>
      <c r="K132" s="312"/>
      <c r="L132" s="312"/>
    </row>
    <row r="133" spans="3:12" s="47" customFormat="1">
      <c r="C133" s="304"/>
      <c r="I133" s="312"/>
      <c r="K133" s="312"/>
      <c r="L133" s="312"/>
    </row>
    <row r="134" spans="3:12" s="47" customFormat="1">
      <c r="C134" s="304"/>
      <c r="I134" s="312"/>
      <c r="K134" s="312"/>
      <c r="L134" s="312"/>
    </row>
    <row r="135" spans="3:12" s="47" customFormat="1">
      <c r="C135" s="304"/>
      <c r="I135" s="312"/>
      <c r="K135" s="312"/>
      <c r="L135" s="312"/>
    </row>
    <row r="136" spans="3:12" s="47" customFormat="1">
      <c r="C136" s="304"/>
      <c r="I136" s="312"/>
      <c r="K136" s="312"/>
      <c r="L136" s="312"/>
    </row>
    <row r="137" spans="3:12" s="47" customFormat="1">
      <c r="C137" s="304"/>
      <c r="I137" s="312"/>
      <c r="K137" s="312"/>
      <c r="L137" s="312"/>
    </row>
    <row r="138" spans="3:12" s="47" customFormat="1">
      <c r="C138" s="304"/>
      <c r="I138" s="312"/>
      <c r="K138" s="312"/>
      <c r="L138" s="312"/>
    </row>
    <row r="139" spans="3:12" s="47" customFormat="1">
      <c r="C139" s="304"/>
      <c r="I139" s="312"/>
      <c r="K139" s="312"/>
      <c r="L139" s="312"/>
    </row>
    <row r="140" spans="3:12" s="47" customFormat="1">
      <c r="C140" s="304"/>
      <c r="I140" s="312"/>
      <c r="K140" s="312"/>
      <c r="L140" s="312"/>
    </row>
    <row r="141" spans="3:12" s="47" customFormat="1">
      <c r="C141" s="304"/>
      <c r="I141" s="312"/>
      <c r="K141" s="312"/>
      <c r="L141" s="312"/>
    </row>
    <row r="142" spans="3:12" s="47" customFormat="1">
      <c r="C142" s="304"/>
      <c r="I142" s="312"/>
      <c r="K142" s="312"/>
      <c r="L142" s="312"/>
    </row>
    <row r="143" spans="3:12" s="47" customFormat="1">
      <c r="C143" s="304"/>
      <c r="I143" s="312"/>
      <c r="K143" s="312"/>
      <c r="L143" s="312"/>
    </row>
  </sheetData>
  <sheetProtection algorithmName="SHA-512" hashValue="rzcy5AvZJ0ikY88T+YHXuvUuYqIdVUQckGw+hJpGalZWcggTZpgpN9lNJZML0rTgFkJLpfOu2XGj4clTleF32Q==" saltValue="b0YHDrQBzYOVfN4fZNNM4Q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3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3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8"/>
  <dimension ref="B1:N61"/>
  <sheetViews>
    <sheetView showGridLines="0" zoomScaleNormal="100" workbookViewId="0">
      <selection activeCell="H15" sqref="H15"/>
    </sheetView>
  </sheetViews>
  <sheetFormatPr defaultRowHeight="15"/>
  <cols>
    <col min="1" max="1" width="1.5703125" style="47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5.42578125" bestFit="1" customWidth="1"/>
    <col min="12" max="12" width="17.140625" style="47" bestFit="1" customWidth="1"/>
    <col min="13" max="13" width="1.42578125" style="47" customWidth="1"/>
    <col min="14" max="14" width="13.28515625" style="47" bestFit="1" customWidth="1"/>
    <col min="15" max="15" width="9.140625" style="47"/>
    <col min="16" max="16" width="14.28515625" style="47" bestFit="1" customWidth="1"/>
    <col min="17" max="16384" width="9.140625" style="47"/>
  </cols>
  <sheetData>
    <row r="1" spans="2:12" ht="6.75" customHeight="1"/>
    <row r="2" spans="2:12" ht="26.25">
      <c r="B2" s="707" t="s">
        <v>79</v>
      </c>
      <c r="C2" s="708"/>
      <c r="D2" s="708"/>
      <c r="E2" s="708"/>
      <c r="F2" s="708"/>
      <c r="G2" s="708"/>
      <c r="H2" s="708"/>
      <c r="I2" s="708"/>
      <c r="J2" s="708"/>
      <c r="K2" s="709"/>
    </row>
    <row r="3" spans="2:12" ht="21">
      <c r="B3" s="717" t="str">
        <f>IF(IFERROR(SUM(#REF!)&gt;0,FALSE()),#REF!,
IF(IFERROR(Veículos!$E$3&lt;&gt;"",FALSE()),'Mão de Obra'!D5,'Mão de Obra'!D5))</f>
        <v>SECRETARIA DE SAÚDE</v>
      </c>
      <c r="C3" s="718"/>
      <c r="D3" s="718"/>
      <c r="E3" s="718"/>
      <c r="F3" s="718"/>
      <c r="G3" s="718"/>
      <c r="H3" s="718"/>
      <c r="I3" s="718"/>
      <c r="J3" s="718"/>
      <c r="K3" s="719"/>
    </row>
    <row r="4" spans="2:12" ht="21">
      <c r="B4" s="710" t="s">
        <v>523</v>
      </c>
      <c r="C4" s="711"/>
      <c r="D4" s="711"/>
      <c r="E4" s="711"/>
      <c r="F4" s="711"/>
      <c r="G4" s="711"/>
      <c r="H4" s="711"/>
      <c r="I4" s="711"/>
      <c r="J4" s="711"/>
      <c r="K4" s="712"/>
    </row>
    <row r="5" spans="2:12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500"/>
    </row>
    <row r="6" spans="2:12" ht="15" customHeight="1">
      <c r="B6" s="358" t="s">
        <v>77</v>
      </c>
      <c r="C6" s="743">
        <f>IF(IFERROR(SUM(#REF!)&gt;0,FALSE()),#REF!,
IF(IFERROR(Veículos!$E$3&lt;&gt;"",FALSE()),'Mão de Obra'!D6,
'Mão de Obra'!D6))</f>
        <v>0</v>
      </c>
      <c r="D6" s="743"/>
      <c r="E6" s="743"/>
      <c r="F6" s="743"/>
      <c r="G6" s="738" t="s">
        <v>73</v>
      </c>
      <c r="H6" s="738"/>
      <c r="I6" s="738"/>
      <c r="J6" s="735">
        <f>IF(IFERROR(SUM(#REF!)&gt;0,FALSE()),#REF!,
IF(IFERROR(Veículos!$E$3&lt;&gt;"",FALSE()),'Mão de Obra'!D12,
'Mão de Obra'!D12))</f>
        <v>12</v>
      </c>
      <c r="K6" s="736"/>
    </row>
    <row r="7" spans="2:12" ht="15" customHeight="1">
      <c r="B7" s="364" t="s">
        <v>335</v>
      </c>
      <c r="C7" s="744" t="str">
        <f>IF(IFERROR(SUM(#REF!)&gt;0,FALSE()),#REF!,
IF(IFERROR(Veículos!$E$3&lt;&gt;"",FALSE()),'Mão de Obra'!D7,
'Mão de Obra'!D7))</f>
        <v>23.0.000099907-5</v>
      </c>
      <c r="D7" s="744"/>
      <c r="E7" s="744"/>
      <c r="F7" s="744"/>
      <c r="G7" s="737" t="s">
        <v>139</v>
      </c>
      <c r="H7" s="737"/>
      <c r="I7" s="737"/>
      <c r="J7" s="715" t="str">
        <f>IF(IFERROR(SUM(#REF!)&gt;0,FALSE()),#REF!,
IF(IFERROR(Veículos!$E$3&lt;&gt;"",FALSE()),'Mão de Obra'!D11,
'Mão de Obra'!D11))</f>
        <v>Mês</v>
      </c>
      <c r="K7" s="716"/>
    </row>
    <row r="8" spans="2:12" ht="32.25" customHeight="1">
      <c r="B8" s="723" t="str">
        <f>CONCATENATE("OBJETO: ",
IF(IFERROR(SUM(#REF!)&gt;0,FALSE()),#REF!,
IF(IFERROR(Veículos!$E$3&lt;&gt;"",FALSE()),'Mão de Obra'!D8,
'Mão de Obra'!D8)))</f>
        <v>OBJETO: Locação Veículos DVS</v>
      </c>
      <c r="C8" s="724"/>
      <c r="D8" s="724"/>
      <c r="E8" s="724"/>
      <c r="F8" s="724"/>
      <c r="G8" s="724"/>
      <c r="H8" s="724"/>
      <c r="I8" s="724"/>
      <c r="J8" s="724"/>
      <c r="K8" s="725"/>
    </row>
    <row r="9" spans="2:12" ht="15" customHeight="1">
      <c r="B9" s="364" t="s">
        <v>66</v>
      </c>
      <c r="C9" s="713"/>
      <c r="D9" s="713"/>
      <c r="E9" s="713"/>
      <c r="F9" s="713"/>
      <c r="G9" s="737" t="s">
        <v>410</v>
      </c>
      <c r="H9" s="737"/>
      <c r="I9" s="363"/>
      <c r="J9" s="715" t="str">
        <f>IF(IFERROR(SUM(#REF!)&gt;0,FALSE()),#REF!,
IF(IFERROR(Veículos!$E$3&lt;&gt;"",FALSE()),'Mão de Obra'!D13,
'Mão de Obra'!D13))</f>
        <v>Lucro Presumido</v>
      </c>
      <c r="K9" s="716"/>
    </row>
    <row r="10" spans="2:12">
      <c r="B10" s="361" t="s">
        <v>75</v>
      </c>
      <c r="C10" s="714"/>
      <c r="D10" s="714"/>
      <c r="E10" s="714"/>
      <c r="F10" s="714"/>
      <c r="G10" s="720" t="s">
        <v>411</v>
      </c>
      <c r="H10" s="720"/>
      <c r="I10" s="362"/>
      <c r="J10" s="749">
        <f>IF(IFERROR(SUM(#REF!)&gt;0,FALSE()),#REF!,
IF(IFERROR(Veículos!$E$3&lt;&gt;"",FALSE()),'Mão de Obra'!D14,
'Mão de Obra'!D14))</f>
        <v>0</v>
      </c>
      <c r="K10" s="750"/>
    </row>
    <row r="11" spans="2:12" ht="15" customHeight="1">
      <c r="B11" s="361" t="s">
        <v>67</v>
      </c>
      <c r="C11" s="713"/>
      <c r="D11" s="713"/>
      <c r="E11" s="713"/>
      <c r="F11" s="713"/>
      <c r="G11" s="720" t="s">
        <v>78</v>
      </c>
      <c r="H11" s="720"/>
      <c r="I11" s="739" t="s">
        <v>549</v>
      </c>
      <c r="J11" s="739"/>
      <c r="K11" s="740"/>
    </row>
    <row r="12" spans="2:12">
      <c r="B12" s="360" t="s">
        <v>68</v>
      </c>
      <c r="C12" s="745"/>
      <c r="D12" s="745"/>
      <c r="E12" s="745"/>
      <c r="F12" s="745"/>
      <c r="G12" s="720" t="s">
        <v>413</v>
      </c>
      <c r="H12" s="720"/>
      <c r="I12" s="741"/>
      <c r="J12" s="741"/>
      <c r="K12" s="742"/>
    </row>
    <row r="13" spans="2:12">
      <c r="B13" s="359" t="s">
        <v>76</v>
      </c>
      <c r="C13" s="746"/>
      <c r="D13" s="746"/>
      <c r="E13" s="746"/>
      <c r="F13" s="746"/>
      <c r="G13" s="721" t="s">
        <v>69</v>
      </c>
      <c r="H13" s="721"/>
      <c r="I13" s="751"/>
      <c r="J13" s="751"/>
      <c r="K13" s="752"/>
    </row>
    <row r="14" spans="2:12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2">
      <c r="B15" s="476" t="s">
        <v>508</v>
      </c>
      <c r="C15" s="477"/>
      <c r="D15" s="477"/>
      <c r="E15" s="477"/>
      <c r="F15" s="477"/>
      <c r="G15" s="477"/>
      <c r="H15" s="477"/>
      <c r="I15" s="477"/>
      <c r="J15" s="477"/>
      <c r="K15" s="478"/>
    </row>
    <row r="16" spans="2:12" ht="30">
      <c r="B16" s="479" t="s">
        <v>72</v>
      </c>
      <c r="C16" s="480" t="s">
        <v>138</v>
      </c>
      <c r="D16" s="480" t="s">
        <v>71</v>
      </c>
      <c r="E16" s="480" t="s">
        <v>502</v>
      </c>
      <c r="F16" s="481" t="s">
        <v>503</v>
      </c>
      <c r="G16" s="481" t="s">
        <v>520</v>
      </c>
      <c r="H16" s="481" t="s">
        <v>521</v>
      </c>
      <c r="I16" s="481" t="s">
        <v>522</v>
      </c>
      <c r="J16" s="481" t="s">
        <v>534</v>
      </c>
      <c r="K16" s="482" t="s">
        <v>491</v>
      </c>
    </row>
    <row r="17" spans="2:14" ht="30">
      <c r="B17" s="483" t="str">
        <f>IF(
INDEX('Mão de Obra'!$E$18:$AM$18,1,ROW()-ROW($B$16))&lt;&gt;0,
INDEX('Mão de Obra'!$E$18:$AM$18,1,ROW()-ROW($B$16)),
"EXCLUIR ESTA LINHA"
)</f>
        <v>Motorista Veículos Leves</v>
      </c>
      <c r="C17" s="484" t="str">
        <f>INDEX('Mão de Obra'!$E$25:$AM$25,1,ROW()-ROW($C$16))</f>
        <v>DVS</v>
      </c>
      <c r="D17" s="485" t="str">
        <f>INDEX('Mão de Obra'!$E$26:$AM$26,1,ROW()-ROW($D$16))</f>
        <v>40h (5 dia/sem)</v>
      </c>
      <c r="E17" s="486">
        <f>INDEX('Mão de Obra'!$E$27:$AM$27,1,ROW()-ROW($E$16))</f>
        <v>1</v>
      </c>
      <c r="F17" s="486">
        <f>INDEX('Mão de Obra'!$E$29:$AM$29,1,ROW()-ROW($F$16))</f>
        <v>1</v>
      </c>
      <c r="G17" s="487">
        <f>INDEX('Mão de Obra'!$E$173:$AR$173,1,ROW()-ROW($G$16))</f>
        <v>25.27</v>
      </c>
      <c r="H17" s="487">
        <f>INDEX('Mão de Obra'!$E$174:$AQ$174,1,ROW()-ROW($I$16))</f>
        <v>211.36</v>
      </c>
      <c r="I17" s="487">
        <f>INDEX('Mão de Obra'!$E$176:$AQ$176,1,ROW()-ROW($I$16))</f>
        <v>4649.8599999999997</v>
      </c>
      <c r="J17" s="487">
        <f>INDEX('Mão de Obra'!$E$182:$AQ$182,1,ROW()-ROW($I$16))</f>
        <v>4649.8599999999997</v>
      </c>
      <c r="K17" s="488">
        <f>INDEX('Mão de Obra'!$E$190:$AQ$190,1,ROW()-ROW($I$16))</f>
        <v>55798.32</v>
      </c>
      <c r="N17" s="504"/>
    </row>
    <row r="18" spans="2:14">
      <c r="B18" s="476"/>
      <c r="C18" s="477"/>
      <c r="D18" s="477"/>
      <c r="E18" s="489">
        <f>SUM(E17:E17)</f>
        <v>1</v>
      </c>
      <c r="F18" s="489">
        <f>SUM(F17:F17)</f>
        <v>1</v>
      </c>
      <c r="G18" s="490"/>
      <c r="H18" s="490"/>
      <c r="I18" s="490"/>
      <c r="J18" s="490">
        <f>SUM(J17:J17)</f>
        <v>4649.8599999999997</v>
      </c>
      <c r="K18" s="491">
        <f>SUM(K17:K17)</f>
        <v>55798.32</v>
      </c>
    </row>
    <row r="19" spans="2:14" ht="6.75" customHeight="1">
      <c r="B19" s="492"/>
      <c r="C19" s="492"/>
      <c r="D19" s="492"/>
      <c r="E19" s="492"/>
      <c r="F19" s="493"/>
      <c r="G19" s="494"/>
      <c r="H19" s="494"/>
      <c r="I19" s="494"/>
      <c r="J19" s="494"/>
      <c r="K19" s="494"/>
    </row>
    <row r="20" spans="2:14">
      <c r="B20" s="476" t="s">
        <v>509</v>
      </c>
      <c r="C20" s="477"/>
      <c r="D20" s="477"/>
      <c r="E20" s="477"/>
      <c r="F20" s="477"/>
      <c r="G20" s="477"/>
      <c r="H20" s="477"/>
      <c r="I20" s="477"/>
      <c r="J20" s="477"/>
      <c r="K20" s="478"/>
    </row>
    <row r="21" spans="2:14" ht="15" customHeight="1">
      <c r="B21" s="479" t="s">
        <v>504</v>
      </c>
      <c r="C21" s="480"/>
      <c r="D21" s="480" t="s">
        <v>506</v>
      </c>
      <c r="E21" s="480" t="s">
        <v>542</v>
      </c>
      <c r="F21" s="480" t="s">
        <v>505</v>
      </c>
      <c r="G21" s="481" t="s">
        <v>520</v>
      </c>
      <c r="H21" s="481" t="s">
        <v>538</v>
      </c>
      <c r="I21" s="481" t="s">
        <v>522</v>
      </c>
      <c r="J21" s="481" t="s">
        <v>534</v>
      </c>
      <c r="K21" s="482" t="s">
        <v>491</v>
      </c>
    </row>
    <row r="22" spans="2:14">
      <c r="B22" s="483" t="str">
        <f>IF(
INDEX(Veículos!$E$3:$AR$3,1,ROW()-ROW(B$21))&lt;&gt;"",
INDEX(Veículos!$E$3:$AR$3,1,ROW()-ROW(B$21)),
"EXCLUIR ESTA LINHA")</f>
        <v>Furgão baú</v>
      </c>
      <c r="C22" s="484"/>
      <c r="D22" s="486">
        <f>INDEX(Veículos!$E$4:$CS$4,1,ROW()-ROW(D$21))</f>
        <v>1</v>
      </c>
      <c r="E22" s="495">
        <f>INDEX(Veículos!$E$84:$CS$84,1,ROW()-ROW(E$21))</f>
        <v>200</v>
      </c>
      <c r="F22" s="496">
        <f>INDEX(Veículos!$E$5:$AR$5,1,ROW()-ROW(F$21))</f>
        <v>1250</v>
      </c>
      <c r="G22" s="487">
        <f>INDEX(Veículos!$E$85:$CS$85,1,ROW()-ROW(G$21))</f>
        <v>17.456849999999999</v>
      </c>
      <c r="H22" s="487">
        <f>INDEX(Veículos!$E$82:$CS$82,1,ROW()-ROW(H$21))</f>
        <v>1.1284879999999999</v>
      </c>
      <c r="I22" s="487">
        <f>INDEX(Veículos!$E$90:$CS$90,1,ROW()-ROW(I$21))</f>
        <v>4901.9799999999996</v>
      </c>
      <c r="J22" s="497">
        <f>INDEX(Veículos!$E$95:$CS$95,1,ROW()-ROW(J$21))</f>
        <v>4901.9799999999996</v>
      </c>
      <c r="K22" s="488">
        <f>INDEX(Veículos!$E$96:$CS$96,1,ROW()-ROW(K$21))</f>
        <v>58823.76</v>
      </c>
    </row>
    <row r="23" spans="2:14">
      <c r="B23" s="476"/>
      <c r="C23" s="477"/>
      <c r="D23" s="477"/>
      <c r="E23" s="477"/>
      <c r="F23" s="489"/>
      <c r="G23" s="498"/>
      <c r="H23" s="498"/>
      <c r="I23" s="498"/>
      <c r="J23" s="498">
        <f>SUM(J22:J22)</f>
        <v>4901.9799999999996</v>
      </c>
      <c r="K23" s="499">
        <f>SUM(K22:K22)</f>
        <v>58823.76</v>
      </c>
    </row>
    <row r="24" spans="2:14" ht="6.75" customHeight="1">
      <c r="B24" s="492"/>
      <c r="C24" s="492"/>
      <c r="D24" s="492"/>
      <c r="E24" s="492"/>
      <c r="F24" s="493"/>
      <c r="G24" s="493"/>
      <c r="H24" s="494"/>
      <c r="I24" s="494"/>
      <c r="J24" s="494"/>
      <c r="K24" s="494"/>
    </row>
    <row r="25" spans="2:14" ht="6.75" customHeight="1"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2:14">
      <c r="B26" s="27" t="s">
        <v>507</v>
      </c>
      <c r="C26" s="28"/>
      <c r="D26" s="28"/>
      <c r="E26" s="28"/>
      <c r="F26" s="28"/>
      <c r="G26" s="28"/>
      <c r="H26" s="28"/>
      <c r="I26" s="33"/>
      <c r="J26" s="33"/>
      <c r="K26" s="34"/>
    </row>
    <row r="27" spans="2:14">
      <c r="B27" s="392" t="s">
        <v>339</v>
      </c>
      <c r="C27" s="393"/>
      <c r="D27" s="393"/>
      <c r="E27" s="393"/>
      <c r="F27" s="393"/>
      <c r="G27" s="393"/>
      <c r="H27" s="393"/>
      <c r="I27" s="393"/>
      <c r="J27" s="394" t="s">
        <v>414</v>
      </c>
      <c r="K27" s="395" t="s">
        <v>437</v>
      </c>
    </row>
    <row r="28" spans="2:14">
      <c r="B28" s="56" t="s">
        <v>285</v>
      </c>
      <c r="C28" s="3"/>
      <c r="D28" s="3"/>
      <c r="E28" s="3"/>
      <c r="F28" s="3"/>
      <c r="G28" s="3"/>
      <c r="H28" s="3"/>
      <c r="I28" s="387"/>
      <c r="J28" s="81">
        <f>SUM(
IFERROR(SUM(#REF!),0),
IFERROR(SUMPRODUCT('Mão de Obra'!$E$179:$XFD$179,'Mão de Obra'!$E$185:$XFD$185),0)
)</f>
        <v>3638.82</v>
      </c>
      <c r="K28" s="82">
        <f>SUM(
IFERROR(SUM('Mão de Obra'!E187:XS187),0),
IFERROR(SUM(#REF!),0))</f>
        <v>43665.84</v>
      </c>
      <c r="L28" s="501"/>
    </row>
    <row r="29" spans="2:14">
      <c r="B29" s="56" t="s">
        <v>364</v>
      </c>
      <c r="I29" s="388"/>
      <c r="J29" s="35">
        <f>SUM(
IFERROR(SUMPRODUCT(#REF!,#REF!),0),
IFERROR(SUMPRODUCT('Mão de Obra'!E148:XFD148,'Mão de Obra'!$E$29:$XFD$29,'Mão de Obra'!$E$185:$XFD$185),0)
)</f>
        <v>0</v>
      </c>
      <c r="K29" s="82">
        <f>IFERROR(SUM(
IFERROR(SUMPRODUCT('Mão de Obra'!E148:XFD148,'Mão de Obra'!$E$29:$XFD$29,'Mão de Obra'!$E$186:$XFD$186),0),
IFERROR(SUMPRODUCT(#REF!,#REF!,#REF!),0)
),"")</f>
        <v>0</v>
      </c>
      <c r="L29" s="501"/>
      <c r="N29" s="501"/>
    </row>
    <row r="30" spans="2:14">
      <c r="B30" s="56" t="s">
        <v>363</v>
      </c>
      <c r="I30" s="388"/>
      <c r="J30" s="35">
        <f>SUM(
IFERROR(SUMPRODUCT(#REF!,#REF!),0),
IFERROR(SUMPRODUCT('Mão de Obra'!E149:XFD149,'Mão de Obra'!$E$29:$XFD$29,'Mão de Obra'!$E$185:$XFD$185),0)
)</f>
        <v>139.44</v>
      </c>
      <c r="K30" s="82">
        <f>IFERROR(SUM(
IFERROR(SUMPRODUCT('Mão de Obra'!E149:XFD149,'Mão de Obra'!$E$29:$XFD$29,'Mão de Obra'!$E$186:$XFD$186),0),
IFERROR(SUMPRODUCT(#REF!,#REF!,#REF!),0)
),"")</f>
        <v>1673.28</v>
      </c>
      <c r="L30" s="501"/>
    </row>
    <row r="31" spans="2:14">
      <c r="B31" s="56" t="s">
        <v>514</v>
      </c>
      <c r="I31" s="388"/>
      <c r="J31" s="29">
        <f>IFERROR(SUM(Veículos!E93:DG93),0)</f>
        <v>3983.12</v>
      </c>
      <c r="K31" s="82">
        <f>IFERROR(J31*$J$6,0)</f>
        <v>47797.440000000002</v>
      </c>
      <c r="L31" s="501"/>
    </row>
    <row r="32" spans="2:14">
      <c r="B32" s="62" t="s">
        <v>338</v>
      </c>
      <c r="C32" s="63"/>
      <c r="D32" s="63"/>
      <c r="E32" s="63"/>
      <c r="F32" s="63"/>
      <c r="G32" s="63"/>
      <c r="H32" s="63"/>
      <c r="I32" s="389"/>
      <c r="J32" s="64">
        <f>IFERROR(SUM(J28:J31),0)</f>
        <v>7761.38</v>
      </c>
      <c r="K32" s="65">
        <f>SUM(K28:K31)</f>
        <v>93136.56</v>
      </c>
      <c r="L32" s="501"/>
    </row>
    <row r="33" spans="2:12">
      <c r="B33" s="396" t="s">
        <v>225</v>
      </c>
      <c r="C33" s="397"/>
      <c r="D33" s="397"/>
      <c r="E33" s="397"/>
      <c r="F33" s="397"/>
      <c r="G33" s="397"/>
      <c r="H33" s="397"/>
      <c r="I33" s="398"/>
      <c r="J33" s="399"/>
      <c r="K33" s="400"/>
      <c r="L33" s="501"/>
    </row>
    <row r="34" spans="2:12">
      <c r="B34" s="56" t="s">
        <v>341</v>
      </c>
      <c r="C34" s="268"/>
      <c r="F34" s="29"/>
      <c r="I34" s="390"/>
      <c r="J34" s="80">
        <f>SUM(
IFERROR(SUMPRODUCT('Mão de Obra'!E155:XFD155,'Mão de Obra'!$E$29:$XFD$29,'Mão de Obra'!$E$185:$XFD$185),0),
IFERROR(SUMPRODUCT(#REF!,#REF!,#REF!),0),
IFERROR(SUMPRODUCT(Veículos!E64:XFD64,Veículos!$E$4:$XFD$4),0)
)</f>
        <v>388.07</v>
      </c>
      <c r="K34" s="30">
        <f>IFERROR(SUM(
IFERROR(SUMPRODUCT('Mão de Obra'!E155:XFD155,'Mão de Obra'!$E$29:$XFD$29,'Mão de Obra'!$E$186:$XFD$186),0),
IFERROR(SUMPRODUCT(#REF!,#REF!,#REF!),0),
IFERROR(SUMPRODUCT(Veículos!E64:XFD64,Veículos!$E$4:$XFD$4)*$J$6,0)
),"")</f>
        <v>4656.84</v>
      </c>
      <c r="L34" s="501"/>
    </row>
    <row r="35" spans="2:12">
      <c r="B35" s="56" t="s">
        <v>280</v>
      </c>
      <c r="C35" s="268"/>
      <c r="F35" s="29"/>
      <c r="H35" s="36"/>
      <c r="I35" s="390"/>
      <c r="J35" s="80">
        <f>SUM(
IFERROR(SUMPRODUCT('Mão de Obra'!E156:XFD156,'Mão de Obra'!$E$29:$XFD$29,'Mão de Obra'!$E$185:$XFD$185),0),
IFERROR(SUMPRODUCT(#REF!,#REF!,#REF!),0),
IFERROR(SUMPRODUCT(Veículos!E65:XFD65,Veículos!$E$4:$XFD$4),0)
)</f>
        <v>814.95</v>
      </c>
      <c r="K35" s="30">
        <f>IFERROR(SUM(
IFERROR(SUMPRODUCT('Mão de Obra'!E156:XFD156,'Mão de Obra'!$E$29:$XFD$29,'Mão de Obra'!$E$186:$XFD$186),0),
IFERROR(SUMPRODUCT(#REF!,#REF!,#REF!),0),
IFERROR(SUMPRODUCT(Veículos!E65:XFD65,Veículos!$E$4:$XFD$4)*$J$6,0)
),"")</f>
        <v>9779.4000000000015</v>
      </c>
      <c r="L35" s="501"/>
    </row>
    <row r="36" spans="2:12">
      <c r="B36" s="56" t="s">
        <v>340</v>
      </c>
      <c r="C36" s="268"/>
      <c r="F36" s="29"/>
      <c r="H36" s="36"/>
      <c r="I36" s="390"/>
      <c r="J36" s="46"/>
      <c r="K36" s="30"/>
      <c r="L36" s="501"/>
    </row>
    <row r="37" spans="2:12">
      <c r="B37" s="66" t="s">
        <v>45</v>
      </c>
      <c r="C37" s="268"/>
      <c r="F37" s="29"/>
      <c r="H37" s="36"/>
      <c r="I37" s="390"/>
      <c r="J37" s="46">
        <f>SUM(
IFERROR(SUMPRODUCT('Mão de Obra'!E160:XFD160,'Mão de Obra'!$E$29:$XFD$29,'Mão de Obra'!$E$185:$XFD$185),0),
IFERROR(SUMPRODUCT(#REF!,#REF!,#REF!),0),
IFERROR(SUMPRODUCT(Veículos!E69:XFD69,Veículos!$E$4:$XFD$4),0)
)</f>
        <v>286.56</v>
      </c>
      <c r="K37" s="30">
        <f>IFERROR(SUM(
IFERROR(SUMPRODUCT('Mão de Obra'!E160:XFD160,'Mão de Obra'!$E$29:$XFD$29,'Mão de Obra'!$E$186:$XFD$186),0),
IFERROR(SUMPRODUCT(#REF!,#REF!,#REF!),0),
IFERROR(SUMPRODUCT(Veículos!E69:XFD69,Veículos!$E$4:$XFD$4)*$J$6,0)
),"")</f>
        <v>3438.7200000000003</v>
      </c>
      <c r="L37" s="501"/>
    </row>
    <row r="38" spans="2:12">
      <c r="B38" s="66" t="s">
        <v>135</v>
      </c>
      <c r="C38" s="268"/>
      <c r="H38" s="37"/>
      <c r="I38" s="390"/>
      <c r="J38" s="46">
        <f>SUM(
IFERROR(SUMPRODUCT('Mão de Obra'!E161:XFD161,'Mão de Obra'!$E$29:$XFD$29,'Mão de Obra'!$E$185:$XFD$185),0),
IFERROR(SUMPRODUCT(#REF!,#REF!,#REF!),0),
IFERROR(SUMPRODUCT(Veículos!E70:XFD70,Veículos!$E$4:$XFD$4),0)
)</f>
        <v>62.08</v>
      </c>
      <c r="K38" s="30">
        <f>SUM(
IFERROR(SUMPRODUCT('Mão de Obra'!E161:XFD161,'Mão de Obra'!$E$29:$XFD$29,'Mão de Obra'!$E$186:$XFD$186),0),
IFERROR(SUMPRODUCT(#REF!,#REF!,#REF!),0),
IFERROR(SUMPRODUCT(Veículos!E70:XFD70,Veículos!$E$4:$XFD$4)*$J$6,0))</f>
        <v>744.96</v>
      </c>
      <c r="L38" s="501"/>
    </row>
    <row r="39" spans="2:12">
      <c r="B39" s="66" t="s">
        <v>46</v>
      </c>
      <c r="C39" s="268"/>
      <c r="H39" s="37"/>
      <c r="I39" s="390"/>
      <c r="J39" s="46">
        <f>SUM(
IFERROR(SUMPRODUCT('Mão de Obra'!E164:XFD164,'Mão de Obra'!$E$29:$XFD$29,'Mão de Obra'!$E$185:$XFD$185),0),
IFERROR(SUMPRODUCT(#REF!,#REF!,#REF!),0),
IFERROR(SUMPRODUCT(Veículos!E73:XFD73,Veículos!$E$4:$XFD$4),0)
)</f>
        <v>238.8</v>
      </c>
      <c r="K39" s="30">
        <f>SUM(
IFERROR(SUMPRODUCT('Mão de Obra'!E164:XFD164,'Mão de Obra'!$E$29:$XFD$29,'Mão de Obra'!$E$186:$XFD$186),0),
IFERROR(SUMPRODUCT(#REF!,#REF!,#REF!),0),
IFERROR(SUMPRODUCT(Veículos!E73:XFD73,Veículos!$E$4:$XFD$4)*$J$6,0))</f>
        <v>2865.6</v>
      </c>
      <c r="L39" s="501"/>
    </row>
    <row r="40" spans="2:12">
      <c r="B40" s="66" t="s">
        <v>394</v>
      </c>
      <c r="C40" s="268"/>
      <c r="H40" s="37"/>
      <c r="I40" s="390"/>
      <c r="J40" s="46">
        <f>SUM(
IFERROR(SUMPRODUCT('Mão de Obra'!E165:XFD165,'Mão de Obra'!$E$29:$XFD$29,'Mão de Obra'!$E$185:$XFD$185),0),
IFERROR(SUMPRODUCT(#REF!,#REF!,#REF!),0),
IFERROR(SUMPRODUCT(Veículos!E74:XFD74,Veículos!$E$4:$XFD$4),0)
)</f>
        <v>0</v>
      </c>
      <c r="K40" s="30">
        <f>SUM(
IFERROR(SUMPRODUCT('Mão de Obra'!E165:XFD165,'Mão de Obra'!$E$29:$XFD$29,'Mão de Obra'!$E$186:$XFD$186),0),
IFERROR(SUMPRODUCT(#REF!,#REF!,#REF!),0),
IFERROR(SUMPRODUCT(Veículos!E74:XFD74,Veículos!$E$4:$XFD$4)*$J$6,0))</f>
        <v>0</v>
      </c>
      <c r="L40" s="501"/>
    </row>
    <row r="41" spans="2:12">
      <c r="B41" s="61" t="s">
        <v>338</v>
      </c>
      <c r="C41" s="57"/>
      <c r="D41" s="57"/>
      <c r="E41" s="57"/>
      <c r="F41" s="58"/>
      <c r="G41" s="59"/>
      <c r="H41" s="59"/>
      <c r="I41" s="391"/>
      <c r="J41" s="59">
        <f>SUM(J34:J40)</f>
        <v>1790.4599999999998</v>
      </c>
      <c r="K41" s="60">
        <f>SUM(K34:K40)</f>
        <v>21485.52</v>
      </c>
      <c r="L41" s="501"/>
    </row>
    <row r="42" spans="2:12">
      <c r="B42" s="67" t="s">
        <v>274</v>
      </c>
      <c r="C42" s="28"/>
      <c r="D42" s="28"/>
      <c r="E42" s="28"/>
      <c r="F42" s="33"/>
      <c r="G42" s="31"/>
      <c r="H42" s="31"/>
      <c r="I42" s="31"/>
      <c r="J42" s="31">
        <f>SUM(J32,J41)</f>
        <v>9551.84</v>
      </c>
      <c r="K42" s="32">
        <f>SUM(K32,K41)</f>
        <v>114622.08</v>
      </c>
    </row>
    <row r="43" spans="2:12">
      <c r="B43" s="365"/>
      <c r="C43" s="3"/>
      <c r="D43" s="3"/>
      <c r="E43" s="3"/>
      <c r="F43" s="314"/>
      <c r="G43" s="314"/>
      <c r="H43" s="45"/>
      <c r="I43" s="45"/>
      <c r="J43" s="45"/>
      <c r="K43" s="45"/>
      <c r="L43" s="502"/>
    </row>
    <row r="44" spans="2:12">
      <c r="B44" s="38"/>
    </row>
    <row r="45" spans="2:12">
      <c r="B45" s="38"/>
      <c r="D45" s="722" t="s">
        <v>559</v>
      </c>
      <c r="E45" s="722"/>
      <c r="F45" s="722"/>
      <c r="G45" s="722"/>
      <c r="I45" s="39"/>
    </row>
    <row r="46" spans="2:12">
      <c r="B46" s="38"/>
      <c r="D46" s="38"/>
      <c r="E46" s="38"/>
      <c r="F46" s="38"/>
      <c r="G46" s="39"/>
      <c r="I46" s="39"/>
    </row>
    <row r="47" spans="2:12">
      <c r="B47" s="38"/>
      <c r="D47" s="38"/>
      <c r="E47" s="38"/>
      <c r="F47" s="38"/>
      <c r="G47" s="39"/>
      <c r="I47" s="39"/>
    </row>
    <row r="48" spans="2:12">
      <c r="B48" s="38"/>
      <c r="D48" s="706"/>
      <c r="E48" s="706"/>
      <c r="F48" s="706"/>
      <c r="G48" s="706"/>
      <c r="I48" s="39"/>
    </row>
    <row r="49" spans="2:9">
      <c r="B49" s="38"/>
      <c r="D49" s="747" t="s">
        <v>343</v>
      </c>
      <c r="E49" s="747"/>
      <c r="F49" s="747"/>
      <c r="G49" s="747"/>
      <c r="I49" s="39"/>
    </row>
    <row r="50" spans="2:9">
      <c r="B50" s="38"/>
      <c r="D50" s="38"/>
      <c r="E50" s="38"/>
      <c r="F50" s="38"/>
      <c r="G50" s="39"/>
      <c r="I50" s="39"/>
    </row>
    <row r="51" spans="2:9" ht="15.75" thickBot="1">
      <c r="B51" s="38"/>
      <c r="D51" s="748" t="s">
        <v>342</v>
      </c>
      <c r="E51" s="748"/>
      <c r="F51" s="748"/>
      <c r="G51" s="748"/>
      <c r="I51" s="39"/>
    </row>
    <row r="52" spans="2:9">
      <c r="B52" s="38"/>
      <c r="D52" s="726"/>
      <c r="E52" s="727"/>
      <c r="F52" s="727"/>
      <c r="G52" s="728"/>
      <c r="I52" s="39"/>
    </row>
    <row r="53" spans="2:9">
      <c r="B53" s="38"/>
      <c r="D53" s="729"/>
      <c r="E53" s="730"/>
      <c r="F53" s="730"/>
      <c r="G53" s="731"/>
      <c r="I53" s="39"/>
    </row>
    <row r="54" spans="2:9">
      <c r="B54" s="38"/>
      <c r="D54" s="729"/>
      <c r="E54" s="730"/>
      <c r="F54" s="730"/>
      <c r="G54" s="731"/>
      <c r="I54" s="39"/>
    </row>
    <row r="55" spans="2:9">
      <c r="B55" s="38"/>
      <c r="D55" s="729"/>
      <c r="E55" s="730"/>
      <c r="F55" s="730"/>
      <c r="G55" s="731"/>
      <c r="I55" s="39"/>
    </row>
    <row r="56" spans="2:9">
      <c r="B56" s="38"/>
      <c r="D56" s="729"/>
      <c r="E56" s="730"/>
      <c r="F56" s="730"/>
      <c r="G56" s="731"/>
      <c r="I56" s="39"/>
    </row>
    <row r="57" spans="2:9">
      <c r="B57" s="38"/>
      <c r="D57" s="729"/>
      <c r="E57" s="730"/>
      <c r="F57" s="730"/>
      <c r="G57" s="731"/>
      <c r="I57" s="39"/>
    </row>
    <row r="58" spans="2:9">
      <c r="B58" s="38"/>
      <c r="D58" s="729"/>
      <c r="E58" s="730"/>
      <c r="F58" s="730"/>
      <c r="G58" s="731"/>
      <c r="I58" s="39"/>
    </row>
    <row r="59" spans="2:9">
      <c r="B59" s="38"/>
      <c r="D59" s="729"/>
      <c r="E59" s="730"/>
      <c r="F59" s="730"/>
      <c r="G59" s="731"/>
      <c r="I59" s="39"/>
    </row>
    <row r="60" spans="2:9" ht="15.75" thickBot="1">
      <c r="B60" s="38"/>
      <c r="D60" s="732"/>
      <c r="E60" s="733"/>
      <c r="F60" s="733"/>
      <c r="G60" s="734"/>
      <c r="I60" s="39"/>
    </row>
    <row r="61" spans="2:9">
      <c r="B61" s="38"/>
      <c r="D61" s="38"/>
      <c r="E61" s="38"/>
      <c r="F61" s="39"/>
      <c r="G61" s="39"/>
    </row>
  </sheetData>
  <sheetProtection sheet="1" formatCells="0" formatColumns="0" insertColumns="0" insertRows="0" deleteColumns="0" deleteRows="0"/>
  <protectedRanges>
    <protectedRange sqref="D45:E45" name="Intervalo2"/>
  </protectedRanges>
  <mergeCells count="30">
    <mergeCell ref="D52:G60"/>
    <mergeCell ref="J6:K6"/>
    <mergeCell ref="J7:K7"/>
    <mergeCell ref="G7:I7"/>
    <mergeCell ref="G6:I6"/>
    <mergeCell ref="G9:H9"/>
    <mergeCell ref="I11:K11"/>
    <mergeCell ref="I12:K12"/>
    <mergeCell ref="C6:F6"/>
    <mergeCell ref="C7:F7"/>
    <mergeCell ref="C12:F12"/>
    <mergeCell ref="C13:F13"/>
    <mergeCell ref="D49:G49"/>
    <mergeCell ref="D51:G51"/>
    <mergeCell ref="J10:K10"/>
    <mergeCell ref="I13:K13"/>
    <mergeCell ref="D48:G48"/>
    <mergeCell ref="B2:K2"/>
    <mergeCell ref="B4:K4"/>
    <mergeCell ref="C9:F9"/>
    <mergeCell ref="C11:F11"/>
    <mergeCell ref="C10:F10"/>
    <mergeCell ref="J9:K9"/>
    <mergeCell ref="B3:K3"/>
    <mergeCell ref="G12:H12"/>
    <mergeCell ref="G13:H13"/>
    <mergeCell ref="G11:H11"/>
    <mergeCell ref="G10:H10"/>
    <mergeCell ref="D45:G45"/>
    <mergeCell ref="B8:K8"/>
  </mergeCells>
  <conditionalFormatting sqref="C6:C7 J6:J7 B8 C9 J9:J10 C11:C13 I11:I13">
    <cfRule type="expression" dxfId="5" priority="70">
      <formula>#REF!</formula>
    </cfRule>
  </conditionalFormatting>
  <conditionalFormatting sqref="G22:G23">
    <cfRule type="expression" dxfId="4" priority="1">
      <formula>#REF!="Área (m²)"</formula>
    </cfRule>
  </conditionalFormatting>
  <conditionalFormatting sqref="H19">
    <cfRule type="expression" dxfId="3" priority="14">
      <formula>#REF!="Área (m²)"</formula>
    </cfRule>
  </conditionalFormatting>
  <conditionalFormatting sqref="H22:H24">
    <cfRule type="expression" dxfId="2" priority="11">
      <formula>#REF!="Área (m²)"</formula>
    </cfRule>
  </conditionalFormatting>
  <conditionalFormatting sqref="I22">
    <cfRule type="expression" dxfId="1" priority="10">
      <formula>#REF!="Área (m²)"</formula>
    </cfRule>
  </conditionalFormatting>
  <dataValidations count="1">
    <dataValidation type="list" allowBlank="1" sqref="J7" xr:uid="{00000000-0002-0000-04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48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77" t="s">
        <v>71</v>
      </c>
      <c r="B1" s="177" t="s">
        <v>357</v>
      </c>
      <c r="C1" s="177" t="s">
        <v>524</v>
      </c>
      <c r="D1" s="177" t="s">
        <v>70</v>
      </c>
      <c r="E1" s="177" t="s">
        <v>64</v>
      </c>
      <c r="F1" s="177" t="s">
        <v>65</v>
      </c>
      <c r="G1" s="177" t="s">
        <v>63</v>
      </c>
      <c r="H1" s="177" t="s">
        <v>533</v>
      </c>
      <c r="I1" s="177" t="s">
        <v>528</v>
      </c>
    </row>
    <row r="2" spans="1:9" s="4" customFormat="1" ht="15" customHeight="1">
      <c r="A2" s="177"/>
      <c r="B2" s="177"/>
      <c r="C2" s="177"/>
      <c r="D2" s="177"/>
      <c r="E2" s="177"/>
      <c r="F2" s="177"/>
      <c r="G2" s="177"/>
      <c r="H2" s="177"/>
      <c r="I2" s="177"/>
    </row>
    <row r="3" spans="1:9">
      <c r="A3" s="176" t="s">
        <v>47</v>
      </c>
      <c r="B3" s="300">
        <v>2</v>
      </c>
      <c r="C3" s="460" t="s">
        <v>525</v>
      </c>
      <c r="D3" s="300">
        <v>7</v>
      </c>
      <c r="E3" s="300" t="s">
        <v>479</v>
      </c>
      <c r="F3" s="300"/>
      <c r="G3" s="300">
        <v>15</v>
      </c>
      <c r="H3" s="300">
        <v>220</v>
      </c>
      <c r="I3" s="300">
        <f>G3*12</f>
        <v>180</v>
      </c>
    </row>
    <row r="4" spans="1:9">
      <c r="A4" s="176" t="s">
        <v>48</v>
      </c>
      <c r="B4" s="300">
        <v>2</v>
      </c>
      <c r="C4" s="460" t="s">
        <v>525</v>
      </c>
      <c r="D4" s="300">
        <v>7</v>
      </c>
      <c r="E4" s="300" t="s">
        <v>479</v>
      </c>
      <c r="F4" s="300"/>
      <c r="G4" s="300">
        <v>15</v>
      </c>
      <c r="H4" s="300">
        <v>220</v>
      </c>
      <c r="I4" s="300">
        <f>G4*12</f>
        <v>180</v>
      </c>
    </row>
    <row r="5" spans="1:9">
      <c r="A5" s="176" t="s">
        <v>579</v>
      </c>
      <c r="B5" s="300">
        <v>1</v>
      </c>
      <c r="C5" s="460" t="s">
        <v>525</v>
      </c>
      <c r="D5" s="300"/>
      <c r="E5" s="300">
        <v>1</v>
      </c>
      <c r="F5" s="300">
        <v>4</v>
      </c>
      <c r="G5" s="300">
        <f>E5*4</f>
        <v>4</v>
      </c>
      <c r="H5" s="300">
        <f t="shared" ref="H5:H11" si="0">F5*30/6</f>
        <v>20</v>
      </c>
      <c r="I5" s="300">
        <f>F5*4</f>
        <v>16</v>
      </c>
    </row>
    <row r="6" spans="1:9">
      <c r="A6" s="176" t="s">
        <v>580</v>
      </c>
      <c r="B6" s="300">
        <v>1</v>
      </c>
      <c r="C6" s="460" t="s">
        <v>525</v>
      </c>
      <c r="D6" s="300"/>
      <c r="E6" s="300">
        <v>1</v>
      </c>
      <c r="F6" s="300">
        <v>6</v>
      </c>
      <c r="G6" s="300">
        <f t="shared" ref="G6:G9" si="1">E6*4</f>
        <v>4</v>
      </c>
      <c r="H6" s="300">
        <f t="shared" si="0"/>
        <v>30</v>
      </c>
      <c r="I6" s="300">
        <f>F6*4</f>
        <v>24</v>
      </c>
    </row>
    <row r="7" spans="1:9">
      <c r="A7" s="176" t="s">
        <v>581</v>
      </c>
      <c r="B7" s="300">
        <v>1</v>
      </c>
      <c r="C7" s="460" t="s">
        <v>525</v>
      </c>
      <c r="D7" s="300"/>
      <c r="E7" s="300">
        <v>1</v>
      </c>
      <c r="F7" s="300">
        <v>8</v>
      </c>
      <c r="G7" s="300">
        <f t="shared" si="1"/>
        <v>4</v>
      </c>
      <c r="H7" s="300">
        <f t="shared" si="0"/>
        <v>40</v>
      </c>
      <c r="I7" s="300">
        <f>F7*4</f>
        <v>32</v>
      </c>
    </row>
    <row r="8" spans="1:9">
      <c r="A8" s="176" t="s">
        <v>590</v>
      </c>
      <c r="B8" s="300">
        <v>1</v>
      </c>
      <c r="C8" s="460" t="s">
        <v>525</v>
      </c>
      <c r="D8" s="300"/>
      <c r="E8" s="300">
        <v>2</v>
      </c>
      <c r="F8" s="300">
        <v>12</v>
      </c>
      <c r="G8" s="300">
        <f t="shared" si="1"/>
        <v>8</v>
      </c>
      <c r="H8" s="300">
        <f t="shared" si="0"/>
        <v>60</v>
      </c>
      <c r="I8" s="300">
        <f t="shared" ref="I8:I9" si="2">F8*4</f>
        <v>48</v>
      </c>
    </row>
    <row r="9" spans="1:9">
      <c r="A9" s="176" t="s">
        <v>591</v>
      </c>
      <c r="B9" s="300">
        <v>1</v>
      </c>
      <c r="C9" s="460" t="s">
        <v>525</v>
      </c>
      <c r="D9" s="300"/>
      <c r="E9" s="300">
        <v>2</v>
      </c>
      <c r="F9" s="300">
        <v>16</v>
      </c>
      <c r="G9" s="300">
        <f t="shared" si="1"/>
        <v>8</v>
      </c>
      <c r="H9" s="300">
        <f t="shared" si="0"/>
        <v>80</v>
      </c>
      <c r="I9" s="300">
        <f t="shared" si="2"/>
        <v>64</v>
      </c>
    </row>
    <row r="10" spans="1:9">
      <c r="A10" s="176" t="s">
        <v>582</v>
      </c>
      <c r="B10" s="300">
        <v>1</v>
      </c>
      <c r="C10" s="460" t="s">
        <v>525</v>
      </c>
      <c r="D10" s="300">
        <v>10</v>
      </c>
      <c r="E10" s="300">
        <v>5</v>
      </c>
      <c r="F10" s="300">
        <v>20</v>
      </c>
      <c r="G10" s="300">
        <f>E10*4+2</f>
        <v>22</v>
      </c>
      <c r="H10" s="300">
        <f t="shared" si="0"/>
        <v>100</v>
      </c>
      <c r="I10" s="300">
        <f>F10*4+2*4</f>
        <v>88</v>
      </c>
    </row>
    <row r="11" spans="1:9">
      <c r="A11" s="176" t="s">
        <v>583</v>
      </c>
      <c r="B11" s="300">
        <v>1</v>
      </c>
      <c r="C11" s="460" t="s">
        <v>525</v>
      </c>
      <c r="D11" s="300">
        <v>10</v>
      </c>
      <c r="E11" s="300">
        <v>5</v>
      </c>
      <c r="F11" s="300">
        <v>30</v>
      </c>
      <c r="G11" s="300">
        <f t="shared" ref="G11:G12" si="3">E11*4+2</f>
        <v>22</v>
      </c>
      <c r="H11" s="300">
        <f t="shared" si="0"/>
        <v>150</v>
      </c>
      <c r="I11" s="300">
        <f>F11*4+2*6</f>
        <v>132</v>
      </c>
    </row>
    <row r="12" spans="1:9">
      <c r="A12" s="176" t="s">
        <v>584</v>
      </c>
      <c r="B12" s="300">
        <v>1</v>
      </c>
      <c r="C12" s="460" t="s">
        <v>525</v>
      </c>
      <c r="D12" s="300"/>
      <c r="E12" s="300">
        <v>5</v>
      </c>
      <c r="F12" s="300">
        <v>35</v>
      </c>
      <c r="G12" s="300">
        <f t="shared" si="3"/>
        <v>22</v>
      </c>
      <c r="H12" s="300">
        <v>175</v>
      </c>
      <c r="I12" s="300">
        <f>F12*4+2*7</f>
        <v>154</v>
      </c>
    </row>
    <row r="13" spans="1:9">
      <c r="A13" s="176" t="s">
        <v>585</v>
      </c>
      <c r="B13" s="300">
        <v>1</v>
      </c>
      <c r="C13" s="460" t="s">
        <v>525</v>
      </c>
      <c r="D13" s="300">
        <v>10</v>
      </c>
      <c r="E13" s="300">
        <v>6</v>
      </c>
      <c r="F13" s="300">
        <v>36</v>
      </c>
      <c r="G13" s="300">
        <f>E13*4+2</f>
        <v>26</v>
      </c>
      <c r="H13" s="300">
        <f>F13*30/6</f>
        <v>180</v>
      </c>
      <c r="I13" s="300">
        <f>F13*4+2*6</f>
        <v>156</v>
      </c>
    </row>
    <row r="14" spans="1:9">
      <c r="A14" s="176" t="s">
        <v>586</v>
      </c>
      <c r="B14" s="300">
        <v>1</v>
      </c>
      <c r="C14" s="460" t="s">
        <v>525</v>
      </c>
      <c r="D14" s="300">
        <v>10</v>
      </c>
      <c r="E14" s="300">
        <v>5</v>
      </c>
      <c r="F14" s="300">
        <v>40</v>
      </c>
      <c r="G14" s="300">
        <f>E14*4+2</f>
        <v>22</v>
      </c>
      <c r="H14" s="300">
        <f>F14*30/6</f>
        <v>200</v>
      </c>
      <c r="I14" s="300">
        <f>F14*4+2*8</f>
        <v>176</v>
      </c>
    </row>
    <row r="15" spans="1:9">
      <c r="A15" s="176" t="s">
        <v>587</v>
      </c>
      <c r="B15" s="300">
        <v>1</v>
      </c>
      <c r="C15" s="460" t="s">
        <v>525</v>
      </c>
      <c r="D15" s="300">
        <v>10</v>
      </c>
      <c r="E15" s="300">
        <v>5</v>
      </c>
      <c r="F15" s="300">
        <v>44</v>
      </c>
      <c r="G15" s="300">
        <f>E15*4+2</f>
        <v>22</v>
      </c>
      <c r="H15" s="300">
        <f>F15*30/6</f>
        <v>220</v>
      </c>
      <c r="I15" s="300">
        <f>F15*4+2*8</f>
        <v>192</v>
      </c>
    </row>
    <row r="16" spans="1:9">
      <c r="A16" s="176" t="s">
        <v>588</v>
      </c>
      <c r="B16" s="300">
        <v>1</v>
      </c>
      <c r="C16" s="460" t="s">
        <v>525</v>
      </c>
      <c r="D16" s="300">
        <v>10</v>
      </c>
      <c r="E16" s="300">
        <v>6</v>
      </c>
      <c r="F16" s="300">
        <v>44</v>
      </c>
      <c r="G16" s="300">
        <f>E16*4+2</f>
        <v>26</v>
      </c>
      <c r="H16" s="300">
        <f>F16*30/6</f>
        <v>220</v>
      </c>
      <c r="I16" s="300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500-000000000000}">
      <formula1>"Mensal,Diária"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5"/>
  <dimension ref="A2:R177"/>
  <sheetViews>
    <sheetView showGridLines="0" topLeftCell="A131" zoomScale="80" zoomScaleNormal="80" workbookViewId="0">
      <selection activeCell="I147" sqref="I147"/>
    </sheetView>
  </sheetViews>
  <sheetFormatPr defaultColWidth="9.140625" defaultRowHeight="15" customHeight="1"/>
  <cols>
    <col min="1" max="1" width="3.42578125" style="301" customWidth="1"/>
    <col min="2" max="2" width="5" style="563" customWidth="1"/>
    <col min="3" max="3" width="45.5703125" style="302" customWidth="1"/>
    <col min="4" max="4" width="49.140625" style="563" customWidth="1"/>
    <col min="5" max="6" width="52.28515625" style="563" customWidth="1"/>
    <col min="7" max="7" width="2.42578125" style="515" customWidth="1"/>
    <col min="8" max="17" width="17.7109375" style="516" customWidth="1"/>
    <col min="18" max="18" width="24.28515625" style="301" customWidth="1"/>
    <col min="19" max="16384" width="9.140625" style="301"/>
  </cols>
  <sheetData>
    <row r="2" spans="1:18" ht="15" customHeight="1">
      <c r="A2" s="509"/>
      <c r="B2" s="510"/>
      <c r="C2" s="511" t="s">
        <v>230</v>
      </c>
      <c r="D2" s="512"/>
      <c r="E2" s="513"/>
      <c r="F2" s="514"/>
    </row>
    <row r="3" spans="1:18" ht="15" customHeight="1">
      <c r="A3" s="509"/>
      <c r="B3" s="517" t="s">
        <v>2</v>
      </c>
      <c r="C3" s="518" t="s">
        <v>242</v>
      </c>
      <c r="D3" s="519">
        <v>7</v>
      </c>
      <c r="E3" s="520"/>
      <c r="F3" s="521"/>
    </row>
    <row r="4" spans="1:18" ht="15" customHeight="1">
      <c r="B4" s="517" t="s">
        <v>1</v>
      </c>
      <c r="C4" s="518" t="s">
        <v>243</v>
      </c>
      <c r="D4" s="519">
        <v>365</v>
      </c>
      <c r="E4" s="522"/>
      <c r="F4" s="521"/>
    </row>
    <row r="5" spans="1:18" ht="15" customHeight="1">
      <c r="B5" s="517" t="s">
        <v>0</v>
      </c>
      <c r="C5" s="518" t="s">
        <v>244</v>
      </c>
      <c r="D5" s="519">
        <v>30</v>
      </c>
      <c r="E5" s="523"/>
      <c r="F5" s="521"/>
    </row>
    <row r="6" spans="1:18" ht="15" customHeight="1">
      <c r="B6" s="517" t="s">
        <v>3</v>
      </c>
      <c r="C6" s="518" t="s">
        <v>492</v>
      </c>
      <c r="D6" s="524">
        <f>D7/D8</f>
        <v>4.333333333333333</v>
      </c>
      <c r="E6" s="525"/>
      <c r="F6" s="521" t="str">
        <f>""</f>
        <v/>
      </c>
    </row>
    <row r="7" spans="1:18" ht="15" customHeight="1">
      <c r="B7" s="517" t="s">
        <v>7</v>
      </c>
      <c r="C7" s="301" t="s">
        <v>493</v>
      </c>
      <c r="D7" s="519">
        <v>52</v>
      </c>
      <c r="E7" s="526"/>
      <c r="F7" s="527"/>
      <c r="H7" s="528"/>
    </row>
    <row r="8" spans="1:18" ht="15" customHeight="1">
      <c r="B8" s="517" t="s">
        <v>6</v>
      </c>
      <c r="C8" s="518" t="s">
        <v>245</v>
      </c>
      <c r="D8" s="519">
        <v>12</v>
      </c>
      <c r="E8" s="522"/>
      <c r="F8" s="529"/>
    </row>
    <row r="9" spans="1:18" ht="15" customHeight="1">
      <c r="B9" s="517" t="s">
        <v>5</v>
      </c>
      <c r="C9" s="518" t="s">
        <v>246</v>
      </c>
      <c r="D9" s="519">
        <v>60</v>
      </c>
      <c r="E9" s="522"/>
      <c r="F9" s="530"/>
    </row>
    <row r="10" spans="1:18" ht="15" customHeight="1">
      <c r="B10" s="517" t="s">
        <v>4</v>
      </c>
      <c r="C10" s="518" t="s">
        <v>247</v>
      </c>
      <c r="D10" s="519">
        <v>52.5</v>
      </c>
      <c r="E10" s="530"/>
      <c r="F10" s="530"/>
    </row>
    <row r="11" spans="1:18" ht="15" customHeight="1">
      <c r="B11" s="531"/>
      <c r="C11" s="532"/>
      <c r="D11" s="533"/>
      <c r="E11" s="533"/>
      <c r="F11" s="533"/>
      <c r="H11" s="534"/>
      <c r="I11" s="534"/>
      <c r="J11" s="534"/>
      <c r="K11" s="534"/>
      <c r="L11" s="534"/>
      <c r="M11" s="534"/>
      <c r="N11" s="534"/>
      <c r="O11" s="534"/>
      <c r="P11" s="534"/>
      <c r="Q11" s="534"/>
    </row>
    <row r="12" spans="1:18" s="538" customFormat="1" ht="15" customHeight="1">
      <c r="A12" s="535"/>
      <c r="B12" s="762"/>
      <c r="C12" s="759"/>
      <c r="D12" s="754" t="s">
        <v>407</v>
      </c>
      <c r="E12" s="754" t="s">
        <v>171</v>
      </c>
      <c r="F12" s="754" t="s">
        <v>404</v>
      </c>
      <c r="G12" s="515"/>
      <c r="H12" s="753" t="s">
        <v>159</v>
      </c>
      <c r="I12" s="753"/>
      <c r="J12" s="753"/>
      <c r="K12" s="753"/>
      <c r="L12" s="753"/>
      <c r="M12" s="753"/>
      <c r="N12" s="753"/>
      <c r="O12" s="753"/>
      <c r="P12" s="753"/>
      <c r="Q12" s="753"/>
      <c r="R12" s="537"/>
    </row>
    <row r="13" spans="1:18" ht="15" customHeight="1">
      <c r="A13" s="509"/>
      <c r="B13" s="763"/>
      <c r="C13" s="760"/>
      <c r="D13" s="755"/>
      <c r="E13" s="755"/>
      <c r="F13" s="755"/>
      <c r="H13" s="753" t="s">
        <v>61</v>
      </c>
      <c r="I13" s="753" t="s">
        <v>60</v>
      </c>
      <c r="J13" s="753" t="s">
        <v>517</v>
      </c>
      <c r="K13" s="536" t="s">
        <v>405</v>
      </c>
      <c r="L13" s="536" t="s">
        <v>405</v>
      </c>
      <c r="M13" s="536" t="s">
        <v>405</v>
      </c>
      <c r="N13" s="536" t="s">
        <v>405</v>
      </c>
      <c r="O13" s="536" t="s">
        <v>405</v>
      </c>
      <c r="P13" s="536" t="s">
        <v>405</v>
      </c>
      <c r="Q13" s="753" t="s">
        <v>50</v>
      </c>
      <c r="R13" s="539"/>
    </row>
    <row r="14" spans="1:18" ht="15" customHeight="1">
      <c r="A14" s="509"/>
      <c r="B14" s="764"/>
      <c r="C14" s="761"/>
      <c r="D14" s="756"/>
      <c r="E14" s="756"/>
      <c r="F14" s="756"/>
      <c r="H14" s="753"/>
      <c r="I14" s="753"/>
      <c r="J14" s="753"/>
      <c r="K14" s="536" t="s">
        <v>160</v>
      </c>
      <c r="L14" s="536" t="s">
        <v>165</v>
      </c>
      <c r="M14" s="536" t="s">
        <v>164</v>
      </c>
      <c r="N14" s="536" t="s">
        <v>163</v>
      </c>
      <c r="O14" s="536" t="s">
        <v>162</v>
      </c>
      <c r="P14" s="536" t="s">
        <v>161</v>
      </c>
      <c r="Q14" s="753"/>
      <c r="R14" s="539"/>
    </row>
    <row r="15" spans="1:18" ht="15" customHeight="1">
      <c r="A15" s="509"/>
      <c r="B15" s="540"/>
      <c r="C15" s="541" t="s">
        <v>248</v>
      </c>
      <c r="D15" s="542"/>
      <c r="E15" s="542"/>
      <c r="F15" s="542"/>
      <c r="H15" s="543"/>
      <c r="I15" s="544"/>
      <c r="J15" s="544"/>
      <c r="K15" s="545">
        <v>180000</v>
      </c>
      <c r="L15" s="545">
        <v>360000</v>
      </c>
      <c r="M15" s="545">
        <v>720000</v>
      </c>
      <c r="N15" s="545">
        <v>1800000</v>
      </c>
      <c r="O15" s="545">
        <v>3600000</v>
      </c>
      <c r="P15" s="545">
        <v>4800000</v>
      </c>
      <c r="Q15" s="546" t="str">
        <f>IF(IFERROR(SUM(#REF!)&gt;0,FALSE()),#REF!,
IF(IFERROR(Veículos!$E$3&lt;&gt;"",FALSE()),'Mão de Obra'!D13,'Mão de Obra'!D13))</f>
        <v>Lucro Presumido</v>
      </c>
      <c r="R15" s="539"/>
    </row>
    <row r="16" spans="1:18" ht="15" customHeight="1">
      <c r="A16" s="509"/>
      <c r="B16" s="540"/>
      <c r="C16" s="541" t="s">
        <v>134</v>
      </c>
      <c r="D16" s="542"/>
      <c r="E16" s="542"/>
      <c r="F16" s="542"/>
      <c r="H16" s="543"/>
      <c r="I16" s="544"/>
      <c r="J16" s="544"/>
      <c r="K16" s="545">
        <v>0</v>
      </c>
      <c r="L16" s="545">
        <v>9360</v>
      </c>
      <c r="M16" s="545">
        <v>17640</v>
      </c>
      <c r="N16" s="545">
        <v>35640</v>
      </c>
      <c r="O16" s="545">
        <v>125640</v>
      </c>
      <c r="P16" s="545">
        <v>648000</v>
      </c>
      <c r="Q16" s="545" t="str">
        <f>IF(Q15="Simples",
IF(IFERROR(SUM(#REF!)&gt;0,FALSE()),#REF!,
IF(IFERROR(Veículos!$E$3&lt;&gt;"",FALSE()),'Mão de Obra'!D14,'Mão de Obra'!D14)),"")</f>
        <v/>
      </c>
      <c r="R16" s="539"/>
    </row>
    <row r="17" spans="1:18" ht="15" customHeight="1">
      <c r="A17" s="509"/>
      <c r="B17" s="540"/>
      <c r="C17" s="541" t="s">
        <v>249</v>
      </c>
      <c r="D17" s="542"/>
      <c r="E17" s="542"/>
      <c r="F17" s="542"/>
      <c r="H17" s="543"/>
      <c r="I17" s="544"/>
      <c r="J17" s="544"/>
      <c r="K17" s="547">
        <v>0.06</v>
      </c>
      <c r="L17" s="548">
        <v>0.112</v>
      </c>
      <c r="M17" s="548">
        <v>0.13500000000000001</v>
      </c>
      <c r="N17" s="547">
        <v>0.16</v>
      </c>
      <c r="O17" s="547">
        <v>0.21</v>
      </c>
      <c r="P17" s="547">
        <v>0.33</v>
      </c>
      <c r="Q17" s="546"/>
      <c r="R17" s="539"/>
    </row>
    <row r="18" spans="1:18" s="515" customFormat="1" ht="15" customHeight="1">
      <c r="B18" s="549"/>
      <c r="C18"/>
    </row>
    <row r="19" spans="1:18" s="3" customFormat="1" ht="15" customHeight="1">
      <c r="B19" s="510"/>
      <c r="C19" s="550" t="s">
        <v>229</v>
      </c>
      <c r="D19" s="550"/>
      <c r="E19" s="550"/>
      <c r="F19" s="512"/>
      <c r="H19" s="510"/>
      <c r="I19" s="551"/>
      <c r="J19" s="551"/>
      <c r="K19" s="551"/>
      <c r="L19" s="551"/>
      <c r="M19" s="551"/>
      <c r="N19" s="551"/>
      <c r="O19" s="551"/>
      <c r="P19" s="551"/>
      <c r="Q19" s="552"/>
    </row>
    <row r="20" spans="1:18" s="515" customFormat="1" ht="15" customHeight="1">
      <c r="B20" s="553" t="s">
        <v>2</v>
      </c>
      <c r="C20" s="554" t="s">
        <v>172</v>
      </c>
      <c r="D20" s="555"/>
      <c r="E20" s="556" t="s">
        <v>96</v>
      </c>
      <c r="F20" s="556" t="s">
        <v>375</v>
      </c>
      <c r="H20" s="557"/>
      <c r="I20" s="557"/>
      <c r="J20" s="557"/>
      <c r="K20" s="557"/>
      <c r="L20" s="557"/>
      <c r="M20" s="557"/>
      <c r="N20" s="557"/>
      <c r="O20" s="557"/>
      <c r="P20" s="557"/>
      <c r="Q20" s="557"/>
    </row>
    <row r="21" spans="1:18" s="515" customFormat="1" ht="15" customHeight="1">
      <c r="B21" s="553" t="s">
        <v>1</v>
      </c>
      <c r="C21" s="558" t="s">
        <v>173</v>
      </c>
      <c r="D21" s="559" t="s">
        <v>97</v>
      </c>
      <c r="E21" s="559" t="s">
        <v>98</v>
      </c>
      <c r="F21" s="560" t="s">
        <v>174</v>
      </c>
      <c r="H21" s="557"/>
      <c r="I21" s="557"/>
      <c r="J21" s="557"/>
      <c r="K21" s="557"/>
      <c r="L21" s="557"/>
      <c r="M21" s="557"/>
      <c r="N21" s="557"/>
      <c r="O21" s="557"/>
      <c r="P21" s="557"/>
      <c r="Q21" s="557"/>
    </row>
    <row r="22" spans="1:18" s="515" customFormat="1" ht="15" customHeight="1">
      <c r="B22" s="553" t="s">
        <v>0</v>
      </c>
      <c r="C22" s="554" t="s">
        <v>175</v>
      </c>
      <c r="D22" s="555" t="s">
        <v>176</v>
      </c>
      <c r="E22" s="556" t="s">
        <v>99</v>
      </c>
      <c r="F22" s="556" t="s">
        <v>177</v>
      </c>
      <c r="H22" s="557"/>
      <c r="I22" s="557"/>
      <c r="J22" s="557"/>
      <c r="K22" s="557"/>
      <c r="L22" s="557"/>
      <c r="M22" s="557"/>
      <c r="N22" s="557"/>
      <c r="O22" s="557"/>
      <c r="P22" s="557"/>
      <c r="Q22" s="557"/>
    </row>
    <row r="23" spans="1:18" s="515" customFormat="1" ht="15" customHeight="1">
      <c r="B23" s="553" t="s">
        <v>3</v>
      </c>
      <c r="C23" s="558" t="s">
        <v>84</v>
      </c>
      <c r="D23" s="559" t="s">
        <v>178</v>
      </c>
      <c r="E23" s="559" t="s">
        <v>179</v>
      </c>
      <c r="F23" s="560"/>
      <c r="H23" s="557"/>
      <c r="I23" s="557"/>
      <c r="J23" s="557"/>
      <c r="K23" s="557"/>
      <c r="L23" s="557"/>
      <c r="M23" s="557"/>
      <c r="N23" s="557"/>
      <c r="O23" s="557"/>
      <c r="P23" s="557"/>
      <c r="Q23" s="557"/>
    </row>
    <row r="24" spans="1:18" s="515" customFormat="1" ht="15" customHeight="1">
      <c r="B24" s="553" t="s">
        <v>7</v>
      </c>
      <c r="C24" s="554" t="s">
        <v>100</v>
      </c>
      <c r="D24" s="555" t="s">
        <v>180</v>
      </c>
      <c r="E24" s="556" t="s">
        <v>101</v>
      </c>
      <c r="F24" s="556" t="s">
        <v>220</v>
      </c>
      <c r="H24" s="557"/>
      <c r="I24" s="557"/>
      <c r="J24" s="557"/>
      <c r="K24" s="557"/>
      <c r="L24" s="557"/>
      <c r="M24" s="557"/>
      <c r="N24" s="557"/>
      <c r="O24" s="557"/>
      <c r="P24" s="557"/>
      <c r="Q24" s="557"/>
    </row>
    <row r="25" spans="1:18" s="515" customFormat="1" ht="15" customHeight="1">
      <c r="B25" s="553" t="s">
        <v>6</v>
      </c>
      <c r="C25" s="558" t="s">
        <v>168</v>
      </c>
      <c r="D25" s="559" t="s">
        <v>181</v>
      </c>
      <c r="E25" s="559"/>
      <c r="F25" s="560"/>
      <c r="H25" s="557"/>
      <c r="I25" s="557"/>
      <c r="J25" s="557"/>
      <c r="K25" s="557"/>
      <c r="L25" s="557"/>
      <c r="M25" s="557"/>
      <c r="N25" s="557"/>
      <c r="O25" s="557"/>
      <c r="P25" s="557"/>
      <c r="Q25" s="557"/>
    </row>
    <row r="26" spans="1:18" s="515" customFormat="1" ht="15" customHeight="1">
      <c r="B26" s="553" t="s">
        <v>5</v>
      </c>
      <c r="C26" s="554" t="s">
        <v>182</v>
      </c>
      <c r="D26" s="555" t="s">
        <v>183</v>
      </c>
      <c r="E26" s="556" t="s">
        <v>102</v>
      </c>
      <c r="F26" s="556"/>
      <c r="H26" s="557"/>
      <c r="I26" s="557"/>
      <c r="J26" s="557"/>
      <c r="K26" s="557"/>
      <c r="L26" s="557"/>
      <c r="M26" s="557"/>
      <c r="N26" s="557"/>
      <c r="O26" s="557"/>
      <c r="P26" s="557"/>
      <c r="Q26" s="557"/>
    </row>
    <row r="27" spans="1:18" s="515" customFormat="1" ht="15" customHeight="1">
      <c r="B27" s="553" t="s">
        <v>4</v>
      </c>
      <c r="C27" s="558" t="s">
        <v>85</v>
      </c>
      <c r="D27" s="559" t="s">
        <v>184</v>
      </c>
      <c r="E27" s="559" t="s">
        <v>185</v>
      </c>
      <c r="F27" s="560" t="s">
        <v>218</v>
      </c>
      <c r="H27" s="557"/>
      <c r="I27" s="557"/>
      <c r="J27" s="557"/>
      <c r="K27" s="557"/>
      <c r="L27" s="557"/>
      <c r="M27" s="557"/>
      <c r="N27" s="557"/>
      <c r="O27" s="557"/>
      <c r="P27" s="557"/>
      <c r="Q27" s="557"/>
    </row>
    <row r="28" spans="1:18" s="515" customFormat="1" ht="15" customHeight="1">
      <c r="B28" s="553" t="s">
        <v>142</v>
      </c>
      <c r="C28" s="556" t="s">
        <v>186</v>
      </c>
      <c r="D28" s="555" t="s">
        <v>187</v>
      </c>
      <c r="E28" s="556" t="s">
        <v>188</v>
      </c>
      <c r="F28" s="556" t="s">
        <v>219</v>
      </c>
      <c r="H28" s="557"/>
      <c r="I28" s="557"/>
      <c r="J28" s="557"/>
      <c r="K28" s="557"/>
      <c r="L28" s="557"/>
      <c r="M28" s="557"/>
      <c r="N28" s="557"/>
      <c r="O28" s="557"/>
      <c r="P28" s="557"/>
      <c r="Q28" s="557"/>
    </row>
    <row r="29" spans="1:18" s="515" customFormat="1" ht="15" customHeight="1">
      <c r="B29" s="553" t="s">
        <v>169</v>
      </c>
      <c r="C29" s="558" t="s">
        <v>223</v>
      </c>
      <c r="D29" s="559"/>
      <c r="E29" s="559"/>
      <c r="F29" s="560"/>
      <c r="H29" s="557"/>
      <c r="I29" s="557"/>
      <c r="J29" s="557"/>
      <c r="K29" s="557"/>
      <c r="L29" s="557"/>
      <c r="M29" s="557"/>
      <c r="N29" s="557"/>
      <c r="O29" s="557"/>
      <c r="P29" s="557"/>
      <c r="Q29" s="557"/>
    </row>
    <row r="30" spans="1:18" s="515" customFormat="1" ht="15" customHeight="1">
      <c r="B30" s="549"/>
      <c r="C30"/>
      <c r="H30" s="561"/>
      <c r="I30" s="561"/>
      <c r="J30" s="561"/>
      <c r="K30" s="561"/>
      <c r="L30" s="561"/>
      <c r="M30" s="561"/>
      <c r="N30" s="561"/>
      <c r="O30" s="561"/>
      <c r="P30" s="561"/>
      <c r="Q30" s="561"/>
    </row>
    <row r="31" spans="1:18" s="515" customFormat="1" ht="15" customHeight="1">
      <c r="B31" s="510"/>
      <c r="C31" s="562" t="s">
        <v>153</v>
      </c>
      <c r="D31" s="550"/>
      <c r="E31" s="550"/>
      <c r="F31" s="512"/>
      <c r="H31" s="510"/>
      <c r="I31" s="551"/>
      <c r="J31" s="551"/>
      <c r="K31" s="551"/>
      <c r="L31" s="551"/>
      <c r="M31" s="551"/>
      <c r="N31" s="551"/>
      <c r="O31" s="551"/>
      <c r="P31" s="551"/>
      <c r="Q31" s="552"/>
    </row>
    <row r="32" spans="1:18" ht="3.75" customHeight="1">
      <c r="C32" s="564"/>
      <c r="H32" s="565"/>
      <c r="I32" s="566"/>
      <c r="J32" s="566"/>
      <c r="K32" s="567"/>
      <c r="L32" s="568"/>
      <c r="M32" s="568"/>
      <c r="N32" s="567"/>
      <c r="O32" s="567"/>
      <c r="P32" s="567"/>
      <c r="Q32" s="569"/>
    </row>
    <row r="33" spans="1:18" s="577" customFormat="1" ht="15" customHeight="1">
      <c r="A33" s="570"/>
      <c r="B33" s="571"/>
      <c r="C33" s="572" t="s">
        <v>154</v>
      </c>
      <c r="D33" s="572"/>
      <c r="E33" s="572"/>
      <c r="F33" s="573"/>
      <c r="G33" s="3"/>
      <c r="H33" s="571"/>
      <c r="I33" s="574"/>
      <c r="J33" s="574"/>
      <c r="K33" s="574"/>
      <c r="L33" s="574"/>
      <c r="M33" s="574"/>
      <c r="N33" s="574"/>
      <c r="O33" s="574"/>
      <c r="P33" s="574"/>
      <c r="Q33" s="575"/>
      <c r="R33" s="576"/>
    </row>
    <row r="34" spans="1:18" ht="15" customHeight="1">
      <c r="A34" s="509"/>
      <c r="B34" s="578" t="s">
        <v>2</v>
      </c>
      <c r="C34" s="579" t="s">
        <v>58</v>
      </c>
      <c r="D34" s="555" t="s">
        <v>208</v>
      </c>
      <c r="E34" s="556" t="s">
        <v>103</v>
      </c>
      <c r="F34" s="556" t="s">
        <v>189</v>
      </c>
      <c r="H34" s="580">
        <f>(1/12)</f>
        <v>8.3333333333333329E-2</v>
      </c>
      <c r="I34" s="580">
        <f t="shared" ref="I34:P34" si="0">(1/12)</f>
        <v>8.3333333333333329E-2</v>
      </c>
      <c r="J34" s="580">
        <f t="shared" si="0"/>
        <v>8.3333333333333329E-2</v>
      </c>
      <c r="K34" s="580">
        <f t="shared" si="0"/>
        <v>8.3333333333333329E-2</v>
      </c>
      <c r="L34" s="580">
        <f t="shared" si="0"/>
        <v>8.3333333333333329E-2</v>
      </c>
      <c r="M34" s="580">
        <f t="shared" si="0"/>
        <v>8.3333333333333329E-2</v>
      </c>
      <c r="N34" s="580">
        <f t="shared" si="0"/>
        <v>8.3333333333333329E-2</v>
      </c>
      <c r="O34" s="580">
        <f t="shared" si="0"/>
        <v>8.3333333333333329E-2</v>
      </c>
      <c r="P34" s="580">
        <f t="shared" si="0"/>
        <v>8.3333333333333329E-2</v>
      </c>
      <c r="Q34" s="580">
        <f>IFERROR(ROUND(IF($Q$15="Simples",
INDEX(H34:P34,MATCH($Q$16,$H$16:$P$16,1)),
INDEX(H34:P34,MATCH($Q$15,$H$13:$P$13,0))
),4),"")</f>
        <v>8.3299999999999999E-2</v>
      </c>
      <c r="R34" s="539"/>
    </row>
    <row r="35" spans="1:18" ht="15" customHeight="1">
      <c r="A35" s="509"/>
      <c r="B35" s="578" t="s">
        <v>1</v>
      </c>
      <c r="C35" s="579" t="s">
        <v>21</v>
      </c>
      <c r="D35" s="555" t="s">
        <v>209</v>
      </c>
      <c r="E35" s="556" t="s">
        <v>104</v>
      </c>
      <c r="F35" s="556" t="s">
        <v>190</v>
      </c>
      <c r="H35" s="580">
        <f xml:space="preserve"> (1/12) +( 1/3)/12</f>
        <v>0.1111111111111111</v>
      </c>
      <c r="I35" s="580">
        <f t="shared" ref="I35:P35" si="1" xml:space="preserve"> (1/12) +( 1/3)/12</f>
        <v>0.1111111111111111</v>
      </c>
      <c r="J35" s="580">
        <f t="shared" si="1"/>
        <v>0.1111111111111111</v>
      </c>
      <c r="K35" s="580">
        <f t="shared" si="1"/>
        <v>0.1111111111111111</v>
      </c>
      <c r="L35" s="580">
        <f t="shared" si="1"/>
        <v>0.1111111111111111</v>
      </c>
      <c r="M35" s="580">
        <f t="shared" si="1"/>
        <v>0.1111111111111111</v>
      </c>
      <c r="N35" s="580">
        <f t="shared" si="1"/>
        <v>0.1111111111111111</v>
      </c>
      <c r="O35" s="580">
        <f t="shared" si="1"/>
        <v>0.1111111111111111</v>
      </c>
      <c r="P35" s="580">
        <f t="shared" si="1"/>
        <v>0.1111111111111111</v>
      </c>
      <c r="Q35" s="580">
        <f t="shared" ref="Q35:Q36" si="2">IFERROR(ROUND(IF($Q$15="Simples",
INDEX(H35:P35,MATCH($Q$16,$H$16:$P$16,1)),
INDEX(H35:P35,MATCH($Q$15,$H$13:$P$13,0))
),4),"")</f>
        <v>0.1111</v>
      </c>
      <c r="R35" s="539"/>
    </row>
    <row r="36" spans="1:18" ht="15" customHeight="1">
      <c r="A36" s="509"/>
      <c r="B36" s="578" t="s">
        <v>0</v>
      </c>
      <c r="C36" s="579" t="s">
        <v>83</v>
      </c>
      <c r="D36" s="555" t="s">
        <v>210</v>
      </c>
      <c r="E36" s="556"/>
      <c r="F36" s="556"/>
      <c r="H36" s="580">
        <f t="shared" ref="H36:P36" si="3">(H34+H35)*H49</f>
        <v>7.1555555555555567E-2</v>
      </c>
      <c r="I36" s="580">
        <f t="shared" si="3"/>
        <v>7.1555555555555567E-2</v>
      </c>
      <c r="J36" s="580">
        <f>(J34+J35)*J49</f>
        <v>6.0277777777777777E-2</v>
      </c>
      <c r="K36" s="580">
        <f t="shared" si="3"/>
        <v>6.0277777777777777E-2</v>
      </c>
      <c r="L36" s="580">
        <f t="shared" si="3"/>
        <v>6.0277777777777777E-2</v>
      </c>
      <c r="M36" s="580">
        <f t="shared" si="3"/>
        <v>6.0277777777777777E-2</v>
      </c>
      <c r="N36" s="580">
        <f t="shared" si="3"/>
        <v>6.0277777777777777E-2</v>
      </c>
      <c r="O36" s="580">
        <f t="shared" si="3"/>
        <v>6.0277777777777777E-2</v>
      </c>
      <c r="P36" s="580">
        <f t="shared" si="3"/>
        <v>6.0277777777777777E-2</v>
      </c>
      <c r="Q36" s="580">
        <f t="shared" si="2"/>
        <v>7.1599999999999997E-2</v>
      </c>
      <c r="R36" s="539"/>
    </row>
    <row r="37" spans="1:18" ht="3.75" customHeight="1">
      <c r="B37" s="581"/>
      <c r="C37" s="582"/>
      <c r="D37" s="582"/>
      <c r="E37" s="582"/>
      <c r="F37" s="582"/>
      <c r="H37" s="583"/>
      <c r="I37" s="583"/>
      <c r="J37" s="583"/>
      <c r="K37" s="583"/>
      <c r="L37" s="583"/>
      <c r="M37" s="583"/>
      <c r="N37" s="583"/>
      <c r="O37" s="583"/>
      <c r="P37" s="583"/>
      <c r="Q37" s="583"/>
    </row>
    <row r="38" spans="1:18" s="577" customFormat="1" ht="15" customHeight="1">
      <c r="A38" s="570"/>
      <c r="B38" s="571"/>
      <c r="C38" s="572" t="s">
        <v>275</v>
      </c>
      <c r="D38" s="572"/>
      <c r="E38" s="572"/>
      <c r="F38" s="573"/>
      <c r="G38" s="3"/>
      <c r="H38" s="571"/>
      <c r="I38" s="574"/>
      <c r="J38" s="574"/>
      <c r="K38" s="574"/>
      <c r="L38" s="574"/>
      <c r="M38" s="574"/>
      <c r="N38" s="574"/>
      <c r="O38" s="574"/>
      <c r="P38" s="574"/>
      <c r="Q38" s="575"/>
      <c r="R38" s="576"/>
    </row>
    <row r="39" spans="1:18" ht="15" customHeight="1">
      <c r="A39" s="509"/>
      <c r="B39" s="517" t="s">
        <v>2</v>
      </c>
      <c r="C39" s="518" t="s">
        <v>51</v>
      </c>
      <c r="D39" s="555"/>
      <c r="E39" s="556" t="s">
        <v>105</v>
      </c>
      <c r="F39" s="556"/>
      <c r="H39" s="584">
        <v>0.2</v>
      </c>
      <c r="I39" s="584">
        <v>0.2</v>
      </c>
      <c r="J39" s="584">
        <v>0.2</v>
      </c>
      <c r="K39" s="584">
        <v>0.2</v>
      </c>
      <c r="L39" s="584">
        <v>0.2</v>
      </c>
      <c r="M39" s="584">
        <v>0.2</v>
      </c>
      <c r="N39" s="584">
        <v>0.2</v>
      </c>
      <c r="O39" s="584">
        <v>0.2</v>
      </c>
      <c r="P39" s="584">
        <v>0.2</v>
      </c>
      <c r="Q39" s="584">
        <f t="shared" ref="Q39:Q49" si="4">IFERROR(ROUND(IF($Q$15="Simples",
INDEX(H39:P39,MATCH($Q$16,$H$16:$P$16,1)),
INDEX(H39:P39,MATCH($Q$15,$H$13:$P$13,0))
),4),"")</f>
        <v>0.2</v>
      </c>
      <c r="R39" s="539"/>
    </row>
    <row r="40" spans="1:18" ht="15" customHeight="1">
      <c r="A40" s="509"/>
      <c r="B40" s="585" t="s">
        <v>1</v>
      </c>
      <c r="C40" s="586" t="s">
        <v>52</v>
      </c>
      <c r="D40" s="555"/>
      <c r="E40" s="556" t="s">
        <v>106</v>
      </c>
      <c r="F40" s="556"/>
      <c r="H40" s="584">
        <v>1.4999999999999999E-2</v>
      </c>
      <c r="I40" s="584">
        <v>1.4999999999999999E-2</v>
      </c>
      <c r="J40" s="584"/>
      <c r="K40" s="584"/>
      <c r="L40" s="584"/>
      <c r="M40" s="584"/>
      <c r="N40" s="584"/>
      <c r="O40" s="584"/>
      <c r="P40" s="584"/>
      <c r="Q40" s="584">
        <f t="shared" si="4"/>
        <v>1.4999999999999999E-2</v>
      </c>
      <c r="R40" s="539"/>
    </row>
    <row r="41" spans="1:18" ht="15" customHeight="1">
      <c r="A41" s="509"/>
      <c r="B41" s="585" t="s">
        <v>0</v>
      </c>
      <c r="C41" s="518" t="s">
        <v>53</v>
      </c>
      <c r="D41" s="555"/>
      <c r="E41" s="556" t="s">
        <v>107</v>
      </c>
      <c r="F41" s="556"/>
      <c r="H41" s="584">
        <v>0.01</v>
      </c>
      <c r="I41" s="584">
        <v>0.01</v>
      </c>
      <c r="J41" s="584"/>
      <c r="K41" s="584"/>
      <c r="L41" s="584"/>
      <c r="M41" s="584"/>
      <c r="N41" s="584"/>
      <c r="O41" s="584"/>
      <c r="P41" s="584"/>
      <c r="Q41" s="584">
        <f t="shared" si="4"/>
        <v>0.01</v>
      </c>
      <c r="R41" s="539"/>
    </row>
    <row r="42" spans="1:18" ht="15" customHeight="1">
      <c r="A42" s="509"/>
      <c r="B42" s="517" t="s">
        <v>3</v>
      </c>
      <c r="C42" s="586" t="s">
        <v>54</v>
      </c>
      <c r="D42" s="555"/>
      <c r="E42" s="556" t="s">
        <v>108</v>
      </c>
      <c r="F42" s="556"/>
      <c r="H42" s="584">
        <v>2E-3</v>
      </c>
      <c r="I42" s="584">
        <v>2E-3</v>
      </c>
      <c r="J42" s="584"/>
      <c r="K42" s="584"/>
      <c r="L42" s="584"/>
      <c r="M42" s="584"/>
      <c r="N42" s="584"/>
      <c r="O42" s="584"/>
      <c r="P42" s="584"/>
      <c r="Q42" s="584">
        <f t="shared" si="4"/>
        <v>2E-3</v>
      </c>
      <c r="R42" s="539"/>
    </row>
    <row r="43" spans="1:18" ht="15" customHeight="1">
      <c r="A43" s="509"/>
      <c r="B43" s="585" t="s">
        <v>7</v>
      </c>
      <c r="C43" s="518" t="s">
        <v>55</v>
      </c>
      <c r="D43" s="555"/>
      <c r="E43" s="556" t="s">
        <v>109</v>
      </c>
      <c r="F43" s="556"/>
      <c r="H43" s="584">
        <v>2.5000000000000001E-2</v>
      </c>
      <c r="I43" s="584">
        <v>2.5000000000000001E-2</v>
      </c>
      <c r="J43" s="584"/>
      <c r="K43" s="584"/>
      <c r="L43" s="584"/>
      <c r="M43" s="584"/>
      <c r="N43" s="584"/>
      <c r="O43" s="584"/>
      <c r="P43" s="584"/>
      <c r="Q43" s="584">
        <f t="shared" si="4"/>
        <v>2.5000000000000001E-2</v>
      </c>
      <c r="R43" s="539"/>
    </row>
    <row r="44" spans="1:18" ht="15" customHeight="1">
      <c r="A44" s="509"/>
      <c r="B44" s="585" t="s">
        <v>6</v>
      </c>
      <c r="C44" s="586" t="s">
        <v>56</v>
      </c>
      <c r="D44" s="555"/>
      <c r="E44" s="556" t="s">
        <v>192</v>
      </c>
      <c r="F44" s="556"/>
      <c r="H44" s="584">
        <v>0.08</v>
      </c>
      <c r="I44" s="584">
        <v>0.08</v>
      </c>
      <c r="J44" s="584">
        <v>0.08</v>
      </c>
      <c r="K44" s="584">
        <v>0.08</v>
      </c>
      <c r="L44" s="584">
        <v>0.08</v>
      </c>
      <c r="M44" s="584">
        <v>0.08</v>
      </c>
      <c r="N44" s="584">
        <v>0.08</v>
      </c>
      <c r="O44" s="584">
        <v>0.08</v>
      </c>
      <c r="P44" s="584">
        <v>0.08</v>
      </c>
      <c r="Q44" s="584">
        <f t="shared" si="4"/>
        <v>0.08</v>
      </c>
      <c r="R44" s="539"/>
    </row>
    <row r="45" spans="1:18" ht="15" customHeight="1">
      <c r="A45" s="509"/>
      <c r="B45" s="765" t="s">
        <v>5</v>
      </c>
      <c r="C45" s="518" t="str">
        <f>CONCATENATE("GILL/RAT (RAT ",H46," x FAP ",H47,")")</f>
        <v>GILL/RAT (RAT 0,03 x FAP 1)</v>
      </c>
      <c r="D45" s="555" t="s">
        <v>367</v>
      </c>
      <c r="E45" s="556" t="s">
        <v>110</v>
      </c>
      <c r="F45" s="556" t="s">
        <v>193</v>
      </c>
      <c r="H45" s="584">
        <f>ROUND(H46*H47,2)</f>
        <v>0.03</v>
      </c>
      <c r="I45" s="584">
        <f t="shared" ref="I45:P45" si="5">ROUND(I46*I47,2)</f>
        <v>0.03</v>
      </c>
      <c r="J45" s="584">
        <f>ROUND(J46*J47,2)</f>
        <v>0.03</v>
      </c>
      <c r="K45" s="584">
        <f t="shared" si="5"/>
        <v>0.03</v>
      </c>
      <c r="L45" s="584">
        <f t="shared" si="5"/>
        <v>0.03</v>
      </c>
      <c r="M45" s="584">
        <f t="shared" si="5"/>
        <v>0.03</v>
      </c>
      <c r="N45" s="584">
        <f t="shared" si="5"/>
        <v>0.03</v>
      </c>
      <c r="O45" s="584">
        <f t="shared" si="5"/>
        <v>0.03</v>
      </c>
      <c r="P45" s="584">
        <f t="shared" si="5"/>
        <v>0.03</v>
      </c>
      <c r="Q45" s="584">
        <f t="shared" si="4"/>
        <v>0.03</v>
      </c>
      <c r="R45" s="539"/>
    </row>
    <row r="46" spans="1:18" ht="15" customHeight="1">
      <c r="A46" s="509"/>
      <c r="B46" s="765"/>
      <c r="C46" s="587" t="s">
        <v>49</v>
      </c>
      <c r="D46" s="588"/>
      <c r="E46" s="588"/>
      <c r="F46" s="588"/>
      <c r="H46" s="584">
        <v>0.03</v>
      </c>
      <c r="I46" s="584">
        <f>H46</f>
        <v>0.03</v>
      </c>
      <c r="J46" s="584">
        <f>I46</f>
        <v>0.03</v>
      </c>
      <c r="K46" s="584">
        <f>I46</f>
        <v>0.03</v>
      </c>
      <c r="L46" s="584">
        <f t="shared" ref="I46:P47" si="6">K46</f>
        <v>0.03</v>
      </c>
      <c r="M46" s="584">
        <f t="shared" si="6"/>
        <v>0.03</v>
      </c>
      <c r="N46" s="584">
        <f t="shared" si="6"/>
        <v>0.03</v>
      </c>
      <c r="O46" s="584">
        <f t="shared" si="6"/>
        <v>0.03</v>
      </c>
      <c r="P46" s="584">
        <f t="shared" si="6"/>
        <v>0.03</v>
      </c>
      <c r="Q46" s="584">
        <f t="shared" si="4"/>
        <v>0.03</v>
      </c>
      <c r="R46" s="539"/>
    </row>
    <row r="47" spans="1:18" ht="15" customHeight="1">
      <c r="A47" s="509"/>
      <c r="B47" s="765"/>
      <c r="C47" s="587" t="s">
        <v>44</v>
      </c>
      <c r="D47" s="589"/>
      <c r="E47" s="589"/>
      <c r="F47" s="589"/>
      <c r="H47" s="590">
        <v>1</v>
      </c>
      <c r="I47" s="590">
        <f t="shared" si="6"/>
        <v>1</v>
      </c>
      <c r="J47" s="590">
        <f t="shared" si="6"/>
        <v>1</v>
      </c>
      <c r="K47" s="590">
        <f>I47</f>
        <v>1</v>
      </c>
      <c r="L47" s="590">
        <f t="shared" si="6"/>
        <v>1</v>
      </c>
      <c r="M47" s="590">
        <f t="shared" si="6"/>
        <v>1</v>
      </c>
      <c r="N47" s="590">
        <f t="shared" si="6"/>
        <v>1</v>
      </c>
      <c r="O47" s="590">
        <f t="shared" si="6"/>
        <v>1</v>
      </c>
      <c r="P47" s="590">
        <f t="shared" si="6"/>
        <v>1</v>
      </c>
      <c r="Q47" s="590">
        <f t="shared" si="4"/>
        <v>1</v>
      </c>
      <c r="R47" s="539"/>
    </row>
    <row r="48" spans="1:18" ht="15" customHeight="1">
      <c r="A48" s="509"/>
      <c r="B48" s="585" t="s">
        <v>4</v>
      </c>
      <c r="C48" s="586" t="s">
        <v>57</v>
      </c>
      <c r="D48" s="555"/>
      <c r="E48" s="556" t="s">
        <v>111</v>
      </c>
      <c r="F48" s="556"/>
      <c r="H48" s="584">
        <v>6.0000000000000001E-3</v>
      </c>
      <c r="I48" s="584">
        <v>6.0000000000000001E-3</v>
      </c>
      <c r="J48" s="584"/>
      <c r="K48" s="584"/>
      <c r="L48" s="584"/>
      <c r="M48" s="584"/>
      <c r="N48" s="584"/>
      <c r="O48" s="584"/>
      <c r="P48" s="584"/>
      <c r="Q48" s="584">
        <f t="shared" si="4"/>
        <v>6.0000000000000001E-3</v>
      </c>
      <c r="R48" s="539"/>
    </row>
    <row r="49" spans="1:18" ht="15" customHeight="1">
      <c r="A49" s="509"/>
      <c r="B49" s="571"/>
      <c r="C49" s="591"/>
      <c r="D49" s="572"/>
      <c r="E49" s="572"/>
      <c r="F49" s="573"/>
      <c r="H49" s="592">
        <f>SUM(H39:H48)-H46-H47</f>
        <v>0.3680000000000001</v>
      </c>
      <c r="I49" s="592">
        <f>SUM(I39:I48)-I46-I47</f>
        <v>0.3680000000000001</v>
      </c>
      <c r="J49" s="592">
        <f>SUM(J39:J48)-J46-J47</f>
        <v>0.31000000000000005</v>
      </c>
      <c r="K49" s="592">
        <f>SUM(K39:K45)+K48</f>
        <v>0.31000000000000005</v>
      </c>
      <c r="L49" s="592">
        <f>SUM(L39:L48)-L46-L47</f>
        <v>0.31000000000000005</v>
      </c>
      <c r="M49" s="592">
        <f>SUM(M39:M48)-M46-M47</f>
        <v>0.31000000000000005</v>
      </c>
      <c r="N49" s="592">
        <f>SUM(N39:N48)-N46-N47</f>
        <v>0.31000000000000005</v>
      </c>
      <c r="O49" s="592">
        <f>SUM(O39:O48)-O46-O47</f>
        <v>0.31000000000000005</v>
      </c>
      <c r="P49" s="592">
        <f>SUM(P39:P48)-P46-P47</f>
        <v>0.31000000000000005</v>
      </c>
      <c r="Q49" s="592">
        <f t="shared" si="4"/>
        <v>0.36799999999999999</v>
      </c>
      <c r="R49" s="539"/>
    </row>
    <row r="50" spans="1:18" ht="3.75" customHeight="1">
      <c r="H50" s="593"/>
      <c r="I50" s="593"/>
      <c r="J50" s="593"/>
      <c r="K50" s="593"/>
      <c r="L50" s="594"/>
      <c r="M50" s="593"/>
      <c r="N50" s="593"/>
      <c r="O50" s="593"/>
      <c r="P50" s="593"/>
      <c r="Q50" s="593"/>
    </row>
    <row r="51" spans="1:18" s="577" customFormat="1" ht="15" customHeight="1">
      <c r="B51" s="571"/>
      <c r="C51" s="572" t="s">
        <v>155</v>
      </c>
      <c r="D51" s="572"/>
      <c r="E51" s="572"/>
      <c r="F51" s="573"/>
      <c r="G51" s="3"/>
      <c r="H51" s="571"/>
      <c r="I51" s="574"/>
      <c r="J51" s="574"/>
      <c r="K51" s="574"/>
      <c r="L51" s="574"/>
      <c r="M51" s="574"/>
      <c r="N51" s="574"/>
      <c r="O51" s="574"/>
      <c r="P51" s="574"/>
      <c r="Q51" s="575"/>
    </row>
    <row r="52" spans="1:18" ht="15" customHeight="1">
      <c r="B52" s="553" t="s">
        <v>2</v>
      </c>
      <c r="C52" s="554" t="s">
        <v>89</v>
      </c>
      <c r="D52" s="555" t="s">
        <v>196</v>
      </c>
      <c r="E52" s="556" t="s">
        <v>112</v>
      </c>
      <c r="F52" s="556" t="s">
        <v>198</v>
      </c>
      <c r="H52" s="584"/>
      <c r="I52" s="584"/>
      <c r="J52" s="584"/>
      <c r="K52" s="584"/>
      <c r="L52" s="584"/>
      <c r="M52" s="584"/>
      <c r="N52" s="584"/>
      <c r="O52" s="584"/>
      <c r="P52" s="584"/>
      <c r="Q52" s="584"/>
    </row>
    <row r="53" spans="1:18" ht="15" customHeight="1">
      <c r="B53" s="553" t="s">
        <v>1</v>
      </c>
      <c r="C53" s="554" t="s">
        <v>23</v>
      </c>
      <c r="D53" s="555" t="s">
        <v>194</v>
      </c>
      <c r="E53" s="556" t="s">
        <v>113</v>
      </c>
      <c r="F53" s="556" t="s">
        <v>198</v>
      </c>
      <c r="H53" s="584"/>
      <c r="I53" s="584"/>
      <c r="J53" s="584"/>
      <c r="K53" s="584"/>
      <c r="L53" s="584"/>
      <c r="M53" s="584"/>
      <c r="N53" s="584"/>
      <c r="O53" s="584"/>
      <c r="P53" s="584"/>
      <c r="Q53" s="584"/>
    </row>
    <row r="54" spans="1:18" ht="15" customHeight="1">
      <c r="B54" s="553" t="s">
        <v>0</v>
      </c>
      <c r="C54" s="554" t="s">
        <v>25</v>
      </c>
      <c r="D54" s="555" t="s">
        <v>197</v>
      </c>
      <c r="E54" s="556" t="s">
        <v>114</v>
      </c>
      <c r="F54" s="556" t="s">
        <v>198</v>
      </c>
      <c r="H54" s="584"/>
      <c r="I54" s="584"/>
      <c r="J54" s="584"/>
      <c r="K54" s="584"/>
      <c r="L54" s="584"/>
      <c r="M54" s="584"/>
      <c r="N54" s="584"/>
      <c r="O54" s="584"/>
      <c r="P54" s="584"/>
      <c r="Q54" s="584"/>
    </row>
    <row r="55" spans="1:18" ht="15" customHeight="1">
      <c r="B55" s="553" t="s">
        <v>3</v>
      </c>
      <c r="C55" s="554" t="s">
        <v>27</v>
      </c>
      <c r="D55" s="555" t="s">
        <v>195</v>
      </c>
      <c r="E55" s="556" t="s">
        <v>114</v>
      </c>
      <c r="F55" s="556" t="s">
        <v>221</v>
      </c>
      <c r="H55" s="584"/>
      <c r="I55" s="584"/>
      <c r="J55" s="584"/>
      <c r="K55" s="584"/>
      <c r="L55" s="584"/>
      <c r="M55" s="584"/>
      <c r="N55" s="584"/>
      <c r="O55" s="584"/>
      <c r="P55" s="584"/>
      <c r="Q55" s="584"/>
    </row>
    <row r="56" spans="1:18" ht="15" customHeight="1">
      <c r="B56" s="553" t="s">
        <v>7</v>
      </c>
      <c r="C56" s="554" t="s">
        <v>28</v>
      </c>
      <c r="D56" s="555" t="s">
        <v>195</v>
      </c>
      <c r="E56" s="556"/>
      <c r="F56" s="556" t="s">
        <v>221</v>
      </c>
      <c r="H56" s="584"/>
      <c r="I56" s="584"/>
      <c r="J56" s="584"/>
      <c r="K56" s="584"/>
      <c r="L56" s="584"/>
      <c r="M56" s="584"/>
      <c r="N56" s="584"/>
      <c r="O56" s="584"/>
      <c r="P56" s="584"/>
      <c r="Q56" s="584"/>
    </row>
    <row r="57" spans="1:18" ht="15" customHeight="1">
      <c r="B57" s="553" t="s">
        <v>6</v>
      </c>
      <c r="C57" s="554" t="s">
        <v>29</v>
      </c>
      <c r="D57" s="555" t="s">
        <v>197</v>
      </c>
      <c r="E57" s="556"/>
      <c r="F57" s="556" t="s">
        <v>198</v>
      </c>
      <c r="H57" s="584"/>
      <c r="I57" s="584"/>
      <c r="J57" s="584"/>
      <c r="K57" s="584"/>
      <c r="L57" s="584"/>
      <c r="M57" s="584"/>
      <c r="N57" s="584"/>
      <c r="O57" s="584"/>
      <c r="P57" s="584"/>
      <c r="Q57" s="584"/>
    </row>
    <row r="58" spans="1:18" ht="15" customHeight="1">
      <c r="B58" s="553" t="s">
        <v>5</v>
      </c>
      <c r="C58" s="554" t="s">
        <v>30</v>
      </c>
      <c r="D58" s="555" t="s">
        <v>195</v>
      </c>
      <c r="E58" s="556"/>
      <c r="F58" s="556" t="s">
        <v>221</v>
      </c>
      <c r="H58" s="584"/>
      <c r="I58" s="584"/>
      <c r="J58" s="584"/>
      <c r="K58" s="584"/>
      <c r="L58" s="584"/>
      <c r="M58" s="584"/>
      <c r="N58" s="584"/>
      <c r="O58" s="584"/>
      <c r="P58" s="584"/>
      <c r="Q58" s="584"/>
    </row>
    <row r="59" spans="1:18" ht="15" customHeight="1">
      <c r="B59" s="553" t="s">
        <v>4</v>
      </c>
      <c r="C59" s="554" t="s">
        <v>143</v>
      </c>
      <c r="D59" s="555" t="s">
        <v>195</v>
      </c>
      <c r="E59" s="556"/>
      <c r="F59" s="556" t="s">
        <v>221</v>
      </c>
      <c r="H59" s="584"/>
      <c r="I59" s="584"/>
      <c r="J59" s="584"/>
      <c r="K59" s="584"/>
      <c r="L59" s="584"/>
      <c r="M59" s="584"/>
      <c r="N59" s="584"/>
      <c r="O59" s="584"/>
      <c r="P59" s="584"/>
      <c r="Q59" s="584"/>
    </row>
    <row r="60" spans="1:18" ht="15" customHeight="1">
      <c r="H60" s="593"/>
      <c r="I60" s="593"/>
      <c r="J60" s="593"/>
      <c r="K60" s="593"/>
      <c r="L60" s="594"/>
      <c r="M60" s="593"/>
      <c r="N60" s="593"/>
      <c r="O60" s="593"/>
      <c r="P60" s="593"/>
      <c r="Q60" s="593"/>
    </row>
    <row r="61" spans="1:18" s="3" customFormat="1" ht="15" customHeight="1">
      <c r="B61" s="510"/>
      <c r="C61" s="550" t="s">
        <v>156</v>
      </c>
      <c r="D61" s="550"/>
      <c r="E61" s="550"/>
      <c r="F61" s="512"/>
      <c r="H61" s="510"/>
      <c r="I61" s="551"/>
      <c r="J61" s="551"/>
      <c r="K61" s="551"/>
      <c r="L61" s="551"/>
      <c r="M61" s="551"/>
      <c r="N61" s="551"/>
      <c r="O61" s="551"/>
      <c r="P61" s="551"/>
      <c r="Q61" s="552"/>
    </row>
    <row r="62" spans="1:18" ht="3.75" customHeight="1">
      <c r="B62" s="595"/>
      <c r="H62" s="596"/>
      <c r="I62" s="596"/>
      <c r="J62" s="596"/>
      <c r="K62" s="596"/>
      <c r="L62" s="596"/>
      <c r="M62" s="596"/>
      <c r="N62" s="596"/>
      <c r="O62" s="596"/>
      <c r="P62" s="596"/>
      <c r="Q62" s="596"/>
    </row>
    <row r="63" spans="1:18" s="577" customFormat="1" ht="15" customHeight="1">
      <c r="B63" s="571"/>
      <c r="C63" s="572" t="s">
        <v>250</v>
      </c>
      <c r="D63" s="572"/>
      <c r="E63" s="572"/>
      <c r="F63" s="573"/>
      <c r="G63" s="3"/>
      <c r="H63" s="571"/>
      <c r="I63" s="574"/>
      <c r="J63" s="574"/>
      <c r="K63" s="574"/>
      <c r="L63" s="574"/>
      <c r="M63" s="574"/>
      <c r="N63" s="574"/>
      <c r="O63" s="574"/>
      <c r="P63" s="574"/>
      <c r="Q63" s="575"/>
    </row>
    <row r="64" spans="1:18" ht="15" customHeight="1">
      <c r="A64" s="509"/>
      <c r="B64" s="517"/>
      <c r="C64" s="597" t="s">
        <v>251</v>
      </c>
      <c r="D64" s="598"/>
      <c r="E64" s="598"/>
      <c r="F64" s="598"/>
      <c r="H64" s="599">
        <v>0.05</v>
      </c>
      <c r="I64" s="599">
        <f>H64</f>
        <v>0.05</v>
      </c>
      <c r="J64" s="599">
        <f>I64</f>
        <v>0.05</v>
      </c>
      <c r="K64" s="599">
        <f t="shared" ref="K64:K69" si="7">I64</f>
        <v>0.05</v>
      </c>
      <c r="L64" s="599">
        <f>K64</f>
        <v>0.05</v>
      </c>
      <c r="M64" s="599">
        <f>L64</f>
        <v>0.05</v>
      </c>
      <c r="N64" s="599">
        <f>M64</f>
        <v>0.05</v>
      </c>
      <c r="O64" s="599">
        <f>N64</f>
        <v>0.05</v>
      </c>
      <c r="P64" s="599">
        <f>O64</f>
        <v>0.05</v>
      </c>
      <c r="Q64" s="599">
        <f t="shared" ref="Q64:Q69" si="8">IFERROR(ROUND(IF($Q$15="Simples",
INDEX(H64:P64,MATCH($Q$16,$H$16:$P$16,1)),
INDEX(H64:P64,MATCH($Q$15,$H$13:$P$13,0))
),4),"")</f>
        <v>0.05</v>
      </c>
      <c r="R64" s="539"/>
    </row>
    <row r="65" spans="1:18" ht="15" customHeight="1">
      <c r="A65" s="509"/>
      <c r="B65" s="517"/>
      <c r="C65" s="597" t="s">
        <v>56</v>
      </c>
      <c r="D65" s="598"/>
      <c r="E65" s="598"/>
      <c r="F65" s="598"/>
      <c r="H65" s="599">
        <v>0.08</v>
      </c>
      <c r="I65" s="599">
        <f t="shared" ref="I65:P69" si="9">H65</f>
        <v>0.08</v>
      </c>
      <c r="J65" s="599">
        <f t="shared" si="9"/>
        <v>0.08</v>
      </c>
      <c r="K65" s="599">
        <f t="shared" si="7"/>
        <v>0.08</v>
      </c>
      <c r="L65" s="599">
        <f t="shared" si="9"/>
        <v>0.08</v>
      </c>
      <c r="M65" s="599">
        <f t="shared" si="9"/>
        <v>0.08</v>
      </c>
      <c r="N65" s="599">
        <f t="shared" si="9"/>
        <v>0.08</v>
      </c>
      <c r="O65" s="599">
        <f t="shared" si="9"/>
        <v>0.08</v>
      </c>
      <c r="P65" s="599">
        <f t="shared" si="9"/>
        <v>0.08</v>
      </c>
      <c r="Q65" s="599">
        <f t="shared" si="8"/>
        <v>0.08</v>
      </c>
      <c r="R65" s="539"/>
    </row>
    <row r="66" spans="1:18" ht="15" customHeight="1">
      <c r="A66" s="509"/>
      <c r="B66" s="517"/>
      <c r="C66" s="597" t="s">
        <v>252</v>
      </c>
      <c r="D66" s="598"/>
      <c r="E66" s="598"/>
      <c r="F66" s="598"/>
      <c r="H66" s="599">
        <v>0.4</v>
      </c>
      <c r="I66" s="599">
        <f t="shared" si="9"/>
        <v>0.4</v>
      </c>
      <c r="J66" s="599">
        <f t="shared" si="9"/>
        <v>0.4</v>
      </c>
      <c r="K66" s="599">
        <f t="shared" si="7"/>
        <v>0.4</v>
      </c>
      <c r="L66" s="599">
        <f t="shared" si="9"/>
        <v>0.4</v>
      </c>
      <c r="M66" s="599">
        <f t="shared" si="9"/>
        <v>0.4</v>
      </c>
      <c r="N66" s="599">
        <f t="shared" si="9"/>
        <v>0.4</v>
      </c>
      <c r="O66" s="599">
        <f t="shared" si="9"/>
        <v>0.4</v>
      </c>
      <c r="P66" s="599">
        <f t="shared" si="9"/>
        <v>0.4</v>
      </c>
      <c r="Q66" s="599">
        <f t="shared" si="8"/>
        <v>0.4</v>
      </c>
      <c r="R66" s="539"/>
    </row>
    <row r="67" spans="1:18" ht="15" customHeight="1">
      <c r="A67" s="509"/>
      <c r="B67" s="517"/>
      <c r="C67" s="597" t="s">
        <v>253</v>
      </c>
      <c r="D67" s="598"/>
      <c r="E67" s="598"/>
      <c r="F67" s="598"/>
      <c r="H67" s="599">
        <v>0.02</v>
      </c>
      <c r="I67" s="599">
        <f t="shared" si="9"/>
        <v>0.02</v>
      </c>
      <c r="J67" s="599">
        <f t="shared" si="9"/>
        <v>0.02</v>
      </c>
      <c r="K67" s="599">
        <f t="shared" si="7"/>
        <v>0.02</v>
      </c>
      <c r="L67" s="599">
        <f t="shared" si="9"/>
        <v>0.02</v>
      </c>
      <c r="M67" s="599">
        <f t="shared" si="9"/>
        <v>0.02</v>
      </c>
      <c r="N67" s="599">
        <f t="shared" si="9"/>
        <v>0.02</v>
      </c>
      <c r="O67" s="599">
        <f t="shared" si="9"/>
        <v>0.02</v>
      </c>
      <c r="P67" s="599">
        <f t="shared" si="9"/>
        <v>0.02</v>
      </c>
      <c r="Q67" s="599">
        <f t="shared" si="8"/>
        <v>0.02</v>
      </c>
      <c r="R67" s="539"/>
    </row>
    <row r="68" spans="1:18" ht="15" customHeight="1">
      <c r="A68" s="509"/>
      <c r="B68" s="517"/>
      <c r="C68" s="597" t="s">
        <v>254</v>
      </c>
      <c r="D68" s="598"/>
      <c r="E68" s="598"/>
      <c r="F68" s="598"/>
      <c r="H68" s="599">
        <v>1</v>
      </c>
      <c r="I68" s="599">
        <f t="shared" si="9"/>
        <v>1</v>
      </c>
      <c r="J68" s="599">
        <f t="shared" si="9"/>
        <v>1</v>
      </c>
      <c r="K68" s="599">
        <f t="shared" si="7"/>
        <v>1</v>
      </c>
      <c r="L68" s="599">
        <f t="shared" si="9"/>
        <v>1</v>
      </c>
      <c r="M68" s="599">
        <f t="shared" si="9"/>
        <v>1</v>
      </c>
      <c r="N68" s="599">
        <f t="shared" si="9"/>
        <v>1</v>
      </c>
      <c r="O68" s="599">
        <f t="shared" si="9"/>
        <v>1</v>
      </c>
      <c r="P68" s="599">
        <f t="shared" si="9"/>
        <v>1</v>
      </c>
      <c r="Q68" s="599">
        <f t="shared" si="8"/>
        <v>1</v>
      </c>
      <c r="R68" s="539"/>
    </row>
    <row r="69" spans="1:18" ht="15" customHeight="1">
      <c r="A69" s="509"/>
      <c r="B69" s="517"/>
      <c r="C69" s="597" t="s">
        <v>255</v>
      </c>
      <c r="D69" s="600"/>
      <c r="E69" s="600"/>
      <c r="F69" s="600"/>
      <c r="H69" s="601">
        <v>7</v>
      </c>
      <c r="I69" s="601">
        <f t="shared" si="9"/>
        <v>7</v>
      </c>
      <c r="J69" s="601">
        <f t="shared" si="9"/>
        <v>7</v>
      </c>
      <c r="K69" s="601">
        <f t="shared" si="7"/>
        <v>7</v>
      </c>
      <c r="L69" s="601">
        <f t="shared" si="9"/>
        <v>7</v>
      </c>
      <c r="M69" s="601">
        <f t="shared" si="9"/>
        <v>7</v>
      </c>
      <c r="N69" s="601">
        <f t="shared" si="9"/>
        <v>7</v>
      </c>
      <c r="O69" s="601">
        <f t="shared" si="9"/>
        <v>7</v>
      </c>
      <c r="P69" s="601">
        <f t="shared" si="9"/>
        <v>7</v>
      </c>
      <c r="Q69" s="601">
        <f t="shared" si="8"/>
        <v>7</v>
      </c>
      <c r="R69" s="539"/>
    </row>
    <row r="70" spans="1:18" ht="3.75" customHeight="1">
      <c r="B70" s="602"/>
      <c r="C70" s="603"/>
      <c r="D70" s="602"/>
      <c r="E70" s="602"/>
      <c r="F70" s="602"/>
      <c r="H70" s="604"/>
      <c r="I70" s="604"/>
      <c r="J70" s="604"/>
      <c r="K70" s="604"/>
      <c r="L70" s="604"/>
      <c r="M70" s="604"/>
      <c r="N70" s="604"/>
      <c r="O70" s="604"/>
      <c r="P70" s="604"/>
      <c r="Q70" s="604"/>
    </row>
    <row r="71" spans="1:18" s="577" customFormat="1" ht="15" customHeight="1">
      <c r="B71" s="571"/>
      <c r="C71" s="572" t="s">
        <v>406</v>
      </c>
      <c r="D71" s="572"/>
      <c r="E71" s="572"/>
      <c r="F71" s="573"/>
      <c r="G71" s="3"/>
      <c r="H71" s="571"/>
      <c r="I71" s="574"/>
      <c r="J71" s="574"/>
      <c r="K71" s="574"/>
      <c r="L71" s="574"/>
      <c r="M71" s="574"/>
      <c r="N71" s="574"/>
      <c r="O71" s="574"/>
      <c r="P71" s="574"/>
      <c r="Q71" s="575"/>
    </row>
    <row r="72" spans="1:18" ht="15" customHeight="1">
      <c r="A72" s="509"/>
      <c r="B72" s="517" t="s">
        <v>2</v>
      </c>
      <c r="C72" s="518" t="s">
        <v>273</v>
      </c>
      <c r="D72" s="555" t="s">
        <v>207</v>
      </c>
      <c r="E72" s="556" t="s">
        <v>115</v>
      </c>
      <c r="F72" s="556" t="s">
        <v>199</v>
      </c>
      <c r="H72" s="584">
        <f>(($D$5/$D$5)/$D$8)*H64</f>
        <v>4.1666666666666666E-3</v>
      </c>
      <c r="I72" s="584">
        <f t="shared" ref="I72:J77" si="10">H72</f>
        <v>4.1666666666666666E-3</v>
      </c>
      <c r="J72" s="584">
        <f t="shared" si="10"/>
        <v>4.1666666666666666E-3</v>
      </c>
      <c r="K72" s="584">
        <f t="shared" ref="K72:K77" si="11">I72</f>
        <v>4.1666666666666666E-3</v>
      </c>
      <c r="L72" s="584">
        <f t="shared" ref="L72:P77" si="12">K72</f>
        <v>4.1666666666666666E-3</v>
      </c>
      <c r="M72" s="584">
        <f t="shared" si="12"/>
        <v>4.1666666666666666E-3</v>
      </c>
      <c r="N72" s="584">
        <f t="shared" si="12"/>
        <v>4.1666666666666666E-3</v>
      </c>
      <c r="O72" s="584">
        <f t="shared" si="12"/>
        <v>4.1666666666666666E-3</v>
      </c>
      <c r="P72" s="584">
        <f t="shared" si="12"/>
        <v>4.1666666666666666E-3</v>
      </c>
      <c r="Q72" s="584">
        <f t="shared" ref="Q72:Q77" si="13">IFERROR(ROUND(IF($Q$15="Simples",
INDEX(H72:P72,MATCH($Q$16,$H$16:$P$16,1)),
INDEX(H72:P72,MATCH($Q$15,$H$13:$P$13,0))
),4),"")</f>
        <v>4.1999999999999997E-3</v>
      </c>
      <c r="R72" s="539"/>
    </row>
    <row r="73" spans="1:18" ht="15" customHeight="1">
      <c r="A73" s="509"/>
      <c r="B73" s="585" t="s">
        <v>1</v>
      </c>
      <c r="C73" s="518" t="s">
        <v>31</v>
      </c>
      <c r="D73" s="555" t="s">
        <v>202</v>
      </c>
      <c r="E73" s="556" t="s">
        <v>116</v>
      </c>
      <c r="F73" s="556"/>
      <c r="H73" s="584">
        <f>(($D$5/$D$5)/$D$8)*H64*H65</f>
        <v>3.3333333333333332E-4</v>
      </c>
      <c r="I73" s="584">
        <f t="shared" si="10"/>
        <v>3.3333333333333332E-4</v>
      </c>
      <c r="J73" s="584">
        <f t="shared" si="10"/>
        <v>3.3333333333333332E-4</v>
      </c>
      <c r="K73" s="584">
        <f t="shared" si="11"/>
        <v>3.3333333333333332E-4</v>
      </c>
      <c r="L73" s="584">
        <f t="shared" si="12"/>
        <v>3.3333333333333332E-4</v>
      </c>
      <c r="M73" s="584">
        <f t="shared" si="12"/>
        <v>3.3333333333333332E-4</v>
      </c>
      <c r="N73" s="584">
        <f t="shared" si="12"/>
        <v>3.3333333333333332E-4</v>
      </c>
      <c r="O73" s="584">
        <f t="shared" si="12"/>
        <v>3.3333333333333332E-4</v>
      </c>
      <c r="P73" s="584">
        <f t="shared" si="12"/>
        <v>3.3333333333333332E-4</v>
      </c>
      <c r="Q73" s="584">
        <f t="shared" si="13"/>
        <v>2.9999999999999997E-4</v>
      </c>
      <c r="R73" s="539"/>
    </row>
    <row r="74" spans="1:18" ht="15" customHeight="1">
      <c r="A74" s="509"/>
      <c r="B74" s="585" t="s">
        <v>0</v>
      </c>
      <c r="C74" s="518" t="s">
        <v>32</v>
      </c>
      <c r="D74" s="555" t="s">
        <v>203</v>
      </c>
      <c r="E74" s="556" t="s">
        <v>117</v>
      </c>
      <c r="F74" s="556" t="s">
        <v>222</v>
      </c>
      <c r="H74" s="605">
        <f>H72*H65*H66</f>
        <v>1.3333333333333334E-4</v>
      </c>
      <c r="I74" s="584">
        <f t="shared" si="10"/>
        <v>1.3333333333333334E-4</v>
      </c>
      <c r="J74" s="584">
        <f t="shared" si="10"/>
        <v>1.3333333333333334E-4</v>
      </c>
      <c r="K74" s="584">
        <f t="shared" si="11"/>
        <v>1.3333333333333334E-4</v>
      </c>
      <c r="L74" s="584">
        <f t="shared" si="12"/>
        <v>1.3333333333333334E-4</v>
      </c>
      <c r="M74" s="584">
        <f t="shared" si="12"/>
        <v>1.3333333333333334E-4</v>
      </c>
      <c r="N74" s="584">
        <f t="shared" si="12"/>
        <v>1.3333333333333334E-4</v>
      </c>
      <c r="O74" s="584">
        <f t="shared" si="12"/>
        <v>1.3333333333333334E-4</v>
      </c>
      <c r="P74" s="584">
        <f t="shared" si="12"/>
        <v>1.3333333333333334E-4</v>
      </c>
      <c r="Q74" s="584">
        <f t="shared" si="13"/>
        <v>1E-4</v>
      </c>
      <c r="R74" s="539"/>
    </row>
    <row r="75" spans="1:18" ht="15" customHeight="1">
      <c r="A75" s="509"/>
      <c r="B75" s="517" t="s">
        <v>3</v>
      </c>
      <c r="C75" s="518" t="s">
        <v>33</v>
      </c>
      <c r="D75" s="555" t="s">
        <v>554</v>
      </c>
      <c r="E75" s="556" t="s">
        <v>118</v>
      </c>
      <c r="F75" s="556" t="s">
        <v>200</v>
      </c>
      <c r="H75" s="605">
        <f>(((H69/$D$5/$D$8)*H67)+(H69/$D$5/$D$8))</f>
        <v>1.9833333333333335E-2</v>
      </c>
      <c r="I75" s="584">
        <f t="shared" si="10"/>
        <v>1.9833333333333335E-2</v>
      </c>
      <c r="J75" s="584">
        <f t="shared" si="10"/>
        <v>1.9833333333333335E-2</v>
      </c>
      <c r="K75" s="584">
        <f t="shared" si="11"/>
        <v>1.9833333333333335E-2</v>
      </c>
      <c r="L75" s="584">
        <f t="shared" si="12"/>
        <v>1.9833333333333335E-2</v>
      </c>
      <c r="M75" s="584">
        <f t="shared" si="12"/>
        <v>1.9833333333333335E-2</v>
      </c>
      <c r="N75" s="584">
        <f t="shared" si="12"/>
        <v>1.9833333333333335E-2</v>
      </c>
      <c r="O75" s="584">
        <f t="shared" si="12"/>
        <v>1.9833333333333335E-2</v>
      </c>
      <c r="P75" s="584">
        <f t="shared" si="12"/>
        <v>1.9833333333333335E-2</v>
      </c>
      <c r="Q75" s="584">
        <f t="shared" si="13"/>
        <v>1.9800000000000002E-2</v>
      </c>
      <c r="R75" s="539"/>
    </row>
    <row r="76" spans="1:18" ht="15" customHeight="1">
      <c r="A76" s="509"/>
      <c r="B76" s="585" t="s">
        <v>7</v>
      </c>
      <c r="C76" s="518" t="s">
        <v>34</v>
      </c>
      <c r="D76" s="555" t="s">
        <v>119</v>
      </c>
      <c r="E76" s="556" t="s">
        <v>120</v>
      </c>
      <c r="F76" s="556"/>
      <c r="H76" s="584">
        <f>$H$75*H49</f>
        <v>7.2986666666666694E-3</v>
      </c>
      <c r="I76" s="584">
        <f t="shared" si="10"/>
        <v>7.2986666666666694E-3</v>
      </c>
      <c r="J76" s="584">
        <f t="shared" si="10"/>
        <v>7.2986666666666694E-3</v>
      </c>
      <c r="K76" s="584">
        <f t="shared" si="11"/>
        <v>7.2986666666666694E-3</v>
      </c>
      <c r="L76" s="584">
        <f t="shared" si="12"/>
        <v>7.2986666666666694E-3</v>
      </c>
      <c r="M76" s="584">
        <f t="shared" si="12"/>
        <v>7.2986666666666694E-3</v>
      </c>
      <c r="N76" s="584">
        <f t="shared" si="12"/>
        <v>7.2986666666666694E-3</v>
      </c>
      <c r="O76" s="584">
        <f t="shared" si="12"/>
        <v>7.2986666666666694E-3</v>
      </c>
      <c r="P76" s="584">
        <f t="shared" si="12"/>
        <v>7.2986666666666694E-3</v>
      </c>
      <c r="Q76" s="584">
        <f t="shared" si="13"/>
        <v>7.3000000000000001E-3</v>
      </c>
      <c r="R76" s="539"/>
    </row>
    <row r="77" spans="1:18" ht="15" customHeight="1">
      <c r="A77" s="509"/>
      <c r="B77" s="585" t="s">
        <v>6</v>
      </c>
      <c r="C77" s="518" t="s">
        <v>35</v>
      </c>
      <c r="D77" s="555" t="s">
        <v>206</v>
      </c>
      <c r="E77" s="556" t="s">
        <v>121</v>
      </c>
      <c r="F77" s="556" t="s">
        <v>201</v>
      </c>
      <c r="H77" s="580">
        <v>0.04</v>
      </c>
      <c r="I77" s="584">
        <f t="shared" si="10"/>
        <v>0.04</v>
      </c>
      <c r="J77" s="584">
        <f t="shared" si="10"/>
        <v>0.04</v>
      </c>
      <c r="K77" s="584">
        <f t="shared" si="11"/>
        <v>0.04</v>
      </c>
      <c r="L77" s="584">
        <f t="shared" si="12"/>
        <v>0.04</v>
      </c>
      <c r="M77" s="584">
        <f t="shared" si="12"/>
        <v>0.04</v>
      </c>
      <c r="N77" s="584">
        <f t="shared" si="12"/>
        <v>0.04</v>
      </c>
      <c r="O77" s="584">
        <f t="shared" si="12"/>
        <v>0.04</v>
      </c>
      <c r="P77" s="584">
        <f t="shared" si="12"/>
        <v>0.04</v>
      </c>
      <c r="Q77" s="584">
        <f t="shared" si="13"/>
        <v>0.04</v>
      </c>
      <c r="R77" s="539"/>
    </row>
    <row r="78" spans="1:18" ht="15" customHeight="1">
      <c r="B78" s="602"/>
      <c r="C78" s="603"/>
      <c r="D78" s="602"/>
      <c r="E78" s="602"/>
      <c r="F78" s="602"/>
      <c r="H78" s="604"/>
      <c r="I78" s="604"/>
      <c r="J78" s="604"/>
      <c r="K78" s="604"/>
      <c r="L78" s="604"/>
      <c r="M78" s="604"/>
      <c r="N78" s="604"/>
      <c r="O78" s="604"/>
      <c r="P78" s="604"/>
      <c r="Q78" s="604"/>
    </row>
    <row r="79" spans="1:18" s="3" customFormat="1" ht="15" customHeight="1">
      <c r="B79" s="510"/>
      <c r="C79" s="550" t="s">
        <v>157</v>
      </c>
      <c r="D79" s="550"/>
      <c r="E79" s="550"/>
      <c r="F79" s="512"/>
      <c r="H79" s="510"/>
      <c r="I79" s="551"/>
      <c r="J79" s="551"/>
      <c r="K79" s="551"/>
      <c r="L79" s="551"/>
      <c r="M79" s="551"/>
      <c r="N79" s="551"/>
      <c r="O79" s="551"/>
      <c r="P79" s="551"/>
      <c r="Q79" s="552"/>
    </row>
    <row r="80" spans="1:18" s="577" customFormat="1" ht="3.75" customHeight="1">
      <c r="B80" s="606"/>
      <c r="C80" s="607"/>
      <c r="D80" s="606"/>
      <c r="E80" s="606"/>
      <c r="F80" s="606"/>
      <c r="G80" s="3"/>
      <c r="H80" s="608"/>
      <c r="I80" s="608"/>
      <c r="J80" s="608"/>
      <c r="K80" s="608"/>
      <c r="L80" s="608"/>
      <c r="M80" s="608"/>
      <c r="N80" s="608"/>
      <c r="O80" s="608"/>
      <c r="P80" s="608"/>
      <c r="Q80" s="608"/>
    </row>
    <row r="81" spans="1:18" s="577" customFormat="1" ht="15" customHeight="1">
      <c r="B81" s="571"/>
      <c r="C81" s="572" t="s">
        <v>250</v>
      </c>
      <c r="D81" s="572"/>
      <c r="E81" s="572"/>
      <c r="F81" s="573"/>
      <c r="G81" s="3"/>
      <c r="H81" s="571"/>
      <c r="I81" s="574"/>
      <c r="J81" s="574"/>
      <c r="K81" s="574"/>
      <c r="L81" s="574"/>
      <c r="M81" s="574"/>
      <c r="N81" s="574"/>
      <c r="O81" s="574"/>
      <c r="P81" s="574"/>
      <c r="Q81" s="575"/>
    </row>
    <row r="82" spans="1:18" ht="15" customHeight="1">
      <c r="A82" s="509"/>
      <c r="B82" s="609"/>
      <c r="C82" s="597" t="s">
        <v>256</v>
      </c>
      <c r="D82" s="600"/>
      <c r="E82" s="600"/>
      <c r="F82" s="600"/>
      <c r="H82" s="601">
        <v>5</v>
      </c>
      <c r="I82" s="601">
        <f>H82</f>
        <v>5</v>
      </c>
      <c r="J82" s="601">
        <f>I82</f>
        <v>5</v>
      </c>
      <c r="K82" s="601">
        <f t="shared" ref="K82:K95" si="14">I82</f>
        <v>5</v>
      </c>
      <c r="L82" s="601">
        <f>K82</f>
        <v>5</v>
      </c>
      <c r="M82" s="601">
        <f>L82</f>
        <v>5</v>
      </c>
      <c r="N82" s="601">
        <f>M82</f>
        <v>5</v>
      </c>
      <c r="O82" s="601">
        <f>N82</f>
        <v>5</v>
      </c>
      <c r="P82" s="601">
        <f>O82</f>
        <v>5</v>
      </c>
      <c r="Q82" s="601">
        <f t="shared" ref="Q82:Q95" si="15">IFERROR(ROUND(IF($Q$15="Simples",
INDEX(H82:P82,MATCH($Q$16,$H$16:$P$16,1)),
INDEX(H82:P82,MATCH($Q$15,$H$13:$P$13,0))
),4),"")</f>
        <v>5</v>
      </c>
      <c r="R82" s="539"/>
    </row>
    <row r="83" spans="1:18" ht="15" customHeight="1">
      <c r="A83" s="509"/>
      <c r="B83" s="609"/>
      <c r="C83" s="597" t="s">
        <v>257</v>
      </c>
      <c r="D83" s="600"/>
      <c r="E83" s="600"/>
      <c r="F83" s="600"/>
      <c r="H83" s="601">
        <v>5</v>
      </c>
      <c r="I83" s="601">
        <f t="shared" ref="I83:P95" si="16">H83</f>
        <v>5</v>
      </c>
      <c r="J83" s="601">
        <f t="shared" si="16"/>
        <v>5</v>
      </c>
      <c r="K83" s="601">
        <f t="shared" si="14"/>
        <v>5</v>
      </c>
      <c r="L83" s="601">
        <f t="shared" si="16"/>
        <v>5</v>
      </c>
      <c r="M83" s="601">
        <f t="shared" si="16"/>
        <v>5</v>
      </c>
      <c r="N83" s="601">
        <f t="shared" si="16"/>
        <v>5</v>
      </c>
      <c r="O83" s="601">
        <f t="shared" si="16"/>
        <v>5</v>
      </c>
      <c r="P83" s="601">
        <f t="shared" si="16"/>
        <v>5</v>
      </c>
      <c r="Q83" s="601">
        <f t="shared" si="15"/>
        <v>5</v>
      </c>
      <c r="R83" s="539"/>
    </row>
    <row r="84" spans="1:18" ht="15" customHeight="1">
      <c r="A84" s="509"/>
      <c r="B84" s="609"/>
      <c r="C84" s="597" t="s">
        <v>258</v>
      </c>
      <c r="D84" s="610"/>
      <c r="E84" s="610"/>
      <c r="F84" s="610"/>
      <c r="H84" s="580">
        <v>1.4999999999999999E-2</v>
      </c>
      <c r="I84" s="580">
        <f t="shared" si="16"/>
        <v>1.4999999999999999E-2</v>
      </c>
      <c r="J84" s="580">
        <f t="shared" si="16"/>
        <v>1.4999999999999999E-2</v>
      </c>
      <c r="K84" s="580">
        <f t="shared" si="14"/>
        <v>1.4999999999999999E-2</v>
      </c>
      <c r="L84" s="580">
        <f t="shared" si="16"/>
        <v>1.4999999999999999E-2</v>
      </c>
      <c r="M84" s="580">
        <f t="shared" si="16"/>
        <v>1.4999999999999999E-2</v>
      </c>
      <c r="N84" s="580">
        <f t="shared" si="16"/>
        <v>1.4999999999999999E-2</v>
      </c>
      <c r="O84" s="580">
        <f t="shared" si="16"/>
        <v>1.4999999999999999E-2</v>
      </c>
      <c r="P84" s="580">
        <f t="shared" si="16"/>
        <v>1.4999999999999999E-2</v>
      </c>
      <c r="Q84" s="580">
        <f t="shared" si="15"/>
        <v>1.4999999999999999E-2</v>
      </c>
      <c r="R84" s="539"/>
    </row>
    <row r="85" spans="1:18" ht="15" customHeight="1">
      <c r="A85" s="509"/>
      <c r="B85" s="609"/>
      <c r="C85" s="597" t="s">
        <v>259</v>
      </c>
      <c r="D85" s="611"/>
      <c r="E85" s="611"/>
      <c r="F85" s="611"/>
      <c r="H85" s="612">
        <v>2.96</v>
      </c>
      <c r="I85" s="612">
        <f t="shared" si="16"/>
        <v>2.96</v>
      </c>
      <c r="J85" s="612">
        <f t="shared" si="16"/>
        <v>2.96</v>
      </c>
      <c r="K85" s="612">
        <f t="shared" si="14"/>
        <v>2.96</v>
      </c>
      <c r="L85" s="612">
        <f t="shared" si="16"/>
        <v>2.96</v>
      </c>
      <c r="M85" s="612">
        <f t="shared" si="16"/>
        <v>2.96</v>
      </c>
      <c r="N85" s="612">
        <f t="shared" si="16"/>
        <v>2.96</v>
      </c>
      <c r="O85" s="612">
        <f t="shared" si="16"/>
        <v>2.96</v>
      </c>
      <c r="P85" s="612">
        <f t="shared" si="16"/>
        <v>2.96</v>
      </c>
      <c r="Q85" s="612">
        <f t="shared" si="15"/>
        <v>2.96</v>
      </c>
      <c r="R85" s="539"/>
    </row>
    <row r="86" spans="1:18" ht="15" customHeight="1">
      <c r="A86" s="509"/>
      <c r="B86" s="609"/>
      <c r="C86" s="597" t="s">
        <v>260</v>
      </c>
      <c r="D86" s="610"/>
      <c r="E86" s="610"/>
      <c r="F86" s="610"/>
      <c r="H86" s="580">
        <v>7.7999999999999996E-3</v>
      </c>
      <c r="I86" s="580">
        <f t="shared" si="16"/>
        <v>7.7999999999999996E-3</v>
      </c>
      <c r="J86" s="580">
        <f t="shared" si="16"/>
        <v>7.7999999999999996E-3</v>
      </c>
      <c r="K86" s="580">
        <f t="shared" si="14"/>
        <v>7.7999999999999996E-3</v>
      </c>
      <c r="L86" s="580">
        <f t="shared" si="16"/>
        <v>7.7999999999999996E-3</v>
      </c>
      <c r="M86" s="580">
        <f t="shared" si="16"/>
        <v>7.7999999999999996E-3</v>
      </c>
      <c r="N86" s="580">
        <f t="shared" si="16"/>
        <v>7.7999999999999996E-3</v>
      </c>
      <c r="O86" s="580">
        <f t="shared" si="16"/>
        <v>7.7999999999999996E-3</v>
      </c>
      <c r="P86" s="580">
        <f t="shared" si="16"/>
        <v>7.7999999999999996E-3</v>
      </c>
      <c r="Q86" s="580">
        <f t="shared" si="15"/>
        <v>7.7999999999999996E-3</v>
      </c>
      <c r="R86" s="539"/>
    </row>
    <row r="87" spans="1:18" ht="15" customHeight="1">
      <c r="A87" s="509"/>
      <c r="B87" s="609"/>
      <c r="C87" s="597" t="s">
        <v>261</v>
      </c>
      <c r="D87" s="600"/>
      <c r="E87" s="600"/>
      <c r="F87" s="600"/>
      <c r="H87" s="601">
        <v>15</v>
      </c>
      <c r="I87" s="601">
        <f t="shared" si="16"/>
        <v>15</v>
      </c>
      <c r="J87" s="601">
        <f t="shared" si="16"/>
        <v>15</v>
      </c>
      <c r="K87" s="601">
        <f t="shared" si="14"/>
        <v>15</v>
      </c>
      <c r="L87" s="601">
        <f t="shared" si="16"/>
        <v>15</v>
      </c>
      <c r="M87" s="601">
        <f t="shared" si="16"/>
        <v>15</v>
      </c>
      <c r="N87" s="601">
        <f t="shared" si="16"/>
        <v>15</v>
      </c>
      <c r="O87" s="601">
        <f t="shared" si="16"/>
        <v>15</v>
      </c>
      <c r="P87" s="601">
        <f t="shared" si="16"/>
        <v>15</v>
      </c>
      <c r="Q87" s="601">
        <f t="shared" si="15"/>
        <v>15</v>
      </c>
      <c r="R87" s="539"/>
    </row>
    <row r="88" spans="1:18" ht="15" customHeight="1">
      <c r="A88" s="509"/>
      <c r="B88" s="609"/>
      <c r="C88" s="597" t="s">
        <v>262</v>
      </c>
      <c r="D88" s="613"/>
      <c r="E88" s="613"/>
      <c r="F88" s="613"/>
      <c r="H88" s="614">
        <v>4</v>
      </c>
      <c r="I88" s="614">
        <f t="shared" si="16"/>
        <v>4</v>
      </c>
      <c r="J88" s="614">
        <f t="shared" si="16"/>
        <v>4</v>
      </c>
      <c r="K88" s="614">
        <f t="shared" si="14"/>
        <v>4</v>
      </c>
      <c r="L88" s="614">
        <f t="shared" si="16"/>
        <v>4</v>
      </c>
      <c r="M88" s="614">
        <f t="shared" si="16"/>
        <v>4</v>
      </c>
      <c r="N88" s="614">
        <f t="shared" si="16"/>
        <v>4</v>
      </c>
      <c r="O88" s="614">
        <f t="shared" si="16"/>
        <v>4</v>
      </c>
      <c r="P88" s="614">
        <f t="shared" si="16"/>
        <v>4</v>
      </c>
      <c r="Q88" s="614">
        <f t="shared" si="15"/>
        <v>4</v>
      </c>
      <c r="R88" s="539"/>
    </row>
    <row r="89" spans="1:18" ht="15" customHeight="1">
      <c r="A89" s="509"/>
      <c r="B89" s="609"/>
      <c r="C89" s="597" t="s">
        <v>263</v>
      </c>
      <c r="D89" s="610"/>
      <c r="E89" s="610"/>
      <c r="F89" s="610"/>
      <c r="H89" s="580">
        <f>H88/12</f>
        <v>0.33333333333333331</v>
      </c>
      <c r="I89" s="580">
        <f t="shared" si="16"/>
        <v>0.33333333333333331</v>
      </c>
      <c r="J89" s="580">
        <f t="shared" si="16"/>
        <v>0.33333333333333331</v>
      </c>
      <c r="K89" s="580">
        <f t="shared" si="14"/>
        <v>0.33333333333333331</v>
      </c>
      <c r="L89" s="580">
        <f t="shared" si="16"/>
        <v>0.33333333333333331</v>
      </c>
      <c r="M89" s="580">
        <f t="shared" si="16"/>
        <v>0.33333333333333331</v>
      </c>
      <c r="N89" s="580">
        <f t="shared" si="16"/>
        <v>0.33333333333333331</v>
      </c>
      <c r="O89" s="580">
        <f t="shared" si="16"/>
        <v>0.33333333333333331</v>
      </c>
      <c r="P89" s="580">
        <f t="shared" si="16"/>
        <v>0.33333333333333331</v>
      </c>
      <c r="Q89" s="580">
        <f t="shared" si="15"/>
        <v>0.33329999999999999</v>
      </c>
      <c r="R89" s="539"/>
    </row>
    <row r="90" spans="1:18" ht="15" customHeight="1">
      <c r="A90" s="509"/>
      <c r="B90" s="609"/>
      <c r="C90" s="597" t="s">
        <v>264</v>
      </c>
      <c r="D90" s="615"/>
      <c r="E90" s="615"/>
      <c r="F90" s="615"/>
      <c r="H90" s="616">
        <v>2820968</v>
      </c>
      <c r="I90" s="616">
        <f t="shared" si="16"/>
        <v>2820968</v>
      </c>
      <c r="J90" s="616">
        <f t="shared" si="16"/>
        <v>2820968</v>
      </c>
      <c r="K90" s="616">
        <f t="shared" si="14"/>
        <v>2820968</v>
      </c>
      <c r="L90" s="616">
        <f t="shared" si="16"/>
        <v>2820968</v>
      </c>
      <c r="M90" s="616">
        <f t="shared" si="16"/>
        <v>2820968</v>
      </c>
      <c r="N90" s="616">
        <f t="shared" si="16"/>
        <v>2820968</v>
      </c>
      <c r="O90" s="616">
        <f t="shared" si="16"/>
        <v>2820968</v>
      </c>
      <c r="P90" s="616">
        <f t="shared" si="16"/>
        <v>2820968</v>
      </c>
      <c r="Q90" s="616">
        <f t="shared" si="15"/>
        <v>2820968</v>
      </c>
      <c r="R90" s="539"/>
    </row>
    <row r="91" spans="1:18" ht="15" customHeight="1">
      <c r="A91" s="509"/>
      <c r="B91" s="609"/>
      <c r="C91" s="597" t="s">
        <v>265</v>
      </c>
      <c r="D91" s="615"/>
      <c r="E91" s="615"/>
      <c r="F91" s="615"/>
      <c r="H91" s="616">
        <v>1303632</v>
      </c>
      <c r="I91" s="616">
        <f t="shared" si="16"/>
        <v>1303632</v>
      </c>
      <c r="J91" s="616">
        <f t="shared" si="16"/>
        <v>1303632</v>
      </c>
      <c r="K91" s="616">
        <f t="shared" si="14"/>
        <v>1303632</v>
      </c>
      <c r="L91" s="616">
        <f t="shared" si="16"/>
        <v>1303632</v>
      </c>
      <c r="M91" s="616">
        <f t="shared" si="16"/>
        <v>1303632</v>
      </c>
      <c r="N91" s="616">
        <f t="shared" si="16"/>
        <v>1303632</v>
      </c>
      <c r="O91" s="616">
        <f t="shared" si="16"/>
        <v>1303632</v>
      </c>
      <c r="P91" s="616">
        <f t="shared" si="16"/>
        <v>1303632</v>
      </c>
      <c r="Q91" s="616">
        <f t="shared" si="15"/>
        <v>1303632</v>
      </c>
      <c r="R91" s="539"/>
    </row>
    <row r="92" spans="1:18" ht="15" customHeight="1">
      <c r="A92" s="509"/>
      <c r="B92" s="609"/>
      <c r="C92" s="597" t="s">
        <v>266</v>
      </c>
      <c r="D92" s="615"/>
      <c r="E92" s="615"/>
      <c r="F92" s="615"/>
      <c r="H92" s="616">
        <v>52313</v>
      </c>
      <c r="I92" s="616">
        <f t="shared" si="16"/>
        <v>52313</v>
      </c>
      <c r="J92" s="616">
        <f t="shared" si="16"/>
        <v>52313</v>
      </c>
      <c r="K92" s="616">
        <f t="shared" si="14"/>
        <v>52313</v>
      </c>
      <c r="L92" s="616">
        <f t="shared" si="16"/>
        <v>52313</v>
      </c>
      <c r="M92" s="616">
        <f t="shared" si="16"/>
        <v>52313</v>
      </c>
      <c r="N92" s="616">
        <f t="shared" si="16"/>
        <v>52313</v>
      </c>
      <c r="O92" s="616">
        <f t="shared" si="16"/>
        <v>52313</v>
      </c>
      <c r="P92" s="616">
        <f t="shared" si="16"/>
        <v>52313</v>
      </c>
      <c r="Q92" s="616">
        <f t="shared" si="15"/>
        <v>52313</v>
      </c>
      <c r="R92" s="539"/>
    </row>
    <row r="93" spans="1:18" ht="15" customHeight="1">
      <c r="A93" s="509"/>
      <c r="B93" s="609"/>
      <c r="C93" s="597" t="s">
        <v>267</v>
      </c>
      <c r="D93" s="610"/>
      <c r="E93" s="610"/>
      <c r="F93" s="610"/>
      <c r="H93" s="580">
        <f>H92/H91</f>
        <v>4.012865593971305E-2</v>
      </c>
      <c r="I93" s="580">
        <f t="shared" si="16"/>
        <v>4.012865593971305E-2</v>
      </c>
      <c r="J93" s="580">
        <f t="shared" si="16"/>
        <v>4.012865593971305E-2</v>
      </c>
      <c r="K93" s="580">
        <f t="shared" si="14"/>
        <v>4.012865593971305E-2</v>
      </c>
      <c r="L93" s="580">
        <f t="shared" si="16"/>
        <v>4.012865593971305E-2</v>
      </c>
      <c r="M93" s="580">
        <f t="shared" si="16"/>
        <v>4.012865593971305E-2</v>
      </c>
      <c r="N93" s="580">
        <f t="shared" si="16"/>
        <v>4.012865593971305E-2</v>
      </c>
      <c r="O93" s="580">
        <f t="shared" si="16"/>
        <v>4.012865593971305E-2</v>
      </c>
      <c r="P93" s="580">
        <f t="shared" si="16"/>
        <v>4.012865593971305E-2</v>
      </c>
      <c r="Q93" s="580">
        <f t="shared" si="15"/>
        <v>4.0099999999999997E-2</v>
      </c>
      <c r="R93" s="539"/>
    </row>
    <row r="94" spans="1:18" ht="15" customHeight="1">
      <c r="A94" s="509"/>
      <c r="B94" s="609"/>
      <c r="C94" s="597" t="s">
        <v>268</v>
      </c>
      <c r="D94" s="598"/>
      <c r="E94" s="598"/>
      <c r="F94" s="598"/>
      <c r="H94" s="599">
        <f>H91/H90</f>
        <v>0.46212222187561147</v>
      </c>
      <c r="I94" s="599">
        <f t="shared" si="16"/>
        <v>0.46212222187561147</v>
      </c>
      <c r="J94" s="599">
        <f t="shared" si="16"/>
        <v>0.46212222187561147</v>
      </c>
      <c r="K94" s="599">
        <f t="shared" si="14"/>
        <v>0.46212222187561147</v>
      </c>
      <c r="L94" s="599">
        <f t="shared" si="16"/>
        <v>0.46212222187561147</v>
      </c>
      <c r="M94" s="599">
        <f t="shared" si="16"/>
        <v>0.46212222187561147</v>
      </c>
      <c r="N94" s="599">
        <f t="shared" si="16"/>
        <v>0.46212222187561147</v>
      </c>
      <c r="O94" s="599">
        <f t="shared" si="16"/>
        <v>0.46212222187561147</v>
      </c>
      <c r="P94" s="599">
        <f t="shared" si="16"/>
        <v>0.46212222187561147</v>
      </c>
      <c r="Q94" s="599">
        <f t="shared" si="15"/>
        <v>0.46210000000000001</v>
      </c>
      <c r="R94" s="539"/>
    </row>
    <row r="95" spans="1:18" ht="15" customHeight="1">
      <c r="A95" s="509"/>
      <c r="B95" s="609"/>
      <c r="C95" s="597" t="s">
        <v>270</v>
      </c>
      <c r="D95" s="610"/>
      <c r="E95" s="610"/>
      <c r="F95" s="610"/>
      <c r="H95" s="580">
        <f>H89*H93*H94</f>
        <v>6.181447881247382E-3</v>
      </c>
      <c r="I95" s="580">
        <f t="shared" si="16"/>
        <v>6.181447881247382E-3</v>
      </c>
      <c r="J95" s="580">
        <f t="shared" si="16"/>
        <v>6.181447881247382E-3</v>
      </c>
      <c r="K95" s="580">
        <f t="shared" si="14"/>
        <v>6.181447881247382E-3</v>
      </c>
      <c r="L95" s="580">
        <f t="shared" si="16"/>
        <v>6.181447881247382E-3</v>
      </c>
      <c r="M95" s="580">
        <f t="shared" si="16"/>
        <v>6.181447881247382E-3</v>
      </c>
      <c r="N95" s="580">
        <f t="shared" si="16"/>
        <v>6.181447881247382E-3</v>
      </c>
      <c r="O95" s="580">
        <f t="shared" si="16"/>
        <v>6.181447881247382E-3</v>
      </c>
      <c r="P95" s="580">
        <f t="shared" si="16"/>
        <v>6.181447881247382E-3</v>
      </c>
      <c r="Q95" s="580">
        <f t="shared" si="15"/>
        <v>6.1999999999999998E-3</v>
      </c>
      <c r="R95" s="539"/>
    </row>
    <row r="96" spans="1:18" ht="3.75" customHeight="1">
      <c r="B96" s="617"/>
      <c r="C96" s="618"/>
      <c r="D96" s="619"/>
      <c r="E96" s="619"/>
      <c r="F96" s="619"/>
      <c r="H96" s="604"/>
      <c r="I96" s="604"/>
      <c r="J96" s="604"/>
      <c r="K96" s="604"/>
      <c r="L96" s="604"/>
      <c r="M96" s="604"/>
      <c r="N96" s="604"/>
      <c r="O96" s="604"/>
      <c r="P96" s="604"/>
      <c r="Q96" s="604"/>
    </row>
    <row r="97" spans="1:18" s="577" customFormat="1" ht="15" customHeight="1">
      <c r="B97" s="571"/>
      <c r="C97" s="572" t="s">
        <v>217</v>
      </c>
      <c r="D97" s="572"/>
      <c r="E97" s="572"/>
      <c r="F97" s="573"/>
      <c r="G97" s="3"/>
      <c r="H97" s="571"/>
      <c r="I97" s="574"/>
      <c r="J97" s="574"/>
      <c r="K97" s="574"/>
      <c r="L97" s="574"/>
      <c r="M97" s="574"/>
      <c r="N97" s="574"/>
      <c r="O97" s="574"/>
      <c r="P97" s="574"/>
      <c r="Q97" s="575"/>
    </row>
    <row r="98" spans="1:18" ht="15" customHeight="1">
      <c r="A98" s="509"/>
      <c r="B98" s="517" t="s">
        <v>2</v>
      </c>
      <c r="C98" s="518" t="s">
        <v>36</v>
      </c>
      <c r="D98" s="555" t="s">
        <v>560</v>
      </c>
      <c r="E98" s="556" t="s">
        <v>122</v>
      </c>
      <c r="F98" s="556" t="s">
        <v>368</v>
      </c>
      <c r="H98" s="580">
        <f>((1/12)/12)+((1/12)/12)+((1/3)*((1/12)/12))</f>
        <v>1.6203703703703703E-2</v>
      </c>
      <c r="I98" s="580">
        <f>H98</f>
        <v>1.6203703703703703E-2</v>
      </c>
      <c r="J98" s="580">
        <f>I98</f>
        <v>1.6203703703703703E-2</v>
      </c>
      <c r="K98" s="580">
        <f t="shared" ref="K98:K106" si="17">I98</f>
        <v>1.6203703703703703E-2</v>
      </c>
      <c r="L98" s="580">
        <f>K98</f>
        <v>1.6203703703703703E-2</v>
      </c>
      <c r="M98" s="580">
        <f>L98</f>
        <v>1.6203703703703703E-2</v>
      </c>
      <c r="N98" s="580">
        <f>M98</f>
        <v>1.6203703703703703E-2</v>
      </c>
      <c r="O98" s="580">
        <f>N98</f>
        <v>1.6203703703703703E-2</v>
      </c>
      <c r="P98" s="580">
        <f>O98</f>
        <v>1.6203703703703703E-2</v>
      </c>
      <c r="Q98" s="580">
        <f t="shared" ref="Q98:Q106" si="18">IFERROR(ROUND(IF($Q$15="Simples",
INDEX(H98:P98,MATCH($Q$16,$H$16:$P$16,1)),
INDEX(H98:P98,MATCH($Q$15,$H$13:$P$13,0))
),4),"")</f>
        <v>1.6199999999999999E-2</v>
      </c>
      <c r="R98" s="539"/>
    </row>
    <row r="99" spans="1:18" ht="15" customHeight="1">
      <c r="A99" s="509"/>
      <c r="B99" s="517" t="s">
        <v>1</v>
      </c>
      <c r="C99" s="518" t="s">
        <v>239</v>
      </c>
      <c r="D99" s="555" t="s">
        <v>211</v>
      </c>
      <c r="E99" s="556" t="s">
        <v>123</v>
      </c>
      <c r="F99" s="556" t="s">
        <v>369</v>
      </c>
      <c r="H99" s="580">
        <f>(H82/$D$5)/$D$8</f>
        <v>1.3888888888888888E-2</v>
      </c>
      <c r="I99" s="580">
        <f t="shared" ref="I99:P106" si="19">H99</f>
        <v>1.3888888888888888E-2</v>
      </c>
      <c r="J99" s="580">
        <f t="shared" si="19"/>
        <v>1.3888888888888888E-2</v>
      </c>
      <c r="K99" s="580">
        <f t="shared" si="17"/>
        <v>1.3888888888888888E-2</v>
      </c>
      <c r="L99" s="580">
        <f t="shared" si="19"/>
        <v>1.3888888888888888E-2</v>
      </c>
      <c r="M99" s="580">
        <f t="shared" si="19"/>
        <v>1.3888888888888888E-2</v>
      </c>
      <c r="N99" s="580">
        <f t="shared" si="19"/>
        <v>1.3888888888888888E-2</v>
      </c>
      <c r="O99" s="580">
        <f t="shared" si="19"/>
        <v>1.3888888888888888E-2</v>
      </c>
      <c r="P99" s="580">
        <f t="shared" si="19"/>
        <v>1.3888888888888888E-2</v>
      </c>
      <c r="Q99" s="580">
        <f t="shared" si="18"/>
        <v>1.3899999999999999E-2</v>
      </c>
      <c r="R99" s="539"/>
    </row>
    <row r="100" spans="1:18" ht="15" customHeight="1">
      <c r="A100" s="509"/>
      <c r="B100" s="517" t="s">
        <v>0</v>
      </c>
      <c r="C100" s="518" t="s">
        <v>37</v>
      </c>
      <c r="D100" s="555" t="s">
        <v>212</v>
      </c>
      <c r="E100" s="556" t="s">
        <v>124</v>
      </c>
      <c r="F100" s="556" t="s">
        <v>370</v>
      </c>
      <c r="H100" s="580">
        <f>((H83/$D$5)/$D$8*H84)</f>
        <v>2.0833333333333332E-4</v>
      </c>
      <c r="I100" s="580">
        <f t="shared" si="19"/>
        <v>2.0833333333333332E-4</v>
      </c>
      <c r="J100" s="580">
        <f t="shared" si="19"/>
        <v>2.0833333333333332E-4</v>
      </c>
      <c r="K100" s="580">
        <f t="shared" si="17"/>
        <v>2.0833333333333332E-4</v>
      </c>
      <c r="L100" s="580">
        <f t="shared" si="19"/>
        <v>2.0833333333333332E-4</v>
      </c>
      <c r="M100" s="580">
        <f t="shared" si="19"/>
        <v>2.0833333333333332E-4</v>
      </c>
      <c r="N100" s="580">
        <f t="shared" si="19"/>
        <v>2.0833333333333332E-4</v>
      </c>
      <c r="O100" s="580">
        <f t="shared" si="19"/>
        <v>2.0833333333333332E-4</v>
      </c>
      <c r="P100" s="580">
        <f t="shared" si="19"/>
        <v>2.0833333333333332E-4</v>
      </c>
      <c r="Q100" s="580">
        <f t="shared" si="18"/>
        <v>2.0000000000000001E-4</v>
      </c>
      <c r="R100" s="539"/>
    </row>
    <row r="101" spans="1:18" ht="15" customHeight="1">
      <c r="A101" s="509"/>
      <c r="B101" s="517" t="s">
        <v>3</v>
      </c>
      <c r="C101" s="518" t="s">
        <v>38</v>
      </c>
      <c r="D101" s="555" t="s">
        <v>213</v>
      </c>
      <c r="E101" s="556" t="s">
        <v>125</v>
      </c>
      <c r="F101" s="556" t="s">
        <v>371</v>
      </c>
      <c r="H101" s="580">
        <f>H85/$D$5/$D$8</f>
        <v>8.2222222222222228E-3</v>
      </c>
      <c r="I101" s="580">
        <f t="shared" si="19"/>
        <v>8.2222222222222228E-3</v>
      </c>
      <c r="J101" s="580">
        <f t="shared" si="19"/>
        <v>8.2222222222222228E-3</v>
      </c>
      <c r="K101" s="580">
        <f t="shared" si="17"/>
        <v>8.2222222222222228E-3</v>
      </c>
      <c r="L101" s="580">
        <f t="shared" si="19"/>
        <v>8.2222222222222228E-3</v>
      </c>
      <c r="M101" s="580">
        <f t="shared" si="19"/>
        <v>8.2222222222222228E-3</v>
      </c>
      <c r="N101" s="580">
        <f t="shared" si="19"/>
        <v>8.2222222222222228E-3</v>
      </c>
      <c r="O101" s="580">
        <f t="shared" si="19"/>
        <v>8.2222222222222228E-3</v>
      </c>
      <c r="P101" s="580">
        <f t="shared" si="19"/>
        <v>8.2222222222222228E-3</v>
      </c>
      <c r="Q101" s="580">
        <f t="shared" si="18"/>
        <v>8.2000000000000007E-3</v>
      </c>
      <c r="R101" s="539"/>
    </row>
    <row r="102" spans="1:18" ht="15" customHeight="1">
      <c r="A102" s="509"/>
      <c r="B102" s="517" t="s">
        <v>7</v>
      </c>
      <c r="C102" s="518" t="s">
        <v>240</v>
      </c>
      <c r="D102" s="555" t="s">
        <v>214</v>
      </c>
      <c r="E102" s="556" t="s">
        <v>126</v>
      </c>
      <c r="F102" s="556" t="s">
        <v>372</v>
      </c>
      <c r="H102" s="580">
        <f>(H87/$D$5/$D$8)*H86</f>
        <v>3.2499999999999999E-4</v>
      </c>
      <c r="I102" s="580">
        <f t="shared" si="19"/>
        <v>3.2499999999999999E-4</v>
      </c>
      <c r="J102" s="580">
        <f t="shared" si="19"/>
        <v>3.2499999999999999E-4</v>
      </c>
      <c r="K102" s="580">
        <f t="shared" si="17"/>
        <v>3.2499999999999999E-4</v>
      </c>
      <c r="L102" s="580">
        <f t="shared" si="19"/>
        <v>3.2499999999999999E-4</v>
      </c>
      <c r="M102" s="580">
        <f t="shared" si="19"/>
        <v>3.2499999999999999E-4</v>
      </c>
      <c r="N102" s="580">
        <f t="shared" si="19"/>
        <v>3.2499999999999999E-4</v>
      </c>
      <c r="O102" s="580">
        <f t="shared" si="19"/>
        <v>3.2499999999999999E-4</v>
      </c>
      <c r="P102" s="580">
        <f t="shared" si="19"/>
        <v>3.2499999999999999E-4</v>
      </c>
      <c r="Q102" s="580">
        <f t="shared" si="18"/>
        <v>2.9999999999999997E-4</v>
      </c>
      <c r="R102" s="539"/>
    </row>
    <row r="103" spans="1:18" ht="15" customHeight="1">
      <c r="A103" s="509"/>
      <c r="B103" s="517" t="s">
        <v>6</v>
      </c>
      <c r="C103" s="518" t="s">
        <v>39</v>
      </c>
      <c r="D103" s="555" t="s">
        <v>215</v>
      </c>
      <c r="E103" s="556" t="s">
        <v>127</v>
      </c>
      <c r="F103" s="556" t="s">
        <v>373</v>
      </c>
      <c r="H103" s="580">
        <f>((1/12)+((1/3)*(1/12)))*H95</f>
        <v>6.868275423608202E-4</v>
      </c>
      <c r="I103" s="580">
        <f t="shared" si="19"/>
        <v>6.868275423608202E-4</v>
      </c>
      <c r="J103" s="580">
        <f t="shared" si="19"/>
        <v>6.868275423608202E-4</v>
      </c>
      <c r="K103" s="580">
        <f t="shared" si="17"/>
        <v>6.868275423608202E-4</v>
      </c>
      <c r="L103" s="580">
        <f t="shared" si="19"/>
        <v>6.868275423608202E-4</v>
      </c>
      <c r="M103" s="580">
        <f t="shared" si="19"/>
        <v>6.868275423608202E-4</v>
      </c>
      <c r="N103" s="580">
        <f t="shared" si="19"/>
        <v>6.868275423608202E-4</v>
      </c>
      <c r="O103" s="580">
        <f t="shared" si="19"/>
        <v>6.868275423608202E-4</v>
      </c>
      <c r="P103" s="580">
        <f t="shared" si="19"/>
        <v>6.868275423608202E-4</v>
      </c>
      <c r="Q103" s="580">
        <f t="shared" si="18"/>
        <v>6.9999999999999999E-4</v>
      </c>
      <c r="R103" s="539"/>
    </row>
    <row r="104" spans="1:18" ht="15" customHeight="1">
      <c r="A104" s="509"/>
      <c r="B104" s="517" t="s">
        <v>5</v>
      </c>
      <c r="C104" s="518" t="s">
        <v>95</v>
      </c>
      <c r="D104" s="555" t="s">
        <v>205</v>
      </c>
      <c r="E104" s="556"/>
      <c r="F104" s="556"/>
      <c r="H104" s="620">
        <f>SUM($H$98:$H$103)*H49</f>
        <v>1.4548871054107302E-2</v>
      </c>
      <c r="I104" s="620">
        <f t="shared" si="19"/>
        <v>1.4548871054107302E-2</v>
      </c>
      <c r="J104" s="620">
        <f t="shared" si="19"/>
        <v>1.4548871054107302E-2</v>
      </c>
      <c r="K104" s="620">
        <f t="shared" si="17"/>
        <v>1.4548871054107302E-2</v>
      </c>
      <c r="L104" s="620">
        <f t="shared" si="19"/>
        <v>1.4548871054107302E-2</v>
      </c>
      <c r="M104" s="620">
        <f t="shared" si="19"/>
        <v>1.4548871054107302E-2</v>
      </c>
      <c r="N104" s="620">
        <f t="shared" si="19"/>
        <v>1.4548871054107302E-2</v>
      </c>
      <c r="O104" s="620">
        <f t="shared" si="19"/>
        <v>1.4548871054107302E-2</v>
      </c>
      <c r="P104" s="620">
        <f t="shared" si="19"/>
        <v>1.4548871054107302E-2</v>
      </c>
      <c r="Q104" s="620">
        <f t="shared" si="18"/>
        <v>1.4500000000000001E-2</v>
      </c>
      <c r="R104" s="539"/>
    </row>
    <row r="105" spans="1:18" ht="15" customHeight="1">
      <c r="A105" s="509"/>
      <c r="B105" s="517" t="s">
        <v>4</v>
      </c>
      <c r="C105" s="518" t="s">
        <v>92</v>
      </c>
      <c r="D105" s="555" t="s">
        <v>374</v>
      </c>
      <c r="E105" s="556"/>
      <c r="F105" s="556" t="s">
        <v>204</v>
      </c>
      <c r="H105" s="621">
        <v>37.96</v>
      </c>
      <c r="I105" s="621">
        <f t="shared" si="19"/>
        <v>37.96</v>
      </c>
      <c r="J105" s="621">
        <f t="shared" si="19"/>
        <v>37.96</v>
      </c>
      <c r="K105" s="621">
        <f t="shared" si="17"/>
        <v>37.96</v>
      </c>
      <c r="L105" s="621">
        <f t="shared" si="19"/>
        <v>37.96</v>
      </c>
      <c r="M105" s="621">
        <f t="shared" si="19"/>
        <v>37.96</v>
      </c>
      <c r="N105" s="621">
        <f t="shared" si="19"/>
        <v>37.96</v>
      </c>
      <c r="O105" s="621">
        <f t="shared" si="19"/>
        <v>37.96</v>
      </c>
      <c r="P105" s="621">
        <f t="shared" si="19"/>
        <v>37.96</v>
      </c>
      <c r="Q105" s="622">
        <f t="shared" si="18"/>
        <v>37.96</v>
      </c>
      <c r="R105" s="539"/>
    </row>
    <row r="106" spans="1:18" ht="15" customHeight="1">
      <c r="A106" s="509"/>
      <c r="B106" s="517" t="s">
        <v>142</v>
      </c>
      <c r="C106" s="518" t="s">
        <v>40</v>
      </c>
      <c r="D106" s="555" t="s">
        <v>216</v>
      </c>
      <c r="E106" s="556"/>
      <c r="F106" s="556" t="s">
        <v>224</v>
      </c>
      <c r="H106" s="621">
        <v>37.96</v>
      </c>
      <c r="I106" s="621">
        <f t="shared" si="19"/>
        <v>37.96</v>
      </c>
      <c r="J106" s="621">
        <f t="shared" si="19"/>
        <v>37.96</v>
      </c>
      <c r="K106" s="621">
        <f t="shared" si="17"/>
        <v>37.96</v>
      </c>
      <c r="L106" s="621">
        <f t="shared" si="19"/>
        <v>37.96</v>
      </c>
      <c r="M106" s="621">
        <f t="shared" si="19"/>
        <v>37.96</v>
      </c>
      <c r="N106" s="621">
        <f t="shared" si="19"/>
        <v>37.96</v>
      </c>
      <c r="O106" s="621">
        <f t="shared" si="19"/>
        <v>37.96</v>
      </c>
      <c r="P106" s="621">
        <f t="shared" si="19"/>
        <v>37.96</v>
      </c>
      <c r="Q106" s="622">
        <f t="shared" si="18"/>
        <v>37.96</v>
      </c>
      <c r="R106" s="539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77" customFormat="1" ht="15" customHeight="1">
      <c r="B108" s="571"/>
      <c r="C108" s="572" t="s">
        <v>158</v>
      </c>
      <c r="D108" s="572"/>
      <c r="E108" s="572"/>
      <c r="F108" s="573"/>
      <c r="G108" s="3"/>
      <c r="H108" s="571"/>
      <c r="I108" s="574"/>
      <c r="J108" s="574"/>
      <c r="K108" s="574"/>
      <c r="L108" s="574"/>
      <c r="M108" s="574"/>
      <c r="N108" s="574"/>
      <c r="O108" s="574"/>
      <c r="P108" s="574"/>
      <c r="Q108" s="575"/>
    </row>
    <row r="109" spans="1:18" ht="15" customHeight="1">
      <c r="B109" s="757" t="s">
        <v>2</v>
      </c>
      <c r="C109" s="554" t="s">
        <v>128</v>
      </c>
      <c r="D109" s="555" t="s">
        <v>140</v>
      </c>
      <c r="E109" s="556" t="s">
        <v>132</v>
      </c>
      <c r="F109" s="556" t="s">
        <v>129</v>
      </c>
      <c r="H109" s="621"/>
      <c r="I109" s="621"/>
      <c r="J109" s="621"/>
      <c r="K109" s="621"/>
      <c r="L109" s="621"/>
      <c r="M109" s="621"/>
      <c r="N109" s="621"/>
      <c r="O109" s="621"/>
      <c r="P109" s="621"/>
      <c r="Q109" s="622"/>
      <c r="R109" s="539"/>
    </row>
    <row r="110" spans="1:18" ht="15" customHeight="1">
      <c r="B110" s="758"/>
      <c r="C110" s="554" t="s">
        <v>130</v>
      </c>
      <c r="D110" s="555" t="s">
        <v>141</v>
      </c>
      <c r="E110" s="556" t="s">
        <v>132</v>
      </c>
      <c r="F110" s="556" t="s">
        <v>131</v>
      </c>
      <c r="H110" s="621"/>
      <c r="I110" s="621"/>
      <c r="J110" s="621"/>
      <c r="K110" s="621"/>
      <c r="L110" s="621"/>
      <c r="M110" s="621"/>
      <c r="N110" s="621"/>
      <c r="O110" s="621"/>
      <c r="P110" s="621"/>
      <c r="Q110" s="622"/>
      <c r="R110" s="539"/>
    </row>
    <row r="111" spans="1:18" ht="15" customHeight="1">
      <c r="B111" s="623"/>
      <c r="C111" s="624"/>
      <c r="D111" s="625"/>
      <c r="E111" s="626"/>
      <c r="F111" s="626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510"/>
      <c r="C112" s="550" t="s">
        <v>418</v>
      </c>
      <c r="D112" s="550"/>
      <c r="E112" s="550"/>
      <c r="F112" s="550"/>
      <c r="G112"/>
      <c r="H112" s="550"/>
      <c r="I112" s="550"/>
      <c r="J112" s="550"/>
      <c r="K112" s="550"/>
      <c r="L112" s="550"/>
      <c r="M112" s="550"/>
      <c r="N112" s="550"/>
      <c r="O112" s="550"/>
      <c r="P112" s="550"/>
      <c r="Q112" s="550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39"/>
    </row>
    <row r="114" spans="1:18" ht="15" customHeight="1">
      <c r="A114" s="509"/>
      <c r="B114" s="571"/>
      <c r="C114" s="572" t="s">
        <v>419</v>
      </c>
      <c r="D114" s="572"/>
      <c r="E114" s="572"/>
      <c r="F114" s="573"/>
      <c r="G114"/>
      <c r="H114" s="627"/>
      <c r="I114" s="572"/>
      <c r="J114" s="572"/>
      <c r="K114" s="572"/>
      <c r="L114" s="572"/>
      <c r="M114" s="572"/>
      <c r="N114" s="572"/>
      <c r="O114" s="572"/>
      <c r="P114" s="572"/>
      <c r="Q114" s="573"/>
      <c r="R114" s="539"/>
    </row>
    <row r="115" spans="1:18" ht="15" customHeight="1">
      <c r="B115" s="628" t="s">
        <v>2</v>
      </c>
      <c r="C115" s="629" t="s">
        <v>276</v>
      </c>
      <c r="D115" s="630"/>
      <c r="E115" s="630"/>
      <c r="F115" s="630"/>
      <c r="G115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539"/>
    </row>
    <row r="116" spans="1:18" ht="15" customHeight="1">
      <c r="B116" s="628" t="s">
        <v>1</v>
      </c>
      <c r="C116" s="629" t="s">
        <v>277</v>
      </c>
      <c r="D116" s="630"/>
      <c r="E116" s="630"/>
      <c r="F116" s="518" t="s">
        <v>485</v>
      </c>
      <c r="G116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539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39"/>
    </row>
    <row r="118" spans="1:18" ht="5.25" customHeight="1">
      <c r="B118" s="301"/>
      <c r="C118" s="301"/>
      <c r="D118" s="301"/>
      <c r="E118" s="301"/>
      <c r="F118" s="301"/>
      <c r="G118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539"/>
    </row>
    <row r="119" spans="1:18" ht="15" customHeight="1">
      <c r="A119" s="509"/>
      <c r="B119" s="571"/>
      <c r="C119" s="572" t="s">
        <v>420</v>
      </c>
      <c r="D119" s="572"/>
      <c r="E119" s="572"/>
      <c r="F119" s="573"/>
      <c r="G119"/>
      <c r="H119" s="627"/>
      <c r="I119" s="572"/>
      <c r="J119" s="572"/>
      <c r="K119" s="572"/>
      <c r="L119" s="572"/>
      <c r="M119" s="572"/>
      <c r="N119" s="572"/>
      <c r="O119" s="572"/>
      <c r="P119" s="572"/>
      <c r="Q119" s="573"/>
      <c r="R119" s="539"/>
    </row>
    <row r="120" spans="1:18" ht="15" customHeight="1">
      <c r="B120" s="631" t="s">
        <v>424</v>
      </c>
      <c r="C120" s="632" t="s">
        <v>321</v>
      </c>
      <c r="D120" s="633"/>
      <c r="E120" s="633"/>
      <c r="F120" s="633"/>
      <c r="G120"/>
      <c r="H120" s="633"/>
      <c r="I120" s="633"/>
      <c r="J120" s="633"/>
      <c r="K120" s="633"/>
      <c r="L120" s="633"/>
      <c r="M120" s="633"/>
      <c r="N120" s="633"/>
      <c r="O120" s="633"/>
      <c r="P120" s="633"/>
      <c r="Q120" s="633"/>
      <c r="R120" s="539"/>
    </row>
    <row r="121" spans="1:18" ht="15" customHeight="1">
      <c r="B121" s="634" t="s">
        <v>425</v>
      </c>
      <c r="C121" s="635" t="s">
        <v>320</v>
      </c>
      <c r="D121" s="636"/>
      <c r="E121" s="636"/>
      <c r="F121" s="636"/>
      <c r="G121"/>
      <c r="H121" s="636"/>
      <c r="I121" s="636"/>
      <c r="J121" s="636"/>
      <c r="K121" s="636"/>
      <c r="L121" s="636"/>
      <c r="M121" s="636"/>
      <c r="N121" s="636"/>
      <c r="O121" s="636"/>
      <c r="P121" s="636"/>
      <c r="Q121" s="636"/>
      <c r="R121" s="539"/>
    </row>
    <row r="122" spans="1:18" ht="15" customHeight="1">
      <c r="B122" s="637" t="s">
        <v>426</v>
      </c>
      <c r="C122" s="638" t="s">
        <v>423</v>
      </c>
      <c r="D122" s="636"/>
      <c r="E122" s="636"/>
      <c r="F122" s="636"/>
      <c r="G122"/>
      <c r="H122" s="636"/>
      <c r="I122" s="636"/>
      <c r="J122" s="636"/>
      <c r="K122" s="636"/>
      <c r="L122" s="636"/>
      <c r="M122" s="636"/>
      <c r="N122" s="636"/>
      <c r="O122" s="636"/>
      <c r="P122" s="636"/>
      <c r="Q122" s="636"/>
      <c r="R122" s="539"/>
    </row>
    <row r="123" spans="1:18" ht="15" customHeight="1">
      <c r="B123" s="639" t="s">
        <v>427</v>
      </c>
      <c r="C123" s="640" t="s">
        <v>322</v>
      </c>
      <c r="D123" s="636"/>
      <c r="E123" s="636"/>
      <c r="F123" s="636"/>
      <c r="G123"/>
      <c r="H123" s="636"/>
      <c r="I123" s="636"/>
      <c r="J123" s="636"/>
      <c r="K123" s="636"/>
      <c r="L123" s="636"/>
      <c r="M123" s="636"/>
      <c r="N123" s="636"/>
      <c r="O123" s="636"/>
      <c r="P123" s="636"/>
      <c r="Q123" s="636"/>
      <c r="R123" s="539"/>
    </row>
    <row r="124" spans="1:18" ht="15" customHeight="1">
      <c r="B124" s="641" t="s">
        <v>428</v>
      </c>
      <c r="C124" s="642" t="s">
        <v>14</v>
      </c>
      <c r="D124" s="633"/>
      <c r="E124" s="633"/>
      <c r="F124" s="633"/>
      <c r="G124"/>
      <c r="H124" s="633"/>
      <c r="I124" s="633"/>
      <c r="J124" s="633"/>
      <c r="K124" s="633"/>
      <c r="L124" s="633"/>
      <c r="M124" s="633"/>
      <c r="N124" s="633"/>
      <c r="O124" s="633"/>
      <c r="P124" s="633"/>
      <c r="Q124" s="633"/>
      <c r="R124" s="539"/>
    </row>
    <row r="125" spans="1:18" ht="5.25" customHeight="1">
      <c r="B125" s="314"/>
      <c r="C125" s="42"/>
      <c r="D125" s="42"/>
      <c r="E125" s="42"/>
      <c r="F125" s="42"/>
      <c r="G125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539"/>
    </row>
    <row r="126" spans="1:18" ht="15" customHeight="1">
      <c r="A126" s="509"/>
      <c r="B126" s="571"/>
      <c r="C126" s="572" t="s">
        <v>421</v>
      </c>
      <c r="D126" s="572"/>
      <c r="E126" s="572"/>
      <c r="F126" s="573"/>
      <c r="G126"/>
      <c r="H126" s="627"/>
      <c r="I126" s="572"/>
      <c r="J126" s="572"/>
      <c r="K126" s="572"/>
      <c r="L126" s="572"/>
      <c r="M126" s="572"/>
      <c r="N126" s="572"/>
      <c r="O126" s="572"/>
      <c r="P126" s="572"/>
      <c r="Q126" s="573"/>
      <c r="R126" s="539"/>
    </row>
    <row r="127" spans="1:18" ht="15" customHeight="1">
      <c r="B127" s="643" t="s">
        <v>430</v>
      </c>
      <c r="C127" s="644" t="s">
        <v>13</v>
      </c>
      <c r="D127" s="633"/>
      <c r="E127" s="633"/>
      <c r="F127" s="633"/>
      <c r="G127"/>
      <c r="H127" s="633"/>
      <c r="I127" s="633"/>
      <c r="J127" s="633"/>
      <c r="K127" s="633"/>
      <c r="L127" s="633"/>
      <c r="M127" s="633"/>
      <c r="N127" s="633"/>
      <c r="O127" s="633"/>
      <c r="P127" s="633"/>
      <c r="Q127" s="633"/>
      <c r="R127" s="539"/>
    </row>
    <row r="128" spans="1:18" ht="15" customHeight="1">
      <c r="B128" s="643" t="s">
        <v>431</v>
      </c>
      <c r="C128" s="644" t="s">
        <v>12</v>
      </c>
      <c r="D128" s="633"/>
      <c r="E128" s="633"/>
      <c r="F128" s="633"/>
      <c r="G128"/>
      <c r="H128" s="633"/>
      <c r="I128" s="633"/>
      <c r="J128" s="633"/>
      <c r="K128" s="633"/>
      <c r="L128" s="633"/>
      <c r="M128" s="633"/>
      <c r="N128" s="633"/>
      <c r="O128" s="633"/>
      <c r="P128" s="633"/>
      <c r="Q128" s="633"/>
      <c r="R128" s="539"/>
    </row>
    <row r="129" spans="1:18" ht="15" customHeight="1">
      <c r="B129" s="645" t="s">
        <v>432</v>
      </c>
      <c r="C129" s="646" t="s">
        <v>11</v>
      </c>
      <c r="D129" s="633"/>
      <c r="E129" s="633"/>
      <c r="F129" s="633"/>
      <c r="G129"/>
      <c r="H129" s="633"/>
      <c r="I129" s="633"/>
      <c r="J129" s="633"/>
      <c r="K129" s="633"/>
      <c r="L129" s="633"/>
      <c r="M129" s="633"/>
      <c r="N129" s="633"/>
      <c r="O129" s="633"/>
      <c r="P129" s="633"/>
      <c r="Q129" s="633"/>
      <c r="R129" s="539"/>
    </row>
    <row r="130" spans="1:18" ht="15" customHeight="1">
      <c r="B130" s="643" t="s">
        <v>433</v>
      </c>
      <c r="C130" s="644" t="s">
        <v>10</v>
      </c>
      <c r="D130" s="633"/>
      <c r="E130" s="633"/>
      <c r="F130" s="633"/>
      <c r="G130"/>
      <c r="H130" s="633"/>
      <c r="I130" s="633"/>
      <c r="J130" s="633"/>
      <c r="K130" s="633"/>
      <c r="L130" s="633"/>
      <c r="M130" s="633"/>
      <c r="N130" s="633"/>
      <c r="O130" s="633"/>
      <c r="P130" s="633"/>
      <c r="Q130" s="633"/>
      <c r="R130" s="539"/>
    </row>
    <row r="131" spans="1:18" ht="15" customHeight="1">
      <c r="B131" s="647" t="s">
        <v>434</v>
      </c>
      <c r="C131" s="642" t="s">
        <v>9</v>
      </c>
      <c r="D131" s="633"/>
      <c r="E131" s="633"/>
      <c r="F131" s="633"/>
      <c r="G131"/>
      <c r="H131" s="633"/>
      <c r="I131" s="633"/>
      <c r="J131" s="633"/>
      <c r="K131" s="633"/>
      <c r="L131" s="633"/>
      <c r="M131" s="633"/>
      <c r="N131" s="633"/>
      <c r="O131" s="633"/>
      <c r="P131" s="633"/>
      <c r="Q131" s="633"/>
      <c r="R131" s="539"/>
    </row>
    <row r="132" spans="1:18" ht="5.25" customHeight="1">
      <c r="B132" s="314"/>
      <c r="C132" s="42"/>
      <c r="D132" s="42"/>
      <c r="E132" s="42"/>
      <c r="F132" s="42"/>
      <c r="G13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539"/>
    </row>
    <row r="133" spans="1:18" ht="15" customHeight="1">
      <c r="A133" s="509"/>
      <c r="B133" s="571"/>
      <c r="C133" s="572" t="s">
        <v>422</v>
      </c>
      <c r="D133" s="572"/>
      <c r="E133" s="572"/>
      <c r="F133" s="573"/>
      <c r="G133"/>
      <c r="H133" s="627"/>
      <c r="I133" s="572"/>
      <c r="J133" s="572"/>
      <c r="K133" s="572"/>
      <c r="L133" s="572"/>
      <c r="M133" s="572"/>
      <c r="N133" s="572"/>
      <c r="O133" s="572"/>
      <c r="P133" s="572"/>
      <c r="Q133" s="573"/>
      <c r="R133" s="539"/>
    </row>
    <row r="134" spans="1:18" ht="15" customHeight="1">
      <c r="B134" s="648" t="s">
        <v>435</v>
      </c>
      <c r="C134" s="632" t="s">
        <v>324</v>
      </c>
      <c r="D134" s="633"/>
      <c r="E134" s="633"/>
      <c r="F134" s="633"/>
      <c r="G134"/>
      <c r="H134" s="633"/>
      <c r="I134" s="633"/>
      <c r="J134" s="633"/>
      <c r="K134" s="633"/>
      <c r="L134" s="633"/>
      <c r="M134" s="633"/>
      <c r="N134" s="633"/>
      <c r="O134" s="633"/>
      <c r="P134" s="633"/>
      <c r="Q134" s="633"/>
      <c r="R134" s="539"/>
    </row>
    <row r="135" spans="1:18" ht="15" customHeight="1">
      <c r="B135" s="643" t="s">
        <v>436</v>
      </c>
      <c r="C135" s="644" t="s">
        <v>8</v>
      </c>
      <c r="D135" s="633"/>
      <c r="E135" s="633"/>
      <c r="F135" s="633"/>
      <c r="G135"/>
      <c r="H135" s="633"/>
      <c r="I135" s="633"/>
      <c r="J135" s="633"/>
      <c r="K135" s="633"/>
      <c r="L135" s="633"/>
      <c r="M135" s="633"/>
      <c r="N135" s="633"/>
      <c r="O135" s="633"/>
      <c r="P135" s="633"/>
      <c r="Q135" s="633"/>
      <c r="R135" s="539"/>
    </row>
    <row r="136" spans="1:18" ht="15" customHeight="1">
      <c r="B136" s="623"/>
      <c r="C136" s="624"/>
      <c r="D136" s="625"/>
      <c r="E136" s="626"/>
      <c r="F136" s="626"/>
      <c r="H136" s="649"/>
      <c r="I136" s="649"/>
      <c r="J136" s="649"/>
      <c r="K136" s="649"/>
      <c r="L136" s="649"/>
      <c r="M136" s="649"/>
      <c r="N136" s="649"/>
      <c r="O136" s="649"/>
      <c r="P136" s="649"/>
      <c r="Q136" s="650"/>
      <c r="R136" s="539"/>
    </row>
    <row r="137" spans="1:18" s="3" customFormat="1" ht="15" customHeight="1">
      <c r="B137" s="510"/>
      <c r="C137" s="550" t="s">
        <v>269</v>
      </c>
      <c r="D137" s="550"/>
      <c r="E137" s="550"/>
      <c r="F137" s="512"/>
      <c r="H137" s="510"/>
      <c r="I137" s="551"/>
      <c r="J137" s="551"/>
      <c r="K137" s="551"/>
      <c r="L137" s="551"/>
      <c r="M137" s="551"/>
      <c r="N137" s="551"/>
      <c r="O137" s="551"/>
      <c r="P137" s="551"/>
      <c r="Q137" s="552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77" customFormat="1" ht="15" customHeight="1">
      <c r="B139" s="571"/>
      <c r="C139" s="572" t="s">
        <v>282</v>
      </c>
      <c r="D139" s="572"/>
      <c r="E139" s="572"/>
      <c r="F139" s="573"/>
      <c r="G139" s="3"/>
      <c r="H139" s="571"/>
      <c r="I139" s="574"/>
      <c r="J139" s="574"/>
      <c r="K139" s="574"/>
      <c r="L139" s="574"/>
      <c r="M139" s="574"/>
      <c r="N139" s="574"/>
      <c r="O139" s="574"/>
      <c r="P139" s="574"/>
      <c r="Q139" s="575"/>
    </row>
    <row r="140" spans="1:18" ht="15" customHeight="1">
      <c r="A140" s="509"/>
      <c r="B140" s="517" t="s">
        <v>2</v>
      </c>
      <c r="C140" s="518" t="s">
        <v>279</v>
      </c>
      <c r="D140" s="518"/>
      <c r="E140" s="518"/>
      <c r="F140" s="556" t="s">
        <v>228</v>
      </c>
      <c r="H140" s="580">
        <v>0.05</v>
      </c>
      <c r="I140" s="580">
        <f t="shared" ref="I140:P141" si="20">H140</f>
        <v>0.05</v>
      </c>
      <c r="J140" s="580">
        <f t="shared" si="20"/>
        <v>0.05</v>
      </c>
      <c r="K140" s="580">
        <f>I140</f>
        <v>0.05</v>
      </c>
      <c r="L140" s="580">
        <f t="shared" si="20"/>
        <v>0.05</v>
      </c>
      <c r="M140" s="580">
        <f t="shared" si="20"/>
        <v>0.05</v>
      </c>
      <c r="N140" s="580">
        <f t="shared" si="20"/>
        <v>0.05</v>
      </c>
      <c r="O140" s="580">
        <f t="shared" si="20"/>
        <v>0.05</v>
      </c>
      <c r="P140" s="580">
        <f t="shared" si="20"/>
        <v>0.05</v>
      </c>
      <c r="Q140" s="580">
        <f t="shared" ref="Q140:Q141" si="21">IFERROR(ROUND(IF($Q$15="Simples",
INDEX(H140:P140,MATCH($Q$16,$H$16:$P$16,1)),
INDEX(H140:P140,MATCH($Q$15,$H$13:$P$13,0))
),4),"")</f>
        <v>0.05</v>
      </c>
      <c r="R140" s="539"/>
    </row>
    <row r="141" spans="1:18" ht="15" customHeight="1">
      <c r="A141" s="509"/>
      <c r="B141" s="517" t="s">
        <v>1</v>
      </c>
      <c r="C141" s="518" t="s">
        <v>280</v>
      </c>
      <c r="D141" s="518"/>
      <c r="E141" s="518"/>
      <c r="F141" s="556" t="s">
        <v>227</v>
      </c>
      <c r="H141" s="580">
        <v>0.1</v>
      </c>
      <c r="I141" s="580">
        <f t="shared" si="20"/>
        <v>0.1</v>
      </c>
      <c r="J141" s="580">
        <f t="shared" si="20"/>
        <v>0.1</v>
      </c>
      <c r="K141" s="580">
        <f>I141</f>
        <v>0.1</v>
      </c>
      <c r="L141" s="580">
        <f t="shared" si="20"/>
        <v>0.1</v>
      </c>
      <c r="M141" s="580">
        <f t="shared" si="20"/>
        <v>0.1</v>
      </c>
      <c r="N141" s="580">
        <f t="shared" si="20"/>
        <v>0.1</v>
      </c>
      <c r="O141" s="580">
        <f t="shared" si="20"/>
        <v>0.1</v>
      </c>
      <c r="P141" s="580">
        <f t="shared" si="20"/>
        <v>0.1</v>
      </c>
      <c r="Q141" s="580">
        <f t="shared" si="21"/>
        <v>0.1</v>
      </c>
      <c r="R141" s="539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77" customFormat="1" ht="15" customHeight="1">
      <c r="B143" s="571"/>
      <c r="C143" s="572" t="s">
        <v>400</v>
      </c>
      <c r="D143" s="572"/>
      <c r="E143" s="572"/>
      <c r="F143" s="573"/>
      <c r="G143" s="3"/>
      <c r="H143" s="571"/>
      <c r="I143" s="574"/>
      <c r="J143" s="574"/>
      <c r="K143" s="574"/>
      <c r="L143" s="574"/>
      <c r="M143" s="574"/>
      <c r="N143" s="574"/>
      <c r="O143" s="574"/>
      <c r="P143" s="574"/>
      <c r="Q143" s="575"/>
    </row>
    <row r="144" spans="1:18" ht="15" customHeight="1">
      <c r="A144" s="509"/>
      <c r="B144" s="553" t="s">
        <v>2</v>
      </c>
      <c r="C144" s="554" t="s">
        <v>45</v>
      </c>
      <c r="D144" s="518"/>
      <c r="E144" s="518"/>
      <c r="F144" s="556" t="s">
        <v>226</v>
      </c>
      <c r="H144" s="580">
        <v>0.03</v>
      </c>
      <c r="I144" s="580">
        <v>7.5999999999999998E-2</v>
      </c>
      <c r="J144" s="580"/>
      <c r="K144" s="580" t="str">
        <f>IFERROR(((Proposta!$J$10*K$17-K$16)/Proposta!$J$10)*12.82%,"")</f>
        <v/>
      </c>
      <c r="L144" s="580" t="str">
        <f>IFERROR(((Proposta!$J$10*L$17-L$16)/Proposta!$J$10)*14.05%,"")</f>
        <v/>
      </c>
      <c r="M144" s="580" t="str">
        <f>IFERROR(((Proposta!$J$10*M$17-M$16)/Proposta!$J$10)*13.64%,"")</f>
        <v/>
      </c>
      <c r="N144" s="580" t="str">
        <f>IFERROR(((Proposta!$J$10*N$17-N$16)/Proposta!$J$10)*14%,"")</f>
        <v/>
      </c>
      <c r="O144" s="580" t="str">
        <f>IFERROR(((Proposta!$J$10*O$17-O$16)/Proposta!$J$10)*12.82%,"")</f>
        <v/>
      </c>
      <c r="P144" s="580" t="str">
        <f>IFERROR(((Proposta!$J$10*P$17-P$16)/Proposta!$J$10)*16.03%,"")</f>
        <v/>
      </c>
      <c r="Q144" s="580">
        <f t="shared" ref="Q144:Q147" si="22">IFERROR(ROUND(IF($Q$15="Simples",
INDEX(H144:P144,MATCH($Q$16,$H$16:$P$16,1)),
INDEX(H144:P144,MATCH($Q$15,$H$13:$P$13,0))
),4),"")</f>
        <v>0.03</v>
      </c>
      <c r="R144" s="539"/>
    </row>
    <row r="145" spans="1:18" ht="15" customHeight="1">
      <c r="A145" s="509"/>
      <c r="B145" s="553" t="s">
        <v>1</v>
      </c>
      <c r="C145" s="554" t="s">
        <v>135</v>
      </c>
      <c r="D145" s="518"/>
      <c r="E145" s="518"/>
      <c r="F145" s="556" t="s">
        <v>226</v>
      </c>
      <c r="H145" s="580">
        <v>6.4999999999999997E-3</v>
      </c>
      <c r="I145" s="580">
        <v>1.6500000000000001E-2</v>
      </c>
      <c r="J145" s="580">
        <v>6.4999999999999997E-3</v>
      </c>
      <c r="K145" s="580" t="str">
        <f>IFERROR(((Proposta!$J$10*K$17-K$16)/Proposta!$J$10)*2.78%,"")</f>
        <v/>
      </c>
      <c r="L145" s="580" t="str">
        <f>IFERROR(((Proposta!$J$10*L$17-L$16)/Proposta!$J$10)*3.05%,"")</f>
        <v/>
      </c>
      <c r="M145" s="580" t="str">
        <f>IFERROR(((Proposta!$J$10*M$17-M$16)/Proposta!$J$10)*2.96%,"")</f>
        <v/>
      </c>
      <c r="N145" s="580" t="str">
        <f>IFERROR(((Proposta!$J$10*N$17-N$16)/Proposta!$J$10)*3%,"")</f>
        <v/>
      </c>
      <c r="O145" s="580" t="str">
        <f>IFERROR(((Proposta!$J$10*O$17-O$16)/Proposta!$J$10)*2.78%,"")</f>
        <v/>
      </c>
      <c r="P145" s="580" t="str">
        <f>IFERROR(((Proposta!$J$10*P$17-P$16)/Proposta!$J$10)*3.47%,"")</f>
        <v/>
      </c>
      <c r="Q145" s="580">
        <f t="shared" si="22"/>
        <v>6.4999999999999997E-3</v>
      </c>
      <c r="R145" s="539"/>
    </row>
    <row r="146" spans="1:18" ht="15" customHeight="1">
      <c r="A146" s="509"/>
      <c r="B146" s="553" t="s">
        <v>0</v>
      </c>
      <c r="C146" s="554" t="s">
        <v>46</v>
      </c>
      <c r="D146" s="518"/>
      <c r="E146" s="518"/>
      <c r="F146" s="556" t="s">
        <v>226</v>
      </c>
      <c r="H146" s="580">
        <v>0.05</v>
      </c>
      <c r="I146" s="580">
        <v>0.05</v>
      </c>
      <c r="J146" s="580">
        <v>2.5000000000000001E-2</v>
      </c>
      <c r="K146" s="580" t="str">
        <f>IFERROR(((Proposta!$J$10*K$17-K$16)/Proposta!$J$10)*33.5%,"")</f>
        <v/>
      </c>
      <c r="L146" s="580" t="str">
        <f>IFERROR(((Proposta!$J$10*L$17-L$16)/Proposta!$J$10)*32%,"")</f>
        <v/>
      </c>
      <c r="M146" s="580" t="str">
        <f>IFERROR(((Proposta!$J$10*M$17-M$16)/Proposta!$J$10)*32.5%,"")</f>
        <v/>
      </c>
      <c r="N146" s="580" t="str">
        <f>IFERROR(((Proposta!$J$10*N$17-N$16)/Proposta!$J$10)*33%,"")</f>
        <v/>
      </c>
      <c r="O146" s="580" t="str">
        <f>IFERROR(((Proposta!$J$10*O$17-O$16)/Proposta!$J$10)*33.5%,"")</f>
        <v/>
      </c>
      <c r="P146" s="580" t="str">
        <f>IFERROR(((Proposta!$J$10*P$17-P$16)/Proposta!$J$10)*30.5%,"")</f>
        <v/>
      </c>
      <c r="Q146" s="580">
        <f t="shared" si="22"/>
        <v>0.05</v>
      </c>
      <c r="R146" s="539"/>
    </row>
    <row r="147" spans="1:18" ht="15" customHeight="1">
      <c r="B147" s="553" t="s">
        <v>3</v>
      </c>
      <c r="C147" s="554" t="s">
        <v>394</v>
      </c>
      <c r="D147" s="518"/>
      <c r="E147" s="518"/>
      <c r="F147" s="556" t="s">
        <v>226</v>
      </c>
      <c r="H147" s="621"/>
      <c r="I147" s="621"/>
      <c r="J147" s="621"/>
      <c r="K147" s="621"/>
      <c r="L147" s="621"/>
      <c r="M147" s="621"/>
      <c r="N147" s="621"/>
      <c r="O147" s="621"/>
      <c r="P147" s="621"/>
      <c r="Q147" s="622">
        <f t="shared" si="22"/>
        <v>0</v>
      </c>
    </row>
    <row r="149" spans="1:18" ht="15" customHeight="1">
      <c r="B149" s="510"/>
      <c r="C149" s="550" t="s">
        <v>471</v>
      </c>
      <c r="D149" s="550"/>
      <c r="E149" s="550"/>
      <c r="F149" s="512"/>
      <c r="G149" s="3"/>
      <c r="H149" s="510"/>
      <c r="I149" s="551"/>
      <c r="J149" s="551"/>
      <c r="K149" s="551"/>
      <c r="L149" s="551"/>
      <c r="M149" s="551"/>
      <c r="N149" s="551"/>
      <c r="O149" s="551"/>
      <c r="P149" s="551"/>
      <c r="Q149" s="552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71"/>
      <c r="C151" s="572" t="s">
        <v>486</v>
      </c>
      <c r="D151" s="572"/>
      <c r="E151" s="572"/>
      <c r="F151" s="573"/>
      <c r="G151" s="3"/>
      <c r="H151" s="571"/>
      <c r="I151" s="574"/>
      <c r="J151" s="574"/>
      <c r="K151" s="574"/>
      <c r="L151" s="574"/>
      <c r="M151" s="574"/>
      <c r="N151" s="574"/>
      <c r="O151" s="574"/>
      <c r="P151" s="574"/>
      <c r="Q151" s="651"/>
      <c r="R151" s="539"/>
    </row>
    <row r="152" spans="1:18" ht="15" customHeight="1">
      <c r="B152" s="652" t="s">
        <v>2</v>
      </c>
      <c r="C152" s="653" t="s">
        <v>454</v>
      </c>
      <c r="D152" s="518"/>
      <c r="E152" s="518"/>
      <c r="F152" s="556"/>
      <c r="H152" s="580"/>
      <c r="I152" s="580"/>
      <c r="J152" s="580"/>
      <c r="K152" s="580"/>
      <c r="L152" s="580"/>
      <c r="M152" s="580"/>
      <c r="N152" s="580"/>
      <c r="O152" s="580"/>
      <c r="P152" s="580"/>
      <c r="Q152" s="654">
        <v>800</v>
      </c>
    </row>
    <row r="153" spans="1:18" ht="15" customHeight="1">
      <c r="B153" s="652" t="s">
        <v>1</v>
      </c>
      <c r="C153" s="653" t="s">
        <v>455</v>
      </c>
      <c r="D153" s="518"/>
      <c r="E153" s="518"/>
      <c r="F153" s="556"/>
      <c r="H153" s="580"/>
      <c r="I153" s="580"/>
      <c r="J153" s="580"/>
      <c r="K153" s="580"/>
      <c r="L153" s="580"/>
      <c r="M153" s="580"/>
      <c r="N153" s="580"/>
      <c r="O153" s="580"/>
      <c r="P153" s="580"/>
      <c r="Q153" s="654">
        <v>800</v>
      </c>
    </row>
    <row r="154" spans="1:18" ht="15" customHeight="1">
      <c r="B154" s="652" t="s">
        <v>0</v>
      </c>
      <c r="C154" s="653" t="s">
        <v>456</v>
      </c>
      <c r="D154" s="518"/>
      <c r="E154" s="518"/>
      <c r="F154" s="556"/>
      <c r="H154" s="580"/>
      <c r="I154" s="580"/>
      <c r="J154" s="580"/>
      <c r="K154" s="580"/>
      <c r="L154" s="580"/>
      <c r="M154" s="580"/>
      <c r="N154" s="580"/>
      <c r="O154" s="580"/>
      <c r="P154" s="580"/>
      <c r="Q154" s="654">
        <v>360</v>
      </c>
    </row>
    <row r="155" spans="1:18" ht="15" customHeight="1">
      <c r="B155" s="652" t="s">
        <v>3</v>
      </c>
      <c r="C155" s="653" t="s">
        <v>457</v>
      </c>
      <c r="D155" s="518"/>
      <c r="E155" s="518"/>
      <c r="F155" s="556"/>
      <c r="H155" s="580"/>
      <c r="I155" s="580"/>
      <c r="J155" s="580"/>
      <c r="K155" s="580"/>
      <c r="L155" s="580"/>
      <c r="M155" s="580"/>
      <c r="N155" s="580"/>
      <c r="O155" s="580"/>
      <c r="P155" s="580"/>
      <c r="Q155" s="654">
        <v>1500</v>
      </c>
    </row>
    <row r="156" spans="1:18" ht="15" customHeight="1">
      <c r="B156" s="652" t="s">
        <v>7</v>
      </c>
      <c r="C156" s="653" t="s">
        <v>452</v>
      </c>
      <c r="D156" s="518"/>
      <c r="E156" s="518"/>
      <c r="F156" s="556"/>
      <c r="H156" s="580"/>
      <c r="I156" s="580"/>
      <c r="J156" s="580"/>
      <c r="K156" s="580"/>
      <c r="L156" s="580"/>
      <c r="M156" s="580"/>
      <c r="N156" s="580"/>
      <c r="O156" s="580"/>
      <c r="P156" s="580"/>
      <c r="Q156" s="654">
        <v>1200</v>
      </c>
    </row>
    <row r="157" spans="1:18" ht="15" customHeight="1">
      <c r="B157" s="652" t="s">
        <v>6</v>
      </c>
      <c r="C157" s="655" t="s">
        <v>480</v>
      </c>
      <c r="D157" s="518"/>
      <c r="E157" s="518"/>
      <c r="F157" s="556"/>
      <c r="H157" s="580"/>
      <c r="I157" s="580"/>
      <c r="J157" s="580"/>
      <c r="K157" s="580"/>
      <c r="L157" s="580"/>
      <c r="M157" s="580"/>
      <c r="N157" s="580"/>
      <c r="O157" s="580"/>
      <c r="P157" s="580"/>
      <c r="Q157" s="654">
        <v>1000</v>
      </c>
    </row>
    <row r="158" spans="1:18" ht="15" customHeight="1">
      <c r="B158" s="652" t="s">
        <v>5</v>
      </c>
      <c r="C158" s="655" t="s">
        <v>481</v>
      </c>
      <c r="D158" s="518"/>
      <c r="E158" s="518"/>
      <c r="F158" s="556"/>
      <c r="H158" s="580"/>
      <c r="I158" s="580"/>
      <c r="J158" s="580"/>
      <c r="K158" s="580"/>
      <c r="L158" s="580"/>
      <c r="M158" s="580"/>
      <c r="N158" s="580"/>
      <c r="O158" s="580"/>
      <c r="P158" s="580"/>
      <c r="Q158" s="654">
        <v>200</v>
      </c>
    </row>
    <row r="159" spans="1:18" ht="4.5" customHeight="1">
      <c r="C159" s="418"/>
      <c r="Q159" s="656"/>
    </row>
    <row r="160" spans="1:18" ht="15" customHeight="1">
      <c r="B160" s="571"/>
      <c r="C160" s="572" t="s">
        <v>487</v>
      </c>
      <c r="D160" s="572"/>
      <c r="E160" s="572"/>
      <c r="F160" s="573"/>
      <c r="G160" s="3"/>
      <c r="H160" s="571"/>
      <c r="I160" s="574"/>
      <c r="J160" s="574"/>
      <c r="K160" s="574"/>
      <c r="L160" s="574"/>
      <c r="M160" s="574"/>
      <c r="N160" s="574"/>
      <c r="O160" s="574"/>
      <c r="P160" s="574"/>
      <c r="Q160" s="657"/>
      <c r="R160" s="539"/>
    </row>
    <row r="161" spans="2:18" ht="15" customHeight="1">
      <c r="B161" s="652" t="s">
        <v>2</v>
      </c>
      <c r="C161" s="653" t="s">
        <v>458</v>
      </c>
      <c r="D161" s="518"/>
      <c r="E161" s="518"/>
      <c r="F161" s="556"/>
      <c r="H161" s="580"/>
      <c r="I161" s="580"/>
      <c r="J161" s="580"/>
      <c r="K161" s="580"/>
      <c r="L161" s="580"/>
      <c r="M161" s="580"/>
      <c r="N161" s="580"/>
      <c r="O161" s="580"/>
      <c r="P161" s="580"/>
      <c r="Q161" s="654">
        <v>1800</v>
      </c>
    </row>
    <row r="162" spans="2:18" ht="15" customHeight="1">
      <c r="B162" s="652" t="s">
        <v>1</v>
      </c>
      <c r="C162" s="653" t="s">
        <v>453</v>
      </c>
      <c r="D162" s="518"/>
      <c r="E162" s="518"/>
      <c r="F162" s="556"/>
      <c r="H162" s="580"/>
      <c r="I162" s="580"/>
      <c r="J162" s="580"/>
      <c r="K162" s="580"/>
      <c r="L162" s="580"/>
      <c r="M162" s="580"/>
      <c r="N162" s="580"/>
      <c r="O162" s="580"/>
      <c r="P162" s="580"/>
      <c r="Q162" s="654">
        <v>6000</v>
      </c>
    </row>
    <row r="163" spans="2:18" ht="15" customHeight="1">
      <c r="B163" s="652" t="s">
        <v>0</v>
      </c>
      <c r="C163" s="653" t="s">
        <v>459</v>
      </c>
      <c r="D163" s="518"/>
      <c r="E163" s="518" t="s">
        <v>484</v>
      </c>
      <c r="F163" s="556"/>
      <c r="H163" s="580"/>
      <c r="I163" s="580"/>
      <c r="J163" s="580"/>
      <c r="K163" s="580"/>
      <c r="L163" s="580"/>
      <c r="M163" s="580"/>
      <c r="N163" s="580"/>
      <c r="O163" s="580"/>
      <c r="P163" s="580"/>
      <c r="Q163" s="654">
        <v>1800</v>
      </c>
    </row>
    <row r="164" spans="2:18" ht="15" customHeight="1">
      <c r="B164" s="652" t="s">
        <v>3</v>
      </c>
      <c r="C164" s="653" t="s">
        <v>460</v>
      </c>
      <c r="D164" s="518"/>
      <c r="E164" s="518" t="s">
        <v>484</v>
      </c>
      <c r="F164" s="556"/>
      <c r="H164" s="580"/>
      <c r="I164" s="580"/>
      <c r="J164" s="580"/>
      <c r="K164" s="580"/>
      <c r="L164" s="580"/>
      <c r="M164" s="580"/>
      <c r="N164" s="580"/>
      <c r="O164" s="580"/>
      <c r="P164" s="580"/>
      <c r="Q164" s="654">
        <v>1800</v>
      </c>
    </row>
    <row r="165" spans="2:18" ht="15" customHeight="1">
      <c r="B165" s="652" t="s">
        <v>7</v>
      </c>
      <c r="C165" s="653" t="s">
        <v>461</v>
      </c>
      <c r="D165" s="518"/>
      <c r="E165" s="518" t="s">
        <v>484</v>
      </c>
      <c r="F165" s="556"/>
      <c r="H165" s="580"/>
      <c r="I165" s="580"/>
      <c r="J165" s="580"/>
      <c r="K165" s="580"/>
      <c r="L165" s="580"/>
      <c r="M165" s="580"/>
      <c r="N165" s="580"/>
      <c r="O165" s="580"/>
      <c r="P165" s="580"/>
      <c r="Q165" s="654">
        <v>1800</v>
      </c>
    </row>
    <row r="166" spans="2:18" ht="15" customHeight="1">
      <c r="B166" s="652" t="s">
        <v>6</v>
      </c>
      <c r="C166" s="653" t="s">
        <v>462</v>
      </c>
      <c r="D166" s="518"/>
      <c r="E166" s="518"/>
      <c r="F166" s="556"/>
      <c r="H166" s="580"/>
      <c r="I166" s="580"/>
      <c r="J166" s="580"/>
      <c r="K166" s="580"/>
      <c r="L166" s="580"/>
      <c r="M166" s="580"/>
      <c r="N166" s="580"/>
      <c r="O166" s="580"/>
      <c r="P166" s="580"/>
      <c r="Q166" s="654">
        <v>100000</v>
      </c>
    </row>
    <row r="167" spans="2:18" ht="4.5" customHeight="1">
      <c r="C167" s="418"/>
      <c r="Q167" s="656"/>
    </row>
    <row r="168" spans="2:18" ht="15" customHeight="1">
      <c r="B168" s="571"/>
      <c r="C168" s="572" t="s">
        <v>488</v>
      </c>
      <c r="D168" s="572"/>
      <c r="E168" s="572"/>
      <c r="F168" s="573"/>
      <c r="G168" s="3"/>
      <c r="H168" s="571"/>
      <c r="I168" s="574"/>
      <c r="J168" s="574"/>
      <c r="K168" s="574"/>
      <c r="L168" s="574"/>
      <c r="M168" s="574"/>
      <c r="N168" s="574"/>
      <c r="O168" s="574"/>
      <c r="P168" s="574"/>
      <c r="Q168" s="657"/>
      <c r="R168" s="539"/>
    </row>
    <row r="169" spans="2:18" ht="15" customHeight="1">
      <c r="B169" s="652" t="s">
        <v>2</v>
      </c>
      <c r="C169" s="655" t="s">
        <v>476</v>
      </c>
      <c r="D169" s="518"/>
      <c r="E169" s="518"/>
      <c r="F169" s="556"/>
      <c r="H169" s="580"/>
      <c r="I169" s="580"/>
      <c r="J169" s="580"/>
      <c r="K169" s="580"/>
      <c r="L169" s="580"/>
      <c r="M169" s="580"/>
      <c r="N169" s="580"/>
      <c r="O169" s="580"/>
      <c r="P169" s="580"/>
      <c r="Q169" s="654">
        <v>130</v>
      </c>
    </row>
    <row r="170" spans="2:18" ht="15" customHeight="1">
      <c r="B170" s="652" t="s">
        <v>1</v>
      </c>
      <c r="C170" s="655" t="s">
        <v>477</v>
      </c>
      <c r="D170" s="518"/>
      <c r="E170" s="518"/>
      <c r="F170" s="556"/>
      <c r="H170" s="580"/>
      <c r="I170" s="580"/>
      <c r="J170" s="580"/>
      <c r="K170" s="580"/>
      <c r="L170" s="580"/>
      <c r="M170" s="580"/>
      <c r="N170" s="580"/>
      <c r="O170" s="580"/>
      <c r="P170" s="580"/>
      <c r="Q170" s="654">
        <v>300</v>
      </c>
    </row>
    <row r="171" spans="2:18" ht="15" customHeight="1">
      <c r="B171" s="652" t="s">
        <v>0</v>
      </c>
      <c r="C171" s="655" t="s">
        <v>478</v>
      </c>
      <c r="D171" s="518"/>
      <c r="E171" s="518"/>
      <c r="F171" s="556"/>
      <c r="H171" s="580"/>
      <c r="I171" s="580"/>
      <c r="J171" s="580"/>
      <c r="K171" s="580"/>
      <c r="L171" s="580"/>
      <c r="M171" s="580"/>
      <c r="N171" s="580"/>
      <c r="O171" s="580"/>
      <c r="P171" s="580"/>
      <c r="Q171" s="654">
        <v>300</v>
      </c>
    </row>
    <row r="172" spans="2:18" ht="4.5" customHeight="1">
      <c r="C172" s="418"/>
      <c r="Q172" s="656"/>
    </row>
    <row r="173" spans="2:18" ht="15" customHeight="1">
      <c r="B173" s="571"/>
      <c r="C173" s="572" t="s">
        <v>489</v>
      </c>
      <c r="D173" s="572"/>
      <c r="E173" s="572"/>
      <c r="F173" s="573"/>
      <c r="G173" s="3"/>
      <c r="H173" s="571"/>
      <c r="I173" s="574"/>
      <c r="J173" s="574"/>
      <c r="K173" s="574"/>
      <c r="L173" s="574"/>
      <c r="M173" s="574"/>
      <c r="N173" s="574"/>
      <c r="O173" s="574"/>
      <c r="P173" s="574"/>
      <c r="Q173" s="657"/>
      <c r="R173" s="539"/>
    </row>
    <row r="174" spans="2:18" ht="15" customHeight="1">
      <c r="B174" s="652" t="s">
        <v>2</v>
      </c>
      <c r="C174" s="653" t="s">
        <v>463</v>
      </c>
      <c r="D174" s="518"/>
      <c r="E174" s="518"/>
      <c r="F174" s="556"/>
      <c r="H174" s="580"/>
      <c r="I174" s="580"/>
      <c r="J174" s="580"/>
      <c r="K174" s="580"/>
      <c r="L174" s="580"/>
      <c r="M174" s="580"/>
      <c r="N174" s="580"/>
      <c r="O174" s="580"/>
      <c r="P174" s="580"/>
      <c r="Q174" s="654">
        <v>130</v>
      </c>
    </row>
    <row r="175" spans="2:18" ht="4.5" customHeight="1">
      <c r="C175" s="418"/>
      <c r="Q175" s="656"/>
    </row>
    <row r="176" spans="2:18" ht="15" customHeight="1">
      <c r="B176" s="571"/>
      <c r="C176" s="572" t="s">
        <v>490</v>
      </c>
      <c r="D176" s="572"/>
      <c r="E176" s="572"/>
      <c r="F176" s="573"/>
      <c r="G176" s="3"/>
      <c r="H176" s="571"/>
      <c r="I176" s="574"/>
      <c r="J176" s="574"/>
      <c r="K176" s="574"/>
      <c r="L176" s="574"/>
      <c r="M176" s="574"/>
      <c r="N176" s="574"/>
      <c r="O176" s="574"/>
      <c r="P176" s="574"/>
      <c r="Q176" s="657"/>
      <c r="R176" s="539"/>
    </row>
    <row r="177" spans="2:17" ht="15" customHeight="1">
      <c r="B177" s="652" t="s">
        <v>2</v>
      </c>
      <c r="C177" s="653" t="s">
        <v>464</v>
      </c>
      <c r="D177" s="518"/>
      <c r="E177" s="518"/>
      <c r="F177" s="556"/>
      <c r="H177" s="580"/>
      <c r="I177" s="580"/>
      <c r="J177" s="580"/>
      <c r="K177" s="580"/>
      <c r="L177" s="580"/>
      <c r="M177" s="580"/>
      <c r="N177" s="580"/>
      <c r="O177" s="580"/>
      <c r="P177" s="580"/>
      <c r="Q177" s="654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600-000000000000}"/>
    <hyperlink ref="F103" r:id="rId2" display=" Anuário RAIS do Ministério do Trabalho" xr:uid="{00000000-0004-0000-0600-000001000000}"/>
    <hyperlink ref="C115" location="'Mat Individual e Uniformes func'!A1" display="Material Individual e Uniformes" xr:uid="{00000000-0004-0000-0600-000002000000}"/>
    <hyperlink ref="C116" location="'Mat Coletivo e Equipamentos'!A1" display="Material Coletivo e Equipamentos" xr:uid="{00000000-0004-0000-06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38" bestFit="1" customWidth="1"/>
    <col min="2" max="2" width="7.42578125" style="2" customWidth="1"/>
    <col min="3" max="3" width="16.5703125" style="6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46" bestFit="1" customWidth="1"/>
    <col min="8" max="8" width="17.28515625" style="79" bestFit="1" customWidth="1"/>
    <col min="9" max="9" width="19" style="46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53" customFormat="1" ht="90">
      <c r="A1" s="271" t="s">
        <v>344</v>
      </c>
      <c r="B1" s="271" t="s">
        <v>345</v>
      </c>
      <c r="C1" s="272" t="s">
        <v>346</v>
      </c>
      <c r="D1" s="271" t="s">
        <v>349</v>
      </c>
      <c r="E1" s="273" t="s">
        <v>356</v>
      </c>
      <c r="F1" s="273" t="s">
        <v>348</v>
      </c>
      <c r="G1" s="274" t="s">
        <v>399</v>
      </c>
      <c r="H1" s="275" t="s">
        <v>347</v>
      </c>
      <c r="I1" s="276" t="s">
        <v>350</v>
      </c>
      <c r="J1" s="276" t="s">
        <v>351</v>
      </c>
      <c r="K1" s="276" t="s">
        <v>377</v>
      </c>
      <c r="L1" s="276" t="s">
        <v>376</v>
      </c>
      <c r="M1" s="276" t="s">
        <v>388</v>
      </c>
      <c r="N1" s="276" t="s">
        <v>494</v>
      </c>
      <c r="O1" s="276" t="s">
        <v>382</v>
      </c>
      <c r="P1" s="276" t="s">
        <v>416</v>
      </c>
      <c r="Q1" s="276" t="s">
        <v>417</v>
      </c>
      <c r="R1" s="276" t="s">
        <v>385</v>
      </c>
      <c r="S1" s="276" t="s">
        <v>381</v>
      </c>
      <c r="T1" s="276" t="s">
        <v>46</v>
      </c>
    </row>
    <row r="2" spans="1:20" s="253" customFormat="1">
      <c r="A2" s="366"/>
      <c r="B2" s="366"/>
      <c r="C2" s="367"/>
      <c r="D2" s="366"/>
      <c r="E2" s="368"/>
      <c r="F2" s="368"/>
      <c r="G2" s="369"/>
      <c r="H2" s="370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</row>
    <row r="3" spans="1:20" s="78" customFormat="1">
      <c r="A3" s="372" t="s">
        <v>352</v>
      </c>
      <c r="B3" s="373">
        <v>4141</v>
      </c>
      <c r="C3" s="374" t="s">
        <v>152</v>
      </c>
      <c r="D3" s="373" t="s">
        <v>558</v>
      </c>
      <c r="E3" s="375">
        <v>45292</v>
      </c>
      <c r="F3" s="375">
        <v>45657</v>
      </c>
      <c r="G3" s="376">
        <v>1540.51</v>
      </c>
      <c r="H3" s="377">
        <v>220</v>
      </c>
      <c r="I3" s="376">
        <v>23.68</v>
      </c>
      <c r="J3" s="376">
        <f>I3/2</f>
        <v>11.84</v>
      </c>
      <c r="K3" s="373"/>
      <c r="L3" s="373"/>
      <c r="M3" s="378"/>
      <c r="N3" s="378" t="s">
        <v>409</v>
      </c>
      <c r="O3" s="378"/>
      <c r="P3" s="378">
        <v>0.06</v>
      </c>
      <c r="Q3" s="378">
        <v>0.19</v>
      </c>
      <c r="R3" s="376">
        <v>19.420000000000002</v>
      </c>
      <c r="S3" s="376"/>
      <c r="T3" s="506">
        <v>0.05</v>
      </c>
    </row>
    <row r="4" spans="1:20" s="2" customFormat="1">
      <c r="A4" s="277" t="s">
        <v>393</v>
      </c>
      <c r="B4" s="285">
        <v>4110</v>
      </c>
      <c r="C4" s="278" t="s">
        <v>152</v>
      </c>
      <c r="D4" s="279" t="s">
        <v>558</v>
      </c>
      <c r="E4" s="280">
        <v>45292</v>
      </c>
      <c r="F4" s="280">
        <v>45657</v>
      </c>
      <c r="G4" s="284">
        <v>2013.31</v>
      </c>
      <c r="H4" s="282">
        <v>220</v>
      </c>
      <c r="I4" s="281">
        <v>23.68</v>
      </c>
      <c r="J4" s="281">
        <f t="shared" ref="J4:J15" si="0">I4/2</f>
        <v>11.84</v>
      </c>
      <c r="K4" s="285"/>
      <c r="L4" s="285"/>
      <c r="M4" s="283"/>
      <c r="N4" s="283" t="s">
        <v>409</v>
      </c>
      <c r="O4" s="283"/>
      <c r="P4" s="283">
        <v>0.06</v>
      </c>
      <c r="Q4" s="283">
        <v>0.19</v>
      </c>
      <c r="R4" s="281">
        <v>19.420000000000002</v>
      </c>
      <c r="S4" s="281"/>
      <c r="T4" s="386">
        <v>0.05</v>
      </c>
    </row>
    <row r="5" spans="1:20" s="2" customFormat="1">
      <c r="A5" s="277" t="s">
        <v>392</v>
      </c>
      <c r="B5" s="285">
        <v>5143</v>
      </c>
      <c r="C5" s="278" t="s">
        <v>152</v>
      </c>
      <c r="D5" s="279" t="s">
        <v>558</v>
      </c>
      <c r="E5" s="280">
        <v>45292</v>
      </c>
      <c r="F5" s="280">
        <v>45657</v>
      </c>
      <c r="G5" s="284">
        <v>1540.51</v>
      </c>
      <c r="H5" s="282">
        <v>220</v>
      </c>
      <c r="I5" s="281">
        <v>23.68</v>
      </c>
      <c r="J5" s="281">
        <f t="shared" si="0"/>
        <v>11.84</v>
      </c>
      <c r="K5" s="285"/>
      <c r="L5" s="285"/>
      <c r="M5" s="283"/>
      <c r="N5" s="283" t="s">
        <v>409</v>
      </c>
      <c r="O5" s="283"/>
      <c r="P5" s="283">
        <v>0.06</v>
      </c>
      <c r="Q5" s="283">
        <v>0.19</v>
      </c>
      <c r="R5" s="281">
        <v>19.420000000000002</v>
      </c>
      <c r="S5" s="281"/>
      <c r="T5" s="386">
        <v>0.05</v>
      </c>
    </row>
    <row r="6" spans="1:20" s="2" customFormat="1">
      <c r="A6" s="277" t="s">
        <v>354</v>
      </c>
      <c r="B6" s="285">
        <v>5135</v>
      </c>
      <c r="C6" s="278" t="s">
        <v>152</v>
      </c>
      <c r="D6" s="279" t="s">
        <v>558</v>
      </c>
      <c r="E6" s="280">
        <v>45292</v>
      </c>
      <c r="F6" s="280">
        <v>45657</v>
      </c>
      <c r="G6" s="284">
        <v>1540.51</v>
      </c>
      <c r="H6" s="286">
        <v>220</v>
      </c>
      <c r="I6" s="281">
        <v>23.68</v>
      </c>
      <c r="J6" s="281">
        <f t="shared" si="0"/>
        <v>11.84</v>
      </c>
      <c r="K6" s="285"/>
      <c r="L6" s="285"/>
      <c r="M6" s="283">
        <v>0.2</v>
      </c>
      <c r="N6" s="283" t="s">
        <v>409</v>
      </c>
      <c r="O6" s="283"/>
      <c r="P6" s="283">
        <v>0.06</v>
      </c>
      <c r="Q6" s="283">
        <v>0.19</v>
      </c>
      <c r="R6" s="281">
        <v>19.420000000000002</v>
      </c>
      <c r="S6" s="281"/>
      <c r="T6" s="386">
        <v>0.05</v>
      </c>
    </row>
    <row r="7" spans="1:20" s="2" customFormat="1">
      <c r="A7" s="277" t="s">
        <v>391</v>
      </c>
      <c r="B7" s="285">
        <v>5142</v>
      </c>
      <c r="C7" s="278" t="s">
        <v>152</v>
      </c>
      <c r="D7" s="279" t="s">
        <v>558</v>
      </c>
      <c r="E7" s="280">
        <v>45292</v>
      </c>
      <c r="F7" s="280">
        <v>45657</v>
      </c>
      <c r="G7" s="284">
        <v>1816.57</v>
      </c>
      <c r="H7" s="286">
        <v>220</v>
      </c>
      <c r="I7" s="281">
        <v>23.68</v>
      </c>
      <c r="J7" s="281">
        <f t="shared" si="0"/>
        <v>11.84</v>
      </c>
      <c r="K7" s="285"/>
      <c r="L7" s="285"/>
      <c r="M7" s="283">
        <v>0.4</v>
      </c>
      <c r="N7" s="283" t="s">
        <v>409</v>
      </c>
      <c r="O7" s="283"/>
      <c r="P7" s="283">
        <v>0.06</v>
      </c>
      <c r="Q7" s="283">
        <v>0.19</v>
      </c>
      <c r="R7" s="281">
        <v>19.420000000000002</v>
      </c>
      <c r="S7" s="281"/>
      <c r="T7" s="386">
        <v>0.05</v>
      </c>
    </row>
    <row r="8" spans="1:20">
      <c r="A8" s="277" t="s">
        <v>390</v>
      </c>
      <c r="B8" s="285">
        <v>5134</v>
      </c>
      <c r="C8" s="278" t="s">
        <v>152</v>
      </c>
      <c r="D8" s="279" t="s">
        <v>558</v>
      </c>
      <c r="E8" s="280">
        <v>45292</v>
      </c>
      <c r="F8" s="280">
        <v>45657</v>
      </c>
      <c r="G8" s="284">
        <v>1540.51</v>
      </c>
      <c r="H8" s="286">
        <v>220</v>
      </c>
      <c r="I8" s="281">
        <v>23.68</v>
      </c>
      <c r="J8" s="281">
        <f t="shared" si="0"/>
        <v>11.84</v>
      </c>
      <c r="K8" s="277"/>
      <c r="L8" s="277"/>
      <c r="M8" s="283">
        <v>0.2</v>
      </c>
      <c r="N8" s="283" t="s">
        <v>409</v>
      </c>
      <c r="O8" s="283"/>
      <c r="P8" s="283">
        <v>0.06</v>
      </c>
      <c r="Q8" s="283">
        <v>0.19</v>
      </c>
      <c r="R8" s="281">
        <v>19.420000000000002</v>
      </c>
      <c r="S8" s="281"/>
      <c r="T8" s="386">
        <v>0.05</v>
      </c>
    </row>
    <row r="9" spans="1:20">
      <c r="A9" s="277" t="s">
        <v>353</v>
      </c>
      <c r="B9" s="285">
        <v>5132</v>
      </c>
      <c r="C9" s="278" t="s">
        <v>152</v>
      </c>
      <c r="D9" s="279" t="s">
        <v>558</v>
      </c>
      <c r="E9" s="280">
        <v>45292</v>
      </c>
      <c r="F9" s="280">
        <v>45657</v>
      </c>
      <c r="G9" s="284">
        <v>1617.44</v>
      </c>
      <c r="H9" s="286">
        <v>220</v>
      </c>
      <c r="I9" s="281">
        <v>23.68</v>
      </c>
      <c r="J9" s="281">
        <f t="shared" si="0"/>
        <v>11.84</v>
      </c>
      <c r="K9" s="277"/>
      <c r="L9" s="277"/>
      <c r="M9" s="283">
        <v>0.2</v>
      </c>
      <c r="N9" s="283" t="s">
        <v>409</v>
      </c>
      <c r="O9" s="283"/>
      <c r="P9" s="283">
        <v>0.06</v>
      </c>
      <c r="Q9" s="283">
        <v>0.19</v>
      </c>
      <c r="R9" s="281">
        <v>19.420000000000002</v>
      </c>
      <c r="S9" s="281"/>
      <c r="T9" s="386">
        <v>0.05</v>
      </c>
    </row>
    <row r="10" spans="1:20">
      <c r="A10" s="277" t="s">
        <v>389</v>
      </c>
      <c r="B10" s="285">
        <v>5143</v>
      </c>
      <c r="C10" s="278" t="s">
        <v>152</v>
      </c>
      <c r="D10" s="279" t="s">
        <v>558</v>
      </c>
      <c r="E10" s="280">
        <v>45292</v>
      </c>
      <c r="F10" s="280">
        <v>45657</v>
      </c>
      <c r="G10" s="284">
        <v>1540.51</v>
      </c>
      <c r="H10" s="286">
        <v>220</v>
      </c>
      <c r="I10" s="281">
        <v>23.68</v>
      </c>
      <c r="J10" s="281">
        <f t="shared" si="0"/>
        <v>11.84</v>
      </c>
      <c r="K10" s="277"/>
      <c r="L10" s="277"/>
      <c r="M10" s="283">
        <v>0.4</v>
      </c>
      <c r="N10" s="283" t="s">
        <v>409</v>
      </c>
      <c r="O10" s="283"/>
      <c r="P10" s="283">
        <v>0.06</v>
      </c>
      <c r="Q10" s="283">
        <v>0.19</v>
      </c>
      <c r="R10" s="281">
        <v>19.420000000000002</v>
      </c>
      <c r="S10" s="281"/>
      <c r="T10" s="386">
        <v>2.5000000000000001E-2</v>
      </c>
    </row>
    <row r="11" spans="1:20">
      <c r="A11" s="287" t="s">
        <v>337</v>
      </c>
      <c r="B11" s="285">
        <v>5174</v>
      </c>
      <c r="C11" s="278" t="s">
        <v>152</v>
      </c>
      <c r="D11" s="279" t="s">
        <v>558</v>
      </c>
      <c r="E11" s="280">
        <v>45292</v>
      </c>
      <c r="F11" s="280">
        <v>45657</v>
      </c>
      <c r="G11" s="284">
        <v>1854.91</v>
      </c>
      <c r="H11" s="286">
        <v>220</v>
      </c>
      <c r="I11" s="281">
        <v>23.68</v>
      </c>
      <c r="J11" s="281">
        <f t="shared" si="0"/>
        <v>11.84</v>
      </c>
      <c r="K11" s="277"/>
      <c r="L11" s="277"/>
      <c r="M11" s="283"/>
      <c r="N11" s="283" t="s">
        <v>409</v>
      </c>
      <c r="O11" s="283"/>
      <c r="P11" s="283">
        <v>0.06</v>
      </c>
      <c r="Q11" s="283">
        <v>0.19</v>
      </c>
      <c r="R11" s="281">
        <v>19.420000000000002</v>
      </c>
      <c r="S11" s="281"/>
      <c r="T11" s="386">
        <v>2.5000000000000001E-2</v>
      </c>
    </row>
    <row r="12" spans="1:20">
      <c r="A12" s="287" t="s">
        <v>387</v>
      </c>
      <c r="B12" s="285">
        <v>4221</v>
      </c>
      <c r="C12" s="278" t="s">
        <v>152</v>
      </c>
      <c r="D12" s="279" t="s">
        <v>558</v>
      </c>
      <c r="E12" s="280">
        <v>45292</v>
      </c>
      <c r="F12" s="280">
        <v>45657</v>
      </c>
      <c r="G12" s="284">
        <v>1741.66</v>
      </c>
      <c r="H12" s="286">
        <v>220</v>
      </c>
      <c r="I12" s="281">
        <v>23.68</v>
      </c>
      <c r="J12" s="281">
        <f t="shared" si="0"/>
        <v>11.84</v>
      </c>
      <c r="K12" s="277"/>
      <c r="L12" s="277"/>
      <c r="M12" s="283"/>
      <c r="N12" s="283" t="s">
        <v>409</v>
      </c>
      <c r="O12" s="283"/>
      <c r="P12" s="283">
        <v>0.06</v>
      </c>
      <c r="Q12" s="283">
        <v>0.19</v>
      </c>
      <c r="R12" s="281">
        <v>19.420000000000002</v>
      </c>
      <c r="S12" s="281"/>
      <c r="T12" s="386">
        <v>2.5000000000000001E-2</v>
      </c>
    </row>
    <row r="13" spans="1:20">
      <c r="A13" s="277" t="s">
        <v>386</v>
      </c>
      <c r="B13" s="285">
        <v>5142</v>
      </c>
      <c r="C13" s="278" t="s">
        <v>152</v>
      </c>
      <c r="D13" s="279" t="s">
        <v>558</v>
      </c>
      <c r="E13" s="280">
        <v>45292</v>
      </c>
      <c r="F13" s="280">
        <v>45657</v>
      </c>
      <c r="G13" s="284">
        <v>1570.01</v>
      </c>
      <c r="H13" s="286">
        <v>220</v>
      </c>
      <c r="I13" s="281">
        <v>23.68</v>
      </c>
      <c r="J13" s="281">
        <f t="shared" si="0"/>
        <v>11.84</v>
      </c>
      <c r="K13" s="277"/>
      <c r="L13" s="277"/>
      <c r="M13" s="283">
        <v>0.2</v>
      </c>
      <c r="N13" s="283" t="s">
        <v>409</v>
      </c>
      <c r="O13" s="283"/>
      <c r="P13" s="283">
        <v>0.06</v>
      </c>
      <c r="Q13" s="283">
        <v>0.19</v>
      </c>
      <c r="R13" s="281">
        <v>19.420000000000002</v>
      </c>
      <c r="S13" s="281"/>
      <c r="T13" s="386">
        <v>2.5000000000000001E-2</v>
      </c>
    </row>
    <row r="14" spans="1:20">
      <c r="A14" s="287" t="s">
        <v>396</v>
      </c>
      <c r="B14" s="285">
        <v>5143</v>
      </c>
      <c r="C14" s="278" t="s">
        <v>152</v>
      </c>
      <c r="D14" s="279" t="s">
        <v>558</v>
      </c>
      <c r="E14" s="280">
        <v>45292</v>
      </c>
      <c r="F14" s="280">
        <v>45657</v>
      </c>
      <c r="G14" s="284">
        <v>1957.46</v>
      </c>
      <c r="H14" s="286">
        <v>220</v>
      </c>
      <c r="I14" s="281">
        <v>23.68</v>
      </c>
      <c r="J14" s="281">
        <f t="shared" si="0"/>
        <v>11.84</v>
      </c>
      <c r="K14" s="277"/>
      <c r="L14" s="277"/>
      <c r="M14" s="283"/>
      <c r="N14" s="283" t="s">
        <v>409</v>
      </c>
      <c r="O14" s="283">
        <v>0.3</v>
      </c>
      <c r="P14" s="283">
        <v>0.06</v>
      </c>
      <c r="Q14" s="283">
        <v>0.19</v>
      </c>
      <c r="R14" s="281">
        <v>19.420000000000002</v>
      </c>
      <c r="S14" s="281"/>
      <c r="T14" s="386">
        <v>2.5000000000000001E-2</v>
      </c>
    </row>
    <row r="15" spans="1:20">
      <c r="A15" s="287" t="s">
        <v>397</v>
      </c>
      <c r="B15" s="285">
        <v>4227</v>
      </c>
      <c r="C15" s="278" t="s">
        <v>152</v>
      </c>
      <c r="D15" s="279" t="s">
        <v>558</v>
      </c>
      <c r="E15" s="280">
        <v>45292</v>
      </c>
      <c r="F15" s="280">
        <v>45657</v>
      </c>
      <c r="G15" s="284">
        <v>1854.91</v>
      </c>
      <c r="H15" s="286">
        <v>220</v>
      </c>
      <c r="I15" s="281">
        <v>23.68</v>
      </c>
      <c r="J15" s="281">
        <f t="shared" si="0"/>
        <v>11.84</v>
      </c>
      <c r="K15" s="277"/>
      <c r="L15" s="277"/>
      <c r="M15" s="283"/>
      <c r="N15" s="283" t="s">
        <v>409</v>
      </c>
      <c r="O15" s="283"/>
      <c r="P15" s="283">
        <v>0.06</v>
      </c>
      <c r="Q15" s="283">
        <v>0.19</v>
      </c>
      <c r="R15" s="281">
        <v>19.420000000000002</v>
      </c>
      <c r="S15" s="281"/>
      <c r="T15" s="386">
        <v>0.05</v>
      </c>
    </row>
    <row r="16" spans="1:20">
      <c r="A16" s="287" t="s">
        <v>398</v>
      </c>
      <c r="B16" s="285">
        <v>4222</v>
      </c>
      <c r="C16" s="278" t="s">
        <v>152</v>
      </c>
      <c r="D16" s="279" t="s">
        <v>558</v>
      </c>
      <c r="E16" s="280">
        <v>45292</v>
      </c>
      <c r="F16" s="280">
        <v>45657</v>
      </c>
      <c r="G16" s="284">
        <v>1741.66</v>
      </c>
      <c r="H16" s="286">
        <v>180</v>
      </c>
      <c r="I16" s="281"/>
      <c r="J16" s="281">
        <v>11.84</v>
      </c>
      <c r="K16" s="277"/>
      <c r="L16" s="277"/>
      <c r="M16" s="283"/>
      <c r="N16" s="283" t="s">
        <v>409</v>
      </c>
      <c r="O16" s="283"/>
      <c r="P16" s="283">
        <v>0.06</v>
      </c>
      <c r="Q16" s="283">
        <v>0.19</v>
      </c>
      <c r="R16" s="281">
        <v>19.420000000000002</v>
      </c>
      <c r="S16" s="281"/>
      <c r="T16" s="386">
        <v>0.05</v>
      </c>
    </row>
    <row r="17" spans="1:20">
      <c r="A17" s="287" t="s">
        <v>383</v>
      </c>
      <c r="B17" s="285">
        <v>5173</v>
      </c>
      <c r="C17" s="278" t="s">
        <v>384</v>
      </c>
      <c r="D17" s="279" t="s">
        <v>589</v>
      </c>
      <c r="E17" s="280">
        <v>45323</v>
      </c>
      <c r="F17" s="280">
        <v>45688</v>
      </c>
      <c r="G17" s="284">
        <v>1977.8</v>
      </c>
      <c r="H17" s="286">
        <v>220</v>
      </c>
      <c r="I17" s="281">
        <v>27</v>
      </c>
      <c r="J17" s="281"/>
      <c r="K17" s="277"/>
      <c r="L17" s="288">
        <f>G17/H17*1.3/6</f>
        <v>1.9478333333333335</v>
      </c>
      <c r="M17" s="283"/>
      <c r="N17" s="283" t="s">
        <v>408</v>
      </c>
      <c r="O17" s="283">
        <v>0.3</v>
      </c>
      <c r="P17" s="283">
        <v>0.06</v>
      </c>
      <c r="Q17" s="283">
        <v>0.2</v>
      </c>
      <c r="R17" s="281"/>
      <c r="S17" s="281">
        <v>19.420000000000002</v>
      </c>
      <c r="T17" s="386">
        <v>2.5000000000000001E-2</v>
      </c>
    </row>
    <row r="18" spans="1:20">
      <c r="A18" s="287" t="s">
        <v>379</v>
      </c>
      <c r="B18" s="285">
        <v>7823</v>
      </c>
      <c r="C18" s="278" t="s">
        <v>380</v>
      </c>
      <c r="D18" s="279" t="s">
        <v>402</v>
      </c>
      <c r="E18" s="280">
        <v>44470</v>
      </c>
      <c r="F18" s="280">
        <v>44834</v>
      </c>
      <c r="G18" s="284">
        <f>1698*1.06</f>
        <v>1799.88</v>
      </c>
      <c r="H18" s="286">
        <v>220</v>
      </c>
      <c r="I18" s="281">
        <f>21.1*1.06</f>
        <v>22.366000000000003</v>
      </c>
      <c r="J18" s="281"/>
      <c r="K18" s="277"/>
      <c r="L18" s="277"/>
      <c r="M18" s="283"/>
      <c r="N18" s="283" t="s">
        <v>408</v>
      </c>
      <c r="O18" s="283"/>
      <c r="P18" s="283">
        <v>0.06</v>
      </c>
      <c r="Q18" s="283">
        <v>0.2</v>
      </c>
      <c r="R18" s="281"/>
      <c r="S18" s="281">
        <v>19.420000000000002</v>
      </c>
      <c r="T18" s="386">
        <v>2.5000000000000001E-2</v>
      </c>
    </row>
    <row r="19" spans="1:20">
      <c r="A19" s="287" t="s">
        <v>378</v>
      </c>
      <c r="B19" s="285">
        <v>7823</v>
      </c>
      <c r="C19" s="278" t="s">
        <v>380</v>
      </c>
      <c r="D19" s="279" t="s">
        <v>402</v>
      </c>
      <c r="E19" s="280">
        <v>44470</v>
      </c>
      <c r="F19" s="280">
        <v>44834</v>
      </c>
      <c r="G19" s="284">
        <f>1753*1.06</f>
        <v>1858.18</v>
      </c>
      <c r="H19" s="286">
        <v>220</v>
      </c>
      <c r="I19" s="281">
        <f>21.1*1.06</f>
        <v>22.366000000000003</v>
      </c>
      <c r="J19" s="281"/>
      <c r="K19" s="277"/>
      <c r="L19" s="277"/>
      <c r="M19" s="283"/>
      <c r="N19" s="283" t="s">
        <v>408</v>
      </c>
      <c r="O19" s="283"/>
      <c r="P19" s="283">
        <v>0.06</v>
      </c>
      <c r="Q19" s="283">
        <v>0.2</v>
      </c>
      <c r="R19" s="281"/>
      <c r="S19" s="281">
        <v>19.420000000000002</v>
      </c>
      <c r="T19" s="386">
        <v>2.5000000000000001E-2</v>
      </c>
    </row>
    <row r="20" spans="1:20">
      <c r="A20" s="277" t="s">
        <v>515</v>
      </c>
      <c r="B20" s="285">
        <v>7825</v>
      </c>
      <c r="C20" s="278" t="s">
        <v>380</v>
      </c>
      <c r="D20" s="279" t="s">
        <v>402</v>
      </c>
      <c r="E20" s="280">
        <v>44470</v>
      </c>
      <c r="F20" s="280">
        <v>44834</v>
      </c>
      <c r="G20" s="284">
        <f>1724*1.06</f>
        <v>1827.44</v>
      </c>
      <c r="H20" s="286">
        <v>220</v>
      </c>
      <c r="I20" s="281">
        <f>21.1*1.06</f>
        <v>22.366000000000003</v>
      </c>
      <c r="J20" s="281"/>
      <c r="K20" s="277"/>
      <c r="L20" s="277"/>
      <c r="M20" s="283"/>
      <c r="N20" s="283" t="s">
        <v>408</v>
      </c>
      <c r="O20" s="283"/>
      <c r="P20" s="283">
        <v>0.06</v>
      </c>
      <c r="Q20" s="283">
        <v>0.2</v>
      </c>
      <c r="R20" s="281"/>
      <c r="S20" s="281">
        <v>19.420000000000002</v>
      </c>
      <c r="T20" s="386">
        <v>2.5000000000000001E-2</v>
      </c>
    </row>
    <row r="21" spans="1:20">
      <c r="A21" s="289" t="s">
        <v>516</v>
      </c>
      <c r="B21" s="298">
        <v>7825</v>
      </c>
      <c r="C21" s="290" t="s">
        <v>380</v>
      </c>
      <c r="D21" s="291" t="s">
        <v>402</v>
      </c>
      <c r="E21" s="292">
        <v>44470</v>
      </c>
      <c r="F21" s="292">
        <v>44834</v>
      </c>
      <c r="G21" s="293">
        <f>1767*1.06</f>
        <v>1873.02</v>
      </c>
      <c r="H21" s="294">
        <v>220</v>
      </c>
      <c r="I21" s="295">
        <f>21.1*1.06</f>
        <v>22.366000000000003</v>
      </c>
      <c r="J21" s="295"/>
      <c r="K21" s="296"/>
      <c r="L21" s="296"/>
      <c r="M21" s="297"/>
      <c r="N21" s="297" t="s">
        <v>408</v>
      </c>
      <c r="O21" s="297"/>
      <c r="P21" s="297">
        <v>0.06</v>
      </c>
      <c r="Q21" s="297">
        <v>0.2</v>
      </c>
      <c r="R21" s="295"/>
      <c r="S21" s="295">
        <v>19.420000000000002</v>
      </c>
      <c r="T21" s="507">
        <v>2.5000000000000001E-2</v>
      </c>
    </row>
    <row r="22" spans="1:20">
      <c r="A22"/>
      <c r="E22" s="72"/>
      <c r="F22" s="72"/>
      <c r="R22" s="77"/>
      <c r="S22" s="77"/>
      <c r="T22" s="77"/>
    </row>
    <row r="23" spans="1:20">
      <c r="C23"/>
      <c r="E23" s="72"/>
      <c r="F23" s="72"/>
      <c r="R23" s="77"/>
      <c r="S23" s="77"/>
      <c r="T23" s="77"/>
    </row>
    <row r="24" spans="1:20">
      <c r="E24" s="72"/>
      <c r="F24" s="72"/>
      <c r="R24" s="77"/>
      <c r="S24" s="77"/>
      <c r="T24" s="77"/>
    </row>
    <row r="25" spans="1:20">
      <c r="C25"/>
      <c r="E25" s="72"/>
      <c r="F25" s="72"/>
      <c r="R25" s="77"/>
      <c r="S25" s="77"/>
      <c r="T25" s="7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99"/>
      <c r="C30"/>
      <c r="E30" s="72"/>
      <c r="F30" s="72"/>
    </row>
    <row r="31" spans="1:20">
      <c r="I31"/>
    </row>
    <row r="32" spans="1:20">
      <c r="C32"/>
      <c r="E32" s="72"/>
      <c r="F32" s="72"/>
    </row>
    <row r="33" spans="1:9">
      <c r="B33" s="299"/>
      <c r="C33"/>
      <c r="E33" s="72"/>
      <c r="F33" s="72"/>
    </row>
    <row r="34" spans="1:9">
      <c r="A34"/>
      <c r="E34" s="72"/>
      <c r="F34" s="72"/>
      <c r="I34"/>
    </row>
    <row r="35" spans="1:9">
      <c r="A35"/>
      <c r="E35" s="72"/>
      <c r="F35" s="7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72"/>
      <c r="F43" s="72"/>
      <c r="I43"/>
    </row>
    <row r="44" spans="1:9">
      <c r="I44"/>
    </row>
    <row r="45" spans="1:9">
      <c r="B45" s="299"/>
      <c r="C45"/>
      <c r="I45"/>
    </row>
    <row r="46" spans="1:9">
      <c r="A46"/>
      <c r="C46"/>
      <c r="E46" s="72"/>
      <c r="F46" s="72"/>
      <c r="I46"/>
    </row>
    <row r="47" spans="1:9">
      <c r="C47"/>
      <c r="E47" s="72"/>
      <c r="F47" s="72"/>
      <c r="I47"/>
    </row>
    <row r="48" spans="1:9">
      <c r="A48"/>
      <c r="C48"/>
      <c r="E48" s="72"/>
      <c r="F48" s="72"/>
      <c r="I48"/>
    </row>
    <row r="49" spans="1:9">
      <c r="C49"/>
      <c r="E49" s="72"/>
      <c r="F49" s="72"/>
      <c r="I49"/>
    </row>
    <row r="50" spans="1:9">
      <c r="C50"/>
      <c r="E50" s="72"/>
      <c r="F50" s="72"/>
      <c r="I50"/>
    </row>
    <row r="51" spans="1:9">
      <c r="C51"/>
      <c r="E51" s="72"/>
      <c r="F51" s="72"/>
      <c r="I51"/>
    </row>
    <row r="52" spans="1:9">
      <c r="C52"/>
      <c r="E52" s="72"/>
      <c r="F52" s="72"/>
      <c r="I52"/>
    </row>
    <row r="53" spans="1:9">
      <c r="C53"/>
      <c r="E53" s="72"/>
      <c r="F53" s="72"/>
      <c r="I53"/>
    </row>
    <row r="54" spans="1:9">
      <c r="E54" s="72"/>
      <c r="F54" s="72"/>
      <c r="I54"/>
    </row>
    <row r="55" spans="1:9">
      <c r="C55"/>
      <c r="E55" s="72"/>
      <c r="F55" s="72"/>
      <c r="I55"/>
    </row>
    <row r="56" spans="1:9">
      <c r="A56"/>
      <c r="C56"/>
      <c r="E56" s="72"/>
      <c r="F56" s="72"/>
      <c r="I56"/>
    </row>
    <row r="57" spans="1:9">
      <c r="C57"/>
      <c r="E57" s="72"/>
      <c r="F57" s="72"/>
      <c r="I57"/>
    </row>
    <row r="58" spans="1:9">
      <c r="C58"/>
      <c r="E58" s="72"/>
      <c r="F58" s="72"/>
      <c r="I58"/>
    </row>
    <row r="59" spans="1:9">
      <c r="A59"/>
      <c r="C59"/>
      <c r="E59" s="72"/>
      <c r="F59" s="7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74"/>
      <c r="B63" s="299"/>
      <c r="C63" s="73"/>
      <c r="E63" s="72"/>
      <c r="F63" s="72"/>
    </row>
    <row r="64" spans="1:9">
      <c r="A64" s="74"/>
      <c r="B64" s="299"/>
      <c r="C64" s="73"/>
      <c r="E64" s="72"/>
      <c r="F64" s="72"/>
    </row>
    <row r="65" spans="1:9">
      <c r="C65"/>
      <c r="E65" s="72"/>
      <c r="F65" s="72"/>
    </row>
    <row r="66" spans="1:9">
      <c r="C66"/>
      <c r="E66" s="72"/>
      <c r="F66" s="72"/>
    </row>
    <row r="67" spans="1:9">
      <c r="C67"/>
      <c r="E67" s="72"/>
      <c r="F67" s="72"/>
    </row>
    <row r="68" spans="1:9">
      <c r="A68"/>
      <c r="E68" s="72"/>
      <c r="F68" s="72"/>
    </row>
    <row r="69" spans="1:9">
      <c r="A69"/>
      <c r="C69"/>
      <c r="E69" s="72"/>
      <c r="F69" s="72"/>
      <c r="I69"/>
    </row>
    <row r="70" spans="1:9">
      <c r="E70" s="72"/>
      <c r="F70" s="72"/>
    </row>
    <row r="71" spans="1:9">
      <c r="E71" s="72"/>
      <c r="F71" s="72"/>
    </row>
    <row r="72" spans="1:9">
      <c r="C72"/>
      <c r="E72" s="72"/>
      <c r="F72" s="72"/>
    </row>
    <row r="73" spans="1:9">
      <c r="E73" s="72"/>
      <c r="F73" s="72"/>
    </row>
    <row r="74" spans="1:9">
      <c r="E74" s="72"/>
      <c r="F74" s="72"/>
    </row>
    <row r="75" spans="1:9">
      <c r="E75" s="72"/>
      <c r="F75" s="72"/>
    </row>
    <row r="76" spans="1:9">
      <c r="A76"/>
      <c r="B76" s="299"/>
      <c r="E76" s="72"/>
      <c r="F76" s="72"/>
    </row>
    <row r="77" spans="1:9">
      <c r="E77" s="72"/>
      <c r="F77" s="72"/>
    </row>
    <row r="78" spans="1:9">
      <c r="A78"/>
      <c r="C78" s="73"/>
      <c r="E78" s="72"/>
      <c r="F78" s="72"/>
    </row>
    <row r="79" spans="1:9">
      <c r="C79"/>
      <c r="E79" s="72"/>
      <c r="F79" s="72"/>
      <c r="I79"/>
    </row>
    <row r="80" spans="1:9">
      <c r="C80"/>
      <c r="E80" s="72"/>
      <c r="F80" s="7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72"/>
      <c r="F85" s="72"/>
      <c r="I85"/>
    </row>
    <row r="86" spans="1:10">
      <c r="A86"/>
      <c r="I86"/>
    </row>
    <row r="87" spans="1:10">
      <c r="A87"/>
      <c r="I87"/>
    </row>
    <row r="88" spans="1:10">
      <c r="A88"/>
      <c r="C88" s="73"/>
      <c r="E88" s="72"/>
      <c r="F88" s="72"/>
    </row>
    <row r="89" spans="1:10">
      <c r="A89" s="74"/>
      <c r="C89"/>
      <c r="E89" s="72"/>
      <c r="F89" s="72"/>
      <c r="I89"/>
    </row>
    <row r="90" spans="1:10">
      <c r="A90" s="74"/>
      <c r="C90"/>
      <c r="E90" s="72"/>
      <c r="F90" s="72"/>
      <c r="I90"/>
    </row>
    <row r="91" spans="1:10">
      <c r="C91"/>
      <c r="E91" s="72"/>
      <c r="F91" s="72"/>
      <c r="I91"/>
    </row>
    <row r="92" spans="1:10">
      <c r="A92" s="68"/>
      <c r="D92" s="2"/>
      <c r="E92" s="71"/>
      <c r="F92" s="71"/>
      <c r="G92" s="70"/>
      <c r="H92" s="76"/>
      <c r="I92" s="70"/>
      <c r="J92" s="2"/>
    </row>
    <row r="93" spans="1:10">
      <c r="A93" s="68"/>
      <c r="D93" s="2"/>
      <c r="E93" s="71"/>
      <c r="F93" s="71"/>
      <c r="G93" s="70"/>
      <c r="H93" s="76"/>
      <c r="I93" s="70"/>
      <c r="J93" s="2"/>
    </row>
    <row r="94" spans="1:10">
      <c r="A94" s="68"/>
      <c r="D94" s="2"/>
      <c r="E94" s="71"/>
      <c r="F94" s="71"/>
      <c r="G94" s="70"/>
      <c r="H94" s="76"/>
      <c r="I94" s="70"/>
      <c r="J94" s="2"/>
    </row>
    <row r="95" spans="1:10">
      <c r="A95" s="68"/>
      <c r="D95" s="2"/>
      <c r="E95" s="71"/>
      <c r="F95" s="71"/>
      <c r="G95" s="70"/>
      <c r="H95" s="76"/>
      <c r="I95" s="7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69" customFormat="1">
      <c r="A103"/>
      <c r="B103" s="2"/>
      <c r="D103"/>
      <c r="E103"/>
      <c r="F103"/>
      <c r="G103" s="46"/>
      <c r="H103" s="79"/>
      <c r="I103" s="46"/>
      <c r="J103"/>
    </row>
    <row r="104" spans="1:10" s="69" customFormat="1">
      <c r="A104"/>
      <c r="B104" s="2"/>
      <c r="D104"/>
      <c r="E104"/>
      <c r="F104"/>
      <c r="G104" s="46"/>
      <c r="H104" s="79"/>
      <c r="I104" s="46"/>
      <c r="J104"/>
    </row>
    <row r="105" spans="1:10" s="69" customFormat="1">
      <c r="A105"/>
      <c r="B105" s="2"/>
      <c r="D105"/>
      <c r="E105"/>
      <c r="F105"/>
      <c r="G105" s="46"/>
      <c r="H105" s="79"/>
      <c r="I105" s="46"/>
      <c r="J105"/>
    </row>
    <row r="106" spans="1:10" s="69" customFormat="1">
      <c r="A106"/>
      <c r="B106" s="2"/>
      <c r="D106"/>
      <c r="E106"/>
      <c r="F106"/>
      <c r="G106" s="46"/>
      <c r="H106" s="79"/>
      <c r="I106" s="46"/>
      <c r="J106"/>
    </row>
    <row r="107" spans="1:10" s="69" customFormat="1">
      <c r="A107"/>
      <c r="B107" s="2"/>
      <c r="D107"/>
      <c r="E107"/>
      <c r="F107"/>
      <c r="G107" s="46"/>
      <c r="H107" s="79"/>
      <c r="I107" s="46"/>
      <c r="J107"/>
    </row>
    <row r="108" spans="1:10" s="69" customFormat="1">
      <c r="A108"/>
      <c r="B108" s="2"/>
      <c r="D108"/>
      <c r="E108"/>
      <c r="F108"/>
      <c r="G108" s="46"/>
      <c r="H108" s="79"/>
      <c r="I108" s="46"/>
      <c r="J108"/>
    </row>
    <row r="109" spans="1:10" s="69" customFormat="1">
      <c r="A109"/>
      <c r="B109" s="2"/>
      <c r="D109"/>
      <c r="E109"/>
      <c r="F109"/>
      <c r="G109" s="46"/>
      <c r="H109" s="79"/>
      <c r="I109" s="46"/>
      <c r="J109"/>
    </row>
    <row r="110" spans="1:10" s="69" customFormat="1">
      <c r="A110"/>
      <c r="B110" s="2"/>
      <c r="D110"/>
      <c r="E110"/>
      <c r="F110"/>
      <c r="G110" s="46"/>
      <c r="H110" s="79"/>
      <c r="I110" s="46"/>
      <c r="J110"/>
    </row>
    <row r="111" spans="1:10" s="69" customFormat="1">
      <c r="A111"/>
      <c r="B111" s="2"/>
      <c r="D111"/>
      <c r="E111"/>
      <c r="F111"/>
      <c r="G111" s="46"/>
      <c r="H111" s="79"/>
      <c r="I111" s="46"/>
      <c r="J111"/>
    </row>
    <row r="112" spans="1:10" s="69" customFormat="1">
      <c r="A112"/>
      <c r="B112" s="2"/>
      <c r="D112"/>
      <c r="E112"/>
      <c r="F112"/>
      <c r="G112" s="46"/>
      <c r="H112" s="79"/>
      <c r="I112" s="46"/>
      <c r="J112"/>
    </row>
    <row r="113" spans="1:10" s="69" customFormat="1">
      <c r="A113"/>
      <c r="B113" s="2"/>
      <c r="D113"/>
      <c r="E113"/>
      <c r="F113"/>
      <c r="G113" s="46"/>
      <c r="H113" s="79"/>
      <c r="I113" s="46"/>
      <c r="J113"/>
    </row>
    <row r="114" spans="1:10" s="69" customFormat="1">
      <c r="A114"/>
      <c r="B114" s="2"/>
      <c r="D114"/>
      <c r="E114"/>
      <c r="F114"/>
      <c r="G114" s="46"/>
      <c r="H114" s="79"/>
      <c r="I114" s="46"/>
      <c r="J114"/>
    </row>
    <row r="115" spans="1:10" s="69" customFormat="1">
      <c r="A115"/>
      <c r="B115" s="2"/>
      <c r="D115"/>
      <c r="E115"/>
      <c r="F115"/>
      <c r="G115" s="46"/>
      <c r="H115" s="79"/>
      <c r="I115" s="46"/>
      <c r="J115"/>
    </row>
    <row r="116" spans="1:10" s="69" customFormat="1">
      <c r="A116"/>
      <c r="B116" s="2"/>
      <c r="D116"/>
      <c r="E116"/>
      <c r="F116"/>
      <c r="G116" s="46"/>
      <c r="H116" s="79"/>
      <c r="I116" s="46"/>
      <c r="J116"/>
    </row>
    <row r="117" spans="1:10" s="69" customFormat="1">
      <c r="A117"/>
      <c r="B117" s="2"/>
      <c r="D117"/>
      <c r="E117"/>
      <c r="F117"/>
      <c r="G117" s="46"/>
      <c r="H117" s="79"/>
      <c r="I117" s="46"/>
      <c r="J117"/>
    </row>
    <row r="118" spans="1:10" s="69" customFormat="1">
      <c r="A118"/>
      <c r="B118" s="2"/>
      <c r="D118"/>
      <c r="E118"/>
      <c r="F118"/>
      <c r="G118" s="46"/>
      <c r="H118" s="79"/>
      <c r="I118" s="46"/>
      <c r="J118"/>
    </row>
    <row r="119" spans="1:10" s="69" customFormat="1">
      <c r="A119"/>
      <c r="B119" s="2"/>
      <c r="D119"/>
      <c r="E119"/>
      <c r="F119"/>
      <c r="G119" s="46"/>
      <c r="H119" s="79"/>
      <c r="I119" s="46"/>
      <c r="J119"/>
    </row>
    <row r="120" spans="1:10" s="69" customFormat="1">
      <c r="A120"/>
      <c r="B120" s="2"/>
      <c r="D120"/>
      <c r="E120"/>
      <c r="F120"/>
      <c r="G120" s="46"/>
      <c r="H120" s="79"/>
      <c r="I120" s="46"/>
      <c r="J120"/>
    </row>
    <row r="121" spans="1:10" s="69" customFormat="1">
      <c r="A121"/>
      <c r="B121" s="2"/>
      <c r="D121"/>
      <c r="E121"/>
      <c r="F121"/>
      <c r="G121" s="46"/>
      <c r="H121" s="79"/>
      <c r="I121" s="46"/>
      <c r="J121"/>
    </row>
    <row r="122" spans="1:10" s="69" customFormat="1">
      <c r="A122"/>
      <c r="B122" s="2"/>
      <c r="D122"/>
      <c r="E122"/>
      <c r="F122"/>
      <c r="G122" s="46"/>
      <c r="H122" s="79"/>
      <c r="I122" s="46"/>
      <c r="J122"/>
    </row>
    <row r="123" spans="1:10" s="69" customFormat="1">
      <c r="A123"/>
      <c r="B123" s="2"/>
      <c r="D123"/>
      <c r="E123"/>
      <c r="F123"/>
      <c r="G123" s="46"/>
      <c r="H123" s="79"/>
      <c r="I123" s="46"/>
      <c r="J123"/>
    </row>
    <row r="124" spans="1:10" s="69" customFormat="1">
      <c r="A124"/>
      <c r="B124" s="2"/>
      <c r="D124"/>
      <c r="E124"/>
      <c r="F124"/>
      <c r="G124" s="46"/>
      <c r="H124" s="79"/>
      <c r="I124" s="46"/>
      <c r="J124"/>
    </row>
    <row r="125" spans="1:10" s="69" customFormat="1">
      <c r="A125"/>
      <c r="B125" s="2"/>
      <c r="D125"/>
      <c r="E125"/>
      <c r="F125"/>
      <c r="G125" s="46"/>
      <c r="H125" s="79"/>
      <c r="I125" s="46"/>
      <c r="J125"/>
    </row>
    <row r="126" spans="1:10" s="69" customFormat="1">
      <c r="A126"/>
      <c r="B126" s="2"/>
      <c r="D126"/>
      <c r="E126"/>
      <c r="F126"/>
      <c r="G126" s="46"/>
      <c r="H126" s="79"/>
      <c r="I126" s="46"/>
      <c r="J126"/>
    </row>
    <row r="127" spans="1:10" s="69" customFormat="1">
      <c r="A127"/>
      <c r="B127" s="2"/>
      <c r="D127"/>
      <c r="E127"/>
      <c r="F127"/>
      <c r="G127" s="46"/>
      <c r="H127" s="79"/>
      <c r="I127" s="46"/>
      <c r="J127"/>
    </row>
    <row r="128" spans="1:10" s="69" customFormat="1">
      <c r="A128"/>
      <c r="B128" s="2"/>
      <c r="D128"/>
      <c r="E128"/>
      <c r="F128"/>
      <c r="G128" s="46"/>
      <c r="H128" s="79"/>
      <c r="I128" s="46"/>
      <c r="J128"/>
    </row>
    <row r="129" spans="1:10" s="69" customFormat="1">
      <c r="A129"/>
      <c r="B129" s="2"/>
      <c r="D129"/>
      <c r="E129"/>
      <c r="F129"/>
      <c r="G129" s="46"/>
      <c r="H129" s="79"/>
      <c r="I129" s="46"/>
      <c r="J129"/>
    </row>
    <row r="130" spans="1:10" s="69" customFormat="1">
      <c r="A130"/>
      <c r="B130" s="2"/>
      <c r="D130"/>
      <c r="E130"/>
      <c r="F130"/>
      <c r="G130" s="46"/>
      <c r="H130" s="79"/>
      <c r="I130" s="46"/>
      <c r="J130"/>
    </row>
    <row r="131" spans="1:10" s="69" customFormat="1">
      <c r="A131"/>
      <c r="B131" s="2"/>
      <c r="D131"/>
      <c r="E131"/>
      <c r="F131"/>
      <c r="G131" s="46"/>
      <c r="H131" s="79"/>
      <c r="I131" s="46"/>
      <c r="J131"/>
    </row>
    <row r="132" spans="1:10" s="69" customFormat="1">
      <c r="A132"/>
      <c r="B132" s="2"/>
      <c r="D132"/>
      <c r="E132"/>
      <c r="F132"/>
      <c r="G132" s="46"/>
      <c r="H132" s="79"/>
      <c r="I132" s="46"/>
      <c r="J132"/>
    </row>
    <row r="133" spans="1:10" s="69" customFormat="1">
      <c r="A133"/>
      <c r="B133" s="2"/>
      <c r="D133"/>
      <c r="E133"/>
      <c r="F133"/>
      <c r="G133" s="46"/>
      <c r="H133" s="79"/>
      <c r="I133" s="46"/>
      <c r="J133"/>
    </row>
    <row r="134" spans="1:10" s="69" customFormat="1">
      <c r="A134"/>
      <c r="B134" s="2"/>
      <c r="D134"/>
      <c r="E134"/>
      <c r="F134"/>
      <c r="G134" s="46"/>
      <c r="H134" s="79"/>
      <c r="I134" s="46"/>
      <c r="J134"/>
    </row>
    <row r="135" spans="1:10" s="69" customFormat="1">
      <c r="A135"/>
      <c r="B135" s="2"/>
      <c r="D135"/>
      <c r="E135"/>
      <c r="F135"/>
      <c r="G135" s="46"/>
      <c r="H135" s="79"/>
      <c r="I135" s="46"/>
      <c r="J135"/>
    </row>
    <row r="136" spans="1:10" s="69" customFormat="1">
      <c r="A136"/>
      <c r="B136" s="2"/>
      <c r="D136"/>
      <c r="E136"/>
      <c r="F136"/>
      <c r="G136" s="46"/>
      <c r="H136" s="79"/>
      <c r="I136" s="46"/>
      <c r="J136"/>
    </row>
    <row r="137" spans="1:10" s="69" customFormat="1">
      <c r="A137"/>
      <c r="B137" s="2"/>
      <c r="D137"/>
      <c r="E137"/>
      <c r="F137"/>
      <c r="G137" s="46"/>
      <c r="H137" s="79"/>
      <c r="I137" s="46"/>
      <c r="J137"/>
    </row>
    <row r="138" spans="1:10" s="69" customFormat="1">
      <c r="A138"/>
      <c r="B138" s="2"/>
      <c r="D138"/>
      <c r="E138"/>
      <c r="F138"/>
      <c r="G138" s="46"/>
      <c r="H138" s="79"/>
      <c r="I138" s="46"/>
      <c r="J138"/>
    </row>
    <row r="139" spans="1:10" s="69" customFormat="1">
      <c r="A139"/>
      <c r="B139" s="2"/>
      <c r="D139"/>
      <c r="E139"/>
      <c r="F139"/>
      <c r="G139" s="46"/>
      <c r="H139" s="79"/>
      <c r="I139" s="46"/>
      <c r="J139"/>
    </row>
    <row r="140" spans="1:10" s="69" customFormat="1">
      <c r="A140"/>
      <c r="B140" s="2"/>
      <c r="D140"/>
      <c r="E140"/>
      <c r="F140"/>
      <c r="G140" s="46"/>
      <c r="H140" s="79"/>
      <c r="I140" s="46"/>
      <c r="J140"/>
    </row>
    <row r="141" spans="1:10" s="69" customFormat="1">
      <c r="A141"/>
      <c r="B141" s="2"/>
      <c r="D141"/>
      <c r="E141"/>
      <c r="F141"/>
      <c r="G141" s="46"/>
      <c r="H141" s="79"/>
      <c r="I141" s="46"/>
      <c r="J141"/>
    </row>
    <row r="142" spans="1:10" s="69" customFormat="1">
      <c r="A142" s="38"/>
      <c r="B142" s="2"/>
      <c r="D142"/>
      <c r="E142"/>
      <c r="F142"/>
      <c r="G142" s="46"/>
      <c r="H142" s="79"/>
      <c r="I142" s="46"/>
      <c r="J142"/>
    </row>
    <row r="143" spans="1:10" s="69" customFormat="1">
      <c r="A143" s="38"/>
      <c r="B143" s="2"/>
      <c r="D143"/>
      <c r="E143"/>
      <c r="F143"/>
      <c r="G143" s="46"/>
      <c r="H143" s="79"/>
      <c r="I143" s="46"/>
      <c r="J143"/>
    </row>
    <row r="144" spans="1:10" s="69" customFormat="1">
      <c r="A144" s="38"/>
      <c r="B144" s="2"/>
      <c r="D144"/>
      <c r="E144"/>
      <c r="F144"/>
      <c r="G144" s="46"/>
      <c r="H144" s="79"/>
      <c r="I144" s="46"/>
      <c r="J144"/>
    </row>
    <row r="145" spans="1:10" s="69" customFormat="1">
      <c r="A145" s="38"/>
      <c r="B145" s="2"/>
      <c r="D145"/>
      <c r="E145"/>
      <c r="F145"/>
      <c r="G145" s="46"/>
      <c r="H145" s="79"/>
      <c r="I145" s="46"/>
      <c r="J145"/>
    </row>
    <row r="146" spans="1:10" s="69" customFormat="1">
      <c r="A146" s="38"/>
      <c r="B146" s="2"/>
      <c r="D146"/>
      <c r="E146"/>
      <c r="F146"/>
      <c r="G146" s="46"/>
      <c r="H146" s="79"/>
      <c r="I146" s="46"/>
      <c r="J146"/>
    </row>
    <row r="147" spans="1:10" s="69" customFormat="1">
      <c r="A147" s="38"/>
      <c r="B147" s="2"/>
      <c r="D147"/>
      <c r="E147"/>
      <c r="F147"/>
      <c r="G147" s="46"/>
      <c r="H147" s="79"/>
      <c r="I147" s="46"/>
      <c r="J147"/>
    </row>
    <row r="148" spans="1:10" s="69" customFormat="1">
      <c r="A148" s="38"/>
      <c r="B148" s="2"/>
      <c r="D148"/>
      <c r="E148"/>
      <c r="F148"/>
      <c r="G148" s="46"/>
      <c r="H148" s="79"/>
      <c r="I148" s="46"/>
      <c r="J148"/>
    </row>
    <row r="149" spans="1:10" s="69" customFormat="1">
      <c r="A149" s="38"/>
      <c r="B149" s="2"/>
      <c r="D149"/>
      <c r="E149"/>
      <c r="F149"/>
      <c r="G149" s="46"/>
      <c r="H149" s="79"/>
      <c r="I149" s="46"/>
      <c r="J149"/>
    </row>
    <row r="150" spans="1:10" s="69" customFormat="1">
      <c r="A150" s="38"/>
      <c r="B150" s="2"/>
      <c r="D150"/>
      <c r="E150"/>
      <c r="F150"/>
      <c r="G150" s="46"/>
      <c r="H150" s="79"/>
      <c r="I150" s="46"/>
      <c r="J150"/>
    </row>
    <row r="151" spans="1:10" s="69" customFormat="1">
      <c r="A151" s="38"/>
      <c r="B151" s="2"/>
      <c r="D151"/>
      <c r="E151"/>
      <c r="F151"/>
      <c r="G151" s="46"/>
      <c r="H151" s="79"/>
      <c r="I151" s="46"/>
      <c r="J151"/>
    </row>
    <row r="152" spans="1:10" s="69" customFormat="1">
      <c r="A152" s="38"/>
      <c r="B152" s="2"/>
      <c r="D152"/>
      <c r="E152"/>
      <c r="F152"/>
      <c r="G152" s="46"/>
      <c r="H152" s="79"/>
      <c r="I152" s="46"/>
      <c r="J152"/>
    </row>
    <row r="153" spans="1:10" s="69" customFormat="1">
      <c r="A153" s="38"/>
      <c r="B153" s="2"/>
      <c r="D153"/>
      <c r="E153"/>
      <c r="F153"/>
      <c r="G153" s="46"/>
      <c r="H153" s="79"/>
      <c r="I153" s="46"/>
      <c r="J153"/>
    </row>
    <row r="154" spans="1:10" s="69" customFormat="1">
      <c r="A154" s="38"/>
      <c r="B154" s="2"/>
      <c r="D154"/>
      <c r="E154"/>
      <c r="F154"/>
      <c r="G154" s="46"/>
      <c r="H154" s="79"/>
      <c r="I154" s="46"/>
      <c r="J154"/>
    </row>
    <row r="155" spans="1:10" s="69" customFormat="1">
      <c r="A155" s="38"/>
      <c r="B155" s="2"/>
      <c r="D155"/>
      <c r="E155"/>
      <c r="F155"/>
      <c r="G155" s="46"/>
      <c r="H155" s="79"/>
      <c r="I155" s="46"/>
      <c r="J155"/>
    </row>
    <row r="156" spans="1:10" s="69" customFormat="1">
      <c r="A156" s="38"/>
      <c r="B156" s="2"/>
      <c r="D156"/>
      <c r="E156"/>
      <c r="F156"/>
      <c r="G156" s="46"/>
      <c r="H156" s="79"/>
      <c r="I156" s="46"/>
      <c r="J156"/>
    </row>
    <row r="157" spans="1:10" s="69" customFormat="1">
      <c r="A157" s="38"/>
      <c r="B157" s="2"/>
      <c r="D157"/>
      <c r="E157"/>
      <c r="F157"/>
      <c r="G157" s="46"/>
      <c r="H157" s="79"/>
      <c r="I157" s="46"/>
      <c r="J157"/>
    </row>
    <row r="158" spans="1:10" s="69" customFormat="1">
      <c r="A158" s="38"/>
      <c r="B158" s="2"/>
      <c r="D158"/>
      <c r="E158"/>
      <c r="F158"/>
      <c r="G158" s="46"/>
      <c r="H158" s="79"/>
      <c r="I158" s="46"/>
      <c r="J158"/>
    </row>
    <row r="159" spans="1:10" s="69" customFormat="1">
      <c r="A159" s="38"/>
      <c r="B159" s="2"/>
      <c r="D159"/>
      <c r="E159"/>
      <c r="F159"/>
      <c r="G159" s="46"/>
      <c r="H159" s="79"/>
      <c r="I159" s="46"/>
      <c r="J159"/>
    </row>
    <row r="160" spans="1:10" s="69" customFormat="1">
      <c r="A160" s="38"/>
      <c r="B160" s="2"/>
      <c r="D160"/>
      <c r="E160"/>
      <c r="F160"/>
      <c r="G160" s="46"/>
      <c r="H160" s="79"/>
      <c r="I160" s="46"/>
      <c r="J160"/>
    </row>
    <row r="161" spans="1:10" s="69" customFormat="1">
      <c r="A161" s="38"/>
      <c r="B161" s="2"/>
      <c r="D161"/>
      <c r="E161"/>
      <c r="F161"/>
      <c r="G161" s="46"/>
      <c r="H161" s="79"/>
      <c r="I161" s="46"/>
      <c r="J161"/>
    </row>
    <row r="162" spans="1:10" s="69" customFormat="1">
      <c r="A162" s="38"/>
      <c r="B162" s="2"/>
      <c r="D162"/>
      <c r="E162"/>
      <c r="F162"/>
      <c r="G162" s="46"/>
      <c r="H162" s="79"/>
      <c r="I162" s="46"/>
      <c r="J162"/>
    </row>
    <row r="163" spans="1:10" s="69" customFormat="1">
      <c r="A163" s="38"/>
      <c r="B163" s="2"/>
      <c r="D163"/>
      <c r="E163"/>
      <c r="F163"/>
      <c r="G163" s="46"/>
      <c r="H163" s="79"/>
      <c r="I163" s="46"/>
      <c r="J163"/>
    </row>
    <row r="164" spans="1:10" s="69" customFormat="1">
      <c r="A164" s="38"/>
      <c r="B164" s="2"/>
      <c r="D164"/>
      <c r="E164"/>
      <c r="F164"/>
      <c r="G164" s="46"/>
      <c r="H164" s="79"/>
      <c r="I164" s="46"/>
      <c r="J164"/>
    </row>
    <row r="165" spans="1:10" s="69" customFormat="1">
      <c r="A165" s="38"/>
      <c r="B165" s="2"/>
      <c r="D165"/>
      <c r="E165"/>
      <c r="F165"/>
      <c r="G165" s="46"/>
      <c r="H165" s="79"/>
      <c r="I165" s="46"/>
      <c r="J165"/>
    </row>
    <row r="166" spans="1:10" s="69" customFormat="1">
      <c r="A166" s="38"/>
      <c r="B166" s="2"/>
      <c r="D166"/>
      <c r="E166"/>
      <c r="F166"/>
      <c r="G166" s="46"/>
      <c r="H166" s="79"/>
      <c r="I166" s="46"/>
      <c r="J166"/>
    </row>
    <row r="167" spans="1:10" s="69" customFormat="1">
      <c r="A167" s="38"/>
      <c r="B167" s="2"/>
      <c r="D167"/>
      <c r="E167"/>
      <c r="F167"/>
      <c r="G167" s="46"/>
      <c r="H167" s="79"/>
      <c r="I167" s="46"/>
      <c r="J167"/>
    </row>
    <row r="168" spans="1:10" s="69" customFormat="1">
      <c r="A168" s="38"/>
      <c r="B168" s="2"/>
      <c r="D168"/>
      <c r="E168"/>
      <c r="F168"/>
      <c r="G168" s="46"/>
      <c r="H168" s="79"/>
      <c r="I168" s="46"/>
      <c r="J168"/>
    </row>
    <row r="169" spans="1:10" s="69" customFormat="1">
      <c r="A169" s="38"/>
      <c r="B169" s="2"/>
      <c r="D169"/>
      <c r="E169"/>
      <c r="F169"/>
      <c r="G169" s="46"/>
      <c r="H169" s="79"/>
      <c r="I169" s="46"/>
      <c r="J169"/>
    </row>
    <row r="170" spans="1:10" s="69" customFormat="1">
      <c r="A170" s="38"/>
      <c r="B170" s="2"/>
      <c r="D170"/>
      <c r="E170"/>
      <c r="F170"/>
      <c r="G170" s="46"/>
      <c r="H170" s="79"/>
      <c r="I170" s="46"/>
      <c r="J170"/>
    </row>
    <row r="171" spans="1:10" s="69" customFormat="1">
      <c r="A171" s="38"/>
      <c r="B171" s="2"/>
      <c r="D171"/>
      <c r="E171"/>
      <c r="F171"/>
      <c r="G171" s="46"/>
      <c r="H171" s="79"/>
      <c r="I171" s="46"/>
      <c r="J171"/>
    </row>
    <row r="172" spans="1:10" s="69" customFormat="1">
      <c r="A172" s="38"/>
      <c r="B172" s="2"/>
      <c r="D172"/>
      <c r="E172"/>
      <c r="F172"/>
      <c r="G172" s="46"/>
      <c r="H172" s="79"/>
      <c r="I172" s="46"/>
      <c r="J172"/>
    </row>
    <row r="173" spans="1:10" s="69" customFormat="1">
      <c r="A173" s="38"/>
      <c r="B173" s="2"/>
      <c r="D173"/>
      <c r="E173"/>
      <c r="F173"/>
      <c r="G173" s="46"/>
      <c r="H173" s="79"/>
      <c r="I173" s="46"/>
      <c r="J173"/>
    </row>
    <row r="174" spans="1:10" s="69" customFormat="1">
      <c r="A174" s="38"/>
      <c r="B174" s="2"/>
      <c r="D174"/>
      <c r="E174"/>
      <c r="F174"/>
      <c r="G174" s="46"/>
      <c r="H174" s="79"/>
      <c r="I174" s="46"/>
      <c r="J174"/>
    </row>
    <row r="175" spans="1:10" s="69" customFormat="1">
      <c r="A175" s="38"/>
      <c r="B175" s="2"/>
      <c r="D175"/>
      <c r="E175"/>
      <c r="F175"/>
      <c r="G175" s="46"/>
      <c r="H175" s="79"/>
      <c r="I175" s="46"/>
      <c r="J175"/>
    </row>
    <row r="176" spans="1:10" s="69" customFormat="1">
      <c r="A176" s="38"/>
      <c r="B176" s="2"/>
      <c r="D176"/>
      <c r="E176"/>
      <c r="F176"/>
      <c r="G176" s="46"/>
      <c r="H176" s="79"/>
      <c r="I176" s="46"/>
      <c r="J176"/>
    </row>
    <row r="177" spans="1:10" s="69" customFormat="1">
      <c r="A177" s="38"/>
      <c r="B177" s="2"/>
      <c r="D177"/>
      <c r="E177"/>
      <c r="F177"/>
      <c r="G177" s="46"/>
      <c r="H177" s="79"/>
      <c r="I177" s="46"/>
      <c r="J177"/>
    </row>
    <row r="178" spans="1:10" s="69" customFormat="1">
      <c r="A178" s="38"/>
      <c r="B178" s="2"/>
      <c r="D178"/>
      <c r="E178"/>
      <c r="F178"/>
      <c r="G178" s="46"/>
      <c r="H178" s="79"/>
      <c r="I178" s="46"/>
      <c r="J178"/>
    </row>
    <row r="179" spans="1:10" s="69" customFormat="1">
      <c r="A179" s="38"/>
      <c r="B179" s="2"/>
      <c r="D179"/>
      <c r="E179"/>
      <c r="F179"/>
      <c r="G179" s="46"/>
      <c r="H179" s="79"/>
      <c r="I179" s="46"/>
      <c r="J179"/>
    </row>
    <row r="180" spans="1:10" s="69" customFormat="1">
      <c r="A180" s="38"/>
      <c r="B180" s="2"/>
      <c r="D180"/>
      <c r="E180"/>
      <c r="F180"/>
      <c r="G180" s="46"/>
      <c r="H180" s="79"/>
      <c r="I180" s="46"/>
      <c r="J180"/>
    </row>
    <row r="181" spans="1:10" s="69" customFormat="1">
      <c r="A181" s="38"/>
      <c r="B181" s="2"/>
      <c r="D181"/>
      <c r="E181"/>
      <c r="F181"/>
      <c r="G181" s="46"/>
      <c r="H181" s="79"/>
      <c r="I181" s="46"/>
      <c r="J181"/>
    </row>
    <row r="182" spans="1:10" s="69" customFormat="1">
      <c r="A182" s="38"/>
      <c r="B182" s="2"/>
      <c r="D182"/>
      <c r="E182"/>
      <c r="F182"/>
      <c r="G182" s="46"/>
      <c r="H182" s="79"/>
      <c r="I182" s="46"/>
      <c r="J182"/>
    </row>
    <row r="183" spans="1:10" s="69" customFormat="1">
      <c r="A183" s="38"/>
      <c r="B183" s="2"/>
      <c r="D183"/>
      <c r="E183"/>
      <c r="F183"/>
      <c r="G183" s="46"/>
      <c r="H183" s="79"/>
      <c r="I183" s="46"/>
      <c r="J183"/>
    </row>
    <row r="184" spans="1:10" s="69" customFormat="1">
      <c r="A184" s="38"/>
      <c r="B184" s="2"/>
      <c r="D184"/>
      <c r="E184"/>
      <c r="F184"/>
      <c r="G184" s="46"/>
      <c r="H184" s="79"/>
      <c r="I184" s="46"/>
      <c r="J184"/>
    </row>
    <row r="185" spans="1:10" s="69" customFormat="1">
      <c r="A185" s="38"/>
      <c r="B185" s="2"/>
      <c r="D185"/>
      <c r="E185"/>
      <c r="F185"/>
      <c r="G185" s="46"/>
      <c r="H185" s="79"/>
      <c r="I185" s="46"/>
      <c r="J185"/>
    </row>
    <row r="186" spans="1:10" s="69" customFormat="1">
      <c r="A186" s="38"/>
      <c r="B186" s="2"/>
      <c r="D186"/>
      <c r="E186"/>
      <c r="F186"/>
      <c r="G186" s="46"/>
      <c r="H186" s="79"/>
      <c r="I186" s="46"/>
      <c r="J186"/>
    </row>
    <row r="187" spans="1:10" s="69" customFormat="1">
      <c r="A187" s="38"/>
      <c r="B187" s="2"/>
      <c r="D187"/>
      <c r="E187"/>
      <c r="F187"/>
      <c r="G187" s="46"/>
      <c r="H187" s="79"/>
      <c r="I187" s="46"/>
      <c r="J187"/>
    </row>
    <row r="188" spans="1:10" s="69" customFormat="1">
      <c r="A188" s="38"/>
      <c r="B188" s="2"/>
      <c r="D188"/>
      <c r="E188"/>
      <c r="F188"/>
      <c r="G188" s="46"/>
      <c r="H188" s="79"/>
      <c r="I188" s="46"/>
      <c r="J188"/>
    </row>
    <row r="189" spans="1:10" s="69" customFormat="1">
      <c r="A189" s="38"/>
      <c r="B189" s="2"/>
      <c r="D189"/>
      <c r="E189"/>
      <c r="F189"/>
      <c r="G189" s="46"/>
      <c r="H189" s="79"/>
      <c r="I189" s="46"/>
      <c r="J189"/>
    </row>
    <row r="190" spans="1:10" s="69" customFormat="1">
      <c r="A190" s="38"/>
      <c r="B190" s="2"/>
      <c r="D190"/>
      <c r="E190"/>
      <c r="F190"/>
      <c r="G190" s="46"/>
      <c r="H190" s="79"/>
      <c r="I190" s="46"/>
      <c r="J190"/>
    </row>
    <row r="191" spans="1:10" s="69" customFormat="1">
      <c r="A191" s="38"/>
      <c r="B191" s="2"/>
      <c r="D191"/>
      <c r="E191"/>
      <c r="F191"/>
      <c r="G191" s="46"/>
      <c r="H191" s="79"/>
      <c r="I191" s="46"/>
      <c r="J191"/>
    </row>
    <row r="192" spans="1:10" s="69" customFormat="1">
      <c r="A192" s="38"/>
      <c r="B192" s="2"/>
      <c r="D192"/>
      <c r="E192"/>
      <c r="F192"/>
      <c r="G192" s="46"/>
      <c r="H192" s="79"/>
      <c r="I192" s="46"/>
      <c r="J192"/>
    </row>
    <row r="193" spans="1:10" s="69" customFormat="1">
      <c r="A193" s="38"/>
      <c r="B193" s="2"/>
      <c r="D193"/>
      <c r="E193"/>
      <c r="F193"/>
      <c r="G193" s="46"/>
      <c r="H193" s="79"/>
      <c r="I193" s="46"/>
      <c r="J193"/>
    </row>
    <row r="194" spans="1:10" s="69" customFormat="1">
      <c r="A194" s="38"/>
      <c r="B194" s="2"/>
      <c r="D194"/>
      <c r="E194"/>
      <c r="F194"/>
      <c r="G194" s="46"/>
      <c r="H194" s="79"/>
      <c r="I194" s="46"/>
      <c r="J194"/>
    </row>
    <row r="195" spans="1:10" s="69" customFormat="1">
      <c r="A195" s="38"/>
      <c r="B195" s="2"/>
      <c r="D195"/>
      <c r="E195"/>
      <c r="F195"/>
      <c r="G195" s="46"/>
      <c r="H195" s="79"/>
      <c r="I195" s="46"/>
      <c r="J195"/>
    </row>
    <row r="196" spans="1:10" s="69" customFormat="1">
      <c r="A196" s="38"/>
      <c r="B196" s="2"/>
      <c r="D196"/>
      <c r="E196"/>
      <c r="F196"/>
      <c r="G196" s="46"/>
      <c r="H196" s="79"/>
      <c r="I196" s="46"/>
      <c r="J196"/>
    </row>
    <row r="197" spans="1:10" s="69" customFormat="1">
      <c r="A197" s="38"/>
      <c r="B197" s="2"/>
      <c r="D197"/>
      <c r="E197"/>
      <c r="F197"/>
      <c r="G197" s="46"/>
      <c r="H197" s="79"/>
      <c r="I197" s="46"/>
      <c r="J197"/>
    </row>
    <row r="198" spans="1:10" s="69" customFormat="1">
      <c r="A198" s="38"/>
      <c r="B198" s="2"/>
      <c r="D198"/>
      <c r="E198"/>
      <c r="F198"/>
      <c r="G198" s="46"/>
      <c r="H198" s="79"/>
      <c r="I198" s="46"/>
      <c r="J198"/>
    </row>
    <row r="199" spans="1:10" s="69" customFormat="1">
      <c r="A199" s="38"/>
      <c r="B199" s="2"/>
      <c r="D199"/>
      <c r="E199"/>
      <c r="F199"/>
      <c r="G199" s="46"/>
      <c r="H199" s="79"/>
      <c r="I199" s="46"/>
      <c r="J199"/>
    </row>
    <row r="200" spans="1:10" s="69" customFormat="1">
      <c r="A200" s="38"/>
      <c r="B200" s="2"/>
      <c r="D200"/>
      <c r="E200"/>
      <c r="F200"/>
      <c r="G200" s="46"/>
      <c r="H200" s="79"/>
      <c r="I200" s="46"/>
      <c r="J200"/>
    </row>
    <row r="201" spans="1:10" s="69" customFormat="1">
      <c r="A201" s="38"/>
      <c r="B201" s="2"/>
      <c r="D201"/>
      <c r="E201"/>
      <c r="F201"/>
      <c r="G201" s="46"/>
      <c r="H201" s="79"/>
      <c r="I201" s="46"/>
      <c r="J201"/>
    </row>
    <row r="202" spans="1:10" s="69" customFormat="1">
      <c r="A202" s="38"/>
      <c r="B202" s="2"/>
      <c r="D202"/>
      <c r="E202"/>
      <c r="F202"/>
      <c r="G202" s="46"/>
      <c r="H202" s="79"/>
      <c r="I202" s="46"/>
      <c r="J202"/>
    </row>
    <row r="203" spans="1:10" s="69" customFormat="1">
      <c r="A203" s="38"/>
      <c r="B203" s="2"/>
      <c r="D203"/>
      <c r="E203"/>
      <c r="F203"/>
      <c r="G203" s="46"/>
      <c r="H203" s="79"/>
      <c r="I203" s="46"/>
      <c r="J203"/>
    </row>
    <row r="204" spans="1:10" s="69" customFormat="1">
      <c r="A204" s="38"/>
      <c r="B204" s="2"/>
      <c r="D204"/>
      <c r="E204"/>
      <c r="F204"/>
      <c r="G204" s="46"/>
      <c r="H204" s="79"/>
      <c r="I204" s="46"/>
      <c r="J204"/>
    </row>
    <row r="205" spans="1:10" s="69" customFormat="1">
      <c r="A205" s="38"/>
      <c r="B205" s="2"/>
      <c r="D205"/>
      <c r="E205"/>
      <c r="F205"/>
      <c r="G205" s="46"/>
      <c r="H205" s="79"/>
      <c r="I205" s="46"/>
      <c r="J205"/>
    </row>
    <row r="206" spans="1:10" s="69" customFormat="1">
      <c r="A206" s="38"/>
      <c r="B206" s="2"/>
      <c r="D206"/>
      <c r="E206"/>
      <c r="F206"/>
      <c r="G206" s="46"/>
      <c r="H206" s="79"/>
      <c r="I206" s="46"/>
      <c r="J206"/>
    </row>
    <row r="207" spans="1:10" s="69" customFormat="1">
      <c r="A207" s="38"/>
      <c r="B207" s="2"/>
      <c r="D207"/>
      <c r="E207"/>
      <c r="F207"/>
      <c r="G207" s="46"/>
      <c r="H207" s="79"/>
      <c r="I207" s="46"/>
      <c r="J207"/>
    </row>
    <row r="208" spans="1:10" s="69" customFormat="1">
      <c r="A208" s="38"/>
      <c r="B208" s="2"/>
      <c r="D208"/>
      <c r="E208"/>
      <c r="F208"/>
      <c r="G208" s="46"/>
      <c r="H208" s="79"/>
      <c r="I208" s="46"/>
      <c r="J208"/>
    </row>
    <row r="209" spans="1:10" s="69" customFormat="1">
      <c r="A209" s="38"/>
      <c r="B209" s="2"/>
      <c r="D209"/>
      <c r="E209"/>
      <c r="F209"/>
      <c r="G209" s="46"/>
      <c r="H209" s="79"/>
      <c r="I209" s="46"/>
      <c r="J209"/>
    </row>
    <row r="210" spans="1:10" s="69" customFormat="1">
      <c r="A210" s="38"/>
      <c r="B210" s="2"/>
      <c r="D210"/>
      <c r="E210"/>
      <c r="F210"/>
      <c r="G210" s="46"/>
      <c r="H210" s="79"/>
      <c r="I210" s="46"/>
      <c r="J210"/>
    </row>
    <row r="211" spans="1:10" s="69" customFormat="1">
      <c r="A211" s="38"/>
      <c r="B211" s="2"/>
      <c r="D211"/>
      <c r="E211"/>
      <c r="F211"/>
      <c r="G211" s="46"/>
      <c r="H211" s="79"/>
      <c r="I211" s="46"/>
      <c r="J211"/>
    </row>
    <row r="212" spans="1:10" s="69" customFormat="1">
      <c r="A212" s="38"/>
      <c r="B212" s="2"/>
      <c r="D212"/>
      <c r="E212"/>
      <c r="F212"/>
      <c r="G212" s="46"/>
      <c r="H212" s="79"/>
      <c r="I212" s="46"/>
      <c r="J212"/>
    </row>
    <row r="213" spans="1:10" s="69" customFormat="1">
      <c r="A213" s="38"/>
      <c r="B213" s="2"/>
      <c r="D213"/>
      <c r="E213"/>
      <c r="F213"/>
      <c r="G213" s="46"/>
      <c r="H213" s="79"/>
      <c r="I213" s="46"/>
      <c r="J213"/>
    </row>
    <row r="214" spans="1:10" s="69" customFormat="1">
      <c r="A214" s="38"/>
      <c r="B214" s="2"/>
      <c r="D214"/>
      <c r="E214"/>
      <c r="F214"/>
      <c r="G214" s="46"/>
      <c r="H214" s="79"/>
      <c r="I214" s="46"/>
      <c r="J214"/>
    </row>
    <row r="215" spans="1:10" s="69" customFormat="1">
      <c r="A215" s="38"/>
      <c r="B215" s="2"/>
      <c r="D215"/>
      <c r="E215"/>
      <c r="F215"/>
      <c r="G215" s="46"/>
      <c r="H215" s="79"/>
      <c r="I215" s="46"/>
      <c r="J215"/>
    </row>
    <row r="216" spans="1:10" s="69" customFormat="1">
      <c r="A216" s="38"/>
      <c r="B216" s="2"/>
      <c r="D216"/>
      <c r="E216"/>
      <c r="F216"/>
      <c r="G216" s="46"/>
      <c r="H216" s="79"/>
      <c r="I216" s="46"/>
      <c r="J216"/>
    </row>
    <row r="217" spans="1:10" s="69" customFormat="1">
      <c r="A217" s="38"/>
      <c r="B217" s="2"/>
      <c r="D217"/>
      <c r="E217"/>
      <c r="F217"/>
      <c r="G217" s="46"/>
      <c r="H217" s="79"/>
      <c r="I217" s="46"/>
      <c r="J217"/>
    </row>
    <row r="218" spans="1:10" s="69" customFormat="1">
      <c r="A218" s="38"/>
      <c r="B218" s="2"/>
      <c r="D218"/>
      <c r="E218"/>
      <c r="F218"/>
      <c r="G218" s="46"/>
      <c r="H218" s="79"/>
      <c r="I218" s="46"/>
      <c r="J218"/>
    </row>
    <row r="219" spans="1:10" s="69" customFormat="1">
      <c r="A219" s="38"/>
      <c r="B219" s="2"/>
      <c r="D219"/>
      <c r="E219"/>
      <c r="F219"/>
      <c r="G219" s="46"/>
      <c r="H219" s="79"/>
      <c r="I219" s="46"/>
      <c r="J219"/>
    </row>
    <row r="220" spans="1:10" s="69" customFormat="1">
      <c r="A220" s="38"/>
      <c r="B220" s="2"/>
      <c r="D220"/>
      <c r="E220"/>
      <c r="F220"/>
      <c r="G220" s="46"/>
      <c r="H220" s="79"/>
      <c r="I220" s="46"/>
      <c r="J220"/>
    </row>
    <row r="221" spans="1:10" s="69" customFormat="1">
      <c r="A221" s="38"/>
      <c r="B221" s="2"/>
      <c r="D221"/>
      <c r="E221"/>
      <c r="F221"/>
      <c r="G221" s="46"/>
      <c r="H221" s="79"/>
      <c r="I221" s="46"/>
      <c r="J221"/>
    </row>
    <row r="222" spans="1:10" s="69" customFormat="1">
      <c r="A222" s="38"/>
      <c r="B222" s="2"/>
      <c r="D222"/>
      <c r="E222"/>
      <c r="F222"/>
      <c r="G222" s="46"/>
      <c r="H222" s="79"/>
      <c r="I222" s="46"/>
      <c r="J222"/>
    </row>
    <row r="223" spans="1:10" s="69" customFormat="1">
      <c r="A223" s="38"/>
      <c r="B223" s="2"/>
      <c r="D223"/>
      <c r="E223"/>
      <c r="F223"/>
      <c r="G223" s="46"/>
      <c r="H223" s="79"/>
      <c r="I223" s="46"/>
      <c r="J223"/>
    </row>
    <row r="224" spans="1:10" s="69" customFormat="1">
      <c r="A224" s="38"/>
      <c r="B224" s="2"/>
      <c r="D224"/>
      <c r="E224"/>
      <c r="F224"/>
      <c r="G224" s="46"/>
      <c r="H224" s="79"/>
      <c r="I224" s="46"/>
      <c r="J224"/>
    </row>
    <row r="225" spans="1:10" s="69" customFormat="1">
      <c r="A225" s="38"/>
      <c r="B225" s="2"/>
      <c r="D225"/>
      <c r="E225"/>
      <c r="F225"/>
      <c r="G225" s="46"/>
      <c r="H225" s="79"/>
      <c r="I225" s="46"/>
      <c r="J225"/>
    </row>
    <row r="226" spans="1:10" s="69" customFormat="1">
      <c r="A226" s="38"/>
      <c r="B226" s="2"/>
      <c r="D226"/>
      <c r="E226"/>
      <c r="F226"/>
      <c r="G226" s="46"/>
      <c r="H226" s="79"/>
      <c r="I226" s="46"/>
      <c r="J226"/>
    </row>
    <row r="227" spans="1:10" s="69" customFormat="1">
      <c r="A227" s="38"/>
      <c r="B227" s="2"/>
      <c r="D227"/>
      <c r="E227"/>
      <c r="F227"/>
      <c r="G227" s="46"/>
      <c r="H227" s="79"/>
      <c r="I227" s="46"/>
      <c r="J227"/>
    </row>
    <row r="228" spans="1:10" s="69" customFormat="1">
      <c r="A228" s="38"/>
      <c r="B228" s="2"/>
      <c r="D228"/>
      <c r="E228"/>
      <c r="F228"/>
      <c r="G228" s="46"/>
      <c r="H228" s="79"/>
      <c r="I228" s="46"/>
      <c r="J228"/>
    </row>
    <row r="229" spans="1:10" s="69" customFormat="1">
      <c r="A229" s="38"/>
      <c r="B229" s="2"/>
      <c r="D229"/>
      <c r="E229"/>
      <c r="F229"/>
      <c r="G229" s="46"/>
      <c r="H229" s="79"/>
      <c r="I229" s="46"/>
      <c r="J229"/>
    </row>
    <row r="230" spans="1:10" s="69" customFormat="1">
      <c r="A230" s="38"/>
      <c r="B230" s="2"/>
      <c r="D230"/>
      <c r="E230"/>
      <c r="F230"/>
      <c r="G230" s="46"/>
      <c r="H230" s="79"/>
      <c r="I230" s="46"/>
      <c r="J230"/>
    </row>
    <row r="231" spans="1:10" s="69" customFormat="1">
      <c r="A231" s="38"/>
      <c r="B231" s="2"/>
      <c r="D231"/>
      <c r="E231"/>
      <c r="F231"/>
      <c r="G231" s="46"/>
      <c r="H231" s="79"/>
      <c r="I231" s="46"/>
      <c r="J231"/>
    </row>
    <row r="232" spans="1:10" s="69" customFormat="1">
      <c r="A232" s="38"/>
      <c r="B232" s="2"/>
      <c r="D232"/>
      <c r="E232"/>
      <c r="F232"/>
      <c r="G232" s="46"/>
      <c r="H232" s="79"/>
      <c r="I232" s="46"/>
      <c r="J232"/>
    </row>
    <row r="233" spans="1:10" s="69" customFormat="1">
      <c r="A233" s="38"/>
      <c r="B233" s="2"/>
      <c r="D233"/>
      <c r="E233"/>
      <c r="F233"/>
      <c r="G233" s="46"/>
      <c r="H233" s="79"/>
      <c r="I233" s="46"/>
      <c r="J233"/>
    </row>
    <row r="234" spans="1:10" s="69" customFormat="1">
      <c r="A234" s="38"/>
      <c r="B234" s="2"/>
      <c r="D234"/>
      <c r="E234"/>
      <c r="F234"/>
      <c r="G234" s="46"/>
      <c r="H234" s="79"/>
      <c r="I234" s="46"/>
      <c r="J234"/>
    </row>
    <row r="235" spans="1:10" s="69" customFormat="1">
      <c r="A235" s="38"/>
      <c r="B235" s="2"/>
      <c r="D235"/>
      <c r="E235"/>
      <c r="F235"/>
      <c r="G235" s="46"/>
      <c r="H235" s="79"/>
      <c r="I235" s="46"/>
      <c r="J235"/>
    </row>
    <row r="236" spans="1:10" s="69" customFormat="1">
      <c r="A236" s="38"/>
      <c r="B236" s="2"/>
      <c r="D236"/>
      <c r="E236"/>
      <c r="F236"/>
      <c r="G236" s="46"/>
      <c r="H236" s="79"/>
      <c r="I236" s="46"/>
      <c r="J236"/>
    </row>
    <row r="237" spans="1:10" s="69" customFormat="1">
      <c r="A237" s="38"/>
      <c r="B237" s="2"/>
      <c r="D237"/>
      <c r="E237"/>
      <c r="F237"/>
      <c r="G237" s="46"/>
      <c r="H237" s="79"/>
      <c r="I237" s="46"/>
      <c r="J237"/>
    </row>
    <row r="238" spans="1:10" s="69" customFormat="1">
      <c r="A238" s="38"/>
      <c r="B238" s="2"/>
      <c r="D238"/>
      <c r="E238"/>
      <c r="F238"/>
      <c r="G238" s="46"/>
      <c r="H238" s="79"/>
      <c r="I238" s="46"/>
      <c r="J238"/>
    </row>
    <row r="239" spans="1:10" s="69" customFormat="1">
      <c r="A239" s="38"/>
      <c r="B239" s="2"/>
      <c r="D239"/>
      <c r="E239"/>
      <c r="F239"/>
      <c r="G239" s="46"/>
      <c r="H239" s="79"/>
      <c r="I239" s="46"/>
      <c r="J239"/>
    </row>
    <row r="240" spans="1:10" s="69" customFormat="1">
      <c r="A240" s="38"/>
      <c r="B240" s="2"/>
      <c r="D240"/>
      <c r="E240"/>
      <c r="F240"/>
      <c r="G240" s="46"/>
      <c r="H240" s="79"/>
      <c r="I240" s="46"/>
      <c r="J240"/>
    </row>
    <row r="241" spans="1:10" s="69" customFormat="1">
      <c r="A241" s="38"/>
      <c r="B241" s="2"/>
      <c r="D241"/>
      <c r="E241"/>
      <c r="F241"/>
      <c r="G241" s="46"/>
      <c r="H241" s="79"/>
      <c r="I241" s="46"/>
      <c r="J241"/>
    </row>
    <row r="242" spans="1:10" s="69" customFormat="1">
      <c r="A242" s="38"/>
      <c r="B242" s="2"/>
      <c r="D242"/>
      <c r="E242"/>
      <c r="F242"/>
      <c r="G242" s="46"/>
      <c r="H242" s="79"/>
      <c r="I242" s="46"/>
      <c r="J242"/>
    </row>
    <row r="243" spans="1:10" s="69" customFormat="1">
      <c r="A243" s="38"/>
      <c r="B243" s="2"/>
      <c r="D243"/>
      <c r="E243"/>
      <c r="F243"/>
      <c r="G243" s="46"/>
      <c r="H243" s="79"/>
      <c r="I243" s="46"/>
      <c r="J243"/>
    </row>
    <row r="244" spans="1:10" s="69" customFormat="1">
      <c r="A244" s="38"/>
      <c r="B244" s="2"/>
      <c r="D244"/>
      <c r="E244"/>
      <c r="F244"/>
      <c r="G244" s="46"/>
      <c r="H244" s="79"/>
      <c r="I244" s="46"/>
      <c r="J244"/>
    </row>
    <row r="245" spans="1:10" s="69" customFormat="1">
      <c r="A245" s="38"/>
      <c r="B245" s="2"/>
      <c r="D245"/>
      <c r="E245"/>
      <c r="F245"/>
      <c r="G245" s="46"/>
      <c r="H245" s="79"/>
      <c r="I245" s="46"/>
      <c r="J245"/>
    </row>
    <row r="246" spans="1:10" s="69" customFormat="1">
      <c r="A246" s="38"/>
      <c r="B246" s="2"/>
      <c r="D246"/>
      <c r="E246"/>
      <c r="F246"/>
      <c r="G246" s="46"/>
      <c r="H246" s="79"/>
      <c r="I246" s="46"/>
      <c r="J246"/>
    </row>
    <row r="247" spans="1:10" s="69" customFormat="1">
      <c r="A247" s="38"/>
      <c r="B247" s="2"/>
      <c r="D247"/>
      <c r="E247"/>
      <c r="F247"/>
      <c r="G247" s="46"/>
      <c r="H247" s="79"/>
      <c r="I247" s="46"/>
      <c r="J247"/>
    </row>
    <row r="248" spans="1:10" s="69" customFormat="1">
      <c r="A248" s="38"/>
      <c r="B248" s="2"/>
      <c r="D248"/>
      <c r="E248"/>
      <c r="F248"/>
      <c r="G248" s="46"/>
      <c r="H248" s="79"/>
      <c r="I248" s="46"/>
      <c r="J248"/>
    </row>
    <row r="249" spans="1:10" s="69" customFormat="1">
      <c r="A249" s="38"/>
      <c r="B249" s="2"/>
      <c r="D249"/>
      <c r="E249"/>
      <c r="F249"/>
      <c r="G249" s="46"/>
      <c r="H249" s="79"/>
      <c r="I249" s="46"/>
      <c r="J249"/>
    </row>
    <row r="250" spans="1:10" s="69" customFormat="1">
      <c r="A250" s="38"/>
      <c r="B250" s="2"/>
      <c r="D250"/>
      <c r="E250"/>
      <c r="F250"/>
      <c r="G250" s="46"/>
      <c r="H250" s="79"/>
      <c r="I250" s="46"/>
      <c r="J250"/>
    </row>
    <row r="251" spans="1:10" s="69" customFormat="1">
      <c r="A251" s="38"/>
      <c r="B251" s="2"/>
      <c r="D251"/>
      <c r="E251"/>
      <c r="F251"/>
      <c r="G251" s="46"/>
      <c r="H251" s="79"/>
      <c r="I251" s="46"/>
      <c r="J251"/>
    </row>
    <row r="252" spans="1:10" s="69" customFormat="1">
      <c r="A252" s="38"/>
      <c r="B252" s="2"/>
      <c r="D252"/>
      <c r="E252"/>
      <c r="F252"/>
      <c r="G252" s="46"/>
      <c r="H252" s="79"/>
      <c r="I252" s="46"/>
      <c r="J252"/>
    </row>
    <row r="253" spans="1:10" s="69" customFormat="1">
      <c r="A253" s="38"/>
      <c r="B253" s="2"/>
      <c r="D253"/>
      <c r="E253"/>
      <c r="F253"/>
      <c r="G253" s="46"/>
      <c r="H253" s="79"/>
      <c r="I253" s="46"/>
      <c r="J253"/>
    </row>
    <row r="254" spans="1:10" s="69" customFormat="1">
      <c r="A254" s="38"/>
      <c r="B254" s="2"/>
      <c r="D254"/>
      <c r="E254"/>
      <c r="F254"/>
      <c r="G254" s="46"/>
      <c r="H254" s="79"/>
      <c r="I254" s="46"/>
      <c r="J254"/>
    </row>
    <row r="255" spans="1:10" s="69" customFormat="1">
      <c r="A255" s="38"/>
      <c r="B255" s="2"/>
      <c r="D255"/>
      <c r="E255"/>
      <c r="F255"/>
      <c r="G255" s="46"/>
      <c r="H255" s="79"/>
      <c r="I255" s="46"/>
      <c r="J255"/>
    </row>
    <row r="256" spans="1:10" s="69" customFormat="1">
      <c r="A256" s="38"/>
      <c r="B256" s="2"/>
      <c r="D256"/>
      <c r="E256"/>
      <c r="F256"/>
      <c r="G256" s="46"/>
      <c r="H256" s="79"/>
      <c r="I256" s="46"/>
      <c r="J256"/>
    </row>
    <row r="257" spans="1:10" s="69" customFormat="1">
      <c r="A257" s="38"/>
      <c r="B257" s="2"/>
      <c r="D257"/>
      <c r="E257"/>
      <c r="F257"/>
      <c r="G257" s="46"/>
      <c r="H257" s="79"/>
      <c r="I257" s="46"/>
      <c r="J257"/>
    </row>
    <row r="258" spans="1:10" s="69" customFormat="1">
      <c r="A258" s="38"/>
      <c r="B258" s="2"/>
      <c r="D258"/>
      <c r="E258"/>
      <c r="F258"/>
      <c r="G258" s="46"/>
      <c r="H258" s="79"/>
      <c r="I258" s="46"/>
      <c r="J258"/>
    </row>
    <row r="259" spans="1:10" s="69" customFormat="1">
      <c r="A259" s="38"/>
      <c r="B259" s="2"/>
      <c r="D259"/>
      <c r="E259"/>
      <c r="F259"/>
      <c r="G259" s="46"/>
      <c r="H259" s="79"/>
      <c r="I259" s="46"/>
      <c r="J259"/>
    </row>
    <row r="260" spans="1:10" s="69" customFormat="1">
      <c r="A260" s="38"/>
      <c r="B260" s="2"/>
      <c r="D260"/>
      <c r="E260"/>
      <c r="F260"/>
      <c r="G260" s="46"/>
      <c r="H260" s="79"/>
      <c r="I260" s="46"/>
      <c r="J260"/>
    </row>
    <row r="261" spans="1:10" s="69" customFormat="1">
      <c r="A261" s="38"/>
      <c r="B261" s="2"/>
      <c r="D261"/>
      <c r="E261"/>
      <c r="F261"/>
      <c r="G261" s="46"/>
      <c r="H261" s="79"/>
      <c r="I261" s="46"/>
      <c r="J261"/>
    </row>
    <row r="262" spans="1:10" s="69" customFormat="1">
      <c r="A262" s="38"/>
      <c r="B262" s="2"/>
      <c r="D262"/>
      <c r="E262"/>
      <c r="F262"/>
      <c r="G262" s="46"/>
      <c r="H262" s="79"/>
      <c r="I262" s="46"/>
      <c r="J262"/>
    </row>
    <row r="263" spans="1:10" s="69" customFormat="1">
      <c r="A263" s="38"/>
      <c r="B263" s="2"/>
      <c r="D263"/>
      <c r="E263"/>
      <c r="F263"/>
      <c r="G263" s="46"/>
      <c r="H263" s="79"/>
      <c r="I263" s="46"/>
      <c r="J263"/>
    </row>
    <row r="264" spans="1:10" s="69" customFormat="1">
      <c r="A264" s="38"/>
      <c r="B264" s="2"/>
      <c r="D264"/>
      <c r="E264"/>
      <c r="F264"/>
      <c r="G264" s="46"/>
      <c r="H264" s="79"/>
      <c r="I264" s="46"/>
      <c r="J264"/>
    </row>
    <row r="265" spans="1:10" s="69" customFormat="1">
      <c r="A265" s="38"/>
      <c r="B265" s="2"/>
      <c r="D265"/>
      <c r="E265"/>
      <c r="F265"/>
      <c r="G265" s="46"/>
      <c r="H265" s="79"/>
      <c r="I265" s="46"/>
      <c r="J265"/>
    </row>
    <row r="266" spans="1:10" s="69" customFormat="1">
      <c r="A266" s="38"/>
      <c r="B266" s="2"/>
      <c r="D266"/>
      <c r="E266"/>
      <c r="F266"/>
      <c r="G266" s="46"/>
      <c r="H266" s="79"/>
      <c r="I266" s="46"/>
      <c r="J266"/>
    </row>
    <row r="267" spans="1:10" s="69" customFormat="1">
      <c r="A267" s="38"/>
      <c r="B267" s="2"/>
      <c r="D267"/>
      <c r="E267"/>
      <c r="F267"/>
      <c r="G267" s="46"/>
      <c r="H267" s="79"/>
      <c r="I267" s="46"/>
      <c r="J267"/>
    </row>
    <row r="268" spans="1:10" s="69" customFormat="1">
      <c r="A268" s="38"/>
      <c r="B268" s="2"/>
      <c r="D268"/>
      <c r="E268"/>
      <c r="F268"/>
      <c r="G268" s="46"/>
      <c r="H268" s="79"/>
      <c r="I268" s="46"/>
      <c r="J268"/>
    </row>
    <row r="269" spans="1:10" s="69" customFormat="1">
      <c r="A269" s="38"/>
      <c r="B269" s="2"/>
      <c r="D269"/>
      <c r="E269"/>
      <c r="F269"/>
      <c r="G269" s="46"/>
      <c r="H269" s="79"/>
      <c r="I269" s="46"/>
      <c r="J269"/>
    </row>
    <row r="270" spans="1:10" s="69" customFormat="1">
      <c r="A270" s="38"/>
      <c r="B270" s="2"/>
      <c r="D270"/>
      <c r="E270"/>
      <c r="F270"/>
      <c r="G270" s="46"/>
      <c r="H270" s="79"/>
      <c r="I270" s="46"/>
      <c r="J270"/>
    </row>
    <row r="271" spans="1:10" s="69" customFormat="1">
      <c r="A271" s="38"/>
      <c r="B271" s="2"/>
      <c r="D271"/>
      <c r="E271"/>
      <c r="F271"/>
      <c r="G271" s="46"/>
      <c r="H271" s="79"/>
      <c r="I271" s="46"/>
      <c r="J271"/>
    </row>
    <row r="272" spans="1:10" s="69" customFormat="1">
      <c r="A272" s="38"/>
      <c r="B272" s="2"/>
      <c r="D272"/>
      <c r="E272"/>
      <c r="F272"/>
      <c r="G272" s="46"/>
      <c r="H272" s="79"/>
      <c r="I272" s="46"/>
      <c r="J272"/>
    </row>
    <row r="273" spans="1:10" s="69" customFormat="1">
      <c r="A273" s="38"/>
      <c r="B273" s="2"/>
      <c r="D273"/>
      <c r="E273"/>
      <c r="F273"/>
      <c r="G273" s="46"/>
      <c r="H273" s="79"/>
      <c r="I273" s="46"/>
      <c r="J273"/>
    </row>
    <row r="274" spans="1:10" s="69" customFormat="1">
      <c r="A274" s="38"/>
      <c r="B274" s="2"/>
      <c r="D274"/>
      <c r="E274"/>
      <c r="F274"/>
      <c r="G274" s="46"/>
      <c r="H274" s="79"/>
      <c r="I274" s="46"/>
      <c r="J274"/>
    </row>
    <row r="275" spans="1:10" s="69" customFormat="1">
      <c r="A275" s="38"/>
      <c r="B275" s="2"/>
      <c r="D275"/>
      <c r="E275"/>
      <c r="F275"/>
      <c r="G275" s="46"/>
      <c r="H275" s="79"/>
      <c r="I275" s="46"/>
      <c r="J275"/>
    </row>
    <row r="276" spans="1:10" s="69" customFormat="1">
      <c r="A276" s="38"/>
      <c r="B276" s="2"/>
      <c r="D276"/>
      <c r="E276"/>
      <c r="F276"/>
      <c r="G276" s="46"/>
      <c r="H276" s="79"/>
      <c r="I276" s="46"/>
      <c r="J276"/>
    </row>
    <row r="277" spans="1:10" s="69" customFormat="1">
      <c r="A277" s="38"/>
      <c r="B277" s="2"/>
      <c r="D277"/>
      <c r="E277"/>
      <c r="F277"/>
      <c r="G277" s="46"/>
      <c r="H277" s="79"/>
      <c r="I277" s="46"/>
      <c r="J277"/>
    </row>
    <row r="278" spans="1:10" s="69" customFormat="1">
      <c r="A278" s="38"/>
      <c r="B278" s="2"/>
      <c r="D278"/>
      <c r="E278"/>
      <c r="F278"/>
      <c r="G278" s="46"/>
      <c r="H278" s="79"/>
      <c r="I278" s="46"/>
      <c r="J278"/>
    </row>
    <row r="279" spans="1:10" s="69" customFormat="1">
      <c r="A279" s="38"/>
      <c r="B279" s="2"/>
      <c r="D279"/>
      <c r="E279"/>
      <c r="F279"/>
      <c r="G279" s="46"/>
      <c r="H279" s="79"/>
      <c r="I279" s="46"/>
      <c r="J279"/>
    </row>
    <row r="280" spans="1:10" s="69" customFormat="1">
      <c r="A280" s="38"/>
      <c r="B280" s="2"/>
      <c r="D280"/>
      <c r="E280"/>
      <c r="F280"/>
      <c r="G280" s="46"/>
      <c r="H280" s="79"/>
      <c r="I280" s="46"/>
      <c r="J280"/>
    </row>
    <row r="281" spans="1:10" s="69" customFormat="1">
      <c r="A281" s="38"/>
      <c r="B281" s="2"/>
      <c r="D281"/>
      <c r="E281"/>
      <c r="F281"/>
      <c r="G281" s="46"/>
      <c r="H281" s="79"/>
      <c r="I281" s="46"/>
      <c r="J281"/>
    </row>
    <row r="282" spans="1:10" s="69" customFormat="1">
      <c r="A282" s="38"/>
      <c r="B282" s="2"/>
      <c r="D282"/>
      <c r="E282"/>
      <c r="F282"/>
      <c r="G282" s="46"/>
      <c r="H282" s="79"/>
      <c r="I282" s="46"/>
      <c r="J282"/>
    </row>
    <row r="283" spans="1:10" s="69" customFormat="1">
      <c r="A283" s="38"/>
      <c r="B283" s="2"/>
      <c r="D283"/>
      <c r="E283"/>
      <c r="F283"/>
      <c r="G283" s="46"/>
      <c r="H283" s="79"/>
      <c r="I283" s="46"/>
      <c r="J283"/>
    </row>
    <row r="284" spans="1:10" s="69" customFormat="1">
      <c r="A284" s="38"/>
      <c r="B284" s="2"/>
      <c r="D284"/>
      <c r="E284"/>
      <c r="F284"/>
      <c r="G284" s="46"/>
      <c r="H284" s="79"/>
      <c r="I284" s="46"/>
      <c r="J284"/>
    </row>
    <row r="285" spans="1:10" s="69" customFormat="1">
      <c r="A285" s="38"/>
      <c r="B285" s="2"/>
      <c r="D285"/>
      <c r="E285"/>
      <c r="F285"/>
      <c r="G285" s="46"/>
      <c r="H285" s="79"/>
      <c r="I285" s="46"/>
      <c r="J285"/>
    </row>
    <row r="286" spans="1:10" s="69" customFormat="1">
      <c r="A286" s="38"/>
      <c r="B286" s="2"/>
      <c r="D286"/>
      <c r="E286"/>
      <c r="F286"/>
      <c r="G286" s="46"/>
      <c r="H286" s="79"/>
      <c r="I286" s="46"/>
      <c r="J286"/>
    </row>
    <row r="287" spans="1:10" s="69" customFormat="1">
      <c r="A287" s="38"/>
      <c r="B287" s="2"/>
      <c r="D287"/>
      <c r="E287"/>
      <c r="F287"/>
      <c r="G287" s="46"/>
      <c r="H287" s="79"/>
      <c r="I287" s="46"/>
      <c r="J287"/>
    </row>
    <row r="288" spans="1:10" s="69" customFormat="1">
      <c r="A288" s="38"/>
      <c r="B288" s="2"/>
      <c r="D288"/>
      <c r="E288"/>
      <c r="F288"/>
      <c r="G288" s="46"/>
      <c r="H288" s="79"/>
      <c r="I288" s="46"/>
      <c r="J288"/>
    </row>
    <row r="289" spans="1:10" s="69" customFormat="1">
      <c r="A289" s="38"/>
      <c r="B289" s="2"/>
      <c r="D289"/>
      <c r="E289"/>
      <c r="F289"/>
      <c r="G289" s="46"/>
      <c r="H289" s="79"/>
      <c r="I289" s="46"/>
      <c r="J289"/>
    </row>
    <row r="290" spans="1:10" s="69" customFormat="1">
      <c r="A290" s="38"/>
      <c r="B290" s="2"/>
      <c r="D290"/>
      <c r="E290"/>
      <c r="F290"/>
      <c r="G290" s="46"/>
      <c r="H290" s="79"/>
      <c r="I290" s="46"/>
      <c r="J290"/>
    </row>
    <row r="291" spans="1:10" s="69" customFormat="1">
      <c r="A291" s="38"/>
      <c r="B291" s="2"/>
      <c r="D291"/>
      <c r="E291"/>
      <c r="F291"/>
      <c r="G291" s="46"/>
      <c r="H291" s="79"/>
      <c r="I291" s="46"/>
      <c r="J291"/>
    </row>
    <row r="292" spans="1:10" s="69" customFormat="1">
      <c r="A292" s="38"/>
      <c r="B292" s="2"/>
      <c r="D292"/>
      <c r="E292"/>
      <c r="F292"/>
      <c r="G292" s="46"/>
      <c r="H292" s="79"/>
      <c r="I292" s="46"/>
      <c r="J292"/>
    </row>
    <row r="293" spans="1:10" s="69" customFormat="1">
      <c r="A293" s="38"/>
      <c r="B293" s="2"/>
      <c r="D293"/>
      <c r="E293"/>
      <c r="F293"/>
      <c r="G293" s="46"/>
      <c r="H293" s="79"/>
      <c r="I293" s="46"/>
      <c r="J293"/>
    </row>
    <row r="294" spans="1:10" s="69" customFormat="1">
      <c r="A294" s="38"/>
      <c r="B294" s="2"/>
      <c r="D294"/>
      <c r="E294"/>
      <c r="F294"/>
      <c r="G294" s="46"/>
      <c r="H294" s="79"/>
      <c r="I294" s="46"/>
      <c r="J294"/>
    </row>
    <row r="295" spans="1:10" s="69" customFormat="1">
      <c r="A295" s="38"/>
      <c r="B295" s="2"/>
      <c r="D295"/>
      <c r="E295"/>
      <c r="F295"/>
      <c r="G295" s="46"/>
      <c r="H295" s="79"/>
      <c r="I295" s="46"/>
      <c r="J295"/>
    </row>
    <row r="296" spans="1:10" s="69" customFormat="1">
      <c r="A296" s="38"/>
      <c r="B296" s="2"/>
      <c r="D296"/>
      <c r="E296"/>
      <c r="F296"/>
      <c r="G296" s="46"/>
      <c r="H296" s="79"/>
      <c r="I296" s="46"/>
      <c r="J296"/>
    </row>
    <row r="297" spans="1:10" s="69" customFormat="1">
      <c r="A297" s="38"/>
      <c r="B297" s="2"/>
      <c r="D297"/>
      <c r="E297"/>
      <c r="F297"/>
      <c r="G297" s="46"/>
      <c r="H297" s="79"/>
      <c r="I297" s="46"/>
      <c r="J297"/>
    </row>
    <row r="298" spans="1:10" s="69" customFormat="1">
      <c r="A298" s="38"/>
      <c r="B298" s="2"/>
      <c r="D298"/>
      <c r="E298"/>
      <c r="F298"/>
      <c r="G298" s="46"/>
      <c r="H298" s="79"/>
      <c r="I298" s="46"/>
      <c r="J298"/>
    </row>
    <row r="299" spans="1:10" s="69" customFormat="1">
      <c r="A299" s="38"/>
      <c r="B299" s="2"/>
      <c r="D299"/>
      <c r="E299"/>
      <c r="F299"/>
      <c r="G299" s="46"/>
      <c r="H299" s="79"/>
      <c r="I299" s="46"/>
      <c r="J299"/>
    </row>
    <row r="300" spans="1:10" s="69" customFormat="1">
      <c r="A300" s="38"/>
      <c r="B300" s="2"/>
      <c r="D300"/>
      <c r="E300"/>
      <c r="F300"/>
      <c r="G300" s="46"/>
      <c r="H300" s="79"/>
      <c r="I300" s="46"/>
      <c r="J300"/>
    </row>
    <row r="301" spans="1:10" s="69" customFormat="1">
      <c r="A301" s="38"/>
      <c r="B301" s="2"/>
      <c r="D301"/>
      <c r="E301"/>
      <c r="F301"/>
      <c r="G301" s="46"/>
      <c r="H301" s="79"/>
      <c r="I301" s="46"/>
      <c r="J301"/>
    </row>
    <row r="302" spans="1:10" s="69" customFormat="1">
      <c r="A302" s="38"/>
      <c r="B302" s="2"/>
      <c r="D302"/>
      <c r="E302"/>
      <c r="F302"/>
      <c r="G302" s="46"/>
      <c r="H302" s="79"/>
      <c r="I302" s="46"/>
      <c r="J302"/>
    </row>
    <row r="303" spans="1:10" s="69" customFormat="1">
      <c r="A303" s="38"/>
      <c r="B303" s="2"/>
      <c r="D303"/>
      <c r="E303"/>
      <c r="F303"/>
      <c r="G303" s="46"/>
      <c r="H303" s="79"/>
      <c r="I303" s="46"/>
      <c r="J303"/>
    </row>
    <row r="304" spans="1:10" s="69" customFormat="1">
      <c r="A304" s="38"/>
      <c r="B304" s="2"/>
      <c r="D304"/>
      <c r="E304"/>
      <c r="F304"/>
      <c r="G304" s="46"/>
      <c r="H304" s="79"/>
      <c r="I304" s="46"/>
      <c r="J304"/>
    </row>
    <row r="305" spans="1:10" s="69" customFormat="1">
      <c r="A305" s="38"/>
      <c r="B305" s="2"/>
      <c r="D305"/>
      <c r="E305"/>
      <c r="F305"/>
      <c r="G305" s="46"/>
      <c r="H305" s="79"/>
      <c r="I305" s="46"/>
      <c r="J305"/>
    </row>
    <row r="306" spans="1:10" s="69" customFormat="1">
      <c r="A306" s="38"/>
      <c r="B306" s="2"/>
      <c r="D306"/>
      <c r="E306"/>
      <c r="F306"/>
      <c r="G306" s="46"/>
      <c r="H306" s="79"/>
      <c r="I306" s="46"/>
      <c r="J306"/>
    </row>
    <row r="307" spans="1:10" s="69" customFormat="1">
      <c r="A307" s="38"/>
      <c r="B307" s="2"/>
      <c r="D307"/>
      <c r="E307"/>
      <c r="F307"/>
      <c r="G307" s="46"/>
      <c r="H307" s="79"/>
      <c r="I307" s="46"/>
      <c r="J307"/>
    </row>
    <row r="308" spans="1:10" s="69" customFormat="1">
      <c r="A308" s="38"/>
      <c r="B308" s="2"/>
      <c r="D308"/>
      <c r="E308"/>
      <c r="F308"/>
      <c r="G308" s="46"/>
      <c r="H308" s="79"/>
      <c r="I308" s="46"/>
      <c r="J308"/>
    </row>
    <row r="309" spans="1:10" s="69" customFormat="1">
      <c r="A309" s="38"/>
      <c r="B309" s="2"/>
      <c r="D309"/>
      <c r="E309"/>
      <c r="F309"/>
      <c r="G309" s="46"/>
      <c r="H309" s="79"/>
      <c r="I309" s="46"/>
      <c r="J309"/>
    </row>
    <row r="310" spans="1:10" s="69" customFormat="1">
      <c r="A310" s="38"/>
      <c r="B310" s="2"/>
      <c r="D310"/>
      <c r="E310"/>
      <c r="F310"/>
      <c r="G310" s="46"/>
      <c r="H310" s="79"/>
      <c r="I310" s="46"/>
      <c r="J310"/>
    </row>
    <row r="311" spans="1:10" s="69" customFormat="1">
      <c r="A311" s="38"/>
      <c r="B311" s="2"/>
      <c r="D311"/>
      <c r="E311"/>
      <c r="F311"/>
      <c r="G311" s="46"/>
      <c r="H311" s="79"/>
      <c r="I311" s="46"/>
      <c r="J311"/>
    </row>
    <row r="312" spans="1:10" s="69" customFormat="1">
      <c r="A312" s="38"/>
      <c r="B312" s="2"/>
      <c r="D312"/>
      <c r="E312"/>
      <c r="F312"/>
      <c r="G312" s="46"/>
      <c r="H312" s="79"/>
      <c r="I312" s="46"/>
      <c r="J312"/>
    </row>
    <row r="313" spans="1:10" s="69" customFormat="1">
      <c r="A313" s="38"/>
      <c r="B313" s="2"/>
      <c r="D313"/>
      <c r="E313"/>
      <c r="F313"/>
      <c r="G313" s="46"/>
      <c r="H313" s="79"/>
      <c r="I313" s="46"/>
      <c r="J313"/>
    </row>
    <row r="314" spans="1:10" s="69" customFormat="1">
      <c r="A314" s="38"/>
      <c r="B314" s="2"/>
      <c r="D314"/>
      <c r="E314"/>
      <c r="F314"/>
      <c r="G314" s="46"/>
      <c r="H314" s="79"/>
      <c r="I314" s="46"/>
      <c r="J314"/>
    </row>
    <row r="315" spans="1:10" s="69" customFormat="1">
      <c r="A315" s="38"/>
      <c r="B315" s="2"/>
      <c r="D315"/>
      <c r="E315"/>
      <c r="F315"/>
      <c r="G315" s="46"/>
      <c r="H315" s="79"/>
      <c r="I315" s="46"/>
      <c r="J315"/>
    </row>
    <row r="316" spans="1:10" s="69" customFormat="1">
      <c r="A316" s="38"/>
      <c r="B316" s="2"/>
      <c r="D316"/>
      <c r="E316"/>
      <c r="F316"/>
      <c r="G316" s="46"/>
      <c r="H316" s="79"/>
      <c r="I316" s="46"/>
      <c r="J316"/>
    </row>
    <row r="317" spans="1:10" s="69" customFormat="1">
      <c r="A317" s="38"/>
      <c r="B317" s="2"/>
      <c r="D317"/>
      <c r="E317"/>
      <c r="F317"/>
      <c r="G317" s="46"/>
      <c r="H317" s="79"/>
      <c r="I317" s="46"/>
      <c r="J317"/>
    </row>
    <row r="318" spans="1:10" s="69" customFormat="1">
      <c r="A318" s="38"/>
      <c r="B318" s="2"/>
      <c r="D318"/>
      <c r="E318"/>
      <c r="F318"/>
      <c r="G318" s="46"/>
      <c r="H318" s="79"/>
      <c r="I318" s="46"/>
      <c r="J318"/>
    </row>
    <row r="319" spans="1:10" s="69" customFormat="1">
      <c r="A319" s="38"/>
      <c r="B319" s="2"/>
      <c r="D319"/>
      <c r="E319"/>
      <c r="F319"/>
      <c r="G319" s="46"/>
      <c r="H319" s="79"/>
      <c r="I319" s="46"/>
      <c r="J319"/>
    </row>
    <row r="320" spans="1:10" s="69" customFormat="1">
      <c r="A320" s="38"/>
      <c r="B320" s="2"/>
      <c r="D320"/>
      <c r="E320"/>
      <c r="F320"/>
      <c r="G320" s="46"/>
      <c r="H320" s="79"/>
      <c r="I320" s="46"/>
      <c r="J320"/>
    </row>
    <row r="321" spans="1:10" s="69" customFormat="1">
      <c r="A321" s="38"/>
      <c r="B321" s="2"/>
      <c r="D321"/>
      <c r="E321"/>
      <c r="F321"/>
      <c r="G321" s="46"/>
      <c r="H321" s="79"/>
      <c r="I321" s="46"/>
      <c r="J321"/>
    </row>
    <row r="322" spans="1:10" s="69" customFormat="1">
      <c r="A322" s="38"/>
      <c r="B322" s="2"/>
      <c r="D322"/>
      <c r="E322"/>
      <c r="F322"/>
      <c r="G322" s="46"/>
      <c r="H322" s="79"/>
      <c r="I322" s="46"/>
      <c r="J322"/>
    </row>
    <row r="323" spans="1:10" s="69" customFormat="1">
      <c r="A323" s="38"/>
      <c r="B323" s="2"/>
      <c r="D323"/>
      <c r="E323"/>
      <c r="F323"/>
      <c r="G323" s="46"/>
      <c r="H323" s="79"/>
      <c r="I323" s="46"/>
      <c r="J323"/>
    </row>
    <row r="324" spans="1:10" s="69" customFormat="1">
      <c r="A324" s="38"/>
      <c r="B324" s="2"/>
      <c r="D324"/>
      <c r="E324"/>
      <c r="F324"/>
      <c r="G324" s="46"/>
      <c r="H324" s="79"/>
      <c r="I324" s="46"/>
      <c r="J324"/>
    </row>
    <row r="325" spans="1:10" s="69" customFormat="1">
      <c r="A325" s="38"/>
      <c r="B325" s="2"/>
      <c r="D325"/>
      <c r="E325"/>
      <c r="F325"/>
      <c r="G325" s="46"/>
      <c r="H325" s="79"/>
      <c r="I325" s="46"/>
      <c r="J325"/>
    </row>
    <row r="326" spans="1:10" s="69" customFormat="1">
      <c r="A326" s="38"/>
      <c r="B326" s="2"/>
      <c r="D326"/>
      <c r="E326"/>
      <c r="F326"/>
      <c r="G326" s="46"/>
      <c r="H326" s="79"/>
      <c r="I326" s="46"/>
      <c r="J326"/>
    </row>
    <row r="327" spans="1:10" s="69" customFormat="1">
      <c r="A327" s="38"/>
      <c r="B327" s="2"/>
      <c r="D327"/>
      <c r="E327"/>
      <c r="F327"/>
      <c r="G327" s="46"/>
      <c r="H327" s="79"/>
      <c r="I327" s="46"/>
      <c r="J327"/>
    </row>
    <row r="328" spans="1:10" s="69" customFormat="1">
      <c r="A328" s="38"/>
      <c r="B328" s="2"/>
      <c r="D328"/>
      <c r="E328"/>
      <c r="F328"/>
      <c r="G328" s="46"/>
      <c r="H328" s="79"/>
      <c r="I328" s="46"/>
      <c r="J328"/>
    </row>
    <row r="329" spans="1:10" s="69" customFormat="1">
      <c r="A329" s="38"/>
      <c r="B329" s="2"/>
      <c r="D329"/>
      <c r="E329"/>
      <c r="F329"/>
      <c r="G329" s="46"/>
      <c r="H329" s="79"/>
      <c r="I329" s="46"/>
      <c r="J329"/>
    </row>
    <row r="330" spans="1:10" s="69" customFormat="1">
      <c r="A330" s="38"/>
      <c r="B330" s="2"/>
      <c r="D330"/>
      <c r="E330"/>
      <c r="F330"/>
      <c r="G330" s="46"/>
      <c r="H330" s="79"/>
      <c r="I330" s="46"/>
      <c r="J330"/>
    </row>
    <row r="331" spans="1:10" s="69" customFormat="1">
      <c r="A331" s="38"/>
      <c r="B331" s="2"/>
      <c r="D331"/>
      <c r="E331"/>
      <c r="F331"/>
      <c r="G331" s="46"/>
      <c r="H331" s="79"/>
      <c r="I331" s="46"/>
      <c r="J331"/>
    </row>
    <row r="332" spans="1:10" s="69" customFormat="1">
      <c r="A332" s="38"/>
      <c r="B332" s="2"/>
      <c r="D332"/>
      <c r="E332"/>
      <c r="F332"/>
      <c r="G332" s="46"/>
      <c r="H332" s="79"/>
      <c r="I332" s="46"/>
      <c r="J332"/>
    </row>
    <row r="333" spans="1:10" s="69" customFormat="1">
      <c r="A333" s="38"/>
      <c r="B333" s="2"/>
      <c r="D333"/>
      <c r="E333"/>
      <c r="F333"/>
      <c r="G333" s="46"/>
      <c r="H333" s="79"/>
      <c r="I333" s="46"/>
      <c r="J333"/>
    </row>
    <row r="334" spans="1:10" s="69" customFormat="1">
      <c r="A334" s="38"/>
      <c r="B334" s="2"/>
      <c r="D334"/>
      <c r="E334"/>
      <c r="F334"/>
      <c r="G334" s="46"/>
      <c r="H334" s="79"/>
      <c r="I334" s="46"/>
      <c r="J334"/>
    </row>
    <row r="335" spans="1:10" s="69" customFormat="1">
      <c r="A335" s="38"/>
      <c r="B335" s="2"/>
      <c r="D335"/>
      <c r="E335"/>
      <c r="F335"/>
      <c r="G335" s="46"/>
      <c r="H335" s="79"/>
      <c r="I335" s="46"/>
      <c r="J335"/>
    </row>
    <row r="336" spans="1:10" s="69" customFormat="1">
      <c r="A336" s="38"/>
      <c r="B336" s="2"/>
      <c r="D336"/>
      <c r="E336"/>
      <c r="F336"/>
      <c r="G336" s="46"/>
      <c r="H336" s="79"/>
      <c r="I336" s="46"/>
      <c r="J336"/>
    </row>
    <row r="337" spans="1:10" s="69" customFormat="1">
      <c r="A337" s="38"/>
      <c r="B337" s="2"/>
      <c r="D337"/>
      <c r="E337"/>
      <c r="F337"/>
      <c r="G337" s="46"/>
      <c r="H337" s="79"/>
      <c r="I337" s="46"/>
      <c r="J337"/>
    </row>
    <row r="338" spans="1:10" s="69" customFormat="1">
      <c r="A338" s="38"/>
      <c r="B338" s="2"/>
      <c r="D338"/>
      <c r="E338"/>
      <c r="F338"/>
      <c r="G338" s="46"/>
      <c r="H338" s="79"/>
      <c r="I338" s="46"/>
      <c r="J338"/>
    </row>
    <row r="339" spans="1:10" s="69" customFormat="1">
      <c r="A339" s="38"/>
      <c r="B339" s="2"/>
      <c r="D339"/>
      <c r="E339"/>
      <c r="F339"/>
      <c r="G339" s="46"/>
      <c r="H339" s="79"/>
      <c r="I339" s="46"/>
      <c r="J339"/>
    </row>
    <row r="340" spans="1:10" s="69" customFormat="1">
      <c r="A340" s="38"/>
      <c r="B340" s="2"/>
      <c r="D340"/>
      <c r="E340"/>
      <c r="F340"/>
      <c r="G340" s="46"/>
      <c r="H340" s="79"/>
      <c r="I340" s="46"/>
      <c r="J340"/>
    </row>
    <row r="341" spans="1:10" s="69" customFormat="1">
      <c r="A341" s="38"/>
      <c r="B341" s="2"/>
      <c r="D341"/>
      <c r="E341"/>
      <c r="F341"/>
      <c r="G341" s="46"/>
      <c r="H341" s="79"/>
      <c r="I341" s="46"/>
      <c r="J341"/>
    </row>
    <row r="342" spans="1:10" s="69" customFormat="1">
      <c r="A342" s="38"/>
      <c r="B342" s="2"/>
      <c r="D342"/>
      <c r="E342"/>
      <c r="F342"/>
      <c r="G342" s="46"/>
      <c r="H342" s="79"/>
      <c r="I342" s="46"/>
      <c r="J342"/>
    </row>
    <row r="343" spans="1:10" s="69" customFormat="1">
      <c r="A343" s="38"/>
      <c r="B343" s="2"/>
      <c r="D343"/>
      <c r="E343"/>
      <c r="F343"/>
      <c r="G343" s="46"/>
      <c r="H343" s="79"/>
      <c r="I343" s="46"/>
      <c r="J343"/>
    </row>
    <row r="344" spans="1:10" s="69" customFormat="1">
      <c r="A344" s="38"/>
      <c r="B344" s="2"/>
      <c r="D344"/>
      <c r="E344"/>
      <c r="F344"/>
      <c r="G344" s="46"/>
      <c r="H344" s="79"/>
      <c r="I344" s="46"/>
      <c r="J344"/>
    </row>
    <row r="345" spans="1:10" s="69" customFormat="1">
      <c r="A345" s="38"/>
      <c r="B345" s="2"/>
      <c r="D345"/>
      <c r="E345"/>
      <c r="F345"/>
      <c r="G345" s="46"/>
      <c r="H345" s="79"/>
      <c r="I345" s="46"/>
      <c r="J345"/>
    </row>
    <row r="346" spans="1:10" s="69" customFormat="1">
      <c r="A346" s="38"/>
      <c r="B346" s="2"/>
      <c r="D346"/>
      <c r="E346"/>
      <c r="F346"/>
      <c r="G346" s="46"/>
      <c r="H346" s="79"/>
      <c r="I346" s="46"/>
      <c r="J346"/>
    </row>
    <row r="347" spans="1:10" s="69" customFormat="1">
      <c r="A347" s="38"/>
      <c r="B347" s="2"/>
      <c r="D347"/>
      <c r="E347"/>
      <c r="F347"/>
      <c r="G347" s="46"/>
      <c r="H347" s="79"/>
      <c r="I347" s="46"/>
      <c r="J347"/>
    </row>
    <row r="348" spans="1:10" s="69" customFormat="1">
      <c r="A348" s="38"/>
      <c r="B348" s="2"/>
      <c r="D348"/>
      <c r="E348"/>
      <c r="F348"/>
      <c r="G348" s="46"/>
      <c r="H348" s="79"/>
      <c r="I348" s="46"/>
      <c r="J348"/>
    </row>
    <row r="349" spans="1:10" s="69" customFormat="1">
      <c r="A349" s="38"/>
      <c r="B349" s="2"/>
      <c r="D349"/>
      <c r="E349"/>
      <c r="F349"/>
      <c r="G349" s="46"/>
      <c r="H349" s="79"/>
      <c r="I349" s="46"/>
      <c r="J349"/>
    </row>
    <row r="350" spans="1:10" s="69" customFormat="1">
      <c r="A350" s="38"/>
      <c r="B350" s="2"/>
      <c r="D350"/>
      <c r="E350"/>
      <c r="F350"/>
      <c r="G350" s="46"/>
      <c r="H350" s="79"/>
      <c r="I350" s="46"/>
      <c r="J350"/>
    </row>
    <row r="351" spans="1:10" s="69" customFormat="1">
      <c r="A351" s="38"/>
      <c r="B351" s="2"/>
      <c r="D351"/>
      <c r="E351"/>
      <c r="F351"/>
      <c r="G351" s="46"/>
      <c r="H351" s="79"/>
      <c r="I351" s="46"/>
      <c r="J351"/>
    </row>
    <row r="352" spans="1:10" s="69" customFormat="1">
      <c r="A352" s="38"/>
      <c r="B352" s="2"/>
      <c r="D352"/>
      <c r="E352"/>
      <c r="F352"/>
      <c r="G352" s="46"/>
      <c r="H352" s="79"/>
      <c r="I352" s="46"/>
      <c r="J352"/>
    </row>
    <row r="353" spans="1:10" s="69" customFormat="1">
      <c r="A353" s="38"/>
      <c r="B353" s="2"/>
      <c r="D353"/>
      <c r="E353"/>
      <c r="F353"/>
      <c r="G353" s="46"/>
      <c r="H353" s="79"/>
      <c r="I353" s="46"/>
      <c r="J353"/>
    </row>
    <row r="354" spans="1:10" s="69" customFormat="1">
      <c r="A354" s="38"/>
      <c r="B354" s="2"/>
      <c r="D354"/>
      <c r="E354"/>
      <c r="F354"/>
      <c r="G354" s="46"/>
      <c r="H354" s="79"/>
      <c r="I354" s="46"/>
      <c r="J354"/>
    </row>
    <row r="355" spans="1:10" s="69" customFormat="1">
      <c r="A355" s="38"/>
      <c r="B355" s="2"/>
      <c r="D355"/>
      <c r="E355"/>
      <c r="F355"/>
      <c r="G355" s="46"/>
      <c r="H355" s="79"/>
      <c r="I355" s="46"/>
      <c r="J355"/>
    </row>
    <row r="356" spans="1:10" s="69" customFormat="1">
      <c r="A356" s="38"/>
      <c r="B356" s="2"/>
      <c r="D356"/>
      <c r="E356"/>
      <c r="F356"/>
      <c r="G356" s="46"/>
      <c r="H356" s="79"/>
      <c r="I356" s="46"/>
      <c r="J356"/>
    </row>
    <row r="357" spans="1:10" s="69" customFormat="1">
      <c r="A357" s="38"/>
      <c r="B357" s="2"/>
      <c r="D357"/>
      <c r="E357"/>
      <c r="F357"/>
      <c r="G357" s="46"/>
      <c r="H357" s="79"/>
      <c r="I357" s="46"/>
      <c r="J357"/>
    </row>
    <row r="358" spans="1:10" s="69" customFormat="1">
      <c r="A358" s="38"/>
      <c r="B358" s="2"/>
      <c r="D358"/>
      <c r="E358"/>
      <c r="F358"/>
      <c r="G358" s="46"/>
      <c r="H358" s="79"/>
      <c r="I358" s="46"/>
      <c r="J358"/>
    </row>
    <row r="359" spans="1:10" s="69" customFormat="1">
      <c r="A359" s="38"/>
      <c r="B359" s="2"/>
      <c r="D359"/>
      <c r="E359"/>
      <c r="F359"/>
      <c r="G359" s="46"/>
      <c r="H359" s="79"/>
      <c r="I359" s="46"/>
      <c r="J359"/>
    </row>
    <row r="360" spans="1:10" s="69" customFormat="1">
      <c r="A360" s="38"/>
      <c r="B360" s="2"/>
      <c r="D360"/>
      <c r="E360"/>
      <c r="F360"/>
      <c r="G360" s="46"/>
      <c r="H360" s="79"/>
      <c r="I360" s="46"/>
      <c r="J360"/>
    </row>
    <row r="361" spans="1:10" s="69" customFormat="1">
      <c r="A361" s="38"/>
      <c r="B361" s="2"/>
      <c r="D361"/>
      <c r="E361"/>
      <c r="F361"/>
      <c r="G361" s="46"/>
      <c r="H361" s="79"/>
      <c r="I361" s="46"/>
      <c r="J361"/>
    </row>
    <row r="362" spans="1:10" s="69" customFormat="1">
      <c r="A362" s="38"/>
      <c r="B362" s="2"/>
      <c r="D362"/>
      <c r="E362"/>
      <c r="F362"/>
      <c r="G362" s="46"/>
      <c r="H362" s="79"/>
      <c r="I362" s="46"/>
      <c r="J362"/>
    </row>
    <row r="363" spans="1:10" s="69" customFormat="1">
      <c r="A363" s="38"/>
      <c r="B363" s="2"/>
      <c r="D363"/>
      <c r="E363"/>
      <c r="F363"/>
      <c r="G363" s="46"/>
      <c r="H363" s="79"/>
      <c r="I363" s="46"/>
      <c r="J363"/>
    </row>
    <row r="364" spans="1:10" s="69" customFormat="1">
      <c r="A364" s="38"/>
      <c r="B364" s="2"/>
      <c r="D364"/>
      <c r="E364"/>
      <c r="F364"/>
      <c r="G364" s="46"/>
      <c r="H364" s="79"/>
      <c r="I364" s="46"/>
      <c r="J364"/>
    </row>
    <row r="365" spans="1:10" s="69" customFormat="1">
      <c r="A365" s="38"/>
      <c r="B365" s="2"/>
      <c r="D365"/>
      <c r="E365"/>
      <c r="F365"/>
      <c r="G365" s="46"/>
      <c r="H365" s="79"/>
      <c r="I365" s="46"/>
      <c r="J365"/>
    </row>
    <row r="366" spans="1:10" s="69" customFormat="1">
      <c r="A366" s="38"/>
      <c r="B366" s="2"/>
      <c r="D366"/>
      <c r="E366"/>
      <c r="F366"/>
      <c r="G366" s="46"/>
      <c r="H366" s="79"/>
      <c r="I366" s="46"/>
      <c r="J366"/>
    </row>
    <row r="367" spans="1:10" s="69" customFormat="1">
      <c r="A367" s="38"/>
      <c r="B367" s="2"/>
      <c r="D367"/>
      <c r="E367"/>
      <c r="F367"/>
      <c r="G367" s="46"/>
      <c r="H367" s="79"/>
      <c r="I367" s="46"/>
      <c r="J367"/>
    </row>
    <row r="368" spans="1:10" s="69" customFormat="1">
      <c r="A368" s="38"/>
      <c r="B368" s="2"/>
      <c r="D368"/>
      <c r="E368"/>
      <c r="F368"/>
      <c r="G368" s="46"/>
      <c r="H368" s="79"/>
      <c r="I368" s="46"/>
      <c r="J368"/>
    </row>
    <row r="369" spans="1:10" s="69" customFormat="1">
      <c r="A369" s="38"/>
      <c r="B369" s="2"/>
      <c r="D369"/>
      <c r="E369"/>
      <c r="F369"/>
      <c r="G369" s="46"/>
      <c r="H369" s="79"/>
      <c r="I369" s="46"/>
      <c r="J369"/>
    </row>
    <row r="370" spans="1:10" s="69" customFormat="1">
      <c r="A370" s="38"/>
      <c r="B370" s="2"/>
      <c r="D370"/>
      <c r="E370"/>
      <c r="F370"/>
      <c r="G370" s="46"/>
      <c r="H370" s="79"/>
      <c r="I370" s="46"/>
      <c r="J370"/>
    </row>
    <row r="371" spans="1:10" s="69" customFormat="1">
      <c r="A371" s="38"/>
      <c r="B371" s="2"/>
      <c r="D371"/>
      <c r="E371"/>
      <c r="F371"/>
      <c r="G371" s="46"/>
      <c r="H371" s="79"/>
      <c r="I371" s="46"/>
      <c r="J371"/>
    </row>
    <row r="372" spans="1:10" s="69" customFormat="1">
      <c r="A372" s="38"/>
      <c r="B372" s="2"/>
      <c r="D372"/>
      <c r="E372"/>
      <c r="F372"/>
      <c r="G372" s="46"/>
      <c r="H372" s="79"/>
      <c r="I372" s="46"/>
      <c r="J372"/>
    </row>
    <row r="373" spans="1:10" s="69" customFormat="1">
      <c r="A373" s="38"/>
      <c r="B373" s="2"/>
      <c r="D373"/>
      <c r="E373"/>
      <c r="F373"/>
      <c r="G373" s="46"/>
      <c r="H373" s="79"/>
      <c r="I373" s="46"/>
      <c r="J373"/>
    </row>
    <row r="374" spans="1:10" s="69" customFormat="1">
      <c r="A374" s="38"/>
      <c r="B374" s="2"/>
      <c r="D374"/>
      <c r="E374"/>
      <c r="F374"/>
      <c r="G374" s="46"/>
      <c r="H374" s="79"/>
      <c r="I374" s="46"/>
      <c r="J374"/>
    </row>
    <row r="375" spans="1:10" s="69" customFormat="1">
      <c r="A375" s="38"/>
      <c r="B375" s="2"/>
      <c r="D375"/>
      <c r="E375"/>
      <c r="F375"/>
      <c r="G375" s="46"/>
      <c r="H375" s="79"/>
      <c r="I375" s="46"/>
      <c r="J375"/>
    </row>
    <row r="376" spans="1:10" s="69" customFormat="1">
      <c r="A376" s="38"/>
      <c r="B376" s="2"/>
      <c r="D376"/>
      <c r="E376"/>
      <c r="F376"/>
      <c r="G376" s="46"/>
      <c r="H376" s="79"/>
      <c r="I376" s="46"/>
      <c r="J376"/>
    </row>
    <row r="377" spans="1:10" s="69" customFormat="1">
      <c r="A377" s="38"/>
      <c r="B377" s="2"/>
      <c r="D377"/>
      <c r="E377"/>
      <c r="F377"/>
      <c r="G377" s="46"/>
      <c r="H377" s="79"/>
      <c r="I377" s="46"/>
      <c r="J377"/>
    </row>
    <row r="378" spans="1:10" s="69" customFormat="1">
      <c r="A378" s="38"/>
      <c r="B378" s="2"/>
      <c r="D378"/>
      <c r="E378"/>
      <c r="F378"/>
      <c r="G378" s="46"/>
      <c r="H378" s="79"/>
      <c r="I378" s="46"/>
      <c r="J378"/>
    </row>
    <row r="379" spans="1:10" s="69" customFormat="1">
      <c r="A379" s="38"/>
      <c r="B379" s="2"/>
      <c r="D379"/>
      <c r="E379"/>
      <c r="F379"/>
      <c r="G379" s="46"/>
      <c r="H379" s="79"/>
      <c r="I379" s="46"/>
      <c r="J379"/>
    </row>
    <row r="380" spans="1:10" s="69" customFormat="1">
      <c r="A380" s="38"/>
      <c r="B380" s="2"/>
      <c r="D380"/>
      <c r="E380"/>
      <c r="F380"/>
      <c r="G380" s="46"/>
      <c r="H380" s="79"/>
      <c r="I380" s="46"/>
      <c r="J380"/>
    </row>
    <row r="381" spans="1:10" s="69" customFormat="1">
      <c r="A381" s="38"/>
      <c r="B381" s="2"/>
      <c r="D381"/>
      <c r="E381"/>
      <c r="F381"/>
      <c r="G381" s="46"/>
      <c r="H381" s="79"/>
      <c r="I381" s="46"/>
      <c r="J381"/>
    </row>
    <row r="382" spans="1:10" s="69" customFormat="1">
      <c r="A382" s="38"/>
      <c r="B382" s="2"/>
      <c r="D382"/>
      <c r="E382"/>
      <c r="F382"/>
      <c r="G382" s="46"/>
      <c r="H382" s="79"/>
      <c r="I382" s="46"/>
      <c r="J382"/>
    </row>
    <row r="383" spans="1:10" s="69" customFormat="1">
      <c r="A383" s="38"/>
      <c r="B383" s="2"/>
      <c r="D383"/>
      <c r="E383"/>
      <c r="F383"/>
      <c r="G383" s="46"/>
      <c r="H383" s="79"/>
      <c r="I383" s="46"/>
      <c r="J383"/>
    </row>
    <row r="384" spans="1:10" s="69" customFormat="1">
      <c r="A384" s="38"/>
      <c r="B384" s="2"/>
      <c r="D384"/>
      <c r="E384"/>
      <c r="F384"/>
      <c r="G384" s="46"/>
      <c r="H384" s="79"/>
      <c r="I384" s="46"/>
      <c r="J384"/>
    </row>
    <row r="385" spans="1:10" s="69" customFormat="1">
      <c r="A385" s="38"/>
      <c r="B385" s="2"/>
      <c r="D385"/>
      <c r="E385"/>
      <c r="F385"/>
      <c r="G385" s="46"/>
      <c r="H385" s="79"/>
      <c r="I385" s="46"/>
      <c r="J385"/>
    </row>
    <row r="386" spans="1:10" s="69" customFormat="1">
      <c r="A386" s="38"/>
      <c r="B386" s="2"/>
      <c r="D386"/>
      <c r="E386"/>
      <c r="F386"/>
      <c r="G386" s="46"/>
      <c r="H386" s="79"/>
      <c r="I386" s="46"/>
      <c r="J386"/>
    </row>
    <row r="387" spans="1:10" s="69" customFormat="1">
      <c r="A387" s="38"/>
      <c r="B387" s="2"/>
      <c r="D387"/>
      <c r="E387"/>
      <c r="F387"/>
      <c r="G387" s="46"/>
      <c r="H387" s="79"/>
      <c r="I387" s="46"/>
      <c r="J387"/>
    </row>
    <row r="388" spans="1:10" s="69" customFormat="1">
      <c r="A388" s="38"/>
      <c r="B388" s="2"/>
      <c r="D388"/>
      <c r="E388"/>
      <c r="F388"/>
      <c r="G388" s="46"/>
      <c r="H388" s="79"/>
      <c r="I388" s="46"/>
      <c r="J388"/>
    </row>
    <row r="389" spans="1:10" s="69" customFormat="1">
      <c r="A389" s="38"/>
      <c r="B389" s="2"/>
      <c r="D389"/>
      <c r="E389"/>
      <c r="F389"/>
      <c r="G389" s="46"/>
      <c r="H389" s="79"/>
      <c r="I389" s="46"/>
      <c r="J389"/>
    </row>
    <row r="390" spans="1:10" s="69" customFormat="1">
      <c r="A390" s="38"/>
      <c r="B390" s="2"/>
      <c r="D390"/>
      <c r="E390"/>
      <c r="F390"/>
      <c r="G390" s="46"/>
      <c r="H390" s="79"/>
      <c r="I390" s="46"/>
      <c r="J390"/>
    </row>
    <row r="391" spans="1:10" s="69" customFormat="1">
      <c r="A391" s="38"/>
      <c r="B391" s="2"/>
      <c r="D391"/>
      <c r="E391"/>
      <c r="F391"/>
      <c r="G391" s="46"/>
      <c r="H391" s="79"/>
      <c r="I391" s="46"/>
      <c r="J391"/>
    </row>
    <row r="392" spans="1:10" s="69" customFormat="1">
      <c r="A392" s="38"/>
      <c r="B392" s="2"/>
      <c r="D392"/>
      <c r="E392"/>
      <c r="F392"/>
      <c r="G392" s="46"/>
      <c r="H392" s="79"/>
      <c r="I392" s="46"/>
      <c r="J392"/>
    </row>
    <row r="393" spans="1:10" s="69" customFormat="1">
      <c r="A393" s="38"/>
      <c r="B393" s="2"/>
      <c r="D393"/>
      <c r="E393"/>
      <c r="F393"/>
      <c r="G393" s="46"/>
      <c r="H393" s="79"/>
      <c r="I393" s="46"/>
      <c r="J393"/>
    </row>
    <row r="394" spans="1:10" s="69" customFormat="1">
      <c r="A394" s="38"/>
      <c r="B394" s="2"/>
      <c r="D394"/>
      <c r="E394"/>
      <c r="F394"/>
      <c r="G394" s="46"/>
      <c r="H394" s="79"/>
      <c r="I394" s="46"/>
      <c r="J394"/>
    </row>
    <row r="395" spans="1:10" s="69" customFormat="1">
      <c r="A395" s="38"/>
      <c r="B395" s="2"/>
      <c r="D395"/>
      <c r="E395"/>
      <c r="F395"/>
      <c r="G395" s="46"/>
      <c r="H395" s="79"/>
      <c r="I395" s="46"/>
      <c r="J395"/>
    </row>
    <row r="396" spans="1:10" s="69" customFormat="1">
      <c r="A396" s="38"/>
      <c r="B396" s="2"/>
      <c r="D396"/>
      <c r="E396"/>
      <c r="F396"/>
      <c r="G396" s="46"/>
      <c r="H396" s="79"/>
      <c r="I396" s="46"/>
      <c r="J396"/>
    </row>
    <row r="397" spans="1:10" s="69" customFormat="1">
      <c r="A397" s="38"/>
      <c r="B397" s="2"/>
      <c r="D397"/>
      <c r="E397"/>
      <c r="F397"/>
      <c r="G397" s="46"/>
      <c r="H397" s="79"/>
      <c r="I397" s="46"/>
      <c r="J397"/>
    </row>
    <row r="398" spans="1:10" s="69" customFormat="1">
      <c r="A398" s="38"/>
      <c r="B398" s="2"/>
      <c r="D398"/>
      <c r="E398"/>
      <c r="F398"/>
      <c r="G398" s="46"/>
      <c r="H398" s="79"/>
      <c r="I398" s="46"/>
      <c r="J398"/>
    </row>
    <row r="399" spans="1:10" s="69" customFormat="1">
      <c r="A399" s="38"/>
      <c r="B399" s="2"/>
      <c r="D399"/>
      <c r="E399"/>
      <c r="F399"/>
      <c r="G399" s="46"/>
      <c r="H399" s="79"/>
      <c r="I399" s="46"/>
      <c r="J399"/>
    </row>
    <row r="400" spans="1:10" s="69" customFormat="1">
      <c r="A400" s="38"/>
      <c r="B400" s="2"/>
      <c r="D400"/>
      <c r="E400"/>
      <c r="F400"/>
      <c r="G400" s="46"/>
      <c r="H400" s="79"/>
      <c r="I400" s="46"/>
      <c r="J400"/>
    </row>
    <row r="401" spans="1:10" s="69" customFormat="1">
      <c r="A401" s="38"/>
      <c r="B401" s="2"/>
      <c r="D401"/>
      <c r="E401"/>
      <c r="F401"/>
      <c r="G401" s="46"/>
      <c r="H401" s="79"/>
      <c r="I401" s="46"/>
      <c r="J401"/>
    </row>
    <row r="402" spans="1:10" s="69" customFormat="1">
      <c r="A402" s="38"/>
      <c r="B402" s="2"/>
      <c r="D402"/>
      <c r="E402"/>
      <c r="F402"/>
      <c r="G402" s="46"/>
      <c r="H402" s="79"/>
      <c r="I402" s="46"/>
      <c r="J402"/>
    </row>
    <row r="403" spans="1:10" s="69" customFormat="1">
      <c r="A403" s="38"/>
      <c r="B403" s="2"/>
      <c r="D403"/>
      <c r="E403"/>
      <c r="F403"/>
      <c r="G403" s="46"/>
      <c r="H403" s="79"/>
      <c r="I403" s="46"/>
      <c r="J403"/>
    </row>
    <row r="404" spans="1:10" s="69" customFormat="1">
      <c r="A404" s="38"/>
      <c r="B404" s="2"/>
      <c r="D404"/>
      <c r="E404"/>
      <c r="F404"/>
      <c r="G404" s="46"/>
      <c r="H404" s="79"/>
      <c r="I404" s="46"/>
      <c r="J404"/>
    </row>
    <row r="405" spans="1:10" s="69" customFormat="1">
      <c r="A405" s="38"/>
      <c r="B405" s="2"/>
      <c r="D405"/>
      <c r="E405"/>
      <c r="F405"/>
      <c r="G405" s="46"/>
      <c r="H405" s="79"/>
      <c r="I405" s="46"/>
      <c r="J405"/>
    </row>
    <row r="406" spans="1:10" s="69" customFormat="1">
      <c r="A406" s="38"/>
      <c r="B406" s="2"/>
      <c r="D406"/>
      <c r="E406"/>
      <c r="F406"/>
      <c r="G406" s="46"/>
      <c r="H406" s="79"/>
      <c r="I406" s="46"/>
      <c r="J406"/>
    </row>
    <row r="407" spans="1:10" s="69" customFormat="1">
      <c r="A407" s="38"/>
      <c r="B407" s="2"/>
      <c r="D407"/>
      <c r="E407"/>
      <c r="F407"/>
      <c r="G407" s="46"/>
      <c r="H407" s="79"/>
      <c r="I407" s="46"/>
      <c r="J407"/>
    </row>
    <row r="408" spans="1:10" s="69" customFormat="1">
      <c r="A408" s="38"/>
      <c r="B408" s="2"/>
      <c r="D408"/>
      <c r="E408"/>
      <c r="F408"/>
      <c r="G408" s="46"/>
      <c r="H408" s="79"/>
      <c r="I408" s="46"/>
      <c r="J408"/>
    </row>
    <row r="409" spans="1:10" s="69" customFormat="1">
      <c r="A409" s="38"/>
      <c r="B409" s="2"/>
      <c r="D409"/>
      <c r="E409"/>
      <c r="F409"/>
      <c r="G409" s="46"/>
      <c r="H409" s="79"/>
      <c r="I409" s="46"/>
      <c r="J409"/>
    </row>
    <row r="410" spans="1:10" s="69" customFormat="1">
      <c r="A410" s="38"/>
      <c r="B410" s="2"/>
      <c r="D410"/>
      <c r="E410"/>
      <c r="F410"/>
      <c r="G410" s="46"/>
      <c r="H410" s="79"/>
      <c r="I410" s="46"/>
      <c r="J410"/>
    </row>
    <row r="411" spans="1:10" s="69" customFormat="1">
      <c r="A411" s="38"/>
      <c r="B411" s="2"/>
      <c r="D411"/>
      <c r="E411"/>
      <c r="F411"/>
      <c r="G411" s="46"/>
      <c r="H411" s="79"/>
      <c r="I411" s="46"/>
      <c r="J411"/>
    </row>
    <row r="412" spans="1:10" s="69" customFormat="1">
      <c r="A412" s="38"/>
      <c r="B412" s="2"/>
      <c r="D412"/>
      <c r="E412"/>
      <c r="F412"/>
      <c r="G412" s="46"/>
      <c r="H412" s="79"/>
      <c r="I412" s="46"/>
      <c r="J412"/>
    </row>
    <row r="413" spans="1:10" s="69" customFormat="1">
      <c r="A413" s="38"/>
      <c r="B413" s="2"/>
      <c r="D413"/>
      <c r="E413"/>
      <c r="F413"/>
      <c r="G413" s="46"/>
      <c r="H413" s="79"/>
      <c r="I413" s="46"/>
      <c r="J413"/>
    </row>
    <row r="414" spans="1:10" s="69" customFormat="1">
      <c r="A414" s="38"/>
      <c r="B414" s="2"/>
      <c r="D414"/>
      <c r="E414"/>
      <c r="F414"/>
      <c r="G414" s="46"/>
      <c r="H414" s="79"/>
      <c r="I414" s="46"/>
      <c r="J414"/>
    </row>
    <row r="415" spans="1:10" s="69" customFormat="1">
      <c r="A415" s="38"/>
      <c r="B415" s="2"/>
      <c r="D415"/>
      <c r="E415"/>
      <c r="F415"/>
      <c r="G415" s="46"/>
      <c r="H415" s="79"/>
      <c r="I415" s="46"/>
      <c r="J415"/>
    </row>
    <row r="416" spans="1:10" s="69" customFormat="1">
      <c r="A416" s="38"/>
      <c r="B416" s="2"/>
      <c r="D416"/>
      <c r="E416"/>
      <c r="F416"/>
      <c r="G416" s="46"/>
      <c r="H416" s="79"/>
      <c r="I416" s="46"/>
      <c r="J416"/>
    </row>
    <row r="417" spans="1:10" s="69" customFormat="1">
      <c r="A417" s="38"/>
      <c r="B417" s="2"/>
      <c r="D417"/>
      <c r="E417"/>
      <c r="F417"/>
      <c r="G417" s="46"/>
      <c r="H417" s="79"/>
      <c r="I417" s="46"/>
      <c r="J417"/>
    </row>
    <row r="418" spans="1:10" s="69" customFormat="1">
      <c r="A418" s="38"/>
      <c r="B418" s="2"/>
      <c r="D418"/>
      <c r="E418"/>
      <c r="F418"/>
      <c r="G418" s="46"/>
      <c r="H418" s="79"/>
      <c r="I418" s="46"/>
      <c r="J418"/>
    </row>
    <row r="419" spans="1:10" s="69" customFormat="1">
      <c r="A419" s="38"/>
      <c r="B419" s="2"/>
      <c r="D419"/>
      <c r="E419"/>
      <c r="F419"/>
      <c r="G419" s="46"/>
      <c r="H419" s="79"/>
      <c r="I419" s="46"/>
      <c r="J419"/>
    </row>
    <row r="420" spans="1:10" s="69" customFormat="1">
      <c r="A420" s="38"/>
      <c r="B420" s="2"/>
      <c r="D420"/>
      <c r="E420"/>
      <c r="F420"/>
      <c r="G420" s="46"/>
      <c r="H420" s="79"/>
      <c r="I420" s="46"/>
      <c r="J420"/>
    </row>
    <row r="421" spans="1:10" s="69" customFormat="1">
      <c r="A421" s="38"/>
      <c r="B421" s="2"/>
      <c r="D421"/>
      <c r="E421"/>
      <c r="F421"/>
      <c r="G421" s="46"/>
      <c r="H421" s="79"/>
      <c r="I421" s="46"/>
      <c r="J421"/>
    </row>
    <row r="422" spans="1:10" s="69" customFormat="1">
      <c r="A422" s="38"/>
      <c r="B422" s="2"/>
      <c r="D422"/>
      <c r="E422"/>
      <c r="F422"/>
      <c r="G422" s="46"/>
      <c r="H422" s="79"/>
      <c r="I422" s="46"/>
      <c r="J422"/>
    </row>
    <row r="423" spans="1:10" s="69" customFormat="1">
      <c r="A423" s="38"/>
      <c r="B423" s="2"/>
      <c r="D423"/>
      <c r="E423"/>
      <c r="F423"/>
      <c r="G423" s="46"/>
      <c r="H423" s="79"/>
      <c r="I423" s="46"/>
      <c r="J423"/>
    </row>
    <row r="424" spans="1:10" s="69" customFormat="1">
      <c r="A424" s="38"/>
      <c r="B424" s="2"/>
      <c r="D424"/>
      <c r="E424"/>
      <c r="F424"/>
      <c r="G424" s="46"/>
      <c r="H424" s="79"/>
      <c r="I424" s="46"/>
      <c r="J424"/>
    </row>
    <row r="425" spans="1:10" s="69" customFormat="1">
      <c r="A425" s="38"/>
      <c r="B425" s="2"/>
      <c r="D425"/>
      <c r="E425"/>
      <c r="F425"/>
      <c r="G425" s="46"/>
      <c r="H425" s="79"/>
      <c r="I425" s="46"/>
      <c r="J425"/>
    </row>
    <row r="426" spans="1:10" s="69" customFormat="1">
      <c r="A426" s="38"/>
      <c r="B426" s="2"/>
      <c r="D426"/>
      <c r="E426"/>
      <c r="F426"/>
      <c r="G426" s="46"/>
      <c r="H426" s="79"/>
      <c r="I426" s="46"/>
      <c r="J426"/>
    </row>
    <row r="427" spans="1:10" s="69" customFormat="1">
      <c r="A427" s="38"/>
      <c r="B427" s="2"/>
      <c r="D427"/>
      <c r="E427"/>
      <c r="F427"/>
      <c r="G427" s="46"/>
      <c r="H427" s="79"/>
      <c r="I427" s="46"/>
      <c r="J427"/>
    </row>
    <row r="428" spans="1:10" s="69" customFormat="1">
      <c r="A428" s="38"/>
      <c r="B428" s="2"/>
      <c r="D428"/>
      <c r="E428"/>
      <c r="F428"/>
      <c r="G428" s="46"/>
      <c r="H428" s="79"/>
      <c r="I428" s="46"/>
      <c r="J428"/>
    </row>
    <row r="429" spans="1:10" s="69" customFormat="1">
      <c r="A429" s="38"/>
      <c r="B429" s="2"/>
      <c r="D429"/>
      <c r="E429"/>
      <c r="F429"/>
      <c r="G429" s="46"/>
      <c r="H429" s="79"/>
      <c r="I429" s="46"/>
      <c r="J429"/>
    </row>
    <row r="430" spans="1:10" s="69" customFormat="1">
      <c r="A430" s="38"/>
      <c r="B430" s="2"/>
      <c r="D430"/>
      <c r="E430"/>
      <c r="F430"/>
      <c r="G430" s="46"/>
      <c r="H430" s="79"/>
      <c r="I430" s="46"/>
      <c r="J430"/>
    </row>
    <row r="431" spans="1:10" s="69" customFormat="1">
      <c r="A431" s="38"/>
      <c r="B431" s="2"/>
      <c r="D431"/>
      <c r="E431"/>
      <c r="F431"/>
      <c r="G431" s="46"/>
      <c r="H431" s="79"/>
      <c r="I431" s="46"/>
      <c r="J431"/>
    </row>
    <row r="432" spans="1:10" s="69" customFormat="1">
      <c r="A432" s="38"/>
      <c r="B432" s="2"/>
      <c r="D432"/>
      <c r="E432"/>
      <c r="F432"/>
      <c r="G432" s="46"/>
      <c r="H432" s="79"/>
      <c r="I432" s="46"/>
      <c r="J432"/>
    </row>
    <row r="433" spans="1:10" s="69" customFormat="1">
      <c r="A433" s="38"/>
      <c r="B433" s="2"/>
      <c r="D433"/>
      <c r="E433"/>
      <c r="F433"/>
      <c r="G433" s="46"/>
      <c r="H433" s="79"/>
      <c r="I433" s="46"/>
      <c r="J433"/>
    </row>
    <row r="434" spans="1:10" s="69" customFormat="1">
      <c r="A434" s="38"/>
      <c r="B434" s="2"/>
      <c r="D434"/>
      <c r="E434"/>
      <c r="F434"/>
      <c r="G434" s="46"/>
      <c r="H434" s="79"/>
      <c r="I434" s="46"/>
      <c r="J434"/>
    </row>
    <row r="435" spans="1:10" s="69" customFormat="1">
      <c r="A435" s="38"/>
      <c r="B435" s="2"/>
      <c r="D435"/>
      <c r="E435"/>
      <c r="F435"/>
      <c r="G435" s="46"/>
      <c r="H435" s="79"/>
      <c r="I435" s="46"/>
      <c r="J435"/>
    </row>
    <row r="436" spans="1:10" s="69" customFormat="1">
      <c r="A436" s="38"/>
      <c r="B436" s="2"/>
      <c r="D436"/>
      <c r="E436"/>
      <c r="F436"/>
      <c r="G436" s="46"/>
      <c r="H436" s="79"/>
      <c r="I436" s="46"/>
      <c r="J436"/>
    </row>
    <row r="437" spans="1:10" s="69" customFormat="1">
      <c r="A437" s="38"/>
      <c r="B437" s="2"/>
      <c r="D437"/>
      <c r="E437"/>
      <c r="F437"/>
      <c r="G437" s="46"/>
      <c r="H437" s="79"/>
      <c r="I437" s="46"/>
      <c r="J437"/>
    </row>
    <row r="438" spans="1:10" s="69" customFormat="1">
      <c r="A438" s="38"/>
      <c r="B438" s="2"/>
      <c r="D438"/>
      <c r="E438"/>
      <c r="F438"/>
      <c r="G438" s="46"/>
      <c r="H438" s="79"/>
      <c r="I438" s="46"/>
      <c r="J438"/>
    </row>
    <row r="439" spans="1:10" s="69" customFormat="1">
      <c r="A439" s="38"/>
      <c r="B439" s="2"/>
      <c r="D439"/>
      <c r="E439"/>
      <c r="F439"/>
      <c r="G439" s="46"/>
      <c r="H439" s="79"/>
      <c r="I439" s="46"/>
      <c r="J439"/>
    </row>
    <row r="440" spans="1:10" s="69" customFormat="1">
      <c r="A440" s="38"/>
      <c r="B440" s="2"/>
      <c r="D440"/>
      <c r="E440"/>
      <c r="F440"/>
      <c r="G440" s="46"/>
      <c r="H440" s="79"/>
      <c r="I440" s="46"/>
      <c r="J440"/>
    </row>
    <row r="441" spans="1:10" s="69" customFormat="1">
      <c r="A441" s="38"/>
      <c r="B441" s="2"/>
      <c r="D441"/>
      <c r="E441"/>
      <c r="F441"/>
      <c r="G441" s="46"/>
      <c r="H441" s="79"/>
      <c r="I441" s="46"/>
      <c r="J441"/>
    </row>
    <row r="442" spans="1:10" s="69" customFormat="1">
      <c r="A442" s="38"/>
      <c r="B442" s="2"/>
      <c r="D442"/>
      <c r="E442"/>
      <c r="F442"/>
      <c r="G442" s="46"/>
      <c r="H442" s="79"/>
      <c r="I442" s="46"/>
      <c r="J442"/>
    </row>
    <row r="443" spans="1:10" s="69" customFormat="1">
      <c r="A443" s="38"/>
      <c r="B443" s="2"/>
      <c r="D443"/>
      <c r="E443"/>
      <c r="F443"/>
      <c r="G443" s="46"/>
      <c r="H443" s="79"/>
      <c r="I443" s="46"/>
      <c r="J443"/>
    </row>
    <row r="444" spans="1:10" s="69" customFormat="1">
      <c r="A444" s="38"/>
      <c r="B444" s="2"/>
      <c r="D444"/>
      <c r="E444"/>
      <c r="F444"/>
      <c r="G444" s="46"/>
      <c r="H444" s="79"/>
      <c r="I444" s="46"/>
      <c r="J444"/>
    </row>
    <row r="445" spans="1:10" s="69" customFormat="1">
      <c r="A445" s="38"/>
      <c r="B445" s="2"/>
      <c r="D445"/>
      <c r="E445"/>
      <c r="F445"/>
      <c r="G445" s="46"/>
      <c r="H445" s="79"/>
      <c r="I445" s="46"/>
      <c r="J445"/>
    </row>
    <row r="446" spans="1:10" s="69" customFormat="1">
      <c r="A446" s="38"/>
      <c r="B446" s="2"/>
      <c r="D446"/>
      <c r="E446"/>
      <c r="F446"/>
      <c r="G446" s="46"/>
      <c r="H446" s="79"/>
      <c r="I446" s="46"/>
      <c r="J446"/>
    </row>
    <row r="447" spans="1:10" s="69" customFormat="1">
      <c r="A447" s="38"/>
      <c r="B447" s="2"/>
      <c r="D447"/>
      <c r="E447"/>
      <c r="F447"/>
      <c r="G447" s="46"/>
      <c r="H447" s="79"/>
      <c r="I447" s="46"/>
      <c r="J447"/>
    </row>
    <row r="448" spans="1:10" s="69" customFormat="1">
      <c r="A448" s="38"/>
      <c r="B448" s="2"/>
      <c r="D448"/>
      <c r="E448"/>
      <c r="F448"/>
      <c r="G448" s="46"/>
      <c r="H448" s="79"/>
      <c r="I448" s="46"/>
      <c r="J448"/>
    </row>
    <row r="449" spans="1:10" s="69" customFormat="1">
      <c r="A449" s="38"/>
      <c r="B449" s="2"/>
      <c r="D449"/>
      <c r="E449"/>
      <c r="F449"/>
      <c r="G449" s="46"/>
      <c r="H449" s="79"/>
      <c r="I449" s="46"/>
      <c r="J449"/>
    </row>
    <row r="450" spans="1:10" s="69" customFormat="1">
      <c r="A450" s="38"/>
      <c r="B450" s="2"/>
      <c r="D450"/>
      <c r="E450"/>
      <c r="F450"/>
      <c r="G450" s="46"/>
      <c r="H450" s="79"/>
      <c r="I450" s="46"/>
      <c r="J450"/>
    </row>
    <row r="451" spans="1:10" s="69" customFormat="1">
      <c r="A451" s="38"/>
      <c r="B451" s="2"/>
      <c r="D451"/>
      <c r="E451"/>
      <c r="F451"/>
      <c r="G451" s="46"/>
      <c r="H451" s="79"/>
      <c r="I451" s="46"/>
      <c r="J451"/>
    </row>
    <row r="452" spans="1:10" s="69" customFormat="1">
      <c r="A452" s="38"/>
      <c r="B452" s="2"/>
      <c r="D452"/>
      <c r="E452"/>
      <c r="F452"/>
      <c r="G452" s="46"/>
      <c r="H452" s="79"/>
      <c r="I452" s="46"/>
      <c r="J452"/>
    </row>
    <row r="453" spans="1:10" s="69" customFormat="1">
      <c r="A453" s="38"/>
      <c r="B453" s="2"/>
      <c r="D453"/>
      <c r="E453"/>
      <c r="F453"/>
      <c r="G453" s="46"/>
      <c r="H453" s="79"/>
      <c r="I453" s="46"/>
      <c r="J453"/>
    </row>
    <row r="454" spans="1:10" s="69" customFormat="1">
      <c r="A454" s="38"/>
      <c r="B454" s="2"/>
      <c r="D454"/>
      <c r="E454"/>
      <c r="F454"/>
      <c r="G454" s="46"/>
      <c r="H454" s="79"/>
      <c r="I454" s="46"/>
      <c r="J454"/>
    </row>
    <row r="455" spans="1:10" s="69" customFormat="1">
      <c r="A455" s="38"/>
      <c r="B455" s="2"/>
      <c r="D455"/>
      <c r="E455"/>
      <c r="F455"/>
      <c r="G455" s="46"/>
      <c r="H455" s="79"/>
      <c r="I455" s="46"/>
      <c r="J455"/>
    </row>
    <row r="456" spans="1:10" s="69" customFormat="1">
      <c r="A456" s="38"/>
      <c r="B456" s="2"/>
      <c r="D456"/>
      <c r="E456"/>
      <c r="F456"/>
      <c r="G456" s="46"/>
      <c r="H456" s="79"/>
      <c r="I456" s="46"/>
      <c r="J456"/>
    </row>
    <row r="457" spans="1:10" s="69" customFormat="1">
      <c r="A457" s="38"/>
      <c r="B457" s="2"/>
      <c r="D457"/>
      <c r="E457"/>
      <c r="F457"/>
      <c r="G457" s="46"/>
      <c r="H457" s="79"/>
      <c r="I457" s="46"/>
      <c r="J457"/>
    </row>
    <row r="458" spans="1:10" s="69" customFormat="1">
      <c r="A458" s="38"/>
      <c r="B458" s="2"/>
      <c r="D458"/>
      <c r="E458"/>
      <c r="F458"/>
      <c r="G458" s="46"/>
      <c r="H458" s="79"/>
      <c r="I458" s="46"/>
      <c r="J458"/>
    </row>
    <row r="459" spans="1:10" s="69" customFormat="1">
      <c r="A459" s="38"/>
      <c r="B459" s="2"/>
      <c r="D459"/>
      <c r="E459"/>
      <c r="F459"/>
      <c r="G459" s="46"/>
      <c r="H459" s="79"/>
      <c r="I459" s="46"/>
      <c r="J459"/>
    </row>
    <row r="460" spans="1:10" s="69" customFormat="1">
      <c r="A460" s="38"/>
      <c r="B460" s="2"/>
      <c r="D460"/>
      <c r="E460"/>
      <c r="F460"/>
      <c r="G460" s="46"/>
      <c r="H460" s="79"/>
      <c r="I460" s="46"/>
      <c r="J460"/>
    </row>
    <row r="461" spans="1:10" s="69" customFormat="1">
      <c r="A461" s="38"/>
      <c r="B461" s="2"/>
      <c r="D461"/>
      <c r="E461"/>
      <c r="F461"/>
      <c r="G461" s="46"/>
      <c r="H461" s="79"/>
      <c r="I461" s="46"/>
      <c r="J461"/>
    </row>
    <row r="462" spans="1:10" s="69" customFormat="1">
      <c r="A462" s="38"/>
      <c r="B462" s="2"/>
      <c r="D462"/>
      <c r="E462"/>
      <c r="F462"/>
      <c r="G462" s="46"/>
      <c r="H462" s="79"/>
      <c r="I462" s="46"/>
      <c r="J462"/>
    </row>
    <row r="463" spans="1:10" s="69" customFormat="1">
      <c r="A463" s="38"/>
      <c r="B463" s="2"/>
      <c r="D463"/>
      <c r="E463"/>
      <c r="F463"/>
      <c r="G463" s="46"/>
      <c r="H463" s="79"/>
      <c r="I463" s="46"/>
      <c r="J463"/>
    </row>
    <row r="464" spans="1:10" s="69" customFormat="1">
      <c r="A464" s="38"/>
      <c r="B464" s="2"/>
      <c r="D464"/>
      <c r="E464"/>
      <c r="F464"/>
      <c r="G464" s="46"/>
      <c r="H464" s="79"/>
      <c r="I464" s="46"/>
      <c r="J464"/>
    </row>
    <row r="465" spans="1:10" s="69" customFormat="1">
      <c r="A465" s="38"/>
      <c r="B465" s="2"/>
      <c r="D465"/>
      <c r="E465"/>
      <c r="F465"/>
      <c r="G465" s="46"/>
      <c r="H465" s="79"/>
      <c r="I465" s="46"/>
      <c r="J465"/>
    </row>
    <row r="466" spans="1:10" s="69" customFormat="1">
      <c r="A466" s="38"/>
      <c r="B466" s="2"/>
      <c r="D466"/>
      <c r="E466"/>
      <c r="F466"/>
      <c r="G466" s="46"/>
      <c r="H466" s="79"/>
      <c r="I466" s="46"/>
      <c r="J466"/>
    </row>
    <row r="467" spans="1:10" s="69" customFormat="1">
      <c r="A467" s="38"/>
      <c r="B467" s="2"/>
      <c r="D467"/>
      <c r="E467"/>
      <c r="F467"/>
      <c r="G467" s="46"/>
      <c r="H467" s="79"/>
      <c r="I467" s="46"/>
      <c r="J467"/>
    </row>
    <row r="468" spans="1:10" s="69" customFormat="1">
      <c r="A468" s="38"/>
      <c r="B468" s="2"/>
      <c r="D468"/>
      <c r="E468"/>
      <c r="F468"/>
      <c r="G468" s="46"/>
      <c r="H468" s="79"/>
      <c r="I468" s="46"/>
      <c r="J468"/>
    </row>
    <row r="469" spans="1:10" s="69" customFormat="1">
      <c r="A469" s="38"/>
      <c r="B469" s="2"/>
      <c r="D469"/>
      <c r="E469"/>
      <c r="F469"/>
      <c r="G469" s="46"/>
      <c r="H469" s="79"/>
      <c r="I469" s="46"/>
      <c r="J469"/>
    </row>
    <row r="470" spans="1:10" s="69" customFormat="1">
      <c r="A470" s="38"/>
      <c r="B470" s="2"/>
      <c r="D470"/>
      <c r="E470"/>
      <c r="F470"/>
      <c r="G470" s="46"/>
      <c r="H470" s="79"/>
      <c r="I470" s="46"/>
      <c r="J470"/>
    </row>
    <row r="471" spans="1:10" s="69" customFormat="1">
      <c r="A471" s="38"/>
      <c r="B471" s="2"/>
      <c r="D471"/>
      <c r="E471"/>
      <c r="F471"/>
      <c r="G471" s="46"/>
      <c r="H471" s="79"/>
      <c r="I471" s="46"/>
      <c r="J471"/>
    </row>
    <row r="472" spans="1:10" s="69" customFormat="1">
      <c r="A472" s="38"/>
      <c r="B472" s="2"/>
      <c r="D472"/>
      <c r="E472"/>
      <c r="F472"/>
      <c r="G472" s="46"/>
      <c r="H472" s="79"/>
      <c r="I472" s="46"/>
      <c r="J472"/>
    </row>
    <row r="473" spans="1:10" s="69" customFormat="1">
      <c r="A473" s="38"/>
      <c r="B473" s="2"/>
      <c r="D473"/>
      <c r="E473"/>
      <c r="F473"/>
      <c r="G473" s="46"/>
      <c r="H473" s="79"/>
      <c r="I473" s="46"/>
      <c r="J473"/>
    </row>
    <row r="474" spans="1:10" s="69" customFormat="1">
      <c r="A474" s="38"/>
      <c r="B474" s="2"/>
      <c r="D474"/>
      <c r="E474"/>
      <c r="F474"/>
      <c r="G474" s="46"/>
      <c r="H474" s="79"/>
      <c r="I474" s="46"/>
      <c r="J474"/>
    </row>
    <row r="475" spans="1:10" s="69" customFormat="1">
      <c r="A475" s="38"/>
      <c r="B475" s="2"/>
      <c r="D475"/>
      <c r="E475"/>
      <c r="F475"/>
      <c r="G475" s="46"/>
      <c r="H475" s="79"/>
      <c r="I475" s="46"/>
      <c r="J475"/>
    </row>
    <row r="476" spans="1:10" s="69" customFormat="1">
      <c r="A476" s="38"/>
      <c r="B476" s="2"/>
      <c r="D476"/>
      <c r="E476"/>
      <c r="F476"/>
      <c r="G476" s="46"/>
      <c r="H476" s="79"/>
      <c r="I476" s="46"/>
      <c r="J476"/>
    </row>
    <row r="477" spans="1:10" s="69" customFormat="1">
      <c r="A477" s="38"/>
      <c r="B477" s="2"/>
      <c r="D477"/>
      <c r="E477"/>
      <c r="F477"/>
      <c r="G477" s="46"/>
      <c r="H477" s="79"/>
      <c r="I477" s="46"/>
      <c r="J477"/>
    </row>
    <row r="478" spans="1:10" s="69" customFormat="1">
      <c r="A478" s="38"/>
      <c r="B478" s="2"/>
      <c r="D478"/>
      <c r="E478"/>
      <c r="F478"/>
      <c r="G478" s="46"/>
      <c r="H478" s="79"/>
      <c r="I478" s="46"/>
      <c r="J478"/>
    </row>
    <row r="479" spans="1:10" s="69" customFormat="1">
      <c r="A479" s="38"/>
      <c r="B479" s="2"/>
      <c r="D479"/>
      <c r="E479"/>
      <c r="F479"/>
      <c r="G479" s="46"/>
      <c r="H479" s="79"/>
      <c r="I479" s="46"/>
      <c r="J479"/>
    </row>
    <row r="480" spans="1:10" s="69" customFormat="1">
      <c r="A480" s="38"/>
      <c r="B480" s="2"/>
      <c r="D480"/>
      <c r="E480"/>
      <c r="F480"/>
      <c r="G480" s="46"/>
      <c r="H480" s="79"/>
      <c r="I480" s="46"/>
      <c r="J480"/>
    </row>
    <row r="481" spans="1:10" s="69" customFormat="1">
      <c r="A481" s="38"/>
      <c r="B481" s="2"/>
      <c r="D481"/>
      <c r="E481"/>
      <c r="F481"/>
      <c r="G481" s="46"/>
      <c r="H481" s="79"/>
      <c r="I481" s="46"/>
      <c r="J481"/>
    </row>
    <row r="482" spans="1:10" s="69" customFormat="1">
      <c r="A482" s="38"/>
      <c r="B482" s="2"/>
      <c r="D482"/>
      <c r="E482"/>
      <c r="F482"/>
      <c r="G482" s="46"/>
      <c r="H482" s="79"/>
      <c r="I482" s="46"/>
      <c r="J482"/>
    </row>
    <row r="483" spans="1:10" s="69" customFormat="1">
      <c r="A483" s="38"/>
      <c r="B483" s="2"/>
      <c r="D483"/>
      <c r="E483"/>
      <c r="F483"/>
      <c r="G483" s="46"/>
      <c r="H483" s="79"/>
      <c r="I483" s="46"/>
      <c r="J483"/>
    </row>
    <row r="484" spans="1:10" s="69" customFormat="1">
      <c r="A484" s="38"/>
      <c r="B484" s="2"/>
      <c r="D484"/>
      <c r="E484"/>
      <c r="F484"/>
      <c r="G484" s="46"/>
      <c r="H484" s="79"/>
      <c r="I484" s="46"/>
      <c r="J484"/>
    </row>
    <row r="485" spans="1:10" s="69" customFormat="1">
      <c r="A485" s="38"/>
      <c r="B485" s="2"/>
      <c r="D485"/>
      <c r="E485"/>
      <c r="F485"/>
      <c r="G485" s="46"/>
      <c r="H485" s="79"/>
      <c r="I485" s="46"/>
      <c r="J485"/>
    </row>
    <row r="486" spans="1:10" s="69" customFormat="1">
      <c r="A486" s="38"/>
      <c r="B486" s="2"/>
      <c r="D486"/>
      <c r="E486"/>
      <c r="F486"/>
      <c r="G486" s="46"/>
      <c r="H486" s="79"/>
      <c r="I486" s="46"/>
      <c r="J486"/>
    </row>
    <row r="487" spans="1:10" s="69" customFormat="1">
      <c r="A487" s="38"/>
      <c r="B487" s="2"/>
      <c r="D487"/>
      <c r="E487"/>
      <c r="F487"/>
      <c r="G487" s="46"/>
      <c r="H487" s="79"/>
      <c r="I487" s="46"/>
      <c r="J487"/>
    </row>
    <row r="488" spans="1:10" s="69" customFormat="1">
      <c r="A488" s="38"/>
      <c r="B488" s="2"/>
      <c r="D488"/>
      <c r="E488"/>
      <c r="F488"/>
      <c r="G488" s="46"/>
      <c r="H488" s="79"/>
      <c r="I488" s="46"/>
      <c r="J488"/>
    </row>
    <row r="489" spans="1:10" s="69" customFormat="1">
      <c r="A489" s="38"/>
      <c r="B489" s="2"/>
      <c r="D489"/>
      <c r="E489"/>
      <c r="F489"/>
      <c r="G489" s="46"/>
      <c r="H489" s="79"/>
      <c r="I489" s="46"/>
      <c r="J489"/>
    </row>
    <row r="490" spans="1:10" s="69" customFormat="1">
      <c r="A490" s="38"/>
      <c r="B490" s="2"/>
      <c r="D490"/>
      <c r="E490"/>
      <c r="F490"/>
      <c r="G490" s="46"/>
      <c r="H490" s="79"/>
      <c r="I490" s="46"/>
      <c r="J490"/>
    </row>
    <row r="491" spans="1:10" s="69" customFormat="1">
      <c r="A491" s="38"/>
      <c r="B491" s="2"/>
      <c r="D491"/>
      <c r="E491"/>
      <c r="F491"/>
      <c r="G491" s="46"/>
      <c r="H491" s="79"/>
      <c r="I491" s="46"/>
      <c r="J491"/>
    </row>
    <row r="492" spans="1:10" s="69" customFormat="1">
      <c r="A492" s="38"/>
      <c r="B492" s="2"/>
      <c r="D492"/>
      <c r="E492"/>
      <c r="F492"/>
      <c r="G492" s="46"/>
      <c r="H492" s="79"/>
      <c r="I492" s="46"/>
      <c r="J492"/>
    </row>
    <row r="493" spans="1:10" s="69" customFormat="1">
      <c r="A493" s="38"/>
      <c r="B493" s="2"/>
      <c r="D493"/>
      <c r="E493"/>
      <c r="F493"/>
      <c r="G493" s="46"/>
      <c r="H493" s="79"/>
      <c r="I493" s="46"/>
      <c r="J493"/>
    </row>
    <row r="494" spans="1:10" s="69" customFormat="1">
      <c r="A494" s="38"/>
      <c r="B494" s="2"/>
      <c r="D494"/>
      <c r="E494"/>
      <c r="F494"/>
      <c r="G494" s="46"/>
      <c r="H494" s="79"/>
      <c r="I494" s="46"/>
      <c r="J494"/>
    </row>
    <row r="495" spans="1:10" s="69" customFormat="1">
      <c r="A495" s="38"/>
      <c r="B495" s="2"/>
      <c r="D495"/>
      <c r="E495"/>
      <c r="F495"/>
      <c r="G495" s="46"/>
      <c r="H495" s="79"/>
      <c r="I495" s="46"/>
      <c r="J495"/>
    </row>
    <row r="496" spans="1:10" s="69" customFormat="1">
      <c r="A496" s="38"/>
      <c r="B496" s="2"/>
      <c r="D496"/>
      <c r="E496"/>
      <c r="F496"/>
      <c r="G496" s="46"/>
      <c r="H496" s="79"/>
      <c r="I496" s="46"/>
      <c r="J496"/>
    </row>
    <row r="497" spans="1:10" s="69" customFormat="1">
      <c r="A497" s="38"/>
      <c r="B497" s="2"/>
      <c r="D497"/>
      <c r="E497"/>
      <c r="F497"/>
      <c r="G497" s="46"/>
      <c r="H497" s="79"/>
      <c r="I497" s="46"/>
      <c r="J497"/>
    </row>
    <row r="498" spans="1:10" s="69" customFormat="1">
      <c r="A498" s="38"/>
      <c r="B498" s="2"/>
      <c r="D498"/>
      <c r="E498"/>
      <c r="F498"/>
      <c r="G498" s="46"/>
      <c r="H498" s="79"/>
      <c r="I498" s="46"/>
      <c r="J498"/>
    </row>
    <row r="499" spans="1:10" s="69" customFormat="1">
      <c r="A499" s="38"/>
      <c r="B499" s="2"/>
      <c r="D499"/>
      <c r="E499"/>
      <c r="F499"/>
      <c r="G499" s="46"/>
      <c r="H499" s="79"/>
      <c r="I499" s="46"/>
      <c r="J499"/>
    </row>
    <row r="500" spans="1:10" s="69" customFormat="1">
      <c r="A500" s="38"/>
      <c r="B500" s="2"/>
      <c r="D500"/>
      <c r="E500"/>
      <c r="F500"/>
      <c r="G500" s="46"/>
      <c r="H500" s="79"/>
      <c r="I500" s="46"/>
      <c r="J500"/>
    </row>
    <row r="501" spans="1:10" s="69" customFormat="1">
      <c r="A501" s="38"/>
      <c r="B501" s="2"/>
      <c r="D501"/>
      <c r="E501"/>
      <c r="F501"/>
      <c r="G501" s="46"/>
      <c r="H501" s="79"/>
      <c r="I501" s="46"/>
      <c r="J501"/>
    </row>
    <row r="502" spans="1:10" s="69" customFormat="1">
      <c r="A502" s="38"/>
      <c r="B502" s="2"/>
      <c r="D502"/>
      <c r="E502"/>
      <c r="F502"/>
      <c r="G502" s="46"/>
      <c r="H502" s="79"/>
      <c r="I502" s="46"/>
      <c r="J502"/>
    </row>
    <row r="503" spans="1:10" s="69" customFormat="1">
      <c r="A503" s="38"/>
      <c r="B503" s="2"/>
      <c r="D503"/>
      <c r="E503"/>
      <c r="F503"/>
      <c r="G503" s="46"/>
      <c r="H503" s="79"/>
      <c r="I503" s="46"/>
      <c r="J503"/>
    </row>
    <row r="504" spans="1:10" s="69" customFormat="1">
      <c r="A504" s="38"/>
      <c r="B504" s="2"/>
      <c r="D504"/>
      <c r="E504"/>
      <c r="F504"/>
      <c r="G504" s="46"/>
      <c r="H504" s="79"/>
      <c r="I504" s="46"/>
      <c r="J504"/>
    </row>
    <row r="505" spans="1:10" s="69" customFormat="1">
      <c r="A505" s="38"/>
      <c r="B505" s="2"/>
      <c r="D505"/>
      <c r="E505"/>
      <c r="F505"/>
      <c r="G505" s="46"/>
      <c r="H505" s="79"/>
      <c r="I505" s="46"/>
      <c r="J505"/>
    </row>
    <row r="506" spans="1:10" s="69" customFormat="1">
      <c r="A506" s="38"/>
      <c r="B506" s="2"/>
      <c r="D506"/>
      <c r="E506"/>
      <c r="F506"/>
      <c r="G506" s="46"/>
      <c r="H506" s="79"/>
      <c r="I506" s="46"/>
      <c r="J506"/>
    </row>
    <row r="507" spans="1:10" s="69" customFormat="1">
      <c r="A507" s="38"/>
      <c r="B507" s="2"/>
      <c r="D507"/>
      <c r="E507"/>
      <c r="F507"/>
      <c r="G507" s="46"/>
      <c r="H507" s="79"/>
      <c r="I507" s="46"/>
      <c r="J507"/>
    </row>
    <row r="508" spans="1:10" s="69" customFormat="1">
      <c r="A508" s="38"/>
      <c r="B508" s="2"/>
      <c r="D508"/>
      <c r="E508"/>
      <c r="F508"/>
      <c r="G508" s="46"/>
      <c r="H508" s="79"/>
      <c r="I508" s="46"/>
      <c r="J508"/>
    </row>
    <row r="509" spans="1:10" s="69" customFormat="1">
      <c r="A509" s="38"/>
      <c r="B509" s="2"/>
      <c r="D509"/>
      <c r="E509"/>
      <c r="F509"/>
      <c r="G509" s="46"/>
      <c r="H509" s="79"/>
      <c r="I509" s="46"/>
      <c r="J509"/>
    </row>
    <row r="510" spans="1:10" s="69" customFormat="1">
      <c r="A510" s="38"/>
      <c r="B510" s="2"/>
      <c r="D510"/>
      <c r="E510"/>
      <c r="F510"/>
      <c r="G510" s="46"/>
      <c r="H510" s="79"/>
      <c r="I510" s="46"/>
      <c r="J510"/>
    </row>
    <row r="511" spans="1:10" s="69" customFormat="1">
      <c r="A511" s="38"/>
      <c r="B511" s="2"/>
      <c r="D511"/>
      <c r="E511"/>
      <c r="F511"/>
      <c r="G511" s="46"/>
      <c r="H511" s="79"/>
      <c r="I511" s="46"/>
      <c r="J511"/>
    </row>
    <row r="512" spans="1:10" s="69" customFormat="1">
      <c r="A512" s="38"/>
      <c r="B512" s="2"/>
      <c r="D512"/>
      <c r="E512"/>
      <c r="F512"/>
      <c r="G512" s="46"/>
      <c r="H512" s="79"/>
      <c r="I512" s="46"/>
      <c r="J512"/>
    </row>
    <row r="513" spans="1:10" s="69" customFormat="1">
      <c r="A513" s="38"/>
      <c r="B513" s="2"/>
      <c r="D513"/>
      <c r="E513"/>
      <c r="F513"/>
      <c r="G513" s="46"/>
      <c r="H513" s="79"/>
      <c r="I513" s="46"/>
      <c r="J513"/>
    </row>
    <row r="514" spans="1:10" s="69" customFormat="1">
      <c r="A514" s="38"/>
      <c r="B514" s="2"/>
      <c r="D514"/>
      <c r="E514"/>
      <c r="F514"/>
      <c r="G514" s="46"/>
      <c r="H514" s="79"/>
      <c r="I514" s="46"/>
      <c r="J514"/>
    </row>
    <row r="515" spans="1:10" s="69" customFormat="1">
      <c r="A515" s="38"/>
      <c r="B515" s="2"/>
      <c r="D515"/>
      <c r="E515"/>
      <c r="F515"/>
      <c r="G515" s="46"/>
      <c r="H515" s="79"/>
      <c r="I515" s="46"/>
      <c r="J515"/>
    </row>
    <row r="516" spans="1:10" s="69" customFormat="1">
      <c r="A516" s="38"/>
      <c r="B516" s="2"/>
      <c r="D516"/>
      <c r="E516"/>
      <c r="F516"/>
      <c r="G516" s="46"/>
      <c r="H516" s="79"/>
      <c r="I516" s="46"/>
      <c r="J516"/>
    </row>
    <row r="517" spans="1:10" s="69" customFormat="1">
      <c r="A517" s="38"/>
      <c r="B517" s="2"/>
      <c r="D517"/>
      <c r="E517"/>
      <c r="F517"/>
      <c r="G517" s="46"/>
      <c r="H517" s="79"/>
      <c r="I517" s="46"/>
      <c r="J517"/>
    </row>
    <row r="518" spans="1:10" s="69" customFormat="1">
      <c r="A518" s="38"/>
      <c r="B518" s="2"/>
      <c r="D518"/>
      <c r="E518"/>
      <c r="F518"/>
      <c r="G518" s="46"/>
      <c r="H518" s="79"/>
      <c r="I518" s="46"/>
      <c r="J518"/>
    </row>
    <row r="519" spans="1:10" s="69" customFormat="1">
      <c r="A519" s="38"/>
      <c r="B519" s="2"/>
      <c r="D519"/>
      <c r="E519"/>
      <c r="F519"/>
      <c r="G519" s="46"/>
      <c r="H519" s="79"/>
      <c r="I519" s="46"/>
      <c r="J519"/>
    </row>
    <row r="520" spans="1:10" s="69" customFormat="1">
      <c r="A520" s="38"/>
      <c r="B520" s="2"/>
      <c r="D520"/>
      <c r="E520"/>
      <c r="F520"/>
      <c r="G520" s="46"/>
      <c r="H520" s="79"/>
      <c r="I520" s="46"/>
      <c r="J520"/>
    </row>
    <row r="521" spans="1:10" s="69" customFormat="1">
      <c r="A521" s="38"/>
      <c r="B521" s="2"/>
      <c r="D521"/>
      <c r="E521"/>
      <c r="F521"/>
      <c r="G521" s="46"/>
      <c r="H521" s="79"/>
      <c r="I521" s="46"/>
      <c r="J521"/>
    </row>
    <row r="522" spans="1:10" s="69" customFormat="1">
      <c r="A522" s="38"/>
      <c r="B522" s="2"/>
      <c r="D522"/>
      <c r="E522"/>
      <c r="F522"/>
      <c r="G522" s="46"/>
      <c r="H522" s="79"/>
      <c r="I522" s="46"/>
      <c r="J522"/>
    </row>
    <row r="523" spans="1:10" s="69" customFormat="1">
      <c r="A523" s="38"/>
      <c r="B523" s="2"/>
      <c r="D523"/>
      <c r="E523"/>
      <c r="F523"/>
      <c r="G523" s="46"/>
      <c r="H523" s="79"/>
      <c r="I523" s="46"/>
      <c r="J523"/>
    </row>
    <row r="524" spans="1:10" s="69" customFormat="1">
      <c r="A524" s="38"/>
      <c r="B524" s="2"/>
      <c r="D524"/>
      <c r="E524"/>
      <c r="F524"/>
      <c r="G524" s="46"/>
      <c r="H524" s="79"/>
      <c r="I524" s="46"/>
      <c r="J524"/>
    </row>
    <row r="525" spans="1:10" s="69" customFormat="1">
      <c r="A525" s="38"/>
      <c r="B525" s="2"/>
      <c r="D525"/>
      <c r="E525"/>
      <c r="F525"/>
      <c r="G525" s="46"/>
      <c r="H525" s="79"/>
      <c r="I525" s="46"/>
      <c r="J525"/>
    </row>
    <row r="526" spans="1:10" s="69" customFormat="1">
      <c r="A526" s="38"/>
      <c r="B526" s="2"/>
      <c r="D526"/>
      <c r="E526"/>
      <c r="F526"/>
      <c r="G526" s="46"/>
      <c r="H526" s="79"/>
      <c r="I526" s="46"/>
      <c r="J526"/>
    </row>
    <row r="527" spans="1:10" s="69" customFormat="1">
      <c r="A527" s="38"/>
      <c r="B527" s="2"/>
      <c r="D527"/>
      <c r="E527"/>
      <c r="F527"/>
      <c r="G527" s="46"/>
      <c r="H527" s="79"/>
      <c r="I527" s="46"/>
      <c r="J527"/>
    </row>
    <row r="528" spans="1:10" s="69" customFormat="1">
      <c r="A528" s="38"/>
      <c r="B528" s="2"/>
      <c r="D528"/>
      <c r="E528"/>
      <c r="F528"/>
      <c r="G528" s="46"/>
      <c r="H528" s="79"/>
      <c r="I528" s="46"/>
      <c r="J528"/>
    </row>
    <row r="529" spans="1:10" s="69" customFormat="1">
      <c r="A529" s="38"/>
      <c r="B529" s="2"/>
      <c r="D529"/>
      <c r="E529"/>
      <c r="F529"/>
      <c r="G529" s="46"/>
      <c r="H529" s="79"/>
      <c r="I529" s="46"/>
      <c r="J529"/>
    </row>
    <row r="530" spans="1:10" s="69" customFormat="1">
      <c r="A530" s="38"/>
      <c r="B530" s="2"/>
      <c r="D530"/>
      <c r="E530"/>
      <c r="F530"/>
      <c r="G530" s="46"/>
      <c r="H530" s="79"/>
      <c r="I530" s="46"/>
      <c r="J530"/>
    </row>
    <row r="531" spans="1:10" s="69" customFormat="1">
      <c r="A531" s="38"/>
      <c r="B531" s="2"/>
      <c r="D531"/>
      <c r="E531"/>
      <c r="F531"/>
      <c r="G531" s="46"/>
      <c r="H531" s="79"/>
      <c r="I531" s="46"/>
      <c r="J531"/>
    </row>
    <row r="532" spans="1:10" s="69" customFormat="1">
      <c r="A532" s="38"/>
      <c r="B532" s="2"/>
      <c r="D532"/>
      <c r="E532"/>
      <c r="F532"/>
      <c r="G532" s="46"/>
      <c r="H532" s="79"/>
      <c r="I532" s="46"/>
      <c r="J532"/>
    </row>
    <row r="533" spans="1:10" s="69" customFormat="1">
      <c r="A533" s="38"/>
      <c r="B533" s="2"/>
      <c r="D533"/>
      <c r="E533"/>
      <c r="F533"/>
      <c r="G533" s="46"/>
      <c r="H533" s="79"/>
      <c r="I533" s="46"/>
      <c r="J533"/>
    </row>
    <row r="534" spans="1:10" s="69" customFormat="1">
      <c r="A534" s="38"/>
      <c r="B534" s="2"/>
      <c r="D534"/>
      <c r="E534"/>
      <c r="F534"/>
      <c r="G534" s="46"/>
      <c r="H534" s="79"/>
      <c r="I534" s="46"/>
      <c r="J534"/>
    </row>
    <row r="535" spans="1:10" s="69" customFormat="1">
      <c r="A535" s="38"/>
      <c r="B535" s="2"/>
      <c r="D535"/>
      <c r="E535"/>
      <c r="F535"/>
      <c r="G535" s="46"/>
      <c r="H535" s="79"/>
      <c r="I535" s="46"/>
      <c r="J535"/>
    </row>
    <row r="536" spans="1:10" s="69" customFormat="1">
      <c r="A536" s="38"/>
      <c r="B536" s="2"/>
      <c r="D536"/>
      <c r="E536"/>
      <c r="F536"/>
      <c r="G536" s="46"/>
      <c r="H536" s="79"/>
      <c r="I536" s="46"/>
      <c r="J536"/>
    </row>
    <row r="537" spans="1:10" s="69" customFormat="1">
      <c r="A537" s="38"/>
      <c r="B537" s="2"/>
      <c r="D537"/>
      <c r="E537"/>
      <c r="F537"/>
      <c r="G537" s="46"/>
      <c r="H537" s="79"/>
      <c r="I537" s="46"/>
      <c r="J537"/>
    </row>
    <row r="538" spans="1:10" s="69" customFormat="1">
      <c r="A538" s="38"/>
      <c r="B538" s="2"/>
      <c r="D538"/>
      <c r="E538"/>
      <c r="F538"/>
      <c r="G538" s="46"/>
      <c r="H538" s="79"/>
      <c r="I538" s="46"/>
      <c r="J538"/>
    </row>
    <row r="539" spans="1:10" s="69" customFormat="1">
      <c r="A539" s="38"/>
      <c r="B539" s="2"/>
      <c r="D539"/>
      <c r="E539"/>
      <c r="F539"/>
      <c r="G539" s="46"/>
      <c r="H539" s="79"/>
      <c r="I539" s="46"/>
      <c r="J539"/>
    </row>
    <row r="540" spans="1:10" s="69" customFormat="1">
      <c r="A540" s="38"/>
      <c r="B540" s="2"/>
      <c r="D540"/>
      <c r="E540"/>
      <c r="F540"/>
      <c r="G540" s="46"/>
      <c r="H540" s="79"/>
      <c r="I540" s="46"/>
      <c r="J540"/>
    </row>
    <row r="541" spans="1:10" s="69" customFormat="1">
      <c r="A541" s="38"/>
      <c r="B541" s="2"/>
      <c r="D541"/>
      <c r="E541"/>
      <c r="F541"/>
      <c r="G541" s="46"/>
      <c r="H541" s="79"/>
      <c r="I541" s="46"/>
      <c r="J541"/>
    </row>
    <row r="542" spans="1:10" s="69" customFormat="1">
      <c r="A542" s="38"/>
      <c r="B542" s="2"/>
      <c r="D542"/>
      <c r="E542"/>
      <c r="F542"/>
      <c r="G542" s="46"/>
      <c r="H542" s="79"/>
      <c r="I542" s="46"/>
      <c r="J542"/>
    </row>
    <row r="543" spans="1:10" s="69" customFormat="1">
      <c r="A543" s="38"/>
      <c r="B543" s="2"/>
      <c r="D543"/>
      <c r="E543"/>
      <c r="F543"/>
      <c r="G543" s="46"/>
      <c r="H543" s="79"/>
      <c r="I543" s="46"/>
      <c r="J543"/>
    </row>
    <row r="544" spans="1:10" s="69" customFormat="1">
      <c r="A544" s="38"/>
      <c r="B544" s="2"/>
      <c r="D544"/>
      <c r="E544"/>
      <c r="F544"/>
      <c r="G544" s="46"/>
      <c r="H544" s="79"/>
      <c r="I544" s="46"/>
      <c r="J544"/>
    </row>
    <row r="545" spans="1:10" s="69" customFormat="1">
      <c r="A545" s="38"/>
      <c r="B545" s="2"/>
      <c r="D545"/>
      <c r="E545"/>
      <c r="F545"/>
      <c r="G545" s="46"/>
      <c r="H545" s="79"/>
      <c r="I545" s="46"/>
      <c r="J545"/>
    </row>
    <row r="546" spans="1:10" s="69" customFormat="1">
      <c r="A546" s="38"/>
      <c r="B546" s="2"/>
      <c r="D546"/>
      <c r="E546"/>
      <c r="F546"/>
      <c r="G546" s="46"/>
      <c r="H546" s="79"/>
      <c r="I546" s="46"/>
      <c r="J546"/>
    </row>
    <row r="547" spans="1:10" s="69" customFormat="1">
      <c r="A547" s="38"/>
      <c r="B547" s="2"/>
      <c r="D547"/>
      <c r="E547"/>
      <c r="F547"/>
      <c r="G547" s="46"/>
      <c r="H547" s="79"/>
      <c r="I547" s="46"/>
      <c r="J547"/>
    </row>
    <row r="548" spans="1:10" s="69" customFormat="1">
      <c r="A548" s="38"/>
      <c r="B548" s="2"/>
      <c r="D548"/>
      <c r="E548"/>
      <c r="F548"/>
      <c r="G548" s="46"/>
      <c r="H548" s="79"/>
      <c r="I548" s="46"/>
      <c r="J548"/>
    </row>
    <row r="549" spans="1:10" s="69" customFormat="1">
      <c r="A549" s="38"/>
      <c r="B549" s="2"/>
      <c r="D549"/>
      <c r="E549"/>
      <c r="F549"/>
      <c r="G549" s="46"/>
      <c r="H549" s="79"/>
      <c r="I549" s="46"/>
      <c r="J549"/>
    </row>
    <row r="550" spans="1:10" s="69" customFormat="1">
      <c r="A550" s="38"/>
      <c r="B550" s="2"/>
      <c r="D550"/>
      <c r="E550"/>
      <c r="F550"/>
      <c r="G550" s="46"/>
      <c r="H550" s="79"/>
      <c r="I550" s="46"/>
      <c r="J550"/>
    </row>
    <row r="551" spans="1:10" s="69" customFormat="1">
      <c r="A551" s="38"/>
      <c r="B551" s="2"/>
      <c r="D551"/>
      <c r="E551"/>
      <c r="F551"/>
      <c r="G551" s="46"/>
      <c r="H551" s="79"/>
      <c r="I551" s="46"/>
      <c r="J551"/>
    </row>
    <row r="552" spans="1:10" s="69" customFormat="1">
      <c r="A552" s="38"/>
      <c r="B552" s="2"/>
      <c r="D552"/>
      <c r="E552"/>
      <c r="F552"/>
      <c r="G552" s="46"/>
      <c r="H552" s="79"/>
      <c r="I552" s="46"/>
      <c r="J552"/>
    </row>
    <row r="553" spans="1:10" s="69" customFormat="1">
      <c r="A553" s="38"/>
      <c r="B553" s="2"/>
      <c r="D553"/>
      <c r="E553"/>
      <c r="F553"/>
      <c r="G553" s="46"/>
      <c r="H553" s="79"/>
      <c r="I553" s="46"/>
      <c r="J553"/>
    </row>
    <row r="554" spans="1:10" s="69" customFormat="1">
      <c r="A554" s="38"/>
      <c r="B554" s="2"/>
      <c r="D554"/>
      <c r="E554"/>
      <c r="F554"/>
      <c r="G554" s="46"/>
      <c r="H554" s="79"/>
      <c r="I554" s="46"/>
      <c r="J554"/>
    </row>
    <row r="555" spans="1:10" s="69" customFormat="1">
      <c r="A555" s="38"/>
      <c r="B555" s="2"/>
      <c r="D555"/>
      <c r="E555"/>
      <c r="F555"/>
      <c r="G555" s="46"/>
      <c r="H555" s="79"/>
      <c r="I555" s="46"/>
      <c r="J555"/>
    </row>
    <row r="556" spans="1:10" s="69" customFormat="1">
      <c r="A556" s="38"/>
      <c r="B556" s="2"/>
      <c r="D556"/>
      <c r="E556"/>
      <c r="F556"/>
      <c r="G556" s="46"/>
      <c r="H556" s="79"/>
      <c r="I556" s="46"/>
      <c r="J556"/>
    </row>
    <row r="557" spans="1:10" s="69" customFormat="1">
      <c r="A557" s="38"/>
      <c r="B557" s="2"/>
      <c r="D557"/>
      <c r="E557"/>
      <c r="F557"/>
      <c r="G557" s="46"/>
      <c r="H557" s="79"/>
      <c r="I557" s="46"/>
      <c r="J557"/>
    </row>
    <row r="558" spans="1:10" s="69" customFormat="1">
      <c r="A558" s="38"/>
      <c r="B558" s="2"/>
      <c r="D558"/>
      <c r="E558"/>
      <c r="F558"/>
      <c r="G558" s="46"/>
      <c r="H558" s="79"/>
      <c r="I558" s="46"/>
      <c r="J558"/>
    </row>
    <row r="559" spans="1:10" s="69" customFormat="1">
      <c r="A559" s="38"/>
      <c r="B559" s="2"/>
      <c r="D559"/>
      <c r="E559"/>
      <c r="F559"/>
      <c r="G559" s="46"/>
      <c r="H559" s="79"/>
      <c r="I559" s="46"/>
      <c r="J559"/>
    </row>
    <row r="560" spans="1:10" s="69" customFormat="1">
      <c r="A560" s="38"/>
      <c r="B560" s="2"/>
      <c r="D560"/>
      <c r="E560"/>
      <c r="F560"/>
      <c r="G560" s="46"/>
      <c r="H560" s="79"/>
      <c r="I560" s="46"/>
      <c r="J560"/>
    </row>
    <row r="561" spans="1:10" s="69" customFormat="1">
      <c r="A561" s="38"/>
      <c r="B561" s="2"/>
      <c r="D561"/>
      <c r="E561"/>
      <c r="F561"/>
      <c r="G561" s="46"/>
      <c r="H561" s="79"/>
      <c r="I561" s="46"/>
      <c r="J561"/>
    </row>
    <row r="562" spans="1:10" s="69" customFormat="1">
      <c r="A562" s="38"/>
      <c r="B562" s="2"/>
      <c r="D562"/>
      <c r="E562"/>
      <c r="F562"/>
      <c r="G562" s="46"/>
      <c r="H562" s="79"/>
      <c r="I562" s="46"/>
      <c r="J562"/>
    </row>
    <row r="563" spans="1:10" s="69" customFormat="1">
      <c r="A563" s="38"/>
      <c r="B563" s="2"/>
      <c r="D563"/>
      <c r="E563"/>
      <c r="F563"/>
      <c r="G563" s="46"/>
      <c r="H563" s="79"/>
      <c r="I563" s="46"/>
      <c r="J563"/>
    </row>
    <row r="564" spans="1:10" s="69" customFormat="1">
      <c r="A564" s="38"/>
      <c r="B564" s="2"/>
      <c r="D564"/>
      <c r="E564"/>
      <c r="F564"/>
      <c r="G564" s="46"/>
      <c r="H564" s="79"/>
      <c r="I564" s="46"/>
      <c r="J564"/>
    </row>
    <row r="565" spans="1:10" s="69" customFormat="1">
      <c r="A565" s="38"/>
      <c r="B565" s="2"/>
      <c r="D565"/>
      <c r="E565"/>
      <c r="F565"/>
      <c r="G565" s="46"/>
      <c r="H565" s="79"/>
      <c r="I565" s="46"/>
      <c r="J565"/>
    </row>
    <row r="566" spans="1:10" s="69" customFormat="1">
      <c r="A566" s="38"/>
      <c r="B566" s="2"/>
      <c r="D566"/>
      <c r="E566"/>
      <c r="F566"/>
      <c r="G566" s="46"/>
      <c r="H566" s="79"/>
      <c r="I566" s="46"/>
      <c r="J566"/>
    </row>
    <row r="567" spans="1:10" s="69" customFormat="1">
      <c r="A567" s="38"/>
      <c r="B567" s="2"/>
      <c r="D567"/>
      <c r="E567"/>
      <c r="F567"/>
      <c r="G567" s="46"/>
      <c r="H567" s="79"/>
      <c r="I567" s="46"/>
      <c r="J567"/>
    </row>
    <row r="568" spans="1:10" s="69" customFormat="1">
      <c r="A568" s="38"/>
      <c r="B568" s="2"/>
      <c r="D568"/>
      <c r="E568"/>
      <c r="F568"/>
      <c r="G568" s="46"/>
      <c r="H568" s="79"/>
      <c r="I568" s="46"/>
      <c r="J568"/>
    </row>
    <row r="569" spans="1:10" s="69" customFormat="1">
      <c r="A569" s="38"/>
      <c r="B569" s="2"/>
      <c r="D569"/>
      <c r="E569"/>
      <c r="F569"/>
      <c r="G569" s="46"/>
      <c r="H569" s="79"/>
      <c r="I569" s="46"/>
      <c r="J569"/>
    </row>
    <row r="570" spans="1:10" s="69" customFormat="1">
      <c r="A570" s="38"/>
      <c r="B570" s="2"/>
      <c r="D570"/>
      <c r="E570"/>
      <c r="F570"/>
      <c r="G570" s="46"/>
      <c r="H570" s="79"/>
      <c r="I570" s="46"/>
      <c r="J570"/>
    </row>
    <row r="571" spans="1:10" s="69" customFormat="1">
      <c r="A571" s="38"/>
      <c r="B571" s="2"/>
      <c r="D571"/>
      <c r="E571"/>
      <c r="F571"/>
      <c r="G571" s="46"/>
      <c r="H571" s="79"/>
      <c r="I571" s="46"/>
      <c r="J571"/>
    </row>
    <row r="572" spans="1:10" s="69" customFormat="1">
      <c r="A572" s="38"/>
      <c r="B572" s="2"/>
      <c r="D572"/>
      <c r="E572"/>
      <c r="F572"/>
      <c r="G572" s="46"/>
      <c r="H572" s="79"/>
      <c r="I572" s="46"/>
      <c r="J572"/>
    </row>
    <row r="573" spans="1:10" s="69" customFormat="1">
      <c r="A573" s="38"/>
      <c r="B573" s="2"/>
      <c r="D573"/>
      <c r="E573"/>
      <c r="F573"/>
      <c r="G573" s="46"/>
      <c r="H573" s="79"/>
      <c r="I573" s="46"/>
      <c r="J573"/>
    </row>
    <row r="574" spans="1:10" s="69" customFormat="1">
      <c r="A574" s="38"/>
      <c r="B574" s="2"/>
      <c r="D574"/>
      <c r="E574"/>
      <c r="F574"/>
      <c r="G574" s="46"/>
      <c r="H574" s="79"/>
      <c r="I574" s="46"/>
      <c r="J574"/>
    </row>
    <row r="575" spans="1:10" s="69" customFormat="1">
      <c r="A575" s="38"/>
      <c r="B575" s="2"/>
      <c r="D575"/>
      <c r="E575"/>
      <c r="F575"/>
      <c r="G575" s="46"/>
      <c r="H575" s="79"/>
      <c r="I575" s="46"/>
      <c r="J575"/>
    </row>
    <row r="576" spans="1:10" s="69" customFormat="1">
      <c r="A576" s="38"/>
      <c r="B576" s="2"/>
      <c r="D576"/>
      <c r="E576"/>
      <c r="F576"/>
      <c r="G576" s="46"/>
      <c r="H576" s="79"/>
      <c r="I576" s="46"/>
      <c r="J576"/>
    </row>
    <row r="577" spans="1:10" s="69" customFormat="1">
      <c r="A577" s="38"/>
      <c r="B577" s="2"/>
      <c r="D577"/>
      <c r="E577"/>
      <c r="F577"/>
      <c r="G577" s="46"/>
      <c r="H577" s="79"/>
      <c r="I577" s="46"/>
      <c r="J577"/>
    </row>
    <row r="578" spans="1:10" s="69" customFormat="1">
      <c r="A578" s="38"/>
      <c r="B578" s="2"/>
      <c r="D578"/>
      <c r="E578"/>
      <c r="F578"/>
      <c r="G578" s="46"/>
      <c r="H578" s="79"/>
      <c r="I578" s="46"/>
      <c r="J578"/>
    </row>
    <row r="579" spans="1:10" s="69" customFormat="1">
      <c r="A579" s="38"/>
      <c r="B579" s="2"/>
      <c r="D579"/>
      <c r="E579"/>
      <c r="F579"/>
      <c r="G579" s="46"/>
      <c r="H579" s="79"/>
      <c r="I579" s="46"/>
      <c r="J579"/>
    </row>
    <row r="580" spans="1:10" s="69" customFormat="1">
      <c r="A580" s="38"/>
      <c r="B580" s="2"/>
      <c r="D580"/>
      <c r="E580"/>
      <c r="F580"/>
      <c r="G580" s="46"/>
      <c r="H580" s="79"/>
      <c r="I580" s="46"/>
      <c r="J580"/>
    </row>
    <row r="581" spans="1:10" s="69" customFormat="1">
      <c r="A581" s="38"/>
      <c r="B581" s="2"/>
      <c r="D581"/>
      <c r="E581"/>
      <c r="F581"/>
      <c r="G581" s="46"/>
      <c r="H581" s="79"/>
      <c r="I581" s="46"/>
      <c r="J581"/>
    </row>
    <row r="582" spans="1:10" s="69" customFormat="1">
      <c r="A582" s="38"/>
      <c r="B582" s="2"/>
      <c r="D582"/>
      <c r="E582"/>
      <c r="F582"/>
      <c r="G582" s="46"/>
      <c r="H582" s="79"/>
      <c r="I582" s="46"/>
      <c r="J582"/>
    </row>
    <row r="583" spans="1:10" s="69" customFormat="1">
      <c r="A583" s="38"/>
      <c r="B583" s="2"/>
      <c r="D583"/>
      <c r="E583"/>
      <c r="F583"/>
      <c r="G583" s="46"/>
      <c r="H583" s="79"/>
      <c r="I583" s="46"/>
      <c r="J583"/>
    </row>
    <row r="584" spans="1:10" s="69" customFormat="1">
      <c r="A584" s="38"/>
      <c r="B584" s="2"/>
      <c r="D584"/>
      <c r="E584"/>
      <c r="F584"/>
      <c r="G584" s="46"/>
      <c r="H584" s="79"/>
      <c r="I584" s="46"/>
      <c r="J584"/>
    </row>
    <row r="585" spans="1:10" s="69" customFormat="1">
      <c r="A585" s="38"/>
      <c r="B585" s="2"/>
      <c r="D585"/>
      <c r="E585"/>
      <c r="F585"/>
      <c r="G585" s="46"/>
      <c r="H585" s="79"/>
      <c r="I585" s="46"/>
      <c r="J585"/>
    </row>
    <row r="586" spans="1:10" s="69" customFormat="1">
      <c r="A586" s="38"/>
      <c r="B586" s="2"/>
      <c r="D586"/>
      <c r="E586"/>
      <c r="F586"/>
      <c r="G586" s="46"/>
      <c r="H586" s="79"/>
      <c r="I586" s="46"/>
      <c r="J586"/>
    </row>
    <row r="587" spans="1:10" s="69" customFormat="1">
      <c r="A587" s="38"/>
      <c r="B587" s="2"/>
      <c r="D587"/>
      <c r="E587"/>
      <c r="F587"/>
      <c r="G587" s="46"/>
      <c r="H587" s="79"/>
      <c r="I587" s="46"/>
      <c r="J587"/>
    </row>
    <row r="588" spans="1:10" s="69" customFormat="1">
      <c r="A588" s="38"/>
      <c r="B588" s="2"/>
      <c r="D588"/>
      <c r="E588"/>
      <c r="F588"/>
      <c r="G588" s="46"/>
      <c r="H588" s="79"/>
      <c r="I588" s="46"/>
      <c r="J588"/>
    </row>
    <row r="589" spans="1:10" s="69" customFormat="1">
      <c r="A589" s="38"/>
      <c r="B589" s="2"/>
      <c r="D589"/>
      <c r="E589"/>
      <c r="F589"/>
      <c r="G589" s="46"/>
      <c r="H589" s="79"/>
      <c r="I589" s="46"/>
      <c r="J589"/>
    </row>
    <row r="590" spans="1:10" s="69" customFormat="1">
      <c r="A590" s="38"/>
      <c r="B590" s="2"/>
      <c r="D590"/>
      <c r="E590"/>
      <c r="F590"/>
      <c r="G590" s="46"/>
      <c r="H590" s="79"/>
      <c r="I590" s="46"/>
      <c r="J590"/>
    </row>
    <row r="591" spans="1:10" s="69" customFormat="1">
      <c r="A591" s="38"/>
      <c r="B591" s="2"/>
      <c r="D591"/>
      <c r="E591"/>
      <c r="F591"/>
      <c r="G591" s="46"/>
      <c r="H591" s="79"/>
      <c r="I591" s="46"/>
      <c r="J591"/>
    </row>
    <row r="592" spans="1:10" s="69" customFormat="1">
      <c r="A592" s="38"/>
      <c r="B592" s="2"/>
      <c r="D592"/>
      <c r="E592"/>
      <c r="F592"/>
      <c r="G592" s="46"/>
      <c r="H592" s="79"/>
      <c r="I592" s="46"/>
      <c r="J592"/>
    </row>
    <row r="593" spans="1:10" s="69" customFormat="1">
      <c r="A593" s="38"/>
      <c r="B593" s="2"/>
      <c r="D593"/>
      <c r="E593"/>
      <c r="F593"/>
      <c r="G593" s="46"/>
      <c r="H593" s="79"/>
      <c r="I593" s="46"/>
      <c r="J593"/>
    </row>
    <row r="594" spans="1:10" s="69" customFormat="1">
      <c r="A594" s="38"/>
      <c r="B594" s="2"/>
      <c r="D594"/>
      <c r="E594"/>
      <c r="F594"/>
      <c r="G594" s="46"/>
      <c r="H594" s="79"/>
      <c r="I594" s="46"/>
      <c r="J594"/>
    </row>
    <row r="595" spans="1:10" s="69" customFormat="1">
      <c r="A595" s="38"/>
      <c r="B595" s="2"/>
      <c r="D595"/>
      <c r="E595"/>
      <c r="F595"/>
      <c r="G595" s="46"/>
      <c r="H595" s="79"/>
      <c r="I595" s="46"/>
      <c r="J595"/>
    </row>
    <row r="596" spans="1:10" s="69" customFormat="1">
      <c r="A596" s="38"/>
      <c r="B596" s="2"/>
      <c r="D596"/>
      <c r="E596"/>
      <c r="F596"/>
      <c r="G596" s="46"/>
      <c r="H596" s="79"/>
      <c r="I596" s="46"/>
      <c r="J596"/>
    </row>
    <row r="597" spans="1:10" s="69" customFormat="1">
      <c r="A597" s="38"/>
      <c r="B597" s="2"/>
      <c r="D597"/>
      <c r="E597"/>
      <c r="F597"/>
      <c r="G597" s="46"/>
      <c r="H597" s="79"/>
      <c r="I597" s="46"/>
      <c r="J597"/>
    </row>
    <row r="598" spans="1:10" s="69" customFormat="1">
      <c r="A598" s="38"/>
      <c r="B598" s="2"/>
      <c r="D598"/>
      <c r="E598"/>
      <c r="F598"/>
      <c r="G598" s="46"/>
      <c r="H598" s="79"/>
      <c r="I598" s="46"/>
      <c r="J598"/>
    </row>
    <row r="599" spans="1:10" s="69" customFormat="1">
      <c r="A599" s="38"/>
      <c r="B599" s="2"/>
      <c r="D599"/>
      <c r="E599"/>
      <c r="F599"/>
      <c r="G599" s="46"/>
      <c r="H599" s="79"/>
      <c r="I599" s="46"/>
      <c r="J599"/>
    </row>
    <row r="600" spans="1:10" s="69" customFormat="1">
      <c r="A600" s="38"/>
      <c r="B600" s="2"/>
      <c r="D600"/>
      <c r="E600"/>
      <c r="F600"/>
      <c r="G600" s="46"/>
      <c r="H600" s="79"/>
      <c r="I600" s="46"/>
      <c r="J600"/>
    </row>
    <row r="601" spans="1:10" s="69" customFormat="1">
      <c r="A601" s="38"/>
      <c r="B601" s="2"/>
      <c r="D601"/>
      <c r="E601"/>
      <c r="F601"/>
      <c r="G601" s="46"/>
      <c r="H601" s="79"/>
      <c r="I601" s="46"/>
      <c r="J601"/>
    </row>
    <row r="602" spans="1:10" s="69" customFormat="1">
      <c r="A602" s="38"/>
      <c r="B602" s="2"/>
      <c r="D602"/>
      <c r="E602"/>
      <c r="F602"/>
      <c r="G602" s="46"/>
      <c r="H602" s="79"/>
      <c r="I602" s="46"/>
      <c r="J602"/>
    </row>
    <row r="603" spans="1:10" s="69" customFormat="1">
      <c r="A603" s="38"/>
      <c r="B603" s="2"/>
      <c r="D603"/>
      <c r="E603"/>
      <c r="F603"/>
      <c r="G603" s="46"/>
      <c r="H603" s="79"/>
      <c r="I603" s="46"/>
      <c r="J603"/>
    </row>
    <row r="604" spans="1:10" s="69" customFormat="1">
      <c r="A604" s="38"/>
      <c r="B604" s="2"/>
      <c r="D604"/>
      <c r="E604"/>
      <c r="F604"/>
      <c r="G604" s="46"/>
      <c r="H604" s="79"/>
      <c r="I604" s="46"/>
      <c r="J604"/>
    </row>
    <row r="605" spans="1:10" s="69" customFormat="1">
      <c r="A605" s="38"/>
      <c r="B605" s="2"/>
      <c r="D605"/>
      <c r="E605"/>
      <c r="F605"/>
      <c r="G605" s="46"/>
      <c r="H605" s="79"/>
      <c r="I605" s="46"/>
      <c r="J605"/>
    </row>
    <row r="606" spans="1:10" s="69" customFormat="1">
      <c r="A606" s="38"/>
      <c r="B606" s="2"/>
      <c r="D606"/>
      <c r="E606"/>
      <c r="F606"/>
      <c r="G606" s="46"/>
      <c r="H606" s="79"/>
      <c r="I606" s="46"/>
      <c r="J606"/>
    </row>
    <row r="607" spans="1:10" s="69" customFormat="1">
      <c r="A607" s="38"/>
      <c r="B607" s="2"/>
      <c r="D607"/>
      <c r="E607"/>
      <c r="F607"/>
      <c r="G607" s="46"/>
      <c r="H607" s="79"/>
      <c r="I607" s="46"/>
      <c r="J607"/>
    </row>
    <row r="608" spans="1:10" s="69" customFormat="1">
      <c r="A608" s="38"/>
      <c r="B608" s="2"/>
      <c r="D608"/>
      <c r="E608"/>
      <c r="F608"/>
      <c r="G608" s="46"/>
      <c r="H608" s="79"/>
      <c r="I608" s="46"/>
      <c r="J608"/>
    </row>
    <row r="609" spans="1:10" s="69" customFormat="1">
      <c r="A609" s="38"/>
      <c r="B609" s="2"/>
      <c r="D609"/>
      <c r="E609"/>
      <c r="F609"/>
      <c r="G609" s="46"/>
      <c r="H609" s="79"/>
      <c r="I609" s="46"/>
      <c r="J609"/>
    </row>
    <row r="610" spans="1:10" s="69" customFormat="1">
      <c r="A610" s="38"/>
      <c r="B610" s="2"/>
      <c r="D610"/>
      <c r="E610"/>
      <c r="F610"/>
      <c r="G610" s="46"/>
      <c r="H610" s="79"/>
      <c r="I610" s="46"/>
      <c r="J610"/>
    </row>
    <row r="611" spans="1:10" s="69" customFormat="1">
      <c r="A611" s="38"/>
      <c r="B611" s="2"/>
      <c r="D611"/>
      <c r="E611"/>
      <c r="F611"/>
      <c r="G611" s="46"/>
      <c r="H611" s="79"/>
      <c r="I611" s="46"/>
      <c r="J611"/>
    </row>
    <row r="612" spans="1:10" s="69" customFormat="1">
      <c r="A612" s="38"/>
      <c r="B612" s="2"/>
      <c r="D612"/>
      <c r="E612"/>
      <c r="F612"/>
      <c r="G612" s="46"/>
      <c r="H612" s="79"/>
      <c r="I612" s="46"/>
      <c r="J612"/>
    </row>
    <row r="613" spans="1:10" s="69" customFormat="1">
      <c r="A613" s="38"/>
      <c r="B613" s="2"/>
      <c r="D613"/>
      <c r="E613"/>
      <c r="F613"/>
      <c r="G613" s="46"/>
      <c r="H613" s="79"/>
      <c r="I613" s="46"/>
      <c r="J613"/>
    </row>
    <row r="614" spans="1:10" s="69" customFormat="1">
      <c r="A614" s="38"/>
      <c r="B614" s="2"/>
      <c r="D614"/>
      <c r="E614"/>
      <c r="F614"/>
      <c r="G614" s="46"/>
      <c r="H614" s="79"/>
      <c r="I614" s="46"/>
      <c r="J614"/>
    </row>
    <row r="615" spans="1:10" s="69" customFormat="1">
      <c r="A615" s="38"/>
      <c r="B615" s="2"/>
      <c r="D615"/>
      <c r="E615"/>
      <c r="F615"/>
      <c r="G615" s="46"/>
      <c r="H615" s="79"/>
      <c r="I615" s="46"/>
      <c r="J615"/>
    </row>
    <row r="616" spans="1:10" s="69" customFormat="1">
      <c r="A616" s="38"/>
      <c r="B616" s="2"/>
      <c r="D616"/>
      <c r="E616"/>
      <c r="F616"/>
      <c r="G616" s="46"/>
      <c r="H616" s="79"/>
      <c r="I616" s="46"/>
      <c r="J616"/>
    </row>
    <row r="617" spans="1:10" s="69" customFormat="1">
      <c r="A617" s="38"/>
      <c r="B617" s="2"/>
      <c r="D617"/>
      <c r="E617"/>
      <c r="F617"/>
      <c r="G617" s="46"/>
      <c r="H617" s="79"/>
      <c r="I617" s="46"/>
      <c r="J617"/>
    </row>
    <row r="618" spans="1:10" s="69" customFormat="1">
      <c r="A618" s="38"/>
      <c r="B618" s="2"/>
      <c r="D618"/>
      <c r="E618"/>
      <c r="F618"/>
      <c r="G618" s="46"/>
      <c r="H618" s="79"/>
      <c r="I618" s="46"/>
      <c r="J618"/>
    </row>
    <row r="619" spans="1:10" s="69" customFormat="1">
      <c r="A619" s="38"/>
      <c r="B619" s="2"/>
      <c r="D619"/>
      <c r="E619"/>
      <c r="F619"/>
      <c r="G619" s="46"/>
      <c r="H619" s="79"/>
      <c r="I619" s="46"/>
      <c r="J619"/>
    </row>
    <row r="620" spans="1:10" s="69" customFormat="1">
      <c r="A620" s="38"/>
      <c r="B620" s="2"/>
      <c r="D620"/>
      <c r="E620"/>
      <c r="F620"/>
      <c r="G620" s="46"/>
      <c r="H620" s="79"/>
      <c r="I620" s="46"/>
      <c r="J620"/>
    </row>
    <row r="621" spans="1:10" s="69" customFormat="1">
      <c r="A621" s="38"/>
      <c r="B621" s="2"/>
      <c r="D621"/>
      <c r="E621"/>
      <c r="F621"/>
      <c r="G621" s="46"/>
      <c r="H621" s="79"/>
      <c r="I621" s="46"/>
      <c r="J621"/>
    </row>
    <row r="622" spans="1:10" s="69" customFormat="1">
      <c r="A622" s="38"/>
      <c r="B622" s="2"/>
      <c r="D622"/>
      <c r="E622"/>
      <c r="F622"/>
      <c r="G622" s="46"/>
      <c r="H622" s="79"/>
      <c r="I622" s="46"/>
      <c r="J622"/>
    </row>
    <row r="623" spans="1:10" s="69" customFormat="1">
      <c r="A623" s="38"/>
      <c r="B623" s="2"/>
      <c r="D623"/>
      <c r="E623"/>
      <c r="F623"/>
      <c r="G623" s="46"/>
      <c r="H623" s="79"/>
      <c r="I623" s="46"/>
      <c r="J623"/>
    </row>
    <row r="624" spans="1:10" s="69" customFormat="1">
      <c r="A624" s="38"/>
      <c r="B624" s="2"/>
      <c r="D624"/>
      <c r="E624"/>
      <c r="F624"/>
      <c r="G624" s="46"/>
      <c r="H624" s="79"/>
      <c r="I624" s="46"/>
      <c r="J624"/>
    </row>
    <row r="625" spans="1:10" s="69" customFormat="1">
      <c r="A625" s="38"/>
      <c r="B625" s="2"/>
      <c r="D625"/>
      <c r="E625"/>
      <c r="F625"/>
      <c r="G625" s="46"/>
      <c r="H625" s="79"/>
      <c r="I625" s="46"/>
      <c r="J625"/>
    </row>
    <row r="626" spans="1:10" s="69" customFormat="1">
      <c r="A626" s="38"/>
      <c r="B626" s="2"/>
      <c r="D626"/>
      <c r="E626"/>
      <c r="F626"/>
      <c r="G626" s="46"/>
      <c r="H626" s="79"/>
      <c r="I626" s="46"/>
      <c r="J626"/>
    </row>
    <row r="627" spans="1:10" s="69" customFormat="1">
      <c r="A627" s="38"/>
      <c r="B627" s="2"/>
      <c r="D627"/>
      <c r="E627"/>
      <c r="F627"/>
      <c r="G627" s="46"/>
      <c r="H627" s="79"/>
      <c r="I627" s="46"/>
      <c r="J627"/>
    </row>
    <row r="628" spans="1:10" s="69" customFormat="1">
      <c r="A628" s="38"/>
      <c r="B628" s="2"/>
      <c r="D628"/>
      <c r="E628"/>
      <c r="F628"/>
      <c r="G628" s="46"/>
      <c r="H628" s="79"/>
      <c r="I628" s="46"/>
      <c r="J628"/>
    </row>
    <row r="629" spans="1:10" s="69" customFormat="1">
      <c r="A629" s="38"/>
      <c r="B629" s="2"/>
      <c r="D629"/>
      <c r="E629"/>
      <c r="F629"/>
      <c r="G629" s="46"/>
      <c r="H629" s="79"/>
      <c r="I629" s="46"/>
      <c r="J629"/>
    </row>
    <row r="630" spans="1:10" s="69" customFormat="1">
      <c r="A630" s="38"/>
      <c r="B630" s="2"/>
      <c r="D630"/>
      <c r="E630"/>
      <c r="F630"/>
      <c r="G630" s="46"/>
      <c r="H630" s="79"/>
      <c r="I630" s="46"/>
      <c r="J630"/>
    </row>
    <row r="631" spans="1:10" s="38" customFormat="1">
      <c r="B631" s="2"/>
      <c r="C631" s="69"/>
      <c r="D631"/>
      <c r="E631"/>
      <c r="F631"/>
      <c r="G631" s="46"/>
      <c r="H631" s="79"/>
      <c r="I631" s="46"/>
      <c r="J631"/>
    </row>
    <row r="632" spans="1:10" s="38" customFormat="1">
      <c r="B632" s="2"/>
      <c r="C632" s="69"/>
      <c r="D632"/>
      <c r="E632"/>
      <c r="F632"/>
      <c r="G632" s="46"/>
      <c r="H632" s="79"/>
      <c r="I632" s="46"/>
      <c r="J632"/>
    </row>
    <row r="633" spans="1:10" s="38" customFormat="1">
      <c r="B633" s="2"/>
      <c r="C633" s="69"/>
      <c r="D633"/>
      <c r="E633"/>
      <c r="F633"/>
      <c r="G633" s="46"/>
      <c r="H633" s="79"/>
      <c r="I633" s="46"/>
      <c r="J633"/>
    </row>
    <row r="634" spans="1:10" s="38" customFormat="1">
      <c r="B634" s="2"/>
      <c r="C634" s="69"/>
      <c r="D634"/>
      <c r="E634"/>
      <c r="F634"/>
      <c r="G634" s="46"/>
      <c r="H634" s="79"/>
      <c r="I634" s="46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7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58"/>
      <c r="D1" s="458"/>
      <c r="E1" s="458"/>
      <c r="F1" s="458"/>
      <c r="G1" s="458"/>
      <c r="I1" s="458"/>
      <c r="J1" s="458"/>
    </row>
    <row r="2" spans="1:10">
      <c r="A2" s="456" t="s">
        <v>286</v>
      </c>
      <c r="D2" s="409" t="str">
        <f t="shared" ref="D2:D29" si="0">IF(AND(G2&gt;0,ISNUMBER(G2)),ROW(),"")</f>
        <v/>
      </c>
      <c r="E2" s="409" t="e">
        <f>#REF!</f>
        <v>#REF!</v>
      </c>
      <c r="F2" s="409"/>
      <c r="G2" s="416" t="str">
        <f>IFERROR(INDEX(#REF!,MATCH(E2,#REF!,0)),"")</f>
        <v/>
      </c>
      <c r="I2" s="409" t="str">
        <f>IFERROR(SMALL(D:D,ROW()-1),"")</f>
        <v/>
      </c>
      <c r="J2" s="409" t="str">
        <f t="shared" ref="J2:J19" si="1">IF($I2="","",INDEX(E:E,MATCH($I2,$D:$D,0)))</f>
        <v/>
      </c>
    </row>
    <row r="3" spans="1:10">
      <c r="A3" s="456" t="s">
        <v>287</v>
      </c>
      <c r="D3" s="409" t="str">
        <f t="shared" si="0"/>
        <v/>
      </c>
      <c r="E3" s="409" t="e">
        <f>#REF!</f>
        <v>#REF!</v>
      </c>
      <c r="F3" s="409" t="s">
        <v>450</v>
      </c>
      <c r="G3" s="416" t="str">
        <f>IFERROR(INDEX(#REF!,MATCH(E3,#REF!,0)),"")</f>
        <v/>
      </c>
      <c r="I3" s="409" t="str">
        <f t="shared" ref="I3:I19" si="2">IFERROR(SMALL(D:D,ROW()-1),"")</f>
        <v/>
      </c>
      <c r="J3" s="409" t="str">
        <f t="shared" si="1"/>
        <v/>
      </c>
    </row>
    <row r="4" spans="1:10">
      <c r="A4" s="456" t="s">
        <v>288</v>
      </c>
      <c r="D4" s="409" t="str">
        <f t="shared" si="0"/>
        <v/>
      </c>
      <c r="E4" s="409" t="e">
        <f>#REF!</f>
        <v>#REF!</v>
      </c>
      <c r="F4" s="409" t="s">
        <v>450</v>
      </c>
      <c r="G4" s="416" t="str">
        <f>IFERROR(INDEX(#REF!,MATCH(E4,#REF!,0)),"")</f>
        <v/>
      </c>
      <c r="I4" s="409" t="str">
        <f t="shared" si="2"/>
        <v/>
      </c>
      <c r="J4" s="409" t="str">
        <f t="shared" si="1"/>
        <v/>
      </c>
    </row>
    <row r="5" spans="1:10">
      <c r="A5" s="456" t="s">
        <v>289</v>
      </c>
      <c r="D5" s="409" t="str">
        <f t="shared" si="0"/>
        <v/>
      </c>
      <c r="E5" s="409" t="e">
        <f>#REF!</f>
        <v>#REF!</v>
      </c>
      <c r="F5" s="409" t="s">
        <v>450</v>
      </c>
      <c r="G5" s="416" t="str">
        <f>IFERROR(INDEX(#REF!,MATCH(E5,#REF!,0)),"")</f>
        <v/>
      </c>
      <c r="I5" s="409" t="str">
        <f t="shared" si="2"/>
        <v/>
      </c>
      <c r="J5" s="409" t="str">
        <f t="shared" si="1"/>
        <v/>
      </c>
    </row>
    <row r="6" spans="1:10">
      <c r="A6" s="456" t="s">
        <v>290</v>
      </c>
      <c r="D6" s="409" t="str">
        <f t="shared" si="0"/>
        <v/>
      </c>
      <c r="E6" s="409" t="e">
        <f>#REF!</f>
        <v>#REF!</v>
      </c>
      <c r="F6" s="409" t="s">
        <v>450</v>
      </c>
      <c r="G6" s="416" t="str">
        <f>IFERROR(INDEX(#REF!,MATCH(E6,#REF!,0)),"")</f>
        <v/>
      </c>
      <c r="I6" s="409" t="str">
        <f t="shared" si="2"/>
        <v/>
      </c>
      <c r="J6" s="409" t="str">
        <f t="shared" si="1"/>
        <v/>
      </c>
    </row>
    <row r="7" spans="1:10">
      <c r="A7" s="456" t="s">
        <v>291</v>
      </c>
      <c r="D7" s="409" t="str">
        <f t="shared" si="0"/>
        <v/>
      </c>
      <c r="E7" s="409" t="e">
        <f>#REF!</f>
        <v>#REF!</v>
      </c>
      <c r="F7" s="409" t="s">
        <v>450</v>
      </c>
      <c r="G7" s="416" t="str">
        <f>IFERROR(INDEX(#REF!,MATCH(E7,#REF!,0)),"")</f>
        <v/>
      </c>
      <c r="I7" s="409" t="str">
        <f t="shared" si="2"/>
        <v/>
      </c>
      <c r="J7" s="409" t="str">
        <f t="shared" si="1"/>
        <v/>
      </c>
    </row>
    <row r="8" spans="1:10">
      <c r="A8" s="456" t="s">
        <v>292</v>
      </c>
      <c r="D8" s="409" t="str">
        <f t="shared" si="0"/>
        <v/>
      </c>
      <c r="E8" s="409" t="e">
        <f>#REF!</f>
        <v>#REF!</v>
      </c>
      <c r="F8" s="409" t="s">
        <v>450</v>
      </c>
      <c r="G8" s="416" t="str">
        <f>IFERROR(INDEX(#REF!,MATCH(E8,#REF!,0)),"")</f>
        <v/>
      </c>
      <c r="I8" s="409" t="str">
        <f t="shared" si="2"/>
        <v/>
      </c>
      <c r="J8" s="409" t="str">
        <f t="shared" si="1"/>
        <v/>
      </c>
    </row>
    <row r="9" spans="1:10">
      <c r="A9" s="456" t="s">
        <v>293</v>
      </c>
      <c r="D9" s="409" t="str">
        <f t="shared" si="0"/>
        <v/>
      </c>
      <c r="E9" s="409" t="e">
        <f>#REF!</f>
        <v>#REF!</v>
      </c>
      <c r="F9" s="409" t="s">
        <v>450</v>
      </c>
      <c r="G9" s="416" t="str">
        <f>IFERROR(INDEX(#REF!,MATCH(E9,#REF!,0)),"")</f>
        <v/>
      </c>
      <c r="I9" s="409" t="str">
        <f t="shared" si="2"/>
        <v/>
      </c>
      <c r="J9" s="409" t="str">
        <f t="shared" si="1"/>
        <v/>
      </c>
    </row>
    <row r="10" spans="1:10">
      <c r="A10" s="456" t="s">
        <v>294</v>
      </c>
      <c r="D10" s="409" t="str">
        <f t="shared" si="0"/>
        <v/>
      </c>
      <c r="E10" s="409" t="e">
        <f>#REF!</f>
        <v>#REF!</v>
      </c>
      <c r="F10" s="409"/>
      <c r="G10" s="416" t="str">
        <f>IFERROR(INDEX(#REF!,MATCH(E10,#REF!,0)),"")</f>
        <v/>
      </c>
      <c r="I10" s="409" t="str">
        <f t="shared" si="2"/>
        <v/>
      </c>
      <c r="J10" s="409" t="str">
        <f t="shared" si="1"/>
        <v/>
      </c>
    </row>
    <row r="11" spans="1:10">
      <c r="A11" s="456" t="s">
        <v>295</v>
      </c>
      <c r="D11" s="409" t="str">
        <f t="shared" si="0"/>
        <v/>
      </c>
      <c r="E11" s="409" t="e">
        <f>#REF!</f>
        <v>#REF!</v>
      </c>
      <c r="F11" s="409"/>
      <c r="G11" s="416" t="str">
        <f>IFERROR(INDEX(#REF!,MATCH(E11,#REF!,0)),"")</f>
        <v/>
      </c>
      <c r="I11" s="409" t="str">
        <f t="shared" si="2"/>
        <v/>
      </c>
      <c r="J11" s="409" t="str">
        <f t="shared" si="1"/>
        <v/>
      </c>
    </row>
    <row r="12" spans="1:10">
      <c r="A12" s="456" t="s">
        <v>296</v>
      </c>
      <c r="D12" s="409" t="str">
        <f t="shared" si="0"/>
        <v/>
      </c>
      <c r="E12" s="409" t="e">
        <f>#REF!</f>
        <v>#REF!</v>
      </c>
      <c r="F12" s="409" t="s">
        <v>451</v>
      </c>
      <c r="G12" s="416" t="str">
        <f>IFERROR(INDEX(#REF!,MATCH(E12,#REF!,0)),"")</f>
        <v/>
      </c>
      <c r="I12" s="409" t="str">
        <f t="shared" si="2"/>
        <v/>
      </c>
      <c r="J12" s="409" t="str">
        <f t="shared" si="1"/>
        <v/>
      </c>
    </row>
    <row r="13" spans="1:10">
      <c r="A13" s="456" t="s">
        <v>297</v>
      </c>
      <c r="D13" s="409" t="str">
        <f t="shared" si="0"/>
        <v/>
      </c>
      <c r="E13" s="409" t="e">
        <f>#REF!</f>
        <v>#REF!</v>
      </c>
      <c r="F13" s="409" t="s">
        <v>451</v>
      </c>
      <c r="G13" s="416" t="str">
        <f>IFERROR(INDEX(#REF!,MATCH(E13,#REF!,0)),"")</f>
        <v/>
      </c>
      <c r="I13" s="409" t="str">
        <f t="shared" si="2"/>
        <v/>
      </c>
      <c r="J13" s="409" t="str">
        <f t="shared" si="1"/>
        <v/>
      </c>
    </row>
    <row r="14" spans="1:10">
      <c r="A14" s="456" t="s">
        <v>298</v>
      </c>
      <c r="D14" s="409" t="str">
        <f t="shared" si="0"/>
        <v/>
      </c>
      <c r="E14" s="409" t="e">
        <f>#REF!</f>
        <v>#REF!</v>
      </c>
      <c r="F14" s="409" t="s">
        <v>451</v>
      </c>
      <c r="G14" s="416" t="str">
        <f>IFERROR(INDEX(#REF!,MATCH(E14,#REF!,0)),"")</f>
        <v/>
      </c>
      <c r="I14" s="409" t="str">
        <f t="shared" si="2"/>
        <v/>
      </c>
      <c r="J14" s="409" t="str">
        <f t="shared" si="1"/>
        <v/>
      </c>
    </row>
    <row r="15" spans="1:10">
      <c r="A15" s="456" t="s">
        <v>299</v>
      </c>
      <c r="D15" s="409" t="str">
        <f t="shared" si="0"/>
        <v/>
      </c>
      <c r="E15" s="409" t="e">
        <f>#REF!</f>
        <v>#REF!</v>
      </c>
      <c r="F15" s="409" t="s">
        <v>451</v>
      </c>
      <c r="G15" s="416" t="str">
        <f>IFERROR(INDEX(#REF!,MATCH(E15,#REF!,0)),"")</f>
        <v/>
      </c>
      <c r="I15" s="409" t="str">
        <f t="shared" si="2"/>
        <v/>
      </c>
      <c r="J15" s="409" t="str">
        <f t="shared" si="1"/>
        <v/>
      </c>
    </row>
    <row r="16" spans="1:10">
      <c r="A16" s="456" t="s">
        <v>300</v>
      </c>
      <c r="D16" s="409" t="str">
        <f t="shared" si="0"/>
        <v/>
      </c>
      <c r="E16" s="409" t="e">
        <f>#REF!</f>
        <v>#REF!</v>
      </c>
      <c r="F16" s="409" t="s">
        <v>451</v>
      </c>
      <c r="G16" s="416" t="str">
        <f>IFERROR(INDEX(#REF!,MATCH(E16,#REF!,0)),"")</f>
        <v/>
      </c>
      <c r="I16" s="409" t="str">
        <f t="shared" si="2"/>
        <v/>
      </c>
      <c r="J16" s="409" t="str">
        <f t="shared" si="1"/>
        <v/>
      </c>
    </row>
    <row r="17" spans="1:10">
      <c r="A17" s="456" t="s">
        <v>301</v>
      </c>
      <c r="D17" s="409" t="str">
        <f t="shared" si="0"/>
        <v/>
      </c>
      <c r="E17" s="409" t="e">
        <f>#REF!</f>
        <v>#REF!</v>
      </c>
      <c r="F17" s="409" t="s">
        <v>451</v>
      </c>
      <c r="G17" s="416" t="str">
        <f>IFERROR(INDEX(#REF!,MATCH(E17,#REF!,0)),"")</f>
        <v/>
      </c>
      <c r="I17" s="409" t="str">
        <f t="shared" si="2"/>
        <v/>
      </c>
      <c r="J17" s="409" t="str">
        <f t="shared" si="1"/>
        <v/>
      </c>
    </row>
    <row r="18" spans="1:10">
      <c r="A18" s="456" t="s">
        <v>302</v>
      </c>
      <c r="D18" s="409" t="str">
        <f t="shared" si="0"/>
        <v/>
      </c>
      <c r="E18" s="409" t="e">
        <f>#REF!</f>
        <v>#REF!</v>
      </c>
      <c r="F18" s="409"/>
      <c r="G18" s="416" t="str">
        <f>IFERROR(INDEX(#REF!,MATCH(E18,#REF!,0)),"")</f>
        <v/>
      </c>
      <c r="I18" s="409" t="str">
        <f t="shared" si="2"/>
        <v/>
      </c>
      <c r="J18" s="409" t="str">
        <f t="shared" si="1"/>
        <v/>
      </c>
    </row>
    <row r="19" spans="1:10">
      <c r="A19" s="456" t="s">
        <v>303</v>
      </c>
      <c r="D19" s="409" t="str">
        <f t="shared" si="0"/>
        <v/>
      </c>
      <c r="E19" s="409" t="e">
        <f>#REF!</f>
        <v>#REF!</v>
      </c>
      <c r="F19" s="409"/>
      <c r="G19" s="416" t="str">
        <f>IFERROR(INDEX(#REF!,MATCH(E19,#REF!,0)),"")</f>
        <v/>
      </c>
      <c r="I19" s="409" t="str">
        <f t="shared" si="2"/>
        <v/>
      </c>
      <c r="J19" s="409" t="str">
        <f t="shared" si="1"/>
        <v/>
      </c>
    </row>
    <row r="20" spans="1:10">
      <c r="A20" s="456" t="s">
        <v>304</v>
      </c>
      <c r="D20" s="409" t="str">
        <f t="shared" si="0"/>
        <v/>
      </c>
      <c r="E20" s="409" t="e">
        <f>#REF!</f>
        <v>#REF!</v>
      </c>
      <c r="F20" s="409" t="s">
        <v>473</v>
      </c>
      <c r="G20" s="416" t="str">
        <f>IFERROR(INDEX(#REF!,MATCH(E20,#REF!,0)),"")</f>
        <v/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56" t="s">
        <v>305</v>
      </c>
      <c r="D21" s="409" t="str">
        <f t="shared" si="0"/>
        <v/>
      </c>
      <c r="E21" s="409" t="e">
        <f>#REF!</f>
        <v>#REF!</v>
      </c>
      <c r="F21" s="409" t="s">
        <v>473</v>
      </c>
      <c r="G21" s="416" t="str">
        <f>IFERROR(INDEX(#REF!,MATCH(E21,#REF!,0)),"")</f>
        <v/>
      </c>
      <c r="I21" t="str">
        <f t="shared" si="3"/>
        <v/>
      </c>
      <c r="J21" t="str">
        <f t="shared" si="4"/>
        <v/>
      </c>
    </row>
    <row r="22" spans="1:10">
      <c r="A22" s="456" t="s">
        <v>306</v>
      </c>
      <c r="D22" s="409" t="str">
        <f t="shared" si="0"/>
        <v/>
      </c>
      <c r="E22" s="409" t="e">
        <f>#REF!</f>
        <v>#REF!</v>
      </c>
      <c r="F22" s="409" t="s">
        <v>473</v>
      </c>
      <c r="G22" s="416" t="str">
        <f>IFERROR(INDEX(#REF!,MATCH(E22,#REF!,0)),"")</f>
        <v/>
      </c>
      <c r="I22" t="str">
        <f t="shared" si="3"/>
        <v/>
      </c>
      <c r="J22" t="str">
        <f t="shared" si="4"/>
        <v/>
      </c>
    </row>
    <row r="23" spans="1:10">
      <c r="A23" s="456" t="s">
        <v>307</v>
      </c>
      <c r="D23" s="409" t="str">
        <f t="shared" si="0"/>
        <v/>
      </c>
      <c r="E23" s="409" t="e">
        <f>#REF!</f>
        <v>#REF!</v>
      </c>
      <c r="F23" s="409"/>
      <c r="G23" s="416" t="str">
        <f>IFERROR(INDEX(#REF!,MATCH(E23,#REF!,0)),"")</f>
        <v/>
      </c>
      <c r="I23" t="str">
        <f t="shared" si="3"/>
        <v/>
      </c>
      <c r="J23" t="str">
        <f t="shared" si="4"/>
        <v/>
      </c>
    </row>
    <row r="24" spans="1:10">
      <c r="A24" s="456" t="s">
        <v>308</v>
      </c>
      <c r="D24" s="409" t="str">
        <f t="shared" si="0"/>
        <v/>
      </c>
      <c r="E24" s="409" t="e">
        <f>#REF!</f>
        <v>#REF!</v>
      </c>
      <c r="F24" s="409"/>
      <c r="G24" s="416" t="str">
        <f>IFERROR(INDEX(#REF!,MATCH(E24,#REF!,0)),"")</f>
        <v/>
      </c>
      <c r="I24" t="str">
        <f t="shared" si="3"/>
        <v/>
      </c>
      <c r="J24" t="str">
        <f t="shared" si="4"/>
        <v/>
      </c>
    </row>
    <row r="25" spans="1:10">
      <c r="A25" s="456" t="s">
        <v>309</v>
      </c>
      <c r="D25" s="409" t="str">
        <f t="shared" si="0"/>
        <v/>
      </c>
      <c r="E25" s="409" t="e">
        <f>#REF!</f>
        <v>#REF!</v>
      </c>
      <c r="F25" s="409" t="s">
        <v>474</v>
      </c>
      <c r="G25" s="416" t="str">
        <f>IFERROR(INDEX(#REF!,MATCH(E25,#REF!,0)),"")</f>
        <v/>
      </c>
      <c r="I25" t="str">
        <f t="shared" si="3"/>
        <v/>
      </c>
      <c r="J25" t="str">
        <f t="shared" si="4"/>
        <v/>
      </c>
    </row>
    <row r="26" spans="1:10">
      <c r="A26" s="456" t="s">
        <v>310</v>
      </c>
      <c r="D26" s="409" t="str">
        <f t="shared" si="0"/>
        <v/>
      </c>
      <c r="E26" s="409" t="e">
        <f>#REF!</f>
        <v>#REF!</v>
      </c>
      <c r="F26" s="409"/>
      <c r="G26" s="416" t="str">
        <f>IFERROR(INDEX(#REF!,MATCH(E26,#REF!,0)),"")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56" t="s">
        <v>311</v>
      </c>
      <c r="D27" s="409" t="str">
        <f t="shared" si="0"/>
        <v/>
      </c>
      <c r="E27" s="409" t="e">
        <f>#REF!</f>
        <v>#REF!</v>
      </c>
      <c r="F27" s="409"/>
      <c r="G27" s="416" t="str">
        <f>IFERROR(INDEX(#REF!,MATCH(E27,#REF!,0)),"")</f>
        <v/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56" t="s">
        <v>312</v>
      </c>
      <c r="D28" s="409" t="str">
        <f t="shared" si="0"/>
        <v/>
      </c>
      <c r="E28" s="409" t="e">
        <f>#REF!</f>
        <v>#REF!</v>
      </c>
      <c r="F28" s="409" t="s">
        <v>475</v>
      </c>
      <c r="G28" s="416" t="str">
        <f>IFERROR(INDEX(#REF!,MATCH(E28,#REF!,0)),"")</f>
        <v/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56" t="s">
        <v>313</v>
      </c>
      <c r="D29" s="409" t="str">
        <f t="shared" si="0"/>
        <v/>
      </c>
      <c r="E29" s="409" t="e">
        <f>#REF!</f>
        <v>#REF!</v>
      </c>
      <c r="F29" s="409"/>
      <c r="G29" s="416" t="str">
        <f>IFERROR(INDEX(#REF!,MATCH(E29,#REF!,0)),"")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56" t="s">
        <v>314</v>
      </c>
      <c r="G30"/>
    </row>
    <row r="31" spans="1:10">
      <c r="A31" s="456" t="s">
        <v>315</v>
      </c>
      <c r="G31"/>
    </row>
    <row r="32" spans="1:10">
      <c r="A32" s="456" t="s">
        <v>316</v>
      </c>
      <c r="G32"/>
    </row>
    <row r="33" spans="1:1">
      <c r="A33" s="456"/>
    </row>
    <row r="34" spans="1:1">
      <c r="A34" s="456"/>
    </row>
    <row r="35" spans="1:1">
      <c r="A35" s="456"/>
    </row>
    <row r="36" spans="1:1">
      <c r="A36" s="457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Mão de Obra</vt:lpstr>
      <vt:lpstr>Veículos</vt:lpstr>
      <vt:lpstr>Mat Individual e Uniformes func</vt:lpstr>
      <vt:lpstr>Mat Coletivo e Equipamentos</vt:lpstr>
      <vt:lpstr>Proposta</vt:lpstr>
      <vt:lpstr>Apoio - Regime de Trabalho</vt:lpstr>
      <vt:lpstr>Apoio - Notas Explicativas</vt:lpstr>
      <vt:lpstr>Apoio - Posto</vt:lpstr>
      <vt:lpstr>Apoio - Dados</vt:lpstr>
      <vt:lpstr>'Mão de Obra'!Area_de_impressao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Helen da Silva Costa Benaduce</cp:lastModifiedBy>
  <cp:lastPrinted>2023-11-16T17:30:01Z</cp:lastPrinted>
  <dcterms:created xsi:type="dcterms:W3CDTF">2015-06-05T18:19:34Z</dcterms:created>
  <dcterms:modified xsi:type="dcterms:W3CDTF">2024-08-29T20:05:04Z</dcterms:modified>
</cp:coreProperties>
</file>